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jidd\Desktop\"/>
    </mc:Choice>
  </mc:AlternateContent>
  <bookViews>
    <workbookView xWindow="0" yWindow="0" windowWidth="7480" windowHeight="4220" tabRatio="783"/>
  </bookViews>
  <sheets>
    <sheet name="فروشگاه-عمومی" sheetId="49" r:id="rId1"/>
    <sheet name="دیجیتال" sheetId="19" r:id="rId2"/>
    <sheet name="پوشاک" sheetId="50" r:id="rId3"/>
    <sheet name="کتاب و لوازم تحریر" sheetId="46" r:id="rId4"/>
    <sheet name="لوازم خانگی و اداری" sheetId="24" r:id="rId5"/>
    <sheet name="لوازم ورزشی" sheetId="26" r:id="rId6"/>
    <sheet name="قطعات الکترونیک و رباتیک" sheetId="47" r:id="rId7"/>
    <sheet name="آرایشی و بهداشتی" sheetId="20" r:id="rId8"/>
    <sheet name="ابزار" sheetId="13" r:id="rId9"/>
    <sheet name="زیورآلات" sheetId="45" r:id="rId10"/>
    <sheet name="کودک" sheetId="27" r:id="rId11"/>
    <sheet name="کادو و صنایع دستی " sheetId="82" r:id="rId12"/>
    <sheet name="عطر" sheetId="21" r:id="rId13"/>
    <sheet name="خوراکی" sheetId="51" r:id="rId14"/>
    <sheet name="گل و گیاه و بذر " sheetId="48" r:id="rId15"/>
    <sheet name="دوربین مداربستهاطفا حریق و شبکه" sheetId="52" r:id="rId16"/>
    <sheet name="لوازم موسیقی" sheetId="91" r:id="rId17"/>
    <sheet name="تاسیسات و تجهیزات" sheetId="110" r:id="rId18"/>
    <sheet name="بازاریابی شبکه ای" sheetId="22" r:id="rId19"/>
    <sheet name="جستجوگر کالا" sheetId="54" r:id="rId20"/>
    <sheet name="بانک" sheetId="39" r:id="rId21"/>
    <sheet name="اطلاع رسانی قیمت" sheetId="92" r:id="rId22"/>
    <sheet name="شاپرک" sheetId="93" r:id="rId23"/>
    <sheet name="PSP" sheetId="120" r:id="rId24"/>
    <sheet name="بیمه" sheetId="37" r:id="rId25"/>
    <sheet name="بورس" sheetId="35" r:id="rId26"/>
    <sheet name="واسط پرداخت" sheetId="36" r:id="rId27"/>
    <sheet name="پول و ارز الکترونیک" sheetId="38" r:id="rId28"/>
    <sheet name="پرداخت ارزی و کارت ویزا" sheetId="40" r:id="rId29"/>
    <sheet name="شارژ" sheetId="44" r:id="rId30"/>
    <sheet name="گیفت کارت" sheetId="70" r:id="rId31"/>
    <sheet name="خرید از سایت های خارجی" sheetId="56" r:id="rId32"/>
    <sheet name="خیریه" sheetId="42" r:id="rId33"/>
    <sheet name="جمع سپاری" sheetId="43" r:id="rId34"/>
    <sheet name="پرداخت کرایه" sheetId="121" r:id="rId35"/>
    <sheet name="آگهی-عمومی" sheetId="17" r:id="rId36"/>
    <sheet name="آگهی-خودرو" sheetId="11" r:id="rId37"/>
    <sheet name="استخدام و کاریابی" sheetId="8" r:id="rId38"/>
    <sheet name="آگهی-مشاغل" sheetId="18" r:id="rId39"/>
    <sheet name="آگهی-املاک" sheetId="14" r:id="rId40"/>
    <sheet name="فروش خودرو" sheetId="60" r:id="rId41"/>
    <sheet name="مجله اینترنتی خودرو" sheetId="69" r:id="rId42"/>
    <sheet name="فروشگاه قطعات خودرو" sheetId="12" r:id="rId43"/>
    <sheet name="بازار کار آزاد" sheetId="9" r:id="rId44"/>
    <sheet name="ترجمه و تایپ" sheetId="6" r:id="rId45"/>
    <sheet name="اپلود" sheetId="55" r:id="rId46"/>
    <sheet name="مستقیم کننده" sheetId="87" r:id="rId47"/>
    <sheet name="دانلود نرم افزار" sheetId="61" r:id="rId48"/>
    <sheet name="دانلود فیلم و زیر نویس" sheetId="62" r:id="rId49"/>
    <sheet name="دانلود موسیقی" sheetId="63" r:id="rId50"/>
    <sheet name="مارکت اندروید" sheetId="67" r:id="rId51"/>
    <sheet name="دانلود فایل-عمومی" sheetId="64" r:id="rId52"/>
    <sheet name="دانلود فایل های گرافیکی" sheetId="65" r:id="rId53"/>
    <sheet name="دانلود فایل رم و فلش گوشی" sheetId="66" r:id="rId54"/>
    <sheet name="کتاب‌ومجله الکترونیکی" sheetId="86" r:id="rId55"/>
    <sheet name="اشتراک ویدئو" sheetId="81" r:id="rId56"/>
    <sheet name="VOD&amp;IPTV" sheetId="83" r:id="rId57"/>
    <sheet name="موسیقی" sheetId="88" r:id="rId58"/>
    <sheet name="بلیط هواپیما" sheetId="29" r:id="rId59"/>
    <sheet name="بلیط اتوبوس" sheetId="30" r:id="rId60"/>
    <sheet name="بلیط قطار" sheetId="31" r:id="rId61"/>
    <sheet name="هتل و تور" sheetId="32" r:id="rId62"/>
    <sheet name="پرتال و نیازمندی های گردشگری" sheetId="33" r:id="rId63"/>
    <sheet name="تخفیف گروهی" sheetId="25" r:id="rId64"/>
    <sheet name="بلیط سینما " sheetId="80" r:id="rId65"/>
    <sheet name="بلیط  تئاتر و کنسرت " sheetId="101" r:id="rId66"/>
    <sheet name="بلیط همایش و رویداد" sheetId="102" r:id="rId67"/>
    <sheet name="سفارش غذا" sheetId="23" r:id="rId68"/>
    <sheet name="خدمات حوزه سلامت" sheetId="84" r:id="rId69"/>
    <sheet name="دانشگاه" sheetId="94" r:id="rId70"/>
    <sheet name="ثبت نام آزمون ورودی" sheetId="97" r:id="rId71"/>
    <sheet name="مقاله" sheetId="98" r:id="rId72"/>
    <sheet name="آموزشگاه ها و موسسه" sheetId="99" r:id="rId73"/>
    <sheet name="آموزش آنلاین" sheetId="7" r:id="rId74"/>
    <sheet name="آموزش زبان" sheetId="107" r:id="rId75"/>
    <sheet name="آموزش -پکیج" sheetId="109" r:id="rId76"/>
    <sheet name="درخواست استاد" sheetId="122" r:id="rId77"/>
    <sheet name="درخواست خودرو" sheetId="100" r:id="rId78"/>
    <sheet name="اشتراک گذاری خودرو" sheetId="104" r:id="rId79"/>
    <sheet name="حمل و نقل بین شهری" sheetId="117" r:id="rId80"/>
    <sheet name="درخواست پیک" sheetId="105" r:id="rId81"/>
    <sheet name="پست و ارسال کالا" sheetId="106" r:id="rId82"/>
    <sheet name="شبکه های اجتماعی" sheetId="68" r:id="rId83"/>
    <sheet name="موتورهای جستجو" sheetId="103" r:id="rId84"/>
    <sheet name="مخابرات و ISPها" sheetId="77" r:id="rId85"/>
    <sheet name="اپراتور" sheetId="15" r:id="rId86"/>
    <sheet name="سیمکارت" sheetId="53" r:id="rId87"/>
    <sheet name="هاست و دومین" sheetId="78" r:id="rId88"/>
    <sheet name="مربوط به سایت ها" sheetId="79" r:id="rId89"/>
    <sheet name="خبر" sheetId="75" r:id="rId90"/>
    <sheet name="محتوای ورزشی" sheetId="71" r:id="rId91"/>
    <sheet name="مجله اینترنتی " sheetId="72" r:id="rId92"/>
    <sheet name="محتوای دیجیتال" sheetId="74" r:id="rId93"/>
    <sheet name="محتوای سلامت" sheetId="85" r:id="rId94"/>
    <sheet name="وبلاگ و فروم" sheetId="73" r:id="rId95"/>
    <sheet name="مرتبط با تلگرام و اینستا" sheetId="119" r:id="rId96"/>
    <sheet name="سایر محتوا" sheetId="76" r:id="rId97"/>
    <sheet name="تبلیغات" sheetId="59" r:id="rId98"/>
    <sheet name="پاپ آپ" sheetId="57" r:id="rId99"/>
    <sheet name="پیامک" sheetId="58" r:id="rId100"/>
    <sheet name="اینستا-تلگرام" sheetId="41" r:id="rId101"/>
    <sheet name="چاپ" sheetId="28" r:id="rId102"/>
    <sheet name="خرید لایسنس" sheetId="89" r:id="rId103"/>
    <sheet name="نرم افزار و بازی" sheetId="111" r:id="rId104"/>
    <sheet name="کاهش پینگ" sheetId="90" r:id="rId105"/>
    <sheet name="خدمات منزل" sheetId="116" r:id="rId106"/>
    <sheet name="مزایده و مناقصه" sheetId="115" r:id="rId107"/>
    <sheet name="نظرسنجی " sheetId="114" r:id="rId108"/>
    <sheet name="دفتر کار مجازی" sheetId="118" r:id="rId109"/>
    <sheet name="دولتی و سازمان ها" sheetId="108" r:id="rId110"/>
    <sheet name="سایر سایت ها" sheetId="112" r:id="rId1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79" i="112" l="1"/>
  <c r="AF2" i="116" l="1"/>
  <c r="AG2" i="116"/>
  <c r="AF82" i="76" l="1"/>
  <c r="AF83" i="76"/>
  <c r="AG82" i="76"/>
  <c r="AF19" i="74"/>
  <c r="AF17" i="74"/>
  <c r="AF21" i="74"/>
  <c r="AG19" i="74"/>
  <c r="AG17" i="74"/>
  <c r="AG21" i="74"/>
  <c r="AA7" i="122"/>
  <c r="AG4" i="122"/>
  <c r="AF4" i="122"/>
  <c r="AG6" i="122"/>
  <c r="AF6" i="122"/>
  <c r="AG3" i="122"/>
  <c r="AF3" i="122"/>
  <c r="AG5" i="122"/>
  <c r="AF5" i="122"/>
  <c r="AG2" i="122"/>
  <c r="AF2" i="122"/>
  <c r="AH6" i="122" l="1"/>
  <c r="AI6" i="122" s="1"/>
  <c r="AH2" i="122"/>
  <c r="AI2" i="122" s="1"/>
  <c r="AH4" i="122"/>
  <c r="AI4" i="122" s="1"/>
  <c r="AH3" i="122"/>
  <c r="AI3" i="122" s="1"/>
  <c r="AH5" i="122"/>
  <c r="AI5" i="122" s="1"/>
  <c r="AG7" i="122"/>
  <c r="AF7" i="122"/>
  <c r="AJ2" i="122" s="1"/>
  <c r="AF5" i="83"/>
  <c r="AG5" i="83"/>
  <c r="AG9" i="84"/>
  <c r="AF9" i="84"/>
  <c r="AI7" i="122" l="1"/>
  <c r="AH7" i="122"/>
  <c r="AL6" i="122"/>
  <c r="AM6" i="122" s="1"/>
  <c r="AL2" i="122"/>
  <c r="AM2" i="122" s="1"/>
  <c r="AL5" i="122"/>
  <c r="AM5" i="122" s="1"/>
  <c r="AL4" i="122"/>
  <c r="AM4" i="122" s="1"/>
  <c r="AL3" i="122"/>
  <c r="AM3" i="122" s="1"/>
  <c r="AK2" i="122"/>
  <c r="AJ5" i="122"/>
  <c r="AK5" i="122" s="1"/>
  <c r="AJ6" i="122"/>
  <c r="AK6" i="122" s="1"/>
  <c r="AJ4" i="122"/>
  <c r="AK4" i="122" s="1"/>
  <c r="AJ3" i="122"/>
  <c r="AK3" i="122" s="1"/>
  <c r="AA5" i="121"/>
  <c r="AG4" i="121"/>
  <c r="AF4" i="121"/>
  <c r="AG2" i="121"/>
  <c r="AF2" i="121"/>
  <c r="AG3" i="121"/>
  <c r="AF3" i="121"/>
  <c r="AM7" i="122" l="1"/>
  <c r="AL7" i="122"/>
  <c r="AK7" i="122"/>
  <c r="AJ7" i="122"/>
  <c r="AG5" i="121"/>
  <c r="AL2" i="121" s="1"/>
  <c r="AM2" i="121" s="1"/>
  <c r="AF5" i="121"/>
  <c r="AH3" i="121"/>
  <c r="AH2" i="121"/>
  <c r="AI2" i="121" s="1"/>
  <c r="AH4" i="121"/>
  <c r="AI4" i="121" s="1"/>
  <c r="AF20" i="84"/>
  <c r="AF25" i="84"/>
  <c r="AG20" i="84"/>
  <c r="AG25" i="84"/>
  <c r="AL3" i="121" l="1"/>
  <c r="AM3" i="121" s="1"/>
  <c r="AM5" i="121" s="1"/>
  <c r="AL4" i="121"/>
  <c r="AM4" i="121" s="1"/>
  <c r="AJ4" i="121"/>
  <c r="AK4" i="121" s="1"/>
  <c r="AJ3" i="121"/>
  <c r="AK3" i="121" s="1"/>
  <c r="AJ2" i="121"/>
  <c r="AK2" i="121" s="1"/>
  <c r="AH5" i="121"/>
  <c r="AI3" i="121"/>
  <c r="AI5" i="121" s="1"/>
  <c r="AG16" i="58"/>
  <c r="AG23" i="58"/>
  <c r="AG52" i="35"/>
  <c r="AG50" i="35"/>
  <c r="AG27" i="35"/>
  <c r="AG21" i="29"/>
  <c r="AG32" i="29"/>
  <c r="AG44" i="29"/>
  <c r="AG39" i="29"/>
  <c r="AL5" i="121" l="1"/>
  <c r="AK5" i="121"/>
  <c r="AJ5" i="121"/>
  <c r="AF17" i="76"/>
  <c r="AG17" i="76"/>
  <c r="AF29" i="76"/>
  <c r="AG29" i="76"/>
  <c r="AG17" i="41"/>
  <c r="AF4" i="80" l="1"/>
  <c r="AG4" i="80"/>
  <c r="AF63" i="75"/>
  <c r="AG63" i="75"/>
  <c r="AA25" i="23" l="1"/>
  <c r="AH8" i="23" s="1"/>
  <c r="AH13" i="23" l="1"/>
  <c r="AH19" i="23"/>
  <c r="AH2" i="23"/>
  <c r="AH7" i="23"/>
  <c r="AH12" i="23"/>
  <c r="AH20" i="23"/>
  <c r="AH3" i="23"/>
  <c r="AH16" i="23"/>
  <c r="AH18" i="23"/>
  <c r="AH9" i="23"/>
  <c r="AH5" i="23"/>
  <c r="AH23" i="23"/>
  <c r="AH15" i="23"/>
  <c r="AH21" i="23"/>
  <c r="AH11" i="23"/>
  <c r="AH17" i="23"/>
  <c r="AH4" i="23"/>
  <c r="AH22" i="23"/>
  <c r="AH6" i="23"/>
  <c r="AH24" i="23"/>
  <c r="AH14" i="23"/>
  <c r="AH10" i="23"/>
  <c r="AF114" i="49"/>
  <c r="AG114" i="49"/>
  <c r="AF15" i="54"/>
  <c r="AG15" i="54"/>
  <c r="AF32" i="49"/>
  <c r="AG32" i="49"/>
  <c r="AF28" i="99"/>
  <c r="AG28" i="99"/>
  <c r="AG33" i="59"/>
  <c r="AH25" i="23" l="1"/>
  <c r="AA7" i="114"/>
  <c r="AH2" i="114" s="1"/>
  <c r="AA5" i="118"/>
  <c r="AH4" i="118" s="1"/>
  <c r="AA15" i="119"/>
  <c r="AA9" i="115"/>
  <c r="AA13" i="116"/>
  <c r="AA34" i="110"/>
  <c r="AH17" i="110" s="1"/>
  <c r="AA21" i="91"/>
  <c r="AH7" i="91" s="1"/>
  <c r="AG3" i="106"/>
  <c r="AG7" i="106"/>
  <c r="AG12" i="106"/>
  <c r="AG5" i="106"/>
  <c r="AG10" i="106"/>
  <c r="AG11" i="106"/>
  <c r="AG6" i="106"/>
  <c r="AG14" i="106"/>
  <c r="AG8" i="106"/>
  <c r="AG9" i="106"/>
  <c r="AG4" i="106"/>
  <c r="AG13" i="106"/>
  <c r="AF3" i="106"/>
  <c r="AF7" i="106"/>
  <c r="AF12" i="106"/>
  <c r="AF5" i="106"/>
  <c r="AF10" i="106"/>
  <c r="AF11" i="106"/>
  <c r="AF6" i="106"/>
  <c r="AF14" i="106"/>
  <c r="AF8" i="106"/>
  <c r="AF9" i="106"/>
  <c r="AF4" i="106"/>
  <c r="AF13" i="106"/>
  <c r="AA15" i="106"/>
  <c r="AH12" i="106" s="1"/>
  <c r="AI12" i="106" s="1"/>
  <c r="AA12" i="105"/>
  <c r="AA6" i="117"/>
  <c r="AA6" i="104"/>
  <c r="AA12" i="100"/>
  <c r="AG3" i="109"/>
  <c r="AG4" i="109"/>
  <c r="AG5" i="109"/>
  <c r="AG6" i="109"/>
  <c r="AG7" i="109"/>
  <c r="AG8" i="109"/>
  <c r="AG9" i="109"/>
  <c r="AG10" i="109"/>
  <c r="AG11" i="109"/>
  <c r="AG12" i="109"/>
  <c r="AG13" i="109"/>
  <c r="AG14" i="109"/>
  <c r="AG15" i="109"/>
  <c r="AG16" i="109"/>
  <c r="AG17" i="109"/>
  <c r="AG18" i="109"/>
  <c r="AG19" i="109"/>
  <c r="AG20" i="109"/>
  <c r="AG21" i="109"/>
  <c r="AG22" i="109"/>
  <c r="AG23" i="109"/>
  <c r="AG24" i="109"/>
  <c r="AG25" i="109"/>
  <c r="AG26" i="109"/>
  <c r="AG27" i="109"/>
  <c r="AG28" i="109"/>
  <c r="AG29" i="109"/>
  <c r="AG30" i="109"/>
  <c r="AG31" i="109"/>
  <c r="AG32" i="109"/>
  <c r="AG33" i="109"/>
  <c r="AG34" i="109"/>
  <c r="AG35" i="109"/>
  <c r="AG36" i="109"/>
  <c r="AG37" i="109"/>
  <c r="AG38" i="109"/>
  <c r="AG39" i="109"/>
  <c r="AG40" i="109"/>
  <c r="AG41" i="109"/>
  <c r="AG42" i="109"/>
  <c r="AG43" i="109"/>
  <c r="AG44" i="109"/>
  <c r="AG45" i="109"/>
  <c r="AG46" i="109"/>
  <c r="AG47" i="109"/>
  <c r="AG48" i="109"/>
  <c r="AG49" i="109"/>
  <c r="AG50" i="109"/>
  <c r="AG51" i="109"/>
  <c r="AG52" i="109"/>
  <c r="AG53" i="109"/>
  <c r="AG54" i="109"/>
  <c r="AG55" i="109"/>
  <c r="AG56" i="109"/>
  <c r="AG58" i="109"/>
  <c r="AG57" i="109"/>
  <c r="AG59" i="109"/>
  <c r="AG60" i="109"/>
  <c r="AG61" i="109"/>
  <c r="AG62" i="109"/>
  <c r="AG63" i="109"/>
  <c r="AG64" i="109"/>
  <c r="AG65" i="109"/>
  <c r="AG66" i="109"/>
  <c r="AG67" i="109"/>
  <c r="AG68" i="109"/>
  <c r="AG69" i="109"/>
  <c r="AG71" i="109"/>
  <c r="AG72" i="109"/>
  <c r="AG70" i="109"/>
  <c r="AG73" i="109"/>
  <c r="AG74" i="109"/>
  <c r="AG75" i="109"/>
  <c r="AG76" i="109"/>
  <c r="AG77" i="109"/>
  <c r="AG78" i="109"/>
  <c r="AG79" i="109"/>
  <c r="AG80" i="109"/>
  <c r="AG83" i="109"/>
  <c r="AG81" i="109"/>
  <c r="AG82" i="109"/>
  <c r="AG84" i="109"/>
  <c r="AG85" i="109"/>
  <c r="AG87" i="109"/>
  <c r="AG86" i="109"/>
  <c r="AG90" i="109"/>
  <c r="AG88" i="109"/>
  <c r="AG89" i="109"/>
  <c r="AG91" i="109"/>
  <c r="AG92" i="109"/>
  <c r="AG93" i="109"/>
  <c r="AG94" i="109"/>
  <c r="AA17" i="107"/>
  <c r="AH6" i="107" s="1"/>
  <c r="AA59" i="7"/>
  <c r="AH11" i="7" s="1"/>
  <c r="AA7" i="98"/>
  <c r="AH4" i="98" s="1"/>
  <c r="AH3" i="100" l="1"/>
  <c r="AH7" i="100"/>
  <c r="AH11" i="100"/>
  <c r="AH4" i="100"/>
  <c r="AH8" i="100"/>
  <c r="AH2" i="100"/>
  <c r="AH5" i="100"/>
  <c r="AH9" i="100"/>
  <c r="AH6" i="100"/>
  <c r="AH10" i="100"/>
  <c r="AH10" i="116"/>
  <c r="AH2" i="116"/>
  <c r="AI2" i="116" s="1"/>
  <c r="AH3" i="117"/>
  <c r="AI3" i="117" s="1"/>
  <c r="AH4" i="117"/>
  <c r="AI4" i="117" s="1"/>
  <c r="AH5" i="117"/>
  <c r="AI5" i="117" s="1"/>
  <c r="AH2" i="117"/>
  <c r="AH2" i="104"/>
  <c r="AH3" i="104"/>
  <c r="AI3" i="104" s="1"/>
  <c r="AH5" i="104"/>
  <c r="AI5" i="104" s="1"/>
  <c r="AH4" i="104"/>
  <c r="AI4" i="104" s="1"/>
  <c r="AH5" i="105"/>
  <c r="AI5" i="105" s="1"/>
  <c r="AH9" i="105"/>
  <c r="AI9" i="105" s="1"/>
  <c r="AH2" i="105"/>
  <c r="AH6" i="105"/>
  <c r="AI6" i="105" s="1"/>
  <c r="AH10" i="105"/>
  <c r="AI10" i="105" s="1"/>
  <c r="AH3" i="105"/>
  <c r="AI3" i="105" s="1"/>
  <c r="AH7" i="105"/>
  <c r="AI7" i="105" s="1"/>
  <c r="AH11" i="105"/>
  <c r="AI11" i="105" s="1"/>
  <c r="AH4" i="105"/>
  <c r="AI4" i="105" s="1"/>
  <c r="AH8" i="105"/>
  <c r="AI8" i="105" s="1"/>
  <c r="AH6" i="115"/>
  <c r="AH4" i="115"/>
  <c r="AH5" i="115"/>
  <c r="AH3" i="115"/>
  <c r="AH7" i="115"/>
  <c r="AH8" i="115"/>
  <c r="AH2" i="115"/>
  <c r="AH3" i="116"/>
  <c r="AH5" i="116"/>
  <c r="AH11" i="116"/>
  <c r="AH7" i="106"/>
  <c r="AI7" i="106" s="1"/>
  <c r="AH9" i="106"/>
  <c r="AI9" i="106" s="1"/>
  <c r="AH11" i="106"/>
  <c r="AI11" i="106" s="1"/>
  <c r="AH5" i="119"/>
  <c r="AH9" i="119"/>
  <c r="AH13" i="119"/>
  <c r="AH3" i="119"/>
  <c r="AH11" i="119"/>
  <c r="AH8" i="119"/>
  <c r="AH6" i="119"/>
  <c r="AH10" i="119"/>
  <c r="AH14" i="119"/>
  <c r="AH7" i="119"/>
  <c r="AH2" i="119"/>
  <c r="AH4" i="119"/>
  <c r="AH12" i="119"/>
  <c r="AH16" i="91"/>
  <c r="AH3" i="118"/>
  <c r="AH2" i="118"/>
  <c r="AH5" i="118" s="1"/>
  <c r="AH6" i="116"/>
  <c r="AH12" i="116"/>
  <c r="AH4" i="116"/>
  <c r="AH8" i="116"/>
  <c r="AH7" i="116"/>
  <c r="AH9" i="116"/>
  <c r="AH10" i="110"/>
  <c r="AH29" i="110"/>
  <c r="AH13" i="110"/>
  <c r="AH3" i="110"/>
  <c r="AH9" i="110"/>
  <c r="AH14" i="110"/>
  <c r="AH15" i="110"/>
  <c r="AH2" i="110"/>
  <c r="AH11" i="110"/>
  <c r="AH19" i="110"/>
  <c r="AH23" i="110"/>
  <c r="AH27" i="110"/>
  <c r="AH7" i="110"/>
  <c r="AH12" i="110"/>
  <c r="AH26" i="110"/>
  <c r="AH32" i="110"/>
  <c r="AH18" i="110"/>
  <c r="AH22" i="110"/>
  <c r="AH25" i="110"/>
  <c r="AH6" i="110"/>
  <c r="AH33" i="110"/>
  <c r="AH21" i="110"/>
  <c r="AH28" i="110"/>
  <c r="AH5" i="110"/>
  <c r="AH24" i="110"/>
  <c r="AH31" i="110"/>
  <c r="AH8" i="110"/>
  <c r="AH16" i="110"/>
  <c r="AH30" i="110"/>
  <c r="AH20" i="110"/>
  <c r="AH4" i="110"/>
  <c r="AH17" i="91"/>
  <c r="AH11" i="91"/>
  <c r="AH9" i="91"/>
  <c r="AH20" i="91"/>
  <c r="AH2" i="106"/>
  <c r="AH8" i="106"/>
  <c r="AI8" i="106" s="1"/>
  <c r="AH10" i="106"/>
  <c r="AI10" i="106" s="1"/>
  <c r="AH3" i="106"/>
  <c r="AI3" i="106" s="1"/>
  <c r="AH13" i="106"/>
  <c r="AI13" i="106" s="1"/>
  <c r="AH14" i="106"/>
  <c r="AI14" i="106" s="1"/>
  <c r="AH5" i="106"/>
  <c r="AI5" i="106" s="1"/>
  <c r="AH4" i="106"/>
  <c r="AI4" i="106" s="1"/>
  <c r="AH6" i="106"/>
  <c r="AI6" i="106" s="1"/>
  <c r="AH2" i="107"/>
  <c r="AH13" i="107"/>
  <c r="AH9" i="107"/>
  <c r="AH5" i="107"/>
  <c r="AH15" i="107"/>
  <c r="AH12" i="107"/>
  <c r="AH8" i="107"/>
  <c r="AH4" i="107"/>
  <c r="AH16" i="107"/>
  <c r="AH11" i="107"/>
  <c r="AH7" i="107"/>
  <c r="AH3" i="107"/>
  <c r="AH14" i="107"/>
  <c r="AH10" i="107"/>
  <c r="AH20" i="7"/>
  <c r="AH52" i="7"/>
  <c r="AH49" i="7"/>
  <c r="AH7" i="7"/>
  <c r="AH33" i="7"/>
  <c r="AH22" i="7"/>
  <c r="AH32" i="7"/>
  <c r="AH4" i="7"/>
  <c r="AH9" i="7"/>
  <c r="AH55" i="7"/>
  <c r="AH47" i="7"/>
  <c r="AH54" i="7"/>
  <c r="AH45" i="7"/>
  <c r="AH50" i="7"/>
  <c r="AH15" i="7"/>
  <c r="AH58" i="7"/>
  <c r="AH44" i="7"/>
  <c r="AH53" i="7"/>
  <c r="AH25" i="7"/>
  <c r="AH19" i="7"/>
  <c r="AH37" i="7"/>
  <c r="AH51" i="7"/>
  <c r="AH46" i="7"/>
  <c r="AH10" i="7"/>
  <c r="AH24" i="7"/>
  <c r="AH34" i="7"/>
  <c r="AH3" i="7"/>
  <c r="AH56" i="7"/>
  <c r="AH12" i="7"/>
  <c r="AH41" i="7"/>
  <c r="AH27" i="7"/>
  <c r="AH2" i="7"/>
  <c r="AH40" i="7"/>
  <c r="AH31" i="7"/>
  <c r="AH21" i="7"/>
  <c r="AH30" i="7"/>
  <c r="AH18" i="7"/>
  <c r="AH38" i="7"/>
  <c r="AH5" i="7"/>
  <c r="AH26" i="7"/>
  <c r="AH23" i="7"/>
  <c r="AH39" i="7"/>
  <c r="AH28" i="7"/>
  <c r="AH43" i="7"/>
  <c r="AH16" i="7"/>
  <c r="AH35" i="7"/>
  <c r="AH36" i="7"/>
  <c r="AH6" i="7"/>
  <c r="AH13" i="7"/>
  <c r="AH57" i="7"/>
  <c r="AH48" i="7"/>
  <c r="AH17" i="7"/>
  <c r="AH29" i="7"/>
  <c r="AH42" i="7"/>
  <c r="AH8" i="7"/>
  <c r="AH14" i="7"/>
  <c r="AH3" i="98"/>
  <c r="AH2" i="98"/>
  <c r="AH6" i="98"/>
  <c r="AH5" i="98"/>
  <c r="AH3" i="114"/>
  <c r="AH5" i="114"/>
  <c r="AH4" i="114"/>
  <c r="AH6" i="114"/>
  <c r="AH2" i="91"/>
  <c r="AH6" i="91"/>
  <c r="AH3" i="91"/>
  <c r="AH14" i="91"/>
  <c r="AH13" i="91"/>
  <c r="AH18" i="91"/>
  <c r="AH8" i="91"/>
  <c r="AH4" i="91"/>
  <c r="AH10" i="91"/>
  <c r="AH15" i="91"/>
  <c r="AH5" i="91"/>
  <c r="AH12" i="91"/>
  <c r="AH19" i="91"/>
  <c r="AL2" i="97"/>
  <c r="AL3" i="97"/>
  <c r="AJ3" i="97"/>
  <c r="AJ2" i="97"/>
  <c r="AH3" i="97"/>
  <c r="AH2" i="97"/>
  <c r="AA4" i="97"/>
  <c r="AA92" i="94"/>
  <c r="AH3" i="94" s="1"/>
  <c r="AA9" i="90"/>
  <c r="AH4" i="90" s="1"/>
  <c r="AA33" i="89"/>
  <c r="AH29" i="89" s="1"/>
  <c r="AA17" i="86"/>
  <c r="AH3" i="86" s="1"/>
  <c r="AA64" i="111"/>
  <c r="AH3" i="111" s="1"/>
  <c r="AA26" i="84"/>
  <c r="AH9" i="84" s="1"/>
  <c r="AI9" i="84" s="1"/>
  <c r="AA8" i="88"/>
  <c r="AA28" i="83"/>
  <c r="AH5" i="83" s="1"/>
  <c r="AI5" i="83" s="1"/>
  <c r="AA13" i="81"/>
  <c r="AH8" i="81" s="1"/>
  <c r="AA6" i="103"/>
  <c r="AH2" i="103" s="1"/>
  <c r="AA16" i="54"/>
  <c r="AA6" i="102"/>
  <c r="AH2" i="102" s="1"/>
  <c r="AA17" i="101"/>
  <c r="AH2" i="101" s="1"/>
  <c r="AA9" i="80"/>
  <c r="AA172" i="79"/>
  <c r="AH5" i="79" s="1"/>
  <c r="AA180" i="78"/>
  <c r="AH5" i="78" s="1"/>
  <c r="AG18" i="74"/>
  <c r="AF18" i="74"/>
  <c r="AA27" i="73"/>
  <c r="AH5" i="73" s="1"/>
  <c r="AA31" i="85"/>
  <c r="AA40" i="72"/>
  <c r="AH9" i="72" s="1"/>
  <c r="AA15" i="71"/>
  <c r="AH5" i="71" s="1"/>
  <c r="AA12" i="68"/>
  <c r="AH3" i="68" s="1"/>
  <c r="AA21" i="66"/>
  <c r="AH3" i="66" s="1"/>
  <c r="AA158" i="64"/>
  <c r="AA17" i="87"/>
  <c r="AH13" i="87" s="1"/>
  <c r="AA26" i="62"/>
  <c r="AA31" i="61"/>
  <c r="AH25" i="61" s="1"/>
  <c r="AA45" i="58"/>
  <c r="AH3" i="58" s="1"/>
  <c r="AA15" i="57"/>
  <c r="AH6" i="57" s="1"/>
  <c r="AA35" i="59"/>
  <c r="AH5" i="59" s="1"/>
  <c r="AF33" i="59"/>
  <c r="AA7" i="53"/>
  <c r="AH4" i="53" s="1"/>
  <c r="AA30" i="44"/>
  <c r="AH28" i="44" s="1"/>
  <c r="AA8" i="15"/>
  <c r="AA83" i="77"/>
  <c r="AA8" i="43"/>
  <c r="AA17" i="56"/>
  <c r="AH3" i="56" s="1"/>
  <c r="AA55" i="70"/>
  <c r="AH6" i="70" s="1"/>
  <c r="AA30" i="38"/>
  <c r="AH3" i="38" s="1"/>
  <c r="AA20" i="92"/>
  <c r="AH4" i="92" s="1"/>
  <c r="AA36" i="36"/>
  <c r="AH5" i="36" s="1"/>
  <c r="AA53" i="35"/>
  <c r="AH6" i="35" s="1"/>
  <c r="AA39" i="37"/>
  <c r="AH9" i="37" s="1"/>
  <c r="AA19" i="120"/>
  <c r="AH5" i="120" s="1"/>
  <c r="AG3" i="39"/>
  <c r="AG4" i="39"/>
  <c r="AG5" i="39"/>
  <c r="AG6" i="39"/>
  <c r="AG7" i="39"/>
  <c r="AG8" i="39"/>
  <c r="AG9" i="39"/>
  <c r="AG10" i="39"/>
  <c r="AG11" i="39"/>
  <c r="AG12" i="39"/>
  <c r="AG13" i="39"/>
  <c r="AG14" i="39"/>
  <c r="AG15" i="39"/>
  <c r="AG16" i="39"/>
  <c r="AG17" i="39"/>
  <c r="AG18" i="39"/>
  <c r="AG19" i="39"/>
  <c r="AG20" i="39"/>
  <c r="AG21" i="39"/>
  <c r="AG22" i="39"/>
  <c r="AG23" i="39"/>
  <c r="AG24" i="39"/>
  <c r="AG25" i="39"/>
  <c r="AG26" i="39"/>
  <c r="AG27" i="39"/>
  <c r="AG28" i="39"/>
  <c r="AG29" i="39"/>
  <c r="AG30" i="39"/>
  <c r="AG31" i="39"/>
  <c r="AG32" i="39"/>
  <c r="AG33" i="39"/>
  <c r="AG34" i="39"/>
  <c r="AG35" i="39"/>
  <c r="AG36" i="39"/>
  <c r="AG37" i="39"/>
  <c r="AG38" i="39"/>
  <c r="AG39" i="39"/>
  <c r="AG40" i="39"/>
  <c r="AF3" i="39"/>
  <c r="AF4" i="39"/>
  <c r="AF5" i="39"/>
  <c r="AF6" i="39"/>
  <c r="AF7" i="39"/>
  <c r="AF8" i="39"/>
  <c r="AF9" i="39"/>
  <c r="AF10" i="39"/>
  <c r="AF11" i="39"/>
  <c r="AF12" i="39"/>
  <c r="AF13" i="39"/>
  <c r="AF14" i="39"/>
  <c r="AF15" i="39"/>
  <c r="AF16" i="39"/>
  <c r="AF17" i="39"/>
  <c r="AF18" i="39"/>
  <c r="AF19" i="39"/>
  <c r="AF20" i="39"/>
  <c r="AF21" i="39"/>
  <c r="AF22" i="39"/>
  <c r="AF23" i="39"/>
  <c r="AF24" i="39"/>
  <c r="AF25" i="39"/>
  <c r="AF26" i="39"/>
  <c r="AF27" i="39"/>
  <c r="AF28" i="39"/>
  <c r="AF29" i="39"/>
  <c r="AF30" i="39"/>
  <c r="AF31" i="39"/>
  <c r="AF32" i="39"/>
  <c r="AF33" i="39"/>
  <c r="AF34" i="39"/>
  <c r="AF35" i="39"/>
  <c r="AF36" i="39"/>
  <c r="AF37" i="39"/>
  <c r="AF38" i="39"/>
  <c r="AF39" i="39"/>
  <c r="AF40" i="39"/>
  <c r="AA41" i="39"/>
  <c r="AH3" i="39" s="1"/>
  <c r="AI3" i="39" s="1"/>
  <c r="AF3" i="33"/>
  <c r="AF4" i="33"/>
  <c r="AF5" i="33"/>
  <c r="AF6" i="33"/>
  <c r="AF7" i="33"/>
  <c r="AF8" i="33"/>
  <c r="AF9" i="33"/>
  <c r="AF10" i="33"/>
  <c r="AF11" i="33"/>
  <c r="AF12" i="33"/>
  <c r="AF13" i="33"/>
  <c r="AF14" i="33"/>
  <c r="AF15" i="33"/>
  <c r="AF16" i="33"/>
  <c r="AF17" i="33"/>
  <c r="AF18" i="33"/>
  <c r="AF19" i="33"/>
  <c r="AF20" i="33"/>
  <c r="AF21" i="33"/>
  <c r="AF22" i="33"/>
  <c r="AG3" i="33"/>
  <c r="AG4" i="33"/>
  <c r="AG5" i="33"/>
  <c r="AG6" i="33"/>
  <c r="AG7" i="33"/>
  <c r="AG8" i="33"/>
  <c r="AG9" i="33"/>
  <c r="AG10" i="33"/>
  <c r="AG11" i="33"/>
  <c r="AG12" i="33"/>
  <c r="AG13" i="33"/>
  <c r="AG14" i="33"/>
  <c r="AG15" i="33"/>
  <c r="AG16" i="33"/>
  <c r="AG17" i="33"/>
  <c r="AG18" i="33"/>
  <c r="AG19" i="33"/>
  <c r="AG20" i="33"/>
  <c r="AG21" i="33"/>
  <c r="AG22" i="33"/>
  <c r="AA23" i="33"/>
  <c r="AH3" i="33" s="1"/>
  <c r="AH6" i="117" l="1"/>
  <c r="AI2" i="117"/>
  <c r="AI6" i="117" s="1"/>
  <c r="AI2" i="104"/>
  <c r="AI6" i="104" s="1"/>
  <c r="AH6" i="104"/>
  <c r="AH12" i="105"/>
  <c r="AI2" i="105"/>
  <c r="AI12" i="105" s="1"/>
  <c r="AH7" i="114"/>
  <c r="AH10" i="111"/>
  <c r="AH58" i="111"/>
  <c r="AH42" i="111"/>
  <c r="AH26" i="111"/>
  <c r="AH5" i="57"/>
  <c r="AH5" i="77"/>
  <c r="AH13" i="77"/>
  <c r="AH21" i="77"/>
  <c r="AH33" i="77"/>
  <c r="AH45" i="77"/>
  <c r="AH53" i="77"/>
  <c r="AH65" i="77"/>
  <c r="AH73" i="77"/>
  <c r="AH81" i="77"/>
  <c r="AH6" i="77"/>
  <c r="AH10" i="77"/>
  <c r="AH14" i="77"/>
  <c r="AH18" i="77"/>
  <c r="AH22" i="77"/>
  <c r="AH26" i="77"/>
  <c r="AH30" i="77"/>
  <c r="AH34" i="77"/>
  <c r="AH38" i="77"/>
  <c r="AH42" i="77"/>
  <c r="AH46" i="77"/>
  <c r="AH50" i="77"/>
  <c r="AH54" i="77"/>
  <c r="AH58" i="77"/>
  <c r="AH62" i="77"/>
  <c r="AH66" i="77"/>
  <c r="AH70" i="77"/>
  <c r="AH76" i="77"/>
  <c r="AH79" i="77"/>
  <c r="AH82" i="77"/>
  <c r="AH11" i="77"/>
  <c r="AH27" i="77"/>
  <c r="AH35" i="77"/>
  <c r="AH47" i="77"/>
  <c r="AH55" i="77"/>
  <c r="AH59" i="77"/>
  <c r="AH67" i="77"/>
  <c r="AH74" i="77"/>
  <c r="AH3" i="77"/>
  <c r="AH7" i="77"/>
  <c r="AH15" i="77"/>
  <c r="AH19" i="77"/>
  <c r="AH23" i="77"/>
  <c r="AH31" i="77"/>
  <c r="AH39" i="77"/>
  <c r="AH43" i="77"/>
  <c r="AH51" i="77"/>
  <c r="AH63" i="77"/>
  <c r="AH71" i="77"/>
  <c r="AH78" i="77"/>
  <c r="AH2" i="77"/>
  <c r="AH4" i="77"/>
  <c r="AH8" i="77"/>
  <c r="AH12" i="77"/>
  <c r="AH16" i="77"/>
  <c r="AH20" i="77"/>
  <c r="AH24" i="77"/>
  <c r="AH28" i="77"/>
  <c r="AH32" i="77"/>
  <c r="AH36" i="77"/>
  <c r="AH40" i="77"/>
  <c r="AH44" i="77"/>
  <c r="AH48" i="77"/>
  <c r="AH52" i="77"/>
  <c r="AH56" i="77"/>
  <c r="AH60" i="77"/>
  <c r="AH64" i="77"/>
  <c r="AH68" i="77"/>
  <c r="AH72" i="77"/>
  <c r="AH75" i="77"/>
  <c r="AH80" i="77"/>
  <c r="AH9" i="77"/>
  <c r="AH17" i="77"/>
  <c r="AH25" i="77"/>
  <c r="AH29" i="77"/>
  <c r="AH37" i="77"/>
  <c r="AH41" i="77"/>
  <c r="AH49" i="77"/>
  <c r="AH57" i="77"/>
  <c r="AH61" i="77"/>
  <c r="AH69" i="77"/>
  <c r="AH77" i="77"/>
  <c r="AH15" i="106"/>
  <c r="AH42" i="94"/>
  <c r="AH90" i="94"/>
  <c r="AH26" i="94"/>
  <c r="AH74" i="94"/>
  <c r="AH10" i="94"/>
  <c r="AH58" i="94"/>
  <c r="AH4" i="85"/>
  <c r="AH20" i="85"/>
  <c r="AH28" i="85"/>
  <c r="AH5" i="85"/>
  <c r="AH9" i="85"/>
  <c r="AH13" i="85"/>
  <c r="AH17" i="85"/>
  <c r="AH21" i="85"/>
  <c r="AH25" i="85"/>
  <c r="AH29" i="85"/>
  <c r="AH10" i="85"/>
  <c r="AH14" i="85"/>
  <c r="AH18" i="85"/>
  <c r="AH26" i="85"/>
  <c r="AH30" i="85"/>
  <c r="AH6" i="85"/>
  <c r="AH22" i="85"/>
  <c r="AH3" i="85"/>
  <c r="AH7" i="85"/>
  <c r="AH11" i="85"/>
  <c r="AH15" i="85"/>
  <c r="AH19" i="85"/>
  <c r="AH23" i="85"/>
  <c r="AH27" i="85"/>
  <c r="AH2" i="85"/>
  <c r="AH8" i="85"/>
  <c r="AH12" i="85"/>
  <c r="AH16" i="85"/>
  <c r="AH24" i="85"/>
  <c r="AH9" i="101"/>
  <c r="AH10" i="101"/>
  <c r="AH3" i="101"/>
  <c r="AH16" i="101"/>
  <c r="AH3" i="88"/>
  <c r="AH7" i="88"/>
  <c r="AH6" i="88"/>
  <c r="AH4" i="88"/>
  <c r="AH2" i="88"/>
  <c r="AH5" i="88"/>
  <c r="AH3" i="83"/>
  <c r="AH8" i="83"/>
  <c r="AH12" i="83"/>
  <c r="AH16" i="83"/>
  <c r="AH20" i="83"/>
  <c r="AH24" i="83"/>
  <c r="AH2" i="83"/>
  <c r="AH21" i="83"/>
  <c r="AH7" i="83"/>
  <c r="AH15" i="83"/>
  <c r="AH27" i="83"/>
  <c r="AH4" i="83"/>
  <c r="AH9" i="83"/>
  <c r="AH13" i="83"/>
  <c r="AH17" i="83"/>
  <c r="AH25" i="83"/>
  <c r="AH19" i="83"/>
  <c r="AH6" i="83"/>
  <c r="AH10" i="83"/>
  <c r="AH14" i="83"/>
  <c r="AH18" i="83"/>
  <c r="AH22" i="83"/>
  <c r="AH26" i="83"/>
  <c r="AH11" i="83"/>
  <c r="AH23" i="83"/>
  <c r="AH5" i="81"/>
  <c r="AH9" i="81"/>
  <c r="AH4" i="64"/>
  <c r="AH8" i="64"/>
  <c r="AH12" i="64"/>
  <c r="AH16" i="64"/>
  <c r="AH20" i="64"/>
  <c r="AH24" i="64"/>
  <c r="AH28" i="64"/>
  <c r="AH5" i="64"/>
  <c r="AH9" i="64"/>
  <c r="AH13" i="64"/>
  <c r="AH17" i="64"/>
  <c r="AH21" i="64"/>
  <c r="AH25" i="64"/>
  <c r="AH29" i="64"/>
  <c r="AH6" i="64"/>
  <c r="AH10" i="64"/>
  <c r="AH14" i="64"/>
  <c r="AH18" i="64"/>
  <c r="AH22" i="64"/>
  <c r="AH26" i="64"/>
  <c r="AH3" i="64"/>
  <c r="AH7" i="64"/>
  <c r="AH11" i="64"/>
  <c r="AH15" i="64"/>
  <c r="AH19" i="64"/>
  <c r="AH23" i="64"/>
  <c r="AH27" i="64"/>
  <c r="AH103" i="64"/>
  <c r="AH97" i="64"/>
  <c r="AH115" i="64"/>
  <c r="AH128" i="64"/>
  <c r="AH143" i="64"/>
  <c r="AH32" i="64"/>
  <c r="AH36" i="64"/>
  <c r="AH48" i="64"/>
  <c r="AH56" i="64"/>
  <c r="AH72" i="64"/>
  <c r="AH92" i="64"/>
  <c r="AH108" i="64"/>
  <c r="AH124" i="64"/>
  <c r="AH140" i="64"/>
  <c r="AH156" i="64"/>
  <c r="AH33" i="64"/>
  <c r="AH37" i="64"/>
  <c r="AH41" i="64"/>
  <c r="AH45" i="64"/>
  <c r="AH49" i="64"/>
  <c r="AH53" i="64"/>
  <c r="AH57" i="64"/>
  <c r="AH61" i="64"/>
  <c r="AH65" i="64"/>
  <c r="AH69" i="64"/>
  <c r="AH73" i="64"/>
  <c r="AH77" i="64"/>
  <c r="AH81" i="64"/>
  <c r="AH85" i="64"/>
  <c r="AH89" i="64"/>
  <c r="AH93" i="64"/>
  <c r="AH96" i="64"/>
  <c r="AH101" i="64"/>
  <c r="AH104" i="64"/>
  <c r="AH109" i="64"/>
  <c r="AH114" i="64"/>
  <c r="AH117" i="64"/>
  <c r="AH122" i="64"/>
  <c r="AH126" i="64"/>
  <c r="AH129" i="64"/>
  <c r="AH135" i="64"/>
  <c r="AH137" i="64"/>
  <c r="AH142" i="64"/>
  <c r="AH144" i="64"/>
  <c r="AH149" i="64"/>
  <c r="AH153" i="64"/>
  <c r="AH157" i="64"/>
  <c r="AH31" i="64"/>
  <c r="AH47" i="64"/>
  <c r="AH55" i="64"/>
  <c r="AH63" i="64"/>
  <c r="AH71" i="64"/>
  <c r="AH79" i="64"/>
  <c r="AH91" i="64"/>
  <c r="AH100" i="64"/>
  <c r="AH111" i="64"/>
  <c r="AH119" i="64"/>
  <c r="AH127" i="64"/>
  <c r="AH133" i="64"/>
  <c r="AH145" i="64"/>
  <c r="AH148" i="64"/>
  <c r="AH155" i="64"/>
  <c r="AH44" i="64"/>
  <c r="AH60" i="64"/>
  <c r="AH68" i="64"/>
  <c r="AH80" i="64"/>
  <c r="AH84" i="64"/>
  <c r="AH105" i="64"/>
  <c r="AH112" i="64"/>
  <c r="AH132" i="64"/>
  <c r="AH147" i="64"/>
  <c r="AH30" i="64"/>
  <c r="AH34" i="64"/>
  <c r="AH38" i="64"/>
  <c r="AH42" i="64"/>
  <c r="AH46" i="64"/>
  <c r="AH50" i="64"/>
  <c r="AH54" i="64"/>
  <c r="AH58" i="64"/>
  <c r="AH62" i="64"/>
  <c r="AH66" i="64"/>
  <c r="AH70" i="64"/>
  <c r="AH74" i="64"/>
  <c r="AH78" i="64"/>
  <c r="AH82" i="64"/>
  <c r="AH86" i="64"/>
  <c r="AH90" i="64"/>
  <c r="AH94" i="64"/>
  <c r="AH98" i="64"/>
  <c r="AH102" i="64"/>
  <c r="AH106" i="64"/>
  <c r="AH110" i="64"/>
  <c r="AH113" i="64"/>
  <c r="AH118" i="64"/>
  <c r="AH121" i="64"/>
  <c r="AH125" i="64"/>
  <c r="AH130" i="64"/>
  <c r="AH134" i="64"/>
  <c r="AH138" i="64"/>
  <c r="AH141" i="64"/>
  <c r="AH146" i="64"/>
  <c r="AH150" i="64"/>
  <c r="AH154" i="64"/>
  <c r="AH2" i="64"/>
  <c r="AH35" i="64"/>
  <c r="AH39" i="64"/>
  <c r="AH43" i="64"/>
  <c r="AH51" i="64"/>
  <c r="AH59" i="64"/>
  <c r="AH67" i="64"/>
  <c r="AH75" i="64"/>
  <c r="AH83" i="64"/>
  <c r="AH87" i="64"/>
  <c r="AH95" i="64"/>
  <c r="AH107" i="64"/>
  <c r="AH116" i="64"/>
  <c r="AH123" i="64"/>
  <c r="AH131" i="64"/>
  <c r="AH139" i="64"/>
  <c r="AH152" i="64"/>
  <c r="AH40" i="64"/>
  <c r="AH52" i="64"/>
  <c r="AH64" i="64"/>
  <c r="AH76" i="64"/>
  <c r="AH88" i="64"/>
  <c r="AH99" i="64"/>
  <c r="AH120" i="64"/>
  <c r="AH136" i="64"/>
  <c r="AH151" i="64"/>
  <c r="AH4" i="62"/>
  <c r="AH12" i="62"/>
  <c r="AH20" i="62"/>
  <c r="AH5" i="62"/>
  <c r="AH9" i="62"/>
  <c r="AH13" i="62"/>
  <c r="AH17" i="62"/>
  <c r="AH21" i="62"/>
  <c r="AH25" i="62"/>
  <c r="AH6" i="62"/>
  <c r="AH14" i="62"/>
  <c r="AH22" i="62"/>
  <c r="AH10" i="62"/>
  <c r="AH18" i="62"/>
  <c r="AH2" i="62"/>
  <c r="AH3" i="62"/>
  <c r="AH7" i="62"/>
  <c r="AH11" i="62"/>
  <c r="AH15" i="62"/>
  <c r="AH19" i="62"/>
  <c r="AH23" i="62"/>
  <c r="AH8" i="62"/>
  <c r="AH16" i="62"/>
  <c r="AH24" i="62"/>
  <c r="AH4" i="43"/>
  <c r="AH2" i="43"/>
  <c r="AH5" i="43"/>
  <c r="AH6" i="43"/>
  <c r="AH3" i="43"/>
  <c r="AH7" i="43"/>
  <c r="AH5" i="54"/>
  <c r="AH9" i="54"/>
  <c r="AH13" i="54"/>
  <c r="AH6" i="54"/>
  <c r="AH10" i="54"/>
  <c r="AH14" i="54"/>
  <c r="AH3" i="54"/>
  <c r="AH7" i="54"/>
  <c r="AH11" i="54"/>
  <c r="AH15" i="54"/>
  <c r="AI15" i="54" s="1"/>
  <c r="AH4" i="54"/>
  <c r="AH8" i="54"/>
  <c r="AH12" i="54"/>
  <c r="AH2" i="54"/>
  <c r="AH17" i="84"/>
  <c r="AH20" i="84"/>
  <c r="AI20" i="84" s="1"/>
  <c r="AH25" i="84"/>
  <c r="AI25" i="84" s="1"/>
  <c r="AH9" i="68"/>
  <c r="AH6" i="68"/>
  <c r="AH5" i="80"/>
  <c r="AH4" i="80"/>
  <c r="AI4" i="80" s="1"/>
  <c r="AH2" i="57"/>
  <c r="AH9" i="57"/>
  <c r="AH3" i="15"/>
  <c r="AH7" i="15"/>
  <c r="AH4" i="15"/>
  <c r="AH2" i="15"/>
  <c r="AH5" i="15"/>
  <c r="AH6" i="15"/>
  <c r="AH13" i="116"/>
  <c r="AH86" i="94"/>
  <c r="AH70" i="94"/>
  <c r="AH54" i="94"/>
  <c r="AH38" i="94"/>
  <c r="AH22" i="94"/>
  <c r="AH6" i="94"/>
  <c r="AH82" i="94"/>
  <c r="AH66" i="94"/>
  <c r="AH50" i="94"/>
  <c r="AH34" i="94"/>
  <c r="AH18" i="94"/>
  <c r="AH78" i="94"/>
  <c r="AH62" i="94"/>
  <c r="AH46" i="94"/>
  <c r="AH30" i="94"/>
  <c r="AH14" i="94"/>
  <c r="AH7" i="90"/>
  <c r="AH3" i="90"/>
  <c r="AH6" i="90"/>
  <c r="AH2" i="90"/>
  <c r="AH5" i="90"/>
  <c r="AH8" i="90"/>
  <c r="AH15" i="89"/>
  <c r="AH8" i="89"/>
  <c r="AH13" i="89"/>
  <c r="AH4" i="89"/>
  <c r="AH3" i="89"/>
  <c r="AH18" i="89"/>
  <c r="AH12" i="89"/>
  <c r="AH10" i="89"/>
  <c r="AH25" i="89"/>
  <c r="AH6" i="89"/>
  <c r="AH17" i="89"/>
  <c r="AH31" i="89"/>
  <c r="AH21" i="89"/>
  <c r="AH27" i="89"/>
  <c r="AH9" i="89"/>
  <c r="AH14" i="89"/>
  <c r="AH26" i="89"/>
  <c r="AH5" i="89"/>
  <c r="AH16" i="89"/>
  <c r="AH11" i="89"/>
  <c r="AH28" i="89"/>
  <c r="AH2" i="89"/>
  <c r="AH19" i="89"/>
  <c r="AH23" i="89"/>
  <c r="AH30" i="89"/>
  <c r="AH32" i="89"/>
  <c r="AH20" i="89"/>
  <c r="AH7" i="89"/>
  <c r="AH22" i="89"/>
  <c r="AH24" i="89"/>
  <c r="AH14" i="86"/>
  <c r="AH10" i="86"/>
  <c r="AH6" i="86"/>
  <c r="AH2" i="86"/>
  <c r="AH13" i="86"/>
  <c r="AH9" i="86"/>
  <c r="AH5" i="86"/>
  <c r="AH16" i="86"/>
  <c r="AH12" i="86"/>
  <c r="AH8" i="86"/>
  <c r="AH4" i="86"/>
  <c r="AH15" i="86"/>
  <c r="AH11" i="86"/>
  <c r="AH7" i="86"/>
  <c r="AH54" i="111"/>
  <c r="AH38" i="111"/>
  <c r="AH22" i="111"/>
  <c r="AH6" i="111"/>
  <c r="AH50" i="111"/>
  <c r="AH34" i="111"/>
  <c r="AH18" i="111"/>
  <c r="AH62" i="111"/>
  <c r="AH47" i="111"/>
  <c r="AH29" i="111"/>
  <c r="AH14" i="111"/>
  <c r="AH23" i="84"/>
  <c r="AH10" i="84"/>
  <c r="AH4" i="84"/>
  <c r="AH7" i="84"/>
  <c r="AH18" i="84"/>
  <c r="AH12" i="81"/>
  <c r="AH4" i="81"/>
  <c r="AH7" i="81"/>
  <c r="AH11" i="81"/>
  <c r="AH10" i="81"/>
  <c r="AH3" i="81"/>
  <c r="AH2" i="81"/>
  <c r="AH6" i="81"/>
  <c r="AH5" i="103"/>
  <c r="AH4" i="103"/>
  <c r="AH3" i="103"/>
  <c r="AH3" i="102"/>
  <c r="AH4" i="102"/>
  <c r="AH15" i="101"/>
  <c r="AH12" i="101"/>
  <c r="AH11" i="101"/>
  <c r="AH8" i="101"/>
  <c r="AH14" i="101"/>
  <c r="AH13" i="101"/>
  <c r="AH4" i="101"/>
  <c r="AH5" i="101"/>
  <c r="AH6" i="101"/>
  <c r="AH17" i="101" s="1"/>
  <c r="AH7" i="101"/>
  <c r="AH8" i="80"/>
  <c r="AH3" i="80"/>
  <c r="AH7" i="80"/>
  <c r="AH6" i="80"/>
  <c r="AH2" i="80"/>
  <c r="AH164" i="79"/>
  <c r="AH153" i="79"/>
  <c r="AH141" i="79"/>
  <c r="AH134" i="79"/>
  <c r="AH117" i="79"/>
  <c r="AH101" i="79"/>
  <c r="AH2" i="79"/>
  <c r="AH166" i="79"/>
  <c r="AH162" i="79"/>
  <c r="AH159" i="79"/>
  <c r="AH154" i="79"/>
  <c r="AH150" i="79"/>
  <c r="AH149" i="79"/>
  <c r="AH147" i="79"/>
  <c r="AH140" i="79"/>
  <c r="AH138" i="79"/>
  <c r="AH132" i="79"/>
  <c r="AH128" i="79"/>
  <c r="AH123" i="79"/>
  <c r="AH116" i="79"/>
  <c r="AH122" i="79"/>
  <c r="AH112" i="79"/>
  <c r="AH107" i="79"/>
  <c r="AH105" i="79"/>
  <c r="AH100" i="79"/>
  <c r="AH96" i="79"/>
  <c r="AH92" i="79"/>
  <c r="AH88" i="79"/>
  <c r="AH84" i="79"/>
  <c r="AH80" i="79"/>
  <c r="AH76" i="79"/>
  <c r="AH72" i="79"/>
  <c r="AH69" i="79"/>
  <c r="AH64" i="79"/>
  <c r="AH60" i="79"/>
  <c r="AH56" i="79"/>
  <c r="AH52" i="79"/>
  <c r="AH48" i="79"/>
  <c r="AH44" i="79"/>
  <c r="AH40" i="79"/>
  <c r="AH36" i="79"/>
  <c r="AH32" i="79"/>
  <c r="AH28" i="79"/>
  <c r="AH24" i="79"/>
  <c r="AH20" i="79"/>
  <c r="AH16" i="79"/>
  <c r="AH12" i="79"/>
  <c r="AH8" i="79"/>
  <c r="AH4" i="79"/>
  <c r="AH169" i="79"/>
  <c r="AH157" i="79"/>
  <c r="AH148" i="79"/>
  <c r="AH139" i="79"/>
  <c r="AH125" i="79"/>
  <c r="AH97" i="79"/>
  <c r="AH171" i="79"/>
  <c r="AH168" i="79"/>
  <c r="AH161" i="79"/>
  <c r="AH160" i="79"/>
  <c r="AH156" i="79"/>
  <c r="AH151" i="79"/>
  <c r="AH143" i="79"/>
  <c r="AH145" i="79"/>
  <c r="AH136" i="79"/>
  <c r="AH133" i="79"/>
  <c r="AH131" i="79"/>
  <c r="AH126" i="79"/>
  <c r="AH124" i="79"/>
  <c r="AH118" i="79"/>
  <c r="AH115" i="79"/>
  <c r="AH111" i="79"/>
  <c r="AH108" i="79"/>
  <c r="AH104" i="79"/>
  <c r="AH99" i="79"/>
  <c r="AH95" i="79"/>
  <c r="AH91" i="79"/>
  <c r="AH87" i="79"/>
  <c r="AH83" i="79"/>
  <c r="AH79" i="79"/>
  <c r="AH75" i="79"/>
  <c r="AH71" i="79"/>
  <c r="AH67" i="79"/>
  <c r="AH63" i="79"/>
  <c r="AH59" i="79"/>
  <c r="AH55" i="79"/>
  <c r="AH51" i="79"/>
  <c r="AH47" i="79"/>
  <c r="AH43" i="79"/>
  <c r="AH39" i="79"/>
  <c r="AH35" i="79"/>
  <c r="AH31" i="79"/>
  <c r="AH27" i="79"/>
  <c r="AH23" i="79"/>
  <c r="AH19" i="79"/>
  <c r="AH15" i="79"/>
  <c r="AH11" i="79"/>
  <c r="AH7" i="79"/>
  <c r="AH3" i="79"/>
  <c r="AH170" i="79"/>
  <c r="AH165" i="79"/>
  <c r="AH163" i="79"/>
  <c r="AH158" i="79"/>
  <c r="AH155" i="79"/>
  <c r="AH152" i="79"/>
  <c r="AH146" i="79"/>
  <c r="AH142" i="79"/>
  <c r="AH137" i="79"/>
  <c r="AH135" i="79"/>
  <c r="AH130" i="79"/>
  <c r="AH127" i="79"/>
  <c r="AH120" i="79"/>
  <c r="AH119" i="79"/>
  <c r="AH114" i="79"/>
  <c r="AH110" i="79"/>
  <c r="AH106" i="79"/>
  <c r="AH102" i="79"/>
  <c r="AH98" i="79"/>
  <c r="AH94" i="79"/>
  <c r="AH90" i="79"/>
  <c r="AH86" i="79"/>
  <c r="AH82" i="79"/>
  <c r="AH78" i="79"/>
  <c r="AH74" i="79"/>
  <c r="AH70" i="79"/>
  <c r="AH66" i="79"/>
  <c r="AH62" i="79"/>
  <c r="AH58" i="79"/>
  <c r="AH54" i="79"/>
  <c r="AH50" i="79"/>
  <c r="AH46" i="79"/>
  <c r="AH42" i="79"/>
  <c r="AH38" i="79"/>
  <c r="AH34" i="79"/>
  <c r="AH30" i="79"/>
  <c r="AH26" i="79"/>
  <c r="AH22" i="79"/>
  <c r="AH18" i="79"/>
  <c r="AH14" i="79"/>
  <c r="AH10" i="79"/>
  <c r="AH6" i="79"/>
  <c r="AH167" i="79"/>
  <c r="AH144" i="79"/>
  <c r="AH129" i="79"/>
  <c r="AH121" i="79"/>
  <c r="AH113" i="79"/>
  <c r="AH109" i="79"/>
  <c r="AH103" i="79"/>
  <c r="AH93" i="79"/>
  <c r="AH89" i="79"/>
  <c r="AH85" i="79"/>
  <c r="AH81" i="79"/>
  <c r="AH77" i="79"/>
  <c r="AH73" i="79"/>
  <c r="AH68" i="79"/>
  <c r="AH65" i="79"/>
  <c r="AH61" i="79"/>
  <c r="AH57" i="79"/>
  <c r="AH53" i="79"/>
  <c r="AH49" i="79"/>
  <c r="AH45" i="79"/>
  <c r="AH41" i="79"/>
  <c r="AH37" i="79"/>
  <c r="AH33" i="79"/>
  <c r="AH29" i="79"/>
  <c r="AH25" i="79"/>
  <c r="AH21" i="79"/>
  <c r="AH17" i="79"/>
  <c r="AH13" i="79"/>
  <c r="AH9" i="79"/>
  <c r="AH172" i="78"/>
  <c r="AH163" i="78"/>
  <c r="AH145" i="78"/>
  <c r="AH2" i="78"/>
  <c r="AH175" i="78"/>
  <c r="AH174" i="78"/>
  <c r="AH168" i="78"/>
  <c r="AH162" i="78"/>
  <c r="AH164" i="78"/>
  <c r="AH157" i="78"/>
  <c r="AH153" i="78"/>
  <c r="AH149" i="78"/>
  <c r="AH144" i="78"/>
  <c r="AH138" i="78"/>
  <c r="AH134" i="78"/>
  <c r="AH131" i="78"/>
  <c r="AH129" i="78"/>
  <c r="AH124" i="78"/>
  <c r="AH121" i="78"/>
  <c r="AH116" i="78"/>
  <c r="AH112" i="78"/>
  <c r="AH110" i="78"/>
  <c r="AH104" i="78"/>
  <c r="AH100" i="78"/>
  <c r="AH96" i="78"/>
  <c r="AH92" i="78"/>
  <c r="AH88" i="78"/>
  <c r="AH84" i="78"/>
  <c r="AH80" i="78"/>
  <c r="AH76" i="78"/>
  <c r="AH73" i="78"/>
  <c r="AH68" i="78"/>
  <c r="AH64" i="78"/>
  <c r="AH60" i="78"/>
  <c r="AH56" i="78"/>
  <c r="AH52" i="78"/>
  <c r="AH48" i="78"/>
  <c r="AH44" i="78"/>
  <c r="AH40" i="78"/>
  <c r="AH36" i="78"/>
  <c r="AH32" i="78"/>
  <c r="AH28" i="78"/>
  <c r="AH24" i="78"/>
  <c r="AH20" i="78"/>
  <c r="AH16" i="78"/>
  <c r="AH12" i="78"/>
  <c r="AH8" i="78"/>
  <c r="AH4" i="78"/>
  <c r="AH177" i="78"/>
  <c r="AH167" i="78"/>
  <c r="AH159" i="78"/>
  <c r="AH155" i="78"/>
  <c r="AH151" i="78"/>
  <c r="AH146" i="78"/>
  <c r="AH140" i="78"/>
  <c r="AH135" i="78"/>
  <c r="AH128" i="78"/>
  <c r="AH127" i="78"/>
  <c r="AH122" i="78"/>
  <c r="AH119" i="78"/>
  <c r="AH115" i="78"/>
  <c r="AH108" i="78"/>
  <c r="AH107" i="78"/>
  <c r="AH102" i="78"/>
  <c r="AH99" i="78"/>
  <c r="AH95" i="78"/>
  <c r="AH91" i="78"/>
  <c r="AH87" i="78"/>
  <c r="AH83" i="78"/>
  <c r="AH79" i="78"/>
  <c r="AH75" i="78"/>
  <c r="AH71" i="78"/>
  <c r="AH67" i="78"/>
  <c r="AH63" i="78"/>
  <c r="AH59" i="78"/>
  <c r="AH55" i="78"/>
  <c r="AH51" i="78"/>
  <c r="AH47" i="78"/>
  <c r="AH43" i="78"/>
  <c r="AH39" i="78"/>
  <c r="AH35" i="78"/>
  <c r="AH31" i="78"/>
  <c r="AH27" i="78"/>
  <c r="AH23" i="78"/>
  <c r="AH19" i="78"/>
  <c r="AH15" i="78"/>
  <c r="AH11" i="78"/>
  <c r="AH7" i="78"/>
  <c r="AH3" i="78"/>
  <c r="AH179" i="78"/>
  <c r="AH171" i="78"/>
  <c r="AH165" i="78"/>
  <c r="AH143" i="78"/>
  <c r="AH176" i="78"/>
  <c r="AH173" i="78"/>
  <c r="AH170" i="78"/>
  <c r="AH166" i="78"/>
  <c r="AH161" i="78"/>
  <c r="AH158" i="78"/>
  <c r="AH154" i="78"/>
  <c r="AH150" i="78"/>
  <c r="AH147" i="78"/>
  <c r="AH141" i="78"/>
  <c r="AH139" i="78"/>
  <c r="AH136" i="78"/>
  <c r="AH130" i="78"/>
  <c r="AH126" i="78"/>
  <c r="AH123" i="78"/>
  <c r="AH118" i="78"/>
  <c r="AH113" i="78"/>
  <c r="AH109" i="78"/>
  <c r="AH106" i="78"/>
  <c r="AH103" i="78"/>
  <c r="AH98" i="78"/>
  <c r="AH94" i="78"/>
  <c r="AH89" i="78"/>
  <c r="AH86" i="78"/>
  <c r="AH82" i="78"/>
  <c r="AH78" i="78"/>
  <c r="AH74" i="78"/>
  <c r="AH70" i="78"/>
  <c r="AH66" i="78"/>
  <c r="AH62" i="78"/>
  <c r="AH58" i="78"/>
  <c r="AH54" i="78"/>
  <c r="AH50" i="78"/>
  <c r="AH46" i="78"/>
  <c r="AH42" i="78"/>
  <c r="AH38" i="78"/>
  <c r="AH34" i="78"/>
  <c r="AH30" i="78"/>
  <c r="AH26" i="78"/>
  <c r="AH22" i="78"/>
  <c r="AH18" i="78"/>
  <c r="AH14" i="78"/>
  <c r="AH10" i="78"/>
  <c r="AH6" i="78"/>
  <c r="AH178" i="78"/>
  <c r="AH169" i="78"/>
  <c r="AH160" i="78"/>
  <c r="AH156" i="78"/>
  <c r="AH152" i="78"/>
  <c r="AH148" i="78"/>
  <c r="AH142" i="78"/>
  <c r="AH137" i="78"/>
  <c r="AH133" i="78"/>
  <c r="AH132" i="78"/>
  <c r="AH125" i="78"/>
  <c r="AH120" i="78"/>
  <c r="AH117" i="78"/>
  <c r="AH114" i="78"/>
  <c r="AH111" i="78"/>
  <c r="AH105" i="78"/>
  <c r="AH101" i="78"/>
  <c r="AH97" i="78"/>
  <c r="AH93" i="78"/>
  <c r="AH90" i="78"/>
  <c r="AH85" i="78"/>
  <c r="AH81" i="78"/>
  <c r="AH77" i="78"/>
  <c r="AH72" i="78"/>
  <c r="AH69" i="78"/>
  <c r="AH65" i="78"/>
  <c r="AH61" i="78"/>
  <c r="AH57" i="78"/>
  <c r="AH53" i="78"/>
  <c r="AH49" i="78"/>
  <c r="AH45" i="78"/>
  <c r="AH41" i="78"/>
  <c r="AH37" i="78"/>
  <c r="AH33" i="78"/>
  <c r="AH29" i="78"/>
  <c r="AH25" i="78"/>
  <c r="AH21" i="78"/>
  <c r="AH17" i="78"/>
  <c r="AH13" i="78"/>
  <c r="AH9" i="78"/>
  <c r="AH24" i="73"/>
  <c r="AH20" i="73"/>
  <c r="AH16" i="73"/>
  <c r="AH12" i="73"/>
  <c r="AH8" i="73"/>
  <c r="AH4" i="73"/>
  <c r="AH2" i="73"/>
  <c r="AH23" i="73"/>
  <c r="AH19" i="73"/>
  <c r="AH15" i="73"/>
  <c r="AH11" i="73"/>
  <c r="AH7" i="73"/>
  <c r="AH3" i="73"/>
  <c r="AH26" i="73"/>
  <c r="AH22" i="73"/>
  <c r="AH18" i="73"/>
  <c r="AH14" i="73"/>
  <c r="AH10" i="73"/>
  <c r="AH6" i="73"/>
  <c r="AH25" i="73"/>
  <c r="AH21" i="73"/>
  <c r="AH17" i="73"/>
  <c r="AH13" i="73"/>
  <c r="AH9" i="73"/>
  <c r="AH34" i="72"/>
  <c r="AH37" i="72"/>
  <c r="AH28" i="72"/>
  <c r="AH2" i="72"/>
  <c r="AH31" i="72"/>
  <c r="AH20" i="72"/>
  <c r="AH30" i="72"/>
  <c r="AH33" i="72"/>
  <c r="AH7" i="72"/>
  <c r="AH14" i="71"/>
  <c r="AH10" i="71"/>
  <c r="AH8" i="71"/>
  <c r="AH12" i="71"/>
  <c r="AH6" i="71"/>
  <c r="AH4" i="71"/>
  <c r="AH2" i="71"/>
  <c r="AH11" i="71"/>
  <c r="AH7" i="71"/>
  <c r="AH3" i="71"/>
  <c r="AH13" i="71"/>
  <c r="AH9" i="71"/>
  <c r="AH2" i="68"/>
  <c r="AH11" i="68"/>
  <c r="AH4" i="68"/>
  <c r="AH8" i="68"/>
  <c r="AH5" i="68"/>
  <c r="AH7" i="68"/>
  <c r="AH10" i="68"/>
  <c r="AH13" i="66"/>
  <c r="AH5" i="66"/>
  <c r="AH18" i="66"/>
  <c r="AH10" i="66"/>
  <c r="AH17" i="66"/>
  <c r="AH9" i="66"/>
  <c r="AH2" i="66"/>
  <c r="AH14" i="66"/>
  <c r="AH6" i="66"/>
  <c r="AH16" i="87"/>
  <c r="AH12" i="87"/>
  <c r="AH4" i="87"/>
  <c r="AH6" i="87"/>
  <c r="AH14" i="87"/>
  <c r="AH15" i="87"/>
  <c r="AH5" i="87"/>
  <c r="AH9" i="87"/>
  <c r="AH8" i="87"/>
  <c r="AH11" i="87"/>
  <c r="AH7" i="87"/>
  <c r="AH3" i="87"/>
  <c r="AH10" i="87"/>
  <c r="AH2" i="87"/>
  <c r="AH15" i="61"/>
  <c r="AH5" i="61"/>
  <c r="AH21" i="61"/>
  <c r="AH3" i="61"/>
  <c r="AH19" i="61"/>
  <c r="AH8" i="61"/>
  <c r="AH11" i="61"/>
  <c r="AH27" i="61"/>
  <c r="AH7" i="61"/>
  <c r="AH30" i="61"/>
  <c r="AH2" i="61"/>
  <c r="AH6" i="61"/>
  <c r="AH23" i="61"/>
  <c r="AH16" i="61"/>
  <c r="AH17" i="61"/>
  <c r="AH10" i="61"/>
  <c r="AH18" i="61"/>
  <c r="AH14" i="61"/>
  <c r="AH13" i="61"/>
  <c r="AH28" i="61"/>
  <c r="AH12" i="61"/>
  <c r="AH22" i="61"/>
  <c r="AH20" i="61"/>
  <c r="AH9" i="61"/>
  <c r="AH4" i="61"/>
  <c r="AH24" i="61"/>
  <c r="AH26" i="61"/>
  <c r="AH29" i="61"/>
  <c r="AH2" i="58"/>
  <c r="AH32" i="58"/>
  <c r="AH14" i="58"/>
  <c r="AH44" i="58"/>
  <c r="AH28" i="58"/>
  <c r="AH10" i="58"/>
  <c r="AH40" i="58"/>
  <c r="AH24" i="58"/>
  <c r="AH6" i="58"/>
  <c r="AH36" i="58"/>
  <c r="AH19" i="58"/>
  <c r="AH3" i="57"/>
  <c r="AH8" i="57"/>
  <c r="AH11" i="57"/>
  <c r="AH12" i="57"/>
  <c r="AH7" i="57"/>
  <c r="AH4" i="57"/>
  <c r="AH14" i="57"/>
  <c r="AH13" i="57"/>
  <c r="AH10" i="57"/>
  <c r="AH30" i="59"/>
  <c r="AH12" i="59"/>
  <c r="AH2" i="59"/>
  <c r="AH25" i="59"/>
  <c r="AH8" i="59"/>
  <c r="AH20" i="59"/>
  <c r="AH4" i="59"/>
  <c r="AH34" i="59"/>
  <c r="AH16" i="59"/>
  <c r="AH3" i="53"/>
  <c r="AH6" i="53"/>
  <c r="AH2" i="53"/>
  <c r="AH5" i="53"/>
  <c r="AH8" i="44"/>
  <c r="AH7" i="44"/>
  <c r="AH19" i="44"/>
  <c r="AH22" i="44"/>
  <c r="AH17" i="44"/>
  <c r="AH16" i="44"/>
  <c r="AH14" i="44"/>
  <c r="AH15" i="56"/>
  <c r="AH10" i="56"/>
  <c r="AH6" i="56"/>
  <c r="AH13" i="56"/>
  <c r="AH9" i="56"/>
  <c r="AH5" i="56"/>
  <c r="AH2" i="56"/>
  <c r="AH16" i="56"/>
  <c r="AH12" i="56"/>
  <c r="AH8" i="56"/>
  <c r="AH4" i="56"/>
  <c r="AH14" i="56"/>
  <c r="AH11" i="56"/>
  <c r="AH7" i="56"/>
  <c r="AH26" i="38"/>
  <c r="AH22" i="38"/>
  <c r="AH18" i="38"/>
  <c r="AH14" i="38"/>
  <c r="AH10" i="38"/>
  <c r="AH6" i="38"/>
  <c r="AH2" i="38"/>
  <c r="AH29" i="38"/>
  <c r="AH25" i="38"/>
  <c r="AH21" i="38"/>
  <c r="AH17" i="38"/>
  <c r="AH13" i="38"/>
  <c r="AH9" i="38"/>
  <c r="AH5" i="38"/>
  <c r="AH28" i="38"/>
  <c r="AH24" i="38"/>
  <c r="AH20" i="38"/>
  <c r="AH16" i="38"/>
  <c r="AH12" i="38"/>
  <c r="AH8" i="38"/>
  <c r="AH4" i="38"/>
  <c r="AH27" i="38"/>
  <c r="AH23" i="38"/>
  <c r="AH19" i="38"/>
  <c r="AH15" i="38"/>
  <c r="AH11" i="38"/>
  <c r="AH7" i="38"/>
  <c r="AH17" i="92"/>
  <c r="AH6" i="92"/>
  <c r="AH3" i="92"/>
  <c r="AH5" i="92"/>
  <c r="AH8" i="92"/>
  <c r="AH2" i="92"/>
  <c r="AH14" i="92"/>
  <c r="AH10" i="92"/>
  <c r="AH19" i="92"/>
  <c r="AH18" i="92"/>
  <c r="AH13" i="92"/>
  <c r="AH16" i="92"/>
  <c r="AH15" i="92"/>
  <c r="AH11" i="92"/>
  <c r="AH9" i="92"/>
  <c r="AH12" i="92"/>
  <c r="AH7" i="92"/>
  <c r="AH32" i="36"/>
  <c r="AH21" i="36"/>
  <c r="AH19" i="36"/>
  <c r="AH14" i="36"/>
  <c r="AH26" i="36"/>
  <c r="AH9" i="36"/>
  <c r="AH7" i="36"/>
  <c r="AH3" i="36"/>
  <c r="AH2" i="36"/>
  <c r="AH33" i="36"/>
  <c r="AH29" i="36"/>
  <c r="AH25" i="36"/>
  <c r="AH15" i="36"/>
  <c r="AH16" i="36"/>
  <c r="AH30" i="36"/>
  <c r="AH11" i="36"/>
  <c r="AH12" i="36"/>
  <c r="AH4" i="36"/>
  <c r="AH20" i="36"/>
  <c r="AH31" i="36"/>
  <c r="AH35" i="36"/>
  <c r="AH17" i="36"/>
  <c r="AH28" i="36"/>
  <c r="AH27" i="36"/>
  <c r="AH13" i="36"/>
  <c r="AH6" i="36"/>
  <c r="AH24" i="36"/>
  <c r="AH34" i="36"/>
  <c r="AH23" i="36"/>
  <c r="AH22" i="36"/>
  <c r="AH18" i="36"/>
  <c r="AH8" i="36"/>
  <c r="AH10" i="36"/>
  <c r="AH2" i="35"/>
  <c r="AH27" i="35"/>
  <c r="AH43" i="35"/>
  <c r="AH51" i="35"/>
  <c r="AH42" i="35"/>
  <c r="AH29" i="35"/>
  <c r="AH33" i="35"/>
  <c r="AH23" i="35"/>
  <c r="AH19" i="35"/>
  <c r="AH20" i="35"/>
  <c r="AH21" i="35"/>
  <c r="AH17" i="35"/>
  <c r="AH9" i="35"/>
  <c r="AH3" i="35"/>
  <c r="AH50" i="35"/>
  <c r="AH48" i="35"/>
  <c r="AH46" i="35"/>
  <c r="AH25" i="35"/>
  <c r="AH35" i="35"/>
  <c r="AH40" i="35"/>
  <c r="AH22" i="35"/>
  <c r="AH14" i="35"/>
  <c r="AH16" i="35"/>
  <c r="AH47" i="35"/>
  <c r="AH8" i="35"/>
  <c r="AH10" i="35"/>
  <c r="AH4" i="35"/>
  <c r="AH52" i="35"/>
  <c r="AH36" i="35"/>
  <c r="AH38" i="35"/>
  <c r="AH37" i="35"/>
  <c r="AH34" i="35"/>
  <c r="AH31" i="35"/>
  <c r="AH18" i="35"/>
  <c r="AH28" i="35"/>
  <c r="AH13" i="35"/>
  <c r="AH24" i="35"/>
  <c r="AH11" i="35"/>
  <c r="AH5" i="35"/>
  <c r="AH44" i="35"/>
  <c r="AH41" i="35"/>
  <c r="AH45" i="35"/>
  <c r="AH49" i="35"/>
  <c r="AH26" i="35"/>
  <c r="AH39" i="35"/>
  <c r="AH30" i="35"/>
  <c r="AH32" i="35"/>
  <c r="AH15" i="35"/>
  <c r="AH12" i="35"/>
  <c r="AH7" i="35"/>
  <c r="AH38" i="37"/>
  <c r="AH18" i="37"/>
  <c r="AH7" i="37"/>
  <c r="AH32" i="37"/>
  <c r="AH17" i="37"/>
  <c r="AH27" i="37"/>
  <c r="AH21" i="37"/>
  <c r="AH10" i="37"/>
  <c r="AH19" i="37"/>
  <c r="AH15" i="120"/>
  <c r="AH4" i="120"/>
  <c r="AH6" i="120"/>
  <c r="AH12" i="120"/>
  <c r="AH38" i="39"/>
  <c r="AI38" i="39" s="1"/>
  <c r="AH34" i="39"/>
  <c r="AI34" i="39" s="1"/>
  <c r="AH30" i="39"/>
  <c r="AI30" i="39" s="1"/>
  <c r="AH26" i="39"/>
  <c r="AI26" i="39" s="1"/>
  <c r="AH22" i="39"/>
  <c r="AH18" i="39"/>
  <c r="AI18" i="39" s="1"/>
  <c r="AH14" i="39"/>
  <c r="AI14" i="39" s="1"/>
  <c r="AH10" i="39"/>
  <c r="AI10" i="39" s="1"/>
  <c r="AH6" i="39"/>
  <c r="AI6" i="39" s="1"/>
  <c r="AH2" i="39"/>
  <c r="AH37" i="39"/>
  <c r="AI37" i="39" s="1"/>
  <c r="AH33" i="39"/>
  <c r="AI33" i="39" s="1"/>
  <c r="AH29" i="39"/>
  <c r="AI29" i="39" s="1"/>
  <c r="AH25" i="39"/>
  <c r="AI25" i="39" s="1"/>
  <c r="AH21" i="39"/>
  <c r="AI21" i="39" s="1"/>
  <c r="AH17" i="39"/>
  <c r="AI17" i="39" s="1"/>
  <c r="AH13" i="39"/>
  <c r="AI13" i="39" s="1"/>
  <c r="AH9" i="39"/>
  <c r="AI9" i="39" s="1"/>
  <c r="AH5" i="39"/>
  <c r="AI5" i="39" s="1"/>
  <c r="AH40" i="39"/>
  <c r="AI40" i="39" s="1"/>
  <c r="AH36" i="39"/>
  <c r="AI36" i="39" s="1"/>
  <c r="AH32" i="39"/>
  <c r="AI32" i="39" s="1"/>
  <c r="AH28" i="39"/>
  <c r="AI28" i="39" s="1"/>
  <c r="AH24" i="39"/>
  <c r="AI24" i="39" s="1"/>
  <c r="AH20" i="39"/>
  <c r="AI20" i="39" s="1"/>
  <c r="AH16" i="39"/>
  <c r="AI16" i="39" s="1"/>
  <c r="AH12" i="39"/>
  <c r="AI12" i="39" s="1"/>
  <c r="AH8" i="39"/>
  <c r="AI8" i="39" s="1"/>
  <c r="AH4" i="39"/>
  <c r="AI4" i="39" s="1"/>
  <c r="AH39" i="39"/>
  <c r="AI39" i="39" s="1"/>
  <c r="AH35" i="39"/>
  <c r="AI35" i="39" s="1"/>
  <c r="AH31" i="39"/>
  <c r="AI31" i="39" s="1"/>
  <c r="AH27" i="39"/>
  <c r="AI27" i="39" s="1"/>
  <c r="AH23" i="39"/>
  <c r="AI23" i="39" s="1"/>
  <c r="AH19" i="39"/>
  <c r="AI19" i="39" s="1"/>
  <c r="AH15" i="39"/>
  <c r="AI15" i="39" s="1"/>
  <c r="AH11" i="39"/>
  <c r="AI11" i="39" s="1"/>
  <c r="AH7" i="39"/>
  <c r="AI7" i="39" s="1"/>
  <c r="AH22" i="33"/>
  <c r="AH14" i="33"/>
  <c r="AH10" i="33"/>
  <c r="AH21" i="33"/>
  <c r="AH17" i="33"/>
  <c r="AH13" i="33"/>
  <c r="AH9" i="33"/>
  <c r="AH5" i="33"/>
  <c r="AI5" i="33" s="1"/>
  <c r="AH18" i="33"/>
  <c r="AH6" i="33"/>
  <c r="AH20" i="33"/>
  <c r="AH16" i="33"/>
  <c r="AH12" i="33"/>
  <c r="AH8" i="33"/>
  <c r="AH4" i="33"/>
  <c r="AH2" i="33"/>
  <c r="AH19" i="33"/>
  <c r="AH15" i="33"/>
  <c r="AH11" i="33"/>
  <c r="AH7" i="33"/>
  <c r="AI7" i="33" s="1"/>
  <c r="AH21" i="59"/>
  <c r="AH28" i="59"/>
  <c r="AH24" i="59"/>
  <c r="AH19" i="59"/>
  <c r="AH15" i="59"/>
  <c r="AH11" i="59"/>
  <c r="AH7" i="59"/>
  <c r="AH3" i="59"/>
  <c r="AH33" i="59"/>
  <c r="AI33" i="59" s="1"/>
  <c r="AH29" i="59"/>
  <c r="AH27" i="59"/>
  <c r="AH23" i="59"/>
  <c r="AH18" i="59"/>
  <c r="AH14" i="59"/>
  <c r="AH10" i="59"/>
  <c r="AH6" i="59"/>
  <c r="AH32" i="59"/>
  <c r="AH31" i="59"/>
  <c r="AH26" i="59"/>
  <c r="AH22" i="59"/>
  <c r="AH17" i="59"/>
  <c r="AH13" i="59"/>
  <c r="AH9" i="59"/>
  <c r="AH89" i="94"/>
  <c r="AH85" i="94"/>
  <c r="AH81" i="94"/>
  <c r="AH77" i="94"/>
  <c r="AH73" i="94"/>
  <c r="AH69" i="94"/>
  <c r="AH65" i="94"/>
  <c r="AH61" i="94"/>
  <c r="AH57" i="94"/>
  <c r="AH53" i="94"/>
  <c r="AH49" i="94"/>
  <c r="AH45" i="94"/>
  <c r="AH41" i="94"/>
  <c r="AH37" i="94"/>
  <c r="AH33" i="94"/>
  <c r="AH29" i="94"/>
  <c r="AH25" i="94"/>
  <c r="AH21" i="94"/>
  <c r="AH17" i="94"/>
  <c r="AH13" i="94"/>
  <c r="AH9" i="94"/>
  <c r="AH5" i="94"/>
  <c r="AH2" i="94"/>
  <c r="AH88" i="94"/>
  <c r="AH84" i="94"/>
  <c r="AH80" i="94"/>
  <c r="AH76" i="94"/>
  <c r="AH72" i="94"/>
  <c r="AH68" i="94"/>
  <c r="AH64" i="94"/>
  <c r="AH60" i="94"/>
  <c r="AH56" i="94"/>
  <c r="AH52" i="94"/>
  <c r="AH48" i="94"/>
  <c r="AH44" i="94"/>
  <c r="AH40" i="94"/>
  <c r="AH36" i="94"/>
  <c r="AH32" i="94"/>
  <c r="AH28" i="94"/>
  <c r="AH24" i="94"/>
  <c r="AH20" i="94"/>
  <c r="AH16" i="94"/>
  <c r="AH12" i="94"/>
  <c r="AH8" i="94"/>
  <c r="AH4" i="94"/>
  <c r="AH91" i="94"/>
  <c r="AH87" i="94"/>
  <c r="AH83" i="94"/>
  <c r="AH79" i="94"/>
  <c r="AH75" i="94"/>
  <c r="AH71" i="94"/>
  <c r="AH67" i="94"/>
  <c r="AH63" i="94"/>
  <c r="AH59" i="94"/>
  <c r="AH55" i="94"/>
  <c r="AH51" i="94"/>
  <c r="AH47" i="94"/>
  <c r="AH43" i="94"/>
  <c r="AH39" i="94"/>
  <c r="AH35" i="94"/>
  <c r="AH31" i="94"/>
  <c r="AH27" i="94"/>
  <c r="AH23" i="94"/>
  <c r="AH19" i="94"/>
  <c r="AH15" i="94"/>
  <c r="AH11" i="94"/>
  <c r="AH7" i="94"/>
  <c r="AH59" i="111"/>
  <c r="AH57" i="111"/>
  <c r="AH53" i="111"/>
  <c r="AH49" i="111"/>
  <c r="AH45" i="111"/>
  <c r="AH41" i="111"/>
  <c r="AH36" i="111"/>
  <c r="AH33" i="111"/>
  <c r="AH30" i="111"/>
  <c r="AH25" i="111"/>
  <c r="AH21" i="111"/>
  <c r="AH17" i="111"/>
  <c r="AH13" i="111"/>
  <c r="AH9" i="111"/>
  <c r="AH5" i="111"/>
  <c r="AH2" i="111"/>
  <c r="AH61" i="111"/>
  <c r="AH56" i="111"/>
  <c r="AH52" i="111"/>
  <c r="AH46" i="111"/>
  <c r="AH44" i="111"/>
  <c r="AH40" i="111"/>
  <c r="AH37" i="111"/>
  <c r="AH32" i="111"/>
  <c r="AH28" i="111"/>
  <c r="AH24" i="111"/>
  <c r="AH20" i="111"/>
  <c r="AH16" i="111"/>
  <c r="AH12" i="111"/>
  <c r="AH8" i="111"/>
  <c r="AH4" i="111"/>
  <c r="AH63" i="111"/>
  <c r="AH60" i="111"/>
  <c r="AH55" i="111"/>
  <c r="AH51" i="111"/>
  <c r="AH48" i="111"/>
  <c r="AH43" i="111"/>
  <c r="AH39" i="111"/>
  <c r="AH35" i="111"/>
  <c r="AH31" i="111"/>
  <c r="AH27" i="111"/>
  <c r="AH23" i="111"/>
  <c r="AH19" i="111"/>
  <c r="AH15" i="111"/>
  <c r="AH11" i="111"/>
  <c r="AH7" i="111"/>
  <c r="AH14" i="84"/>
  <c r="AH13" i="84"/>
  <c r="AH6" i="84"/>
  <c r="AH12" i="84"/>
  <c r="AH3" i="84"/>
  <c r="AH15" i="84"/>
  <c r="AH19" i="84"/>
  <c r="AH8" i="84"/>
  <c r="AH2" i="84"/>
  <c r="AH16" i="84"/>
  <c r="AH21" i="84"/>
  <c r="AH5" i="84"/>
  <c r="AH11" i="84"/>
  <c r="AH22" i="84"/>
  <c r="AH24" i="84"/>
  <c r="AH5" i="102"/>
  <c r="AH4" i="72"/>
  <c r="AH12" i="72"/>
  <c r="AH21" i="72"/>
  <c r="AH19" i="72"/>
  <c r="AH3" i="72"/>
  <c r="AH26" i="72"/>
  <c r="AH25" i="72"/>
  <c r="AH6" i="72"/>
  <c r="AH16" i="72"/>
  <c r="AH15" i="72"/>
  <c r="AH10" i="72"/>
  <c r="AH13" i="72"/>
  <c r="AH18" i="72"/>
  <c r="AH11" i="72"/>
  <c r="AH36" i="72"/>
  <c r="AH32" i="72"/>
  <c r="AH35" i="72"/>
  <c r="AH23" i="72"/>
  <c r="AH5" i="72"/>
  <c r="AH29" i="72"/>
  <c r="AH24" i="72"/>
  <c r="AH22" i="72"/>
  <c r="AH14" i="72"/>
  <c r="AH38" i="72"/>
  <c r="AH17" i="72"/>
  <c r="AH39" i="72"/>
  <c r="AH27" i="72"/>
  <c r="AH8" i="72"/>
  <c r="AH20" i="66"/>
  <c r="AH16" i="66"/>
  <c r="AH12" i="66"/>
  <c r="AH8" i="66"/>
  <c r="AH4" i="66"/>
  <c r="AH19" i="66"/>
  <c r="AH15" i="66"/>
  <c r="AH11" i="66"/>
  <c r="AH7" i="66"/>
  <c r="AH43" i="58"/>
  <c r="AH39" i="58"/>
  <c r="AH35" i="58"/>
  <c r="AH31" i="58"/>
  <c r="AH27" i="58"/>
  <c r="AH22" i="58"/>
  <c r="AH18" i="58"/>
  <c r="AH13" i="58"/>
  <c r="AH9" i="58"/>
  <c r="AH5" i="58"/>
  <c r="AH23" i="58"/>
  <c r="AH42" i="58"/>
  <c r="AH38" i="58"/>
  <c r="AH33" i="58"/>
  <c r="AH30" i="58"/>
  <c r="AH26" i="58"/>
  <c r="AH21" i="58"/>
  <c r="AH17" i="58"/>
  <c r="AH12" i="58"/>
  <c r="AH8" i="58"/>
  <c r="AH4" i="58"/>
  <c r="AH16" i="58"/>
  <c r="AH41" i="58"/>
  <c r="AH37" i="58"/>
  <c r="AH34" i="58"/>
  <c r="AH29" i="58"/>
  <c r="AH25" i="58"/>
  <c r="AH20" i="58"/>
  <c r="AH15" i="58"/>
  <c r="AH11" i="58"/>
  <c r="AH7" i="58"/>
  <c r="AH24" i="44"/>
  <c r="AH13" i="44"/>
  <c r="AH9" i="44"/>
  <c r="AH26" i="44"/>
  <c r="AH5" i="44"/>
  <c r="AH25" i="44"/>
  <c r="AH27" i="44"/>
  <c r="AH15" i="44"/>
  <c r="AH20" i="44"/>
  <c r="AH3" i="44"/>
  <c r="AH4" i="44"/>
  <c r="AH6" i="44"/>
  <c r="AH2" i="44"/>
  <c r="AH29" i="44"/>
  <c r="AH23" i="44"/>
  <c r="AH12" i="44"/>
  <c r="AH18" i="44"/>
  <c r="AH11" i="44"/>
  <c r="AH21" i="44"/>
  <c r="AH10" i="44"/>
  <c r="AH49" i="70"/>
  <c r="AH41" i="70"/>
  <c r="AH29" i="70"/>
  <c r="AH17" i="70"/>
  <c r="AH9" i="70"/>
  <c r="AH52" i="70"/>
  <c r="AH48" i="70"/>
  <c r="AH45" i="70"/>
  <c r="AH40" i="70"/>
  <c r="AH36" i="70"/>
  <c r="AH32" i="70"/>
  <c r="AH28" i="70"/>
  <c r="AH24" i="70"/>
  <c r="AH20" i="70"/>
  <c r="AH16" i="70"/>
  <c r="AH12" i="70"/>
  <c r="AH8" i="70"/>
  <c r="AH4" i="70"/>
  <c r="AH44" i="70"/>
  <c r="AH33" i="70"/>
  <c r="AH21" i="70"/>
  <c r="AH5" i="70"/>
  <c r="AH51" i="70"/>
  <c r="AH47" i="70"/>
  <c r="AH43" i="70"/>
  <c r="AH39" i="70"/>
  <c r="AH35" i="70"/>
  <c r="AH31" i="70"/>
  <c r="AH27" i="70"/>
  <c r="AH23" i="70"/>
  <c r="AH18" i="70"/>
  <c r="AH15" i="70"/>
  <c r="AH11" i="70"/>
  <c r="AH7" i="70"/>
  <c r="AH3" i="70"/>
  <c r="AH53" i="70"/>
  <c r="AH37" i="70"/>
  <c r="AH25" i="70"/>
  <c r="AH13" i="70"/>
  <c r="AH2" i="70"/>
  <c r="AH54" i="70"/>
  <c r="AH50" i="70"/>
  <c r="AH46" i="70"/>
  <c r="AH42" i="70"/>
  <c r="AH38" i="70"/>
  <c r="AH34" i="70"/>
  <c r="AH30" i="70"/>
  <c r="AH26" i="70"/>
  <c r="AH22" i="70"/>
  <c r="AH19" i="70"/>
  <c r="AH14" i="70"/>
  <c r="AH10" i="70"/>
  <c r="AH30" i="37"/>
  <c r="AH33" i="37"/>
  <c r="AH29" i="37"/>
  <c r="AH20" i="37"/>
  <c r="AH5" i="37"/>
  <c r="AH31" i="37"/>
  <c r="AH16" i="37"/>
  <c r="AH11" i="37"/>
  <c r="AH3" i="37"/>
  <c r="AH34" i="37"/>
  <c r="AH26" i="37"/>
  <c r="AH23" i="37"/>
  <c r="AH13" i="37"/>
  <c r="AH22" i="37"/>
  <c r="AH37" i="37"/>
  <c r="AH12" i="37"/>
  <c r="AH14" i="37"/>
  <c r="AH4" i="37"/>
  <c r="AH2" i="37"/>
  <c r="AH35" i="37"/>
  <c r="AH36" i="37"/>
  <c r="AH24" i="37"/>
  <c r="AH25" i="37"/>
  <c r="AH8" i="37"/>
  <c r="AH6" i="37"/>
  <c r="AH28" i="37"/>
  <c r="AH15" i="37"/>
  <c r="AH18" i="120"/>
  <c r="AH17" i="120"/>
  <c r="AH7" i="120"/>
  <c r="AH3" i="120"/>
  <c r="AH2" i="120"/>
  <c r="AH16" i="120"/>
  <c r="AH8" i="120"/>
  <c r="AH14" i="120"/>
  <c r="AH13" i="120"/>
  <c r="AH11" i="120"/>
  <c r="AH10" i="120"/>
  <c r="AH9" i="120"/>
  <c r="AA5" i="31"/>
  <c r="AH2" i="31" s="1"/>
  <c r="AA8" i="30"/>
  <c r="AH2" i="30" s="1"/>
  <c r="AA50" i="28"/>
  <c r="AH6" i="28" s="1"/>
  <c r="AF9" i="23"/>
  <c r="AG9" i="23"/>
  <c r="AI9" i="23"/>
  <c r="AI19" i="23"/>
  <c r="AA26" i="25"/>
  <c r="AA14" i="22"/>
  <c r="AH4" i="22" s="1"/>
  <c r="AG11" i="48"/>
  <c r="AA39" i="52"/>
  <c r="AH5" i="52" s="1"/>
  <c r="AF29" i="52"/>
  <c r="AF23" i="52"/>
  <c r="AF13" i="52"/>
  <c r="AF20" i="52"/>
  <c r="AF19" i="52"/>
  <c r="AF33" i="52"/>
  <c r="AG29" i="52"/>
  <c r="AG23" i="52"/>
  <c r="AG13" i="52"/>
  <c r="AG20" i="52"/>
  <c r="AG19" i="52"/>
  <c r="AG33" i="52"/>
  <c r="AF15" i="52"/>
  <c r="AF8" i="52"/>
  <c r="AF28" i="52"/>
  <c r="AG15" i="52"/>
  <c r="AG8" i="52"/>
  <c r="AG28" i="52"/>
  <c r="AF26" i="52"/>
  <c r="AF7" i="52"/>
  <c r="AF14" i="52"/>
  <c r="AF9" i="52"/>
  <c r="AF18" i="52"/>
  <c r="AG26" i="52"/>
  <c r="AG7" i="52"/>
  <c r="AG14" i="52"/>
  <c r="AG9" i="52"/>
  <c r="AG18" i="52"/>
  <c r="AA35" i="21"/>
  <c r="AH5" i="21" s="1"/>
  <c r="AA34" i="82"/>
  <c r="AH19" i="82" s="1"/>
  <c r="AA45" i="27"/>
  <c r="AH15" i="27" s="1"/>
  <c r="AA28" i="45"/>
  <c r="AH3" i="45" s="1"/>
  <c r="AI3" i="45" s="1"/>
  <c r="AA50" i="13"/>
  <c r="AH3" i="13" s="1"/>
  <c r="AI3" i="13" s="1"/>
  <c r="AA67" i="20"/>
  <c r="AH4" i="20" s="1"/>
  <c r="AA100" i="47"/>
  <c r="AH2" i="47" s="1"/>
  <c r="AA70" i="26"/>
  <c r="AH3" i="26" s="1"/>
  <c r="AA230" i="24"/>
  <c r="AH26" i="24" s="1"/>
  <c r="AA181" i="46"/>
  <c r="AA107" i="50"/>
  <c r="AA448" i="19"/>
  <c r="AH401" i="19" s="1"/>
  <c r="AG388" i="19"/>
  <c r="AG165" i="19"/>
  <c r="AG7" i="19"/>
  <c r="AG341" i="19"/>
  <c r="AG36" i="19"/>
  <c r="AG311" i="19"/>
  <c r="AG61" i="19"/>
  <c r="AG386" i="19"/>
  <c r="AG150" i="19"/>
  <c r="AG91" i="19"/>
  <c r="AG237" i="19"/>
  <c r="AG69" i="19"/>
  <c r="AG338" i="19"/>
  <c r="AG55" i="19"/>
  <c r="AG185" i="19"/>
  <c r="AG309" i="19"/>
  <c r="AG14" i="19"/>
  <c r="AG313" i="19"/>
  <c r="AG317" i="19"/>
  <c r="AG365" i="19"/>
  <c r="AG26" i="19"/>
  <c r="AG226" i="19"/>
  <c r="AG357" i="19"/>
  <c r="AG380" i="19"/>
  <c r="AG268" i="19"/>
  <c r="AG79" i="19"/>
  <c r="AG437" i="19"/>
  <c r="AG436" i="19"/>
  <c r="AG336" i="19"/>
  <c r="AG122" i="19"/>
  <c r="AG124" i="19"/>
  <c r="AG395" i="19"/>
  <c r="AG227" i="19"/>
  <c r="AG275" i="19"/>
  <c r="AG379" i="19"/>
  <c r="AG114" i="19"/>
  <c r="AG305" i="19"/>
  <c r="AG258" i="19"/>
  <c r="AG369" i="19"/>
  <c r="AG172" i="19"/>
  <c r="AG253" i="19"/>
  <c r="AG60" i="19"/>
  <c r="AG42" i="19"/>
  <c r="AG435" i="19"/>
  <c r="AG310" i="19"/>
  <c r="AG116" i="19"/>
  <c r="AG278" i="19"/>
  <c r="AG157" i="19"/>
  <c r="AG19" i="19"/>
  <c r="AG238" i="19"/>
  <c r="AG224" i="19"/>
  <c r="AG93" i="19"/>
  <c r="AG65" i="19"/>
  <c r="AG401" i="19"/>
  <c r="AG292" i="19"/>
  <c r="AG287" i="19"/>
  <c r="AG299" i="19"/>
  <c r="AG107" i="19"/>
  <c r="AG301" i="19"/>
  <c r="AG39" i="19"/>
  <c r="AG46" i="19"/>
  <c r="AG434" i="19"/>
  <c r="AG279" i="19"/>
  <c r="AG183" i="19"/>
  <c r="AG327" i="19"/>
  <c r="AG213" i="19"/>
  <c r="AG331" i="19"/>
  <c r="AG166" i="19"/>
  <c r="AG75" i="19"/>
  <c r="AG101" i="19"/>
  <c r="AG302" i="19"/>
  <c r="AG52" i="19"/>
  <c r="AG28" i="19"/>
  <c r="AG203" i="19"/>
  <c r="AG439" i="19"/>
  <c r="AG245" i="19"/>
  <c r="AG174" i="19"/>
  <c r="AG426" i="19"/>
  <c r="AG189" i="19"/>
  <c r="AG372" i="19"/>
  <c r="AG76" i="19"/>
  <c r="AG170" i="19"/>
  <c r="AG178" i="19"/>
  <c r="AG120" i="19"/>
  <c r="AG8" i="19"/>
  <c r="AG197" i="19"/>
  <c r="AG217" i="19"/>
  <c r="AG244" i="19"/>
  <c r="AG420" i="19"/>
  <c r="AG100" i="19"/>
  <c r="AG16" i="19"/>
  <c r="AG314" i="19"/>
  <c r="AG24" i="19"/>
  <c r="AG421" i="19"/>
  <c r="AG128" i="19"/>
  <c r="AG362" i="19"/>
  <c r="AG190" i="19"/>
  <c r="AG254" i="19"/>
  <c r="AG353" i="19"/>
  <c r="AG38" i="19"/>
  <c r="AG221" i="19"/>
  <c r="AG408" i="19"/>
  <c r="AG180" i="19"/>
  <c r="AG376" i="19"/>
  <c r="AG81" i="19"/>
  <c r="AG171" i="19"/>
  <c r="AG196" i="19"/>
  <c r="AG118" i="19"/>
  <c r="AG413" i="19"/>
  <c r="AG80" i="19"/>
  <c r="AG147" i="19"/>
  <c r="AG335" i="19"/>
  <c r="AG121" i="19"/>
  <c r="AG41" i="19"/>
  <c r="AG136" i="19"/>
  <c r="AG201" i="19"/>
  <c r="AG303" i="19"/>
  <c r="AG211" i="19"/>
  <c r="AG215" i="19"/>
  <c r="AG320" i="19"/>
  <c r="AG179" i="19"/>
  <c r="AG32" i="19"/>
  <c r="AG300" i="19"/>
  <c r="AG161" i="19"/>
  <c r="AG285" i="19"/>
  <c r="AG259" i="19"/>
  <c r="AG191" i="19"/>
  <c r="AG216" i="19"/>
  <c r="AG396" i="19"/>
  <c r="AG210" i="19"/>
  <c r="AG424" i="19"/>
  <c r="AG206" i="19"/>
  <c r="AG231" i="19"/>
  <c r="AG142" i="19"/>
  <c r="AG153" i="19"/>
  <c r="AG284" i="19"/>
  <c r="AG173" i="19"/>
  <c r="AG119" i="19"/>
  <c r="AG168" i="19"/>
  <c r="AG21" i="19"/>
  <c r="AG356" i="19"/>
  <c r="AG202" i="19"/>
  <c r="AG330" i="19"/>
  <c r="AG381" i="19"/>
  <c r="AG240" i="19"/>
  <c r="AG344" i="19"/>
  <c r="AG423" i="19"/>
  <c r="AG402" i="19"/>
  <c r="AG169" i="19"/>
  <c r="AG334" i="19"/>
  <c r="AG130" i="19"/>
  <c r="AG11" i="19"/>
  <c r="AG134" i="19"/>
  <c r="AG105" i="19"/>
  <c r="AG34" i="19"/>
  <c r="AG106" i="19"/>
  <c r="AG219" i="19"/>
  <c r="AG186" i="19"/>
  <c r="AG48" i="19"/>
  <c r="AG50" i="19"/>
  <c r="AG360" i="19"/>
  <c r="AG63" i="19"/>
  <c r="AG9" i="19"/>
  <c r="AG438" i="19"/>
  <c r="AG37" i="19"/>
  <c r="AG115" i="19"/>
  <c r="AG222" i="19"/>
  <c r="AG218" i="19"/>
  <c r="AG30" i="19"/>
  <c r="AG212" i="19"/>
  <c r="AG428" i="19"/>
  <c r="AG271" i="19"/>
  <c r="AG398" i="19"/>
  <c r="AG17" i="19"/>
  <c r="AG184" i="19"/>
  <c r="AG405" i="19"/>
  <c r="AG400" i="19"/>
  <c r="AG366" i="19"/>
  <c r="AG95" i="19"/>
  <c r="AG329" i="19"/>
  <c r="AG160" i="19"/>
  <c r="AG296" i="19"/>
  <c r="AG131" i="19"/>
  <c r="AG430" i="19"/>
  <c r="AG384" i="19"/>
  <c r="AG223" i="19"/>
  <c r="AG214" i="19"/>
  <c r="AG387" i="19"/>
  <c r="AG92" i="19"/>
  <c r="AG94" i="19"/>
  <c r="AG20" i="19"/>
  <c r="AG412" i="19"/>
  <c r="AG198" i="19"/>
  <c r="AG68" i="19"/>
  <c r="AG33" i="19"/>
  <c r="AG440" i="19"/>
  <c r="AG250" i="19"/>
  <c r="AG193" i="19"/>
  <c r="AA116" i="49"/>
  <c r="AA47" i="14"/>
  <c r="AH14" i="14" s="1"/>
  <c r="AA70" i="18"/>
  <c r="AH4" i="18" s="1"/>
  <c r="AG81" i="17"/>
  <c r="AG16" i="17"/>
  <c r="AG7" i="17"/>
  <c r="AG46" i="17"/>
  <c r="AG58" i="17"/>
  <c r="AG32" i="17"/>
  <c r="AG15" i="17"/>
  <c r="AG65" i="17"/>
  <c r="AG61" i="17"/>
  <c r="AG78" i="17"/>
  <c r="AG77" i="17"/>
  <c r="AG31" i="17"/>
  <c r="AG24" i="17"/>
  <c r="AG14" i="17"/>
  <c r="AG12" i="17"/>
  <c r="AG5" i="17"/>
  <c r="AG19" i="17"/>
  <c r="AG60" i="17"/>
  <c r="AG13" i="17"/>
  <c r="AG22" i="17"/>
  <c r="AG62" i="17"/>
  <c r="AG39" i="17"/>
  <c r="AG3" i="17"/>
  <c r="AG10" i="17"/>
  <c r="AG87" i="17"/>
  <c r="AG80" i="17"/>
  <c r="AG23" i="17"/>
  <c r="AG30" i="17"/>
  <c r="AG17" i="17"/>
  <c r="AG86" i="17"/>
  <c r="AG34" i="17"/>
  <c r="AG37" i="17"/>
  <c r="AG44" i="17"/>
  <c r="AG26" i="17"/>
  <c r="AG68" i="17"/>
  <c r="AG64" i="17"/>
  <c r="AG70" i="17"/>
  <c r="AG18" i="17"/>
  <c r="AG75" i="17"/>
  <c r="AG20" i="17"/>
  <c r="AF81" i="17"/>
  <c r="AF16" i="17"/>
  <c r="AF7" i="17"/>
  <c r="AF46" i="17"/>
  <c r="AF58" i="17"/>
  <c r="AF32" i="17"/>
  <c r="AF15" i="17"/>
  <c r="AF65" i="17"/>
  <c r="AF61" i="17"/>
  <c r="AF78" i="17"/>
  <c r="AF77" i="17"/>
  <c r="AF31" i="17"/>
  <c r="AF24" i="17"/>
  <c r="AF14" i="17"/>
  <c r="AF12" i="17"/>
  <c r="AF5" i="17"/>
  <c r="AF19" i="17"/>
  <c r="AF60" i="17"/>
  <c r="AF13" i="17"/>
  <c r="AF22" i="17"/>
  <c r="AF62" i="17"/>
  <c r="AF39" i="17"/>
  <c r="AF3" i="17"/>
  <c r="AF10" i="17"/>
  <c r="AF87" i="17"/>
  <c r="AF80" i="17"/>
  <c r="AF23" i="17"/>
  <c r="AF30" i="17"/>
  <c r="AF17" i="17"/>
  <c r="AF86" i="17"/>
  <c r="AF34" i="17"/>
  <c r="AF37" i="17"/>
  <c r="AF44" i="17"/>
  <c r="AF26" i="17"/>
  <c r="AF68" i="17"/>
  <c r="AF64" i="17"/>
  <c r="AF70" i="17"/>
  <c r="AF18" i="17"/>
  <c r="AF75" i="17"/>
  <c r="AF20" i="17"/>
  <c r="AA91" i="17"/>
  <c r="AA46" i="12"/>
  <c r="AH2" i="12" s="1"/>
  <c r="AA14" i="69"/>
  <c r="AH3" i="69" s="1"/>
  <c r="AA30" i="60"/>
  <c r="AA28" i="11"/>
  <c r="AH3" i="11" s="1"/>
  <c r="AA44" i="6"/>
  <c r="AH19" i="6" s="1"/>
  <c r="AA21" i="9"/>
  <c r="AH3" i="9" s="1"/>
  <c r="AA28" i="8"/>
  <c r="AH2" i="8" s="1"/>
  <c r="AF22" i="23"/>
  <c r="AF12" i="23"/>
  <c r="AF19" i="23"/>
  <c r="AG22" i="23"/>
  <c r="AG12" i="23"/>
  <c r="AG19" i="23"/>
  <c r="AI12" i="23"/>
  <c r="AI22" i="23"/>
  <c r="AI6" i="33"/>
  <c r="AI12" i="33"/>
  <c r="AI20" i="33"/>
  <c r="AI9" i="33"/>
  <c r="AI16" i="33"/>
  <c r="AG9" i="41"/>
  <c r="AF9" i="41"/>
  <c r="AF17" i="41"/>
  <c r="AF5" i="119"/>
  <c r="AG5" i="119"/>
  <c r="AI5" i="119"/>
  <c r="AI16" i="120"/>
  <c r="AG16" i="120"/>
  <c r="AF16" i="120"/>
  <c r="AI11" i="120"/>
  <c r="AG11" i="120"/>
  <c r="AF11" i="120"/>
  <c r="AI15" i="120"/>
  <c r="AG15" i="120"/>
  <c r="AF15" i="120"/>
  <c r="AI17" i="120"/>
  <c r="AG17" i="120"/>
  <c r="AF17" i="120"/>
  <c r="AI8" i="120"/>
  <c r="AG8" i="120"/>
  <c r="AF8" i="120"/>
  <c r="AI10" i="120"/>
  <c r="AG10" i="120"/>
  <c r="AF10" i="120"/>
  <c r="AI4" i="120"/>
  <c r="AG4" i="120"/>
  <c r="AF4" i="120"/>
  <c r="AI7" i="120"/>
  <c r="AG7" i="120"/>
  <c r="AF7" i="120"/>
  <c r="AI14" i="120"/>
  <c r="AG14" i="120"/>
  <c r="AF14" i="120"/>
  <c r="AI9" i="120"/>
  <c r="AG9" i="120"/>
  <c r="AF9" i="120"/>
  <c r="AI6" i="120"/>
  <c r="AG6" i="120"/>
  <c r="AF6" i="120"/>
  <c r="AI3" i="120"/>
  <c r="AG3" i="120"/>
  <c r="AF3" i="120"/>
  <c r="AI13" i="120"/>
  <c r="AG13" i="120"/>
  <c r="AF13" i="120"/>
  <c r="AI5" i="120"/>
  <c r="AG5" i="120"/>
  <c r="AF5" i="120"/>
  <c r="AI12" i="120"/>
  <c r="AG12" i="120"/>
  <c r="AF12" i="120"/>
  <c r="AI2" i="120"/>
  <c r="AG2" i="120"/>
  <c r="AF2" i="120"/>
  <c r="AI18" i="120"/>
  <c r="AG18" i="120"/>
  <c r="AF18" i="120"/>
  <c r="AH12" i="68" l="1"/>
  <c r="AH13" i="81"/>
  <c r="AH3" i="25"/>
  <c r="AH7" i="25"/>
  <c r="AH11" i="25"/>
  <c r="AH15" i="25"/>
  <c r="AH19" i="25"/>
  <c r="AH23" i="25"/>
  <c r="AH10" i="25"/>
  <c r="AH22" i="25"/>
  <c r="AH4" i="25"/>
  <c r="AH8" i="25"/>
  <c r="AH12" i="25"/>
  <c r="AH16" i="25"/>
  <c r="AH20" i="25"/>
  <c r="AH24" i="25"/>
  <c r="AH6" i="25"/>
  <c r="AH18" i="25"/>
  <c r="AH2" i="25"/>
  <c r="AH5" i="25"/>
  <c r="AH9" i="25"/>
  <c r="AH13" i="25"/>
  <c r="AH17" i="25"/>
  <c r="AH21" i="25"/>
  <c r="AH25" i="25"/>
  <c r="AH14" i="25"/>
  <c r="AH3" i="60"/>
  <c r="AH7" i="60"/>
  <c r="AH11" i="60"/>
  <c r="AH15" i="60"/>
  <c r="AH19" i="60"/>
  <c r="AH23" i="60"/>
  <c r="AH27" i="60"/>
  <c r="AH4" i="60"/>
  <c r="AH8" i="60"/>
  <c r="AH12" i="60"/>
  <c r="AH16" i="60"/>
  <c r="AH20" i="60"/>
  <c r="AH24" i="60"/>
  <c r="AH28" i="60"/>
  <c r="AH5" i="60"/>
  <c r="AH9" i="60"/>
  <c r="AH13" i="60"/>
  <c r="AH17" i="60"/>
  <c r="AH21" i="60"/>
  <c r="AH25" i="60"/>
  <c r="AH29" i="60"/>
  <c r="AH6" i="60"/>
  <c r="AH10" i="60"/>
  <c r="AH14" i="60"/>
  <c r="AH18" i="60"/>
  <c r="AH22" i="60"/>
  <c r="AH26" i="60"/>
  <c r="AH2" i="60"/>
  <c r="AH5" i="17"/>
  <c r="AH9" i="17"/>
  <c r="AH13" i="17"/>
  <c r="AH17" i="17"/>
  <c r="AH21" i="17"/>
  <c r="AH25" i="17"/>
  <c r="AH29" i="17"/>
  <c r="AH33" i="17"/>
  <c r="AH37" i="17"/>
  <c r="AH41" i="17"/>
  <c r="AH45" i="17"/>
  <c r="AH49" i="17"/>
  <c r="AH53" i="17"/>
  <c r="AH57" i="17"/>
  <c r="AH61" i="17"/>
  <c r="AH65" i="17"/>
  <c r="AH68" i="17"/>
  <c r="AH73" i="17"/>
  <c r="AH79" i="17"/>
  <c r="AH81" i="17"/>
  <c r="AH85" i="17"/>
  <c r="AH89" i="17"/>
  <c r="AH6" i="17"/>
  <c r="AH10" i="17"/>
  <c r="AH15" i="17"/>
  <c r="AH18" i="17"/>
  <c r="AH22" i="17"/>
  <c r="AH26" i="17"/>
  <c r="AH30" i="17"/>
  <c r="AH34" i="17"/>
  <c r="AH38" i="17"/>
  <c r="AH42" i="17"/>
  <c r="AH46" i="17"/>
  <c r="AH50" i="17"/>
  <c r="AH54" i="17"/>
  <c r="AH58" i="17"/>
  <c r="AH62" i="17"/>
  <c r="AH66" i="17"/>
  <c r="AH70" i="17"/>
  <c r="AH74" i="17"/>
  <c r="AH78" i="17"/>
  <c r="AH80" i="17"/>
  <c r="AH88" i="17"/>
  <c r="AH90" i="17"/>
  <c r="AH3" i="17"/>
  <c r="AH7" i="17"/>
  <c r="AH11" i="17"/>
  <c r="AH14" i="17"/>
  <c r="AH19" i="17"/>
  <c r="AH23" i="17"/>
  <c r="AH27" i="17"/>
  <c r="AH31" i="17"/>
  <c r="AH35" i="17"/>
  <c r="AH39" i="17"/>
  <c r="AH43" i="17"/>
  <c r="AH47" i="17"/>
  <c r="AH51" i="17"/>
  <c r="AH55" i="17"/>
  <c r="AH59" i="17"/>
  <c r="AH63" i="17"/>
  <c r="AH67" i="17"/>
  <c r="AH71" i="17"/>
  <c r="AH75" i="17"/>
  <c r="AH77" i="17"/>
  <c r="AH83" i="17"/>
  <c r="AH87" i="17"/>
  <c r="AH2" i="17"/>
  <c r="AH4" i="17"/>
  <c r="AH8" i="17"/>
  <c r="AH12" i="17"/>
  <c r="AH16" i="17"/>
  <c r="AH20" i="17"/>
  <c r="AH24" i="17"/>
  <c r="AH28" i="17"/>
  <c r="AH32" i="17"/>
  <c r="AH36" i="17"/>
  <c r="AH40" i="17"/>
  <c r="AH44" i="17"/>
  <c r="AH48" i="17"/>
  <c r="AH52" i="17"/>
  <c r="AH56" i="17"/>
  <c r="AH60" i="17"/>
  <c r="AH64" i="17"/>
  <c r="AH69" i="17"/>
  <c r="AH72" i="17"/>
  <c r="AH76" i="17"/>
  <c r="AH82" i="17"/>
  <c r="AH84" i="17"/>
  <c r="AH86" i="17"/>
  <c r="AH17" i="87"/>
  <c r="AH31" i="61"/>
  <c r="AH36" i="36"/>
  <c r="AH17" i="86"/>
  <c r="AH40" i="72"/>
  <c r="AH15" i="57"/>
  <c r="AH17" i="56"/>
  <c r="AH20" i="92"/>
  <c r="AH39" i="37"/>
  <c r="AH41" i="39"/>
  <c r="AI22" i="39"/>
  <c r="AH23" i="33"/>
  <c r="AH4" i="31"/>
  <c r="AH3" i="31"/>
  <c r="AH6" i="30"/>
  <c r="AH5" i="30"/>
  <c r="AH7" i="30"/>
  <c r="AH3" i="30"/>
  <c r="AH4" i="30"/>
  <c r="AH45" i="28"/>
  <c r="AH29" i="28"/>
  <c r="AH13" i="28"/>
  <c r="AH41" i="28"/>
  <c r="AH25" i="28"/>
  <c r="AH9" i="28"/>
  <c r="AH36" i="28"/>
  <c r="AH21" i="28"/>
  <c r="AH5" i="28"/>
  <c r="AH49" i="28"/>
  <c r="AH33" i="28"/>
  <c r="AH17" i="28"/>
  <c r="AH8" i="22"/>
  <c r="AI8" i="22" s="1"/>
  <c r="AH9" i="22"/>
  <c r="AH5" i="22"/>
  <c r="AH6" i="22"/>
  <c r="AH11" i="22"/>
  <c r="AH7" i="22"/>
  <c r="AH10" i="22"/>
  <c r="AH13" i="22"/>
  <c r="AH3" i="22"/>
  <c r="AH2" i="22"/>
  <c r="AH12" i="22"/>
  <c r="AH36" i="52"/>
  <c r="AH32" i="52"/>
  <c r="AH26" i="52"/>
  <c r="AI26" i="52" s="1"/>
  <c r="AH24" i="52"/>
  <c r="AH20" i="52"/>
  <c r="AI20" i="52" s="1"/>
  <c r="AH16" i="52"/>
  <c r="AH12" i="52"/>
  <c r="AH8" i="52"/>
  <c r="AI8" i="52" s="1"/>
  <c r="AH4" i="52"/>
  <c r="AH35" i="52"/>
  <c r="AH31" i="52"/>
  <c r="AH28" i="52"/>
  <c r="AI28" i="52" s="1"/>
  <c r="AH23" i="52"/>
  <c r="AI23" i="52" s="1"/>
  <c r="AH19" i="52"/>
  <c r="AI19" i="52" s="1"/>
  <c r="AH15" i="52"/>
  <c r="AI15" i="52" s="1"/>
  <c r="AH11" i="52"/>
  <c r="AH7" i="52"/>
  <c r="AI7" i="52" s="1"/>
  <c r="AH3" i="52"/>
  <c r="AH38" i="52"/>
  <c r="AH33" i="52"/>
  <c r="AI33" i="52" s="1"/>
  <c r="AH30" i="52"/>
  <c r="AH27" i="52"/>
  <c r="AH21" i="52"/>
  <c r="AH18" i="52"/>
  <c r="AI18" i="52" s="1"/>
  <c r="AH14" i="52"/>
  <c r="AI14" i="52" s="1"/>
  <c r="AH10" i="52"/>
  <c r="AH6" i="52"/>
  <c r="AH2" i="52"/>
  <c r="AH37" i="52"/>
  <c r="AH34" i="52"/>
  <c r="AH29" i="52"/>
  <c r="AI29" i="52" s="1"/>
  <c r="AH25" i="52"/>
  <c r="AH22" i="52"/>
  <c r="AH17" i="52"/>
  <c r="AH13" i="52"/>
  <c r="AI13" i="52" s="1"/>
  <c r="AH9" i="52"/>
  <c r="AI9" i="52" s="1"/>
  <c r="AH20" i="21"/>
  <c r="AH21" i="21"/>
  <c r="AH32" i="21"/>
  <c r="AH28" i="21"/>
  <c r="AH34" i="21"/>
  <c r="AH23" i="21"/>
  <c r="AH22" i="21"/>
  <c r="AH27" i="21"/>
  <c r="AH20" i="82"/>
  <c r="AH28" i="82"/>
  <c r="AH5" i="82"/>
  <c r="AH17" i="82"/>
  <c r="AH21" i="82"/>
  <c r="AH23" i="82"/>
  <c r="AH29" i="82"/>
  <c r="AH6" i="82"/>
  <c r="AH38" i="27"/>
  <c r="AH20" i="27"/>
  <c r="AH6" i="27"/>
  <c r="AH18" i="27"/>
  <c r="AH25" i="27"/>
  <c r="AH31" i="27"/>
  <c r="AH23" i="27"/>
  <c r="AH29" i="27"/>
  <c r="AH5" i="27"/>
  <c r="AH44" i="27"/>
  <c r="AH7" i="27"/>
  <c r="AH43" i="27"/>
  <c r="AH34" i="27"/>
  <c r="AH16" i="27"/>
  <c r="AH10" i="27"/>
  <c r="AH30" i="27"/>
  <c r="AH27" i="45"/>
  <c r="AI27" i="45" s="1"/>
  <c r="AH22" i="45"/>
  <c r="AI22" i="45" s="1"/>
  <c r="AH18" i="45"/>
  <c r="AI18" i="45" s="1"/>
  <c r="AH14" i="45"/>
  <c r="AI14" i="45" s="1"/>
  <c r="AH10" i="45"/>
  <c r="AI10" i="45" s="1"/>
  <c r="AH6" i="45"/>
  <c r="AH25" i="45"/>
  <c r="AI25" i="45" s="1"/>
  <c r="AH21" i="45"/>
  <c r="AI21" i="45" s="1"/>
  <c r="AH17" i="45"/>
  <c r="AI17" i="45" s="1"/>
  <c r="AH13" i="45"/>
  <c r="AI13" i="45" s="1"/>
  <c r="AH9" i="45"/>
  <c r="AI9" i="45" s="1"/>
  <c r="AH5" i="45"/>
  <c r="AI5" i="45" s="1"/>
  <c r="AH2" i="45"/>
  <c r="AH24" i="45"/>
  <c r="AI24" i="45" s="1"/>
  <c r="AH20" i="45"/>
  <c r="AI20" i="45" s="1"/>
  <c r="AH16" i="45"/>
  <c r="AI16" i="45" s="1"/>
  <c r="AH12" i="45"/>
  <c r="AI12" i="45" s="1"/>
  <c r="AH8" i="45"/>
  <c r="AI8" i="45" s="1"/>
  <c r="AH4" i="45"/>
  <c r="AI4" i="45" s="1"/>
  <c r="AH26" i="45"/>
  <c r="AI26" i="45" s="1"/>
  <c r="AH23" i="45"/>
  <c r="AI23" i="45" s="1"/>
  <c r="AH19" i="45"/>
  <c r="AI19" i="45" s="1"/>
  <c r="AH15" i="45"/>
  <c r="AI15" i="45" s="1"/>
  <c r="AH11" i="45"/>
  <c r="AI11" i="45" s="1"/>
  <c r="AH7" i="45"/>
  <c r="AI7" i="45" s="1"/>
  <c r="AH46" i="13"/>
  <c r="AI46" i="13" s="1"/>
  <c r="AH42" i="13"/>
  <c r="AI42" i="13" s="1"/>
  <c r="AH38" i="13"/>
  <c r="AI38" i="13" s="1"/>
  <c r="AH34" i="13"/>
  <c r="AI34" i="13" s="1"/>
  <c r="AH30" i="13"/>
  <c r="AI30" i="13" s="1"/>
  <c r="AH26" i="13"/>
  <c r="AI26" i="13" s="1"/>
  <c r="AH22" i="13"/>
  <c r="AI22" i="13" s="1"/>
  <c r="AH18" i="13"/>
  <c r="AI18" i="13" s="1"/>
  <c r="AH14" i="13"/>
  <c r="AI14" i="13" s="1"/>
  <c r="AH10" i="13"/>
  <c r="AI10" i="13" s="1"/>
  <c r="AH6" i="13"/>
  <c r="AI6" i="13" s="1"/>
  <c r="AH2" i="13"/>
  <c r="AH49" i="13"/>
  <c r="AI49" i="13" s="1"/>
  <c r="AH45" i="13"/>
  <c r="AI45" i="13" s="1"/>
  <c r="AH41" i="13"/>
  <c r="AI41" i="13" s="1"/>
  <c r="AH37" i="13"/>
  <c r="AI37" i="13" s="1"/>
  <c r="AH33" i="13"/>
  <c r="AI33" i="13" s="1"/>
  <c r="AH28" i="13"/>
  <c r="AI28" i="13" s="1"/>
  <c r="AH25" i="13"/>
  <c r="AI25" i="13" s="1"/>
  <c r="AH21" i="13"/>
  <c r="AI21" i="13" s="1"/>
  <c r="AH17" i="13"/>
  <c r="AI17" i="13" s="1"/>
  <c r="AH13" i="13"/>
  <c r="AI13" i="13" s="1"/>
  <c r="AH9" i="13"/>
  <c r="AI9" i="13" s="1"/>
  <c r="AH5" i="13"/>
  <c r="AH48" i="13"/>
  <c r="AI48" i="13" s="1"/>
  <c r="AH44" i="13"/>
  <c r="AI44" i="13" s="1"/>
  <c r="AH39" i="13"/>
  <c r="AI39" i="13" s="1"/>
  <c r="AH36" i="13"/>
  <c r="AI36" i="13" s="1"/>
  <c r="AH32" i="13"/>
  <c r="AI32" i="13" s="1"/>
  <c r="AH29" i="13"/>
  <c r="AI29" i="13" s="1"/>
  <c r="AH24" i="13"/>
  <c r="AI24" i="13" s="1"/>
  <c r="AH20" i="13"/>
  <c r="AI20" i="13" s="1"/>
  <c r="AH16" i="13"/>
  <c r="AI16" i="13" s="1"/>
  <c r="AH12" i="13"/>
  <c r="AI12" i="13" s="1"/>
  <c r="AH8" i="13"/>
  <c r="AI8" i="13" s="1"/>
  <c r="AH4" i="13"/>
  <c r="AI4" i="13" s="1"/>
  <c r="AH47" i="13"/>
  <c r="AI47" i="13" s="1"/>
  <c r="AH43" i="13"/>
  <c r="AI43" i="13" s="1"/>
  <c r="AH40" i="13"/>
  <c r="AI40" i="13" s="1"/>
  <c r="AH35" i="13"/>
  <c r="AI35" i="13" s="1"/>
  <c r="AH31" i="13"/>
  <c r="AI31" i="13" s="1"/>
  <c r="AH27" i="13"/>
  <c r="AI27" i="13" s="1"/>
  <c r="AH23" i="13"/>
  <c r="AI23" i="13" s="1"/>
  <c r="AH19" i="13"/>
  <c r="AI19" i="13" s="1"/>
  <c r="AH15" i="13"/>
  <c r="AI15" i="13" s="1"/>
  <c r="AH11" i="13"/>
  <c r="AI11" i="13" s="1"/>
  <c r="AH7" i="13"/>
  <c r="AI7" i="13" s="1"/>
  <c r="AH97" i="47"/>
  <c r="AH81" i="47"/>
  <c r="AH65" i="47"/>
  <c r="AH49" i="47"/>
  <c r="AH32" i="47"/>
  <c r="AH17" i="47"/>
  <c r="AH93" i="47"/>
  <c r="AH77" i="47"/>
  <c r="AH61" i="47"/>
  <c r="AH45" i="47"/>
  <c r="AH29" i="47"/>
  <c r="AH13" i="47"/>
  <c r="AH89" i="47"/>
  <c r="AH75" i="47"/>
  <c r="AH57" i="47"/>
  <c r="AH41" i="47"/>
  <c r="AH25" i="47"/>
  <c r="AH9" i="47"/>
  <c r="AH85" i="47"/>
  <c r="AH70" i="47"/>
  <c r="AH53" i="47"/>
  <c r="AH37" i="47"/>
  <c r="AH21" i="47"/>
  <c r="AH5" i="47"/>
  <c r="AH5" i="46"/>
  <c r="AH9" i="46"/>
  <c r="AH13" i="46"/>
  <c r="AH17" i="46"/>
  <c r="AH21" i="46"/>
  <c r="AH25" i="46"/>
  <c r="AH29" i="46"/>
  <c r="AH33" i="46"/>
  <c r="AH37" i="46"/>
  <c r="AH41" i="46"/>
  <c r="AH45" i="46"/>
  <c r="AH49" i="46"/>
  <c r="AH53" i="46"/>
  <c r="AH57" i="46"/>
  <c r="AH61" i="46"/>
  <c r="AH65" i="46"/>
  <c r="AH69" i="46"/>
  <c r="AH73" i="46"/>
  <c r="AH77" i="46"/>
  <c r="AH81" i="46"/>
  <c r="AH85" i="46"/>
  <c r="AH88" i="46"/>
  <c r="AH93" i="46"/>
  <c r="AH97" i="46"/>
  <c r="AH102" i="46"/>
  <c r="AH105" i="46"/>
  <c r="AH108" i="46"/>
  <c r="AH114" i="46"/>
  <c r="AH118" i="46"/>
  <c r="AH120" i="46"/>
  <c r="AH126" i="46"/>
  <c r="AH130" i="46"/>
  <c r="AH132" i="46"/>
  <c r="AH139" i="46"/>
  <c r="AH142" i="46"/>
  <c r="AH143" i="46"/>
  <c r="AH149" i="46"/>
  <c r="AH153" i="46"/>
  <c r="AH156" i="46"/>
  <c r="AH161" i="46"/>
  <c r="AH164" i="46"/>
  <c r="AH170" i="46"/>
  <c r="AH173" i="46"/>
  <c r="AH176" i="46"/>
  <c r="AH2" i="46"/>
  <c r="AH16" i="46"/>
  <c r="AH32" i="46"/>
  <c r="AH48" i="46"/>
  <c r="AH72" i="46"/>
  <c r="AH92" i="46"/>
  <c r="AH113" i="46"/>
  <c r="AH125" i="46"/>
  <c r="AH140" i="46"/>
  <c r="AH157" i="46"/>
  <c r="AH177" i="46"/>
  <c r="AH6" i="46"/>
  <c r="AH10" i="46"/>
  <c r="AH14" i="46"/>
  <c r="AH18" i="46"/>
  <c r="AH22" i="46"/>
  <c r="AH26" i="46"/>
  <c r="AH30" i="46"/>
  <c r="AH34" i="46"/>
  <c r="AH38" i="46"/>
  <c r="AH42" i="46"/>
  <c r="AH46" i="46"/>
  <c r="AH50" i="46"/>
  <c r="AH54" i="46"/>
  <c r="AH58" i="46"/>
  <c r="AH62" i="46"/>
  <c r="AH67" i="46"/>
  <c r="AH70" i="46"/>
  <c r="AH74" i="46"/>
  <c r="AH78" i="46"/>
  <c r="AH82" i="46"/>
  <c r="AH86" i="46"/>
  <c r="AH90" i="46"/>
  <c r="AH94" i="46"/>
  <c r="AH98" i="46"/>
  <c r="AH100" i="46"/>
  <c r="AH106" i="46"/>
  <c r="AH110" i="46"/>
  <c r="AH112" i="46"/>
  <c r="AH116" i="46"/>
  <c r="AH121" i="46"/>
  <c r="AH124" i="46"/>
  <c r="AH128" i="46"/>
  <c r="AH133" i="46"/>
  <c r="AH137" i="46"/>
  <c r="AH141" i="46"/>
  <c r="AH146" i="46"/>
  <c r="AH151" i="46"/>
  <c r="AH155" i="46"/>
  <c r="AH160" i="46"/>
  <c r="AH162" i="46"/>
  <c r="AH166" i="46"/>
  <c r="AH169" i="46"/>
  <c r="AH172" i="46"/>
  <c r="AH180" i="46"/>
  <c r="AH20" i="46"/>
  <c r="AH40" i="46"/>
  <c r="AH56" i="46"/>
  <c r="AH68" i="46"/>
  <c r="AH80" i="46"/>
  <c r="AH96" i="46"/>
  <c r="AH111" i="46"/>
  <c r="AH122" i="46"/>
  <c r="AH135" i="46"/>
  <c r="AH148" i="46"/>
  <c r="AH163" i="46"/>
  <c r="AH174" i="46"/>
  <c r="AH3" i="46"/>
  <c r="AH7" i="46"/>
  <c r="AH11" i="46"/>
  <c r="AH15" i="46"/>
  <c r="AH19" i="46"/>
  <c r="AH23" i="46"/>
  <c r="AH27" i="46"/>
  <c r="AH31" i="46"/>
  <c r="AH35" i="46"/>
  <c r="AH39" i="46"/>
  <c r="AH43" i="46"/>
  <c r="AH47" i="46"/>
  <c r="AH52" i="46"/>
  <c r="AH55" i="46"/>
  <c r="AH59" i="46"/>
  <c r="AH63" i="46"/>
  <c r="AH66" i="46"/>
  <c r="AH71" i="46"/>
  <c r="AH75" i="46"/>
  <c r="AH79" i="46"/>
  <c r="AH83" i="46"/>
  <c r="AH87" i="46"/>
  <c r="AH91" i="46"/>
  <c r="AH95" i="46"/>
  <c r="AH99" i="46"/>
  <c r="AH103" i="46"/>
  <c r="AH107" i="46"/>
  <c r="AH109" i="46"/>
  <c r="AH115" i="46"/>
  <c r="AH119" i="46"/>
  <c r="AH123" i="46"/>
  <c r="AH127" i="46"/>
  <c r="AH129" i="46"/>
  <c r="AH136" i="46"/>
  <c r="AH138" i="46"/>
  <c r="AH145" i="46"/>
  <c r="AH147" i="46"/>
  <c r="AH150" i="46"/>
  <c r="AH154" i="46"/>
  <c r="AH158" i="46"/>
  <c r="AH165" i="46"/>
  <c r="AH167" i="46"/>
  <c r="AH171" i="46"/>
  <c r="AH175" i="46"/>
  <c r="AH178" i="46"/>
  <c r="AH8" i="46"/>
  <c r="AH36" i="46"/>
  <c r="AH51" i="46"/>
  <c r="AH64" i="46"/>
  <c r="AH84" i="46"/>
  <c r="AH101" i="46"/>
  <c r="AH117" i="46"/>
  <c r="AH131" i="46"/>
  <c r="AH144" i="46"/>
  <c r="AH159" i="46"/>
  <c r="AH179" i="46"/>
  <c r="AH4" i="46"/>
  <c r="AH12" i="46"/>
  <c r="AH24" i="46"/>
  <c r="AH28" i="46"/>
  <c r="AH44" i="46"/>
  <c r="AH60" i="46"/>
  <c r="AH76" i="46"/>
  <c r="AH89" i="46"/>
  <c r="AH104" i="46"/>
  <c r="AH134" i="46"/>
  <c r="AH152" i="46"/>
  <c r="AH168" i="46"/>
  <c r="AH4" i="50"/>
  <c r="AH8" i="50"/>
  <c r="AH12" i="50"/>
  <c r="AH16" i="50"/>
  <c r="AH20" i="50"/>
  <c r="AH24" i="50"/>
  <c r="AH28" i="50"/>
  <c r="AH32" i="50"/>
  <c r="AH36" i="50"/>
  <c r="AH40" i="50"/>
  <c r="AH44" i="50"/>
  <c r="AH48" i="50"/>
  <c r="AH52" i="50"/>
  <c r="AH56" i="50"/>
  <c r="AH60" i="50"/>
  <c r="AH64" i="50"/>
  <c r="AH68" i="50"/>
  <c r="AH72" i="50"/>
  <c r="AH76" i="50"/>
  <c r="AH81" i="50"/>
  <c r="AH84" i="50"/>
  <c r="AH88" i="50"/>
  <c r="AH92" i="50"/>
  <c r="AH95" i="50"/>
  <c r="AH103" i="50"/>
  <c r="AH104" i="50"/>
  <c r="AH5" i="50"/>
  <c r="AH9" i="50"/>
  <c r="AH13" i="50"/>
  <c r="AH17" i="50"/>
  <c r="AH21" i="50"/>
  <c r="AH25" i="50"/>
  <c r="AH29" i="50"/>
  <c r="AH33" i="50"/>
  <c r="AH37" i="50"/>
  <c r="AH41" i="50"/>
  <c r="AH45" i="50"/>
  <c r="AH49" i="50"/>
  <c r="AH53" i="50"/>
  <c r="AH57" i="50"/>
  <c r="AH61" i="50"/>
  <c r="AH65" i="50"/>
  <c r="AH69" i="50"/>
  <c r="AH73" i="50"/>
  <c r="AH77" i="50"/>
  <c r="AH80" i="50"/>
  <c r="AH85" i="50"/>
  <c r="AH89" i="50"/>
  <c r="AH93" i="50"/>
  <c r="AH97" i="50"/>
  <c r="AH101" i="50"/>
  <c r="AH105" i="50"/>
  <c r="AH6" i="50"/>
  <c r="AH10" i="50"/>
  <c r="AH14" i="50"/>
  <c r="AH18" i="50"/>
  <c r="AH22" i="50"/>
  <c r="AH26" i="50"/>
  <c r="AH30" i="50"/>
  <c r="AH34" i="50"/>
  <c r="AH38" i="50"/>
  <c r="AH42" i="50"/>
  <c r="AH46" i="50"/>
  <c r="AH50" i="50"/>
  <c r="AH54" i="50"/>
  <c r="AH58" i="50"/>
  <c r="AH62" i="50"/>
  <c r="AH66" i="50"/>
  <c r="AH70" i="50"/>
  <c r="AH74" i="50"/>
  <c r="AH78" i="50"/>
  <c r="AH83" i="50"/>
  <c r="AH86" i="50"/>
  <c r="AH90" i="50"/>
  <c r="AH94" i="50"/>
  <c r="AH98" i="50"/>
  <c r="AH102" i="50"/>
  <c r="AH106" i="50"/>
  <c r="AH7" i="50"/>
  <c r="AH23" i="50"/>
  <c r="AH39" i="50"/>
  <c r="AH55" i="50"/>
  <c r="AH71" i="50"/>
  <c r="AH87" i="50"/>
  <c r="AH100" i="50"/>
  <c r="AH51" i="50"/>
  <c r="AH11" i="50"/>
  <c r="AH27" i="50"/>
  <c r="AH43" i="50"/>
  <c r="AH59" i="50"/>
  <c r="AH75" i="50"/>
  <c r="AH91" i="50"/>
  <c r="AH2" i="50"/>
  <c r="AH35" i="50"/>
  <c r="AH82" i="50"/>
  <c r="AH15" i="50"/>
  <c r="AH31" i="50"/>
  <c r="AH47" i="50"/>
  <c r="AH63" i="50"/>
  <c r="AH79" i="50"/>
  <c r="AH96" i="50"/>
  <c r="AH19" i="50"/>
  <c r="AH67" i="50"/>
  <c r="AH3" i="50"/>
  <c r="AH99" i="50"/>
  <c r="AH440" i="19"/>
  <c r="AH428" i="19"/>
  <c r="AH424" i="19"/>
  <c r="AH418" i="19"/>
  <c r="AH409" i="19"/>
  <c r="AH402" i="19"/>
  <c r="AH392" i="19"/>
  <c r="AH438" i="19"/>
  <c r="AH434" i="19"/>
  <c r="AH421" i="19"/>
  <c r="AH417" i="19"/>
  <c r="AH410" i="19"/>
  <c r="AH2" i="19"/>
  <c r="AH6" i="19"/>
  <c r="AH10" i="19"/>
  <c r="AH14" i="19"/>
  <c r="AH18" i="19"/>
  <c r="AH22" i="19"/>
  <c r="AH26" i="19"/>
  <c r="AH30" i="19"/>
  <c r="AH34" i="19"/>
  <c r="AH38" i="19"/>
  <c r="AH42" i="19"/>
  <c r="AH46" i="19"/>
  <c r="AH50" i="19"/>
  <c r="AH54" i="19"/>
  <c r="AH58" i="19"/>
  <c r="AH62" i="19"/>
  <c r="AH66" i="19"/>
  <c r="AH70" i="19"/>
  <c r="AH74" i="19"/>
  <c r="AH78" i="19"/>
  <c r="AH82" i="19"/>
  <c r="AH86" i="19"/>
  <c r="AH90" i="19"/>
  <c r="AH94" i="19"/>
  <c r="AH98" i="19"/>
  <c r="AH101" i="19"/>
  <c r="AH106" i="19"/>
  <c r="AH110" i="19"/>
  <c r="AH114" i="19"/>
  <c r="AH118" i="19"/>
  <c r="AH122" i="19"/>
  <c r="AH126" i="19"/>
  <c r="AH130" i="19"/>
  <c r="AH3" i="19"/>
  <c r="AH7" i="19"/>
  <c r="AH11" i="19"/>
  <c r="AH15" i="19"/>
  <c r="AH19" i="19"/>
  <c r="AH23" i="19"/>
  <c r="AH27" i="19"/>
  <c r="AH31" i="19"/>
  <c r="AH35" i="19"/>
  <c r="AH39" i="19"/>
  <c r="AH43" i="19"/>
  <c r="AH47" i="19"/>
  <c r="AH51" i="19"/>
  <c r="AH55" i="19"/>
  <c r="AH59" i="19"/>
  <c r="AH63" i="19"/>
  <c r="AH67" i="19"/>
  <c r="AH71" i="19"/>
  <c r="AH75" i="19"/>
  <c r="AH79" i="19"/>
  <c r="AH83" i="19"/>
  <c r="AH87" i="19"/>
  <c r="AH91" i="19"/>
  <c r="AH95" i="19"/>
  <c r="AH99" i="19"/>
  <c r="AH103" i="19"/>
  <c r="AH107" i="19"/>
  <c r="AH111" i="19"/>
  <c r="AH115" i="19"/>
  <c r="AH119" i="19"/>
  <c r="AH123" i="19"/>
  <c r="AH127" i="19"/>
  <c r="AH131" i="19"/>
  <c r="AH135" i="19"/>
  <c r="AH9" i="19"/>
  <c r="AH17" i="19"/>
  <c r="AH25" i="19"/>
  <c r="AH33" i="19"/>
  <c r="AH41" i="19"/>
  <c r="AH49" i="19"/>
  <c r="AH57" i="19"/>
  <c r="AH65" i="19"/>
  <c r="AH73" i="19"/>
  <c r="AH81" i="19"/>
  <c r="AH89" i="19"/>
  <c r="AH97" i="19"/>
  <c r="AH105" i="19"/>
  <c r="AH113" i="19"/>
  <c r="AH121" i="19"/>
  <c r="AH129" i="19"/>
  <c r="AH136" i="19"/>
  <c r="AH140" i="19"/>
  <c r="AH144" i="19"/>
  <c r="AH149" i="19"/>
  <c r="AH152" i="19"/>
  <c r="AH156" i="19"/>
  <c r="AH160" i="19"/>
  <c r="AH164" i="19"/>
  <c r="AH168" i="19"/>
  <c r="AH172" i="19"/>
  <c r="AH176" i="19"/>
  <c r="AH180" i="19"/>
  <c r="AH184" i="19"/>
  <c r="AH188" i="19"/>
  <c r="AH191" i="19"/>
  <c r="AH196" i="19"/>
  <c r="AH200" i="19"/>
  <c r="AH204" i="19"/>
  <c r="AH208" i="19"/>
  <c r="AH212" i="19"/>
  <c r="AH216" i="19"/>
  <c r="AH220" i="19"/>
  <c r="AH223" i="19"/>
  <c r="AH227" i="19"/>
  <c r="AH233" i="19"/>
  <c r="AH236" i="19"/>
  <c r="AH240" i="19"/>
  <c r="AH244" i="19"/>
  <c r="AH247" i="19"/>
  <c r="AH252" i="19"/>
  <c r="AH256" i="19"/>
  <c r="AH262" i="19"/>
  <c r="AH263" i="19"/>
  <c r="AH269" i="19"/>
  <c r="AH273" i="19"/>
  <c r="AH275" i="19"/>
  <c r="AH280" i="19"/>
  <c r="AH284" i="19"/>
  <c r="AH288" i="19"/>
  <c r="AH292" i="19"/>
  <c r="AH297" i="19"/>
  <c r="AH301" i="19"/>
  <c r="AH303" i="19"/>
  <c r="AH305" i="19"/>
  <c r="AH310" i="19"/>
  <c r="AH316" i="19"/>
  <c r="AH319" i="19"/>
  <c r="AH324" i="19"/>
  <c r="AH327" i="19"/>
  <c r="AH332" i="19"/>
  <c r="AH334" i="19"/>
  <c r="AH340" i="19"/>
  <c r="AH345" i="19"/>
  <c r="AH349" i="19"/>
  <c r="AH354" i="19"/>
  <c r="AH358" i="19"/>
  <c r="AH359" i="19"/>
  <c r="AH363" i="19"/>
  <c r="AH366" i="19"/>
  <c r="AH372" i="19"/>
  <c r="AH374" i="19"/>
  <c r="AH379" i="19"/>
  <c r="AH383" i="19"/>
  <c r="AH390" i="19"/>
  <c r="AH393" i="19"/>
  <c r="AH4" i="19"/>
  <c r="AH12" i="19"/>
  <c r="AH20" i="19"/>
  <c r="AH28" i="19"/>
  <c r="AH36" i="19"/>
  <c r="AH44" i="19"/>
  <c r="AH52" i="19"/>
  <c r="AH60" i="19"/>
  <c r="AH68" i="19"/>
  <c r="AH76" i="19"/>
  <c r="AH84" i="19"/>
  <c r="AH92" i="19"/>
  <c r="AH100" i="19"/>
  <c r="AH108" i="19"/>
  <c r="AH116" i="19"/>
  <c r="AH124" i="19"/>
  <c r="AH132" i="19"/>
  <c r="AH137" i="19"/>
  <c r="AH141" i="19"/>
  <c r="AH145" i="19"/>
  <c r="AH148" i="19"/>
  <c r="AH154" i="19"/>
  <c r="AH157" i="19"/>
  <c r="AH161" i="19"/>
  <c r="AH165" i="19"/>
  <c r="AH169" i="19"/>
  <c r="AH173" i="19"/>
  <c r="AH177" i="19"/>
  <c r="AH181" i="19"/>
  <c r="AH185" i="19"/>
  <c r="AH189" i="19"/>
  <c r="AH193" i="19"/>
  <c r="AH197" i="19"/>
  <c r="AH201" i="19"/>
  <c r="AH207" i="19"/>
  <c r="AH209" i="19"/>
  <c r="AH213" i="19"/>
  <c r="AH217" i="19"/>
  <c r="AH221" i="19"/>
  <c r="AH225" i="19"/>
  <c r="AH230" i="19"/>
  <c r="AH232" i="19"/>
  <c r="AH237" i="19"/>
  <c r="AH242" i="19"/>
  <c r="AH245" i="19"/>
  <c r="AH249" i="19"/>
  <c r="AH253" i="19"/>
  <c r="AH257" i="19"/>
  <c r="AH258" i="19"/>
  <c r="AH265" i="19"/>
  <c r="AH268" i="19"/>
  <c r="AH272" i="19"/>
  <c r="AH277" i="19"/>
  <c r="AH281" i="19"/>
  <c r="AH285" i="19"/>
  <c r="AH289" i="19"/>
  <c r="AH293" i="19"/>
  <c r="AH296" i="19"/>
  <c r="AH300" i="19"/>
  <c r="AH306" i="19"/>
  <c r="AH312" i="19"/>
  <c r="AH315" i="19"/>
  <c r="AH318" i="19"/>
  <c r="AH320" i="19"/>
  <c r="AH328" i="19"/>
  <c r="AH330" i="19"/>
  <c r="AH331" i="19"/>
  <c r="AH337" i="19"/>
  <c r="AH341" i="19"/>
  <c r="AH343" i="19"/>
  <c r="AH348" i="19"/>
  <c r="AH352" i="19"/>
  <c r="AH357" i="19"/>
  <c r="AH362" i="19"/>
  <c r="AH367" i="19"/>
  <c r="AH370" i="19"/>
  <c r="AH377" i="19"/>
  <c r="AH378" i="19"/>
  <c r="AH381" i="19"/>
  <c r="AH384" i="19"/>
  <c r="AH386" i="19"/>
  <c r="AH5" i="19"/>
  <c r="AH13" i="19"/>
  <c r="AH21" i="19"/>
  <c r="AH29" i="19"/>
  <c r="AH37" i="19"/>
  <c r="AH45" i="19"/>
  <c r="AH53" i="19"/>
  <c r="AH61" i="19"/>
  <c r="AH69" i="19"/>
  <c r="AH77" i="19"/>
  <c r="AH85" i="19"/>
  <c r="AH93" i="19"/>
  <c r="AH102" i="19"/>
  <c r="AH109" i="19"/>
  <c r="AH117" i="19"/>
  <c r="AH125" i="19"/>
  <c r="AH133" i="19"/>
  <c r="AH138" i="19"/>
  <c r="AH143" i="19"/>
  <c r="AH146" i="19"/>
  <c r="AH150" i="19"/>
  <c r="AH153" i="19"/>
  <c r="AH158" i="19"/>
  <c r="AH162" i="19"/>
  <c r="AH166" i="19"/>
  <c r="AH170" i="19"/>
  <c r="AH174" i="19"/>
  <c r="AH178" i="19"/>
  <c r="AH182" i="19"/>
  <c r="AH187" i="19"/>
  <c r="AH190" i="19"/>
  <c r="AH194" i="19"/>
  <c r="AH198" i="19"/>
  <c r="AH202" i="19"/>
  <c r="AH205" i="19"/>
  <c r="AH210" i="19"/>
  <c r="AH215" i="19"/>
  <c r="AH219" i="19"/>
  <c r="AH222" i="19"/>
  <c r="AH226" i="19"/>
  <c r="AH229" i="19"/>
  <c r="AH234" i="19"/>
  <c r="AH238" i="19"/>
  <c r="AH241" i="19"/>
  <c r="AH246" i="19"/>
  <c r="AH250" i="19"/>
  <c r="AH254" i="19"/>
  <c r="AH261" i="19"/>
  <c r="AH259" i="19"/>
  <c r="AH266" i="19"/>
  <c r="AH270" i="19"/>
  <c r="AH271" i="19"/>
  <c r="AH278" i="19"/>
  <c r="AH282" i="19"/>
  <c r="AH286" i="19"/>
  <c r="AH291" i="19"/>
  <c r="AH294" i="19"/>
  <c r="AH298" i="19"/>
  <c r="AH304" i="19"/>
  <c r="AH308" i="19"/>
  <c r="AH311" i="19"/>
  <c r="AH313" i="19"/>
  <c r="AH317" i="19"/>
  <c r="AH322" i="19"/>
  <c r="AH326" i="19"/>
  <c r="AH329" i="19"/>
  <c r="AH336" i="19"/>
  <c r="AH338" i="19"/>
  <c r="AH346" i="19"/>
  <c r="AH344" i="19"/>
  <c r="AH347" i="19"/>
  <c r="AH353" i="19"/>
  <c r="AH356" i="19"/>
  <c r="AH360" i="19"/>
  <c r="AH368" i="19"/>
  <c r="AH371" i="19"/>
  <c r="AH375" i="19"/>
  <c r="AH376" i="19"/>
  <c r="AH385" i="19"/>
  <c r="AH391" i="19"/>
  <c r="AH387" i="19"/>
  <c r="AH394" i="19"/>
  <c r="AH403" i="19"/>
  <c r="AH398" i="19"/>
  <c r="AH405" i="19"/>
  <c r="AH408" i="19"/>
  <c r="AH415" i="19"/>
  <c r="AH416" i="19"/>
  <c r="AH426" i="19"/>
  <c r="AH423" i="19"/>
  <c r="AH433" i="19"/>
  <c r="AH430" i="19"/>
  <c r="AH435" i="19"/>
  <c r="AH443" i="19"/>
  <c r="AH445" i="19"/>
  <c r="AH8" i="19"/>
  <c r="AH16" i="19"/>
  <c r="AH24" i="19"/>
  <c r="AH32" i="19"/>
  <c r="AH40" i="19"/>
  <c r="AH48" i="19"/>
  <c r="AH56" i="19"/>
  <c r="AH64" i="19"/>
  <c r="AH72" i="19"/>
  <c r="AH80" i="19"/>
  <c r="AH88" i="19"/>
  <c r="AH96" i="19"/>
  <c r="AH104" i="19"/>
  <c r="AH112" i="19"/>
  <c r="AH120" i="19"/>
  <c r="AH128" i="19"/>
  <c r="AH134" i="19"/>
  <c r="AH139" i="19"/>
  <c r="AH142" i="19"/>
  <c r="AH147" i="19"/>
  <c r="AH151" i="19"/>
  <c r="AH155" i="19"/>
  <c r="AH159" i="19"/>
  <c r="AH163" i="19"/>
  <c r="AH167" i="19"/>
  <c r="AH171" i="19"/>
  <c r="AH175" i="19"/>
  <c r="AH179" i="19"/>
  <c r="AH183" i="19"/>
  <c r="AH186" i="19"/>
  <c r="AH192" i="19"/>
  <c r="AH195" i="19"/>
  <c r="AH199" i="19"/>
  <c r="AH203" i="19"/>
  <c r="AH206" i="19"/>
  <c r="AH211" i="19"/>
  <c r="AH214" i="19"/>
  <c r="AH218" i="19"/>
  <c r="AH224" i="19"/>
  <c r="AH228" i="19"/>
  <c r="AH231" i="19"/>
  <c r="AH235" i="19"/>
  <c r="AH239" i="19"/>
  <c r="AH243" i="19"/>
  <c r="AH248" i="19"/>
  <c r="AH251" i="19"/>
  <c r="AH255" i="19"/>
  <c r="AH260" i="19"/>
  <c r="AH264" i="19"/>
  <c r="AH267" i="19"/>
  <c r="AH274" i="19"/>
  <c r="AH276" i="19"/>
  <c r="AH279" i="19"/>
  <c r="AH283" i="19"/>
  <c r="AH287" i="19"/>
  <c r="AH290" i="19"/>
  <c r="AH295" i="19"/>
  <c r="AH299" i="19"/>
  <c r="AH302" i="19"/>
  <c r="AH307" i="19"/>
  <c r="AH309" i="19"/>
  <c r="AH314" i="19"/>
  <c r="AH321" i="19"/>
  <c r="AH323" i="19"/>
  <c r="AH325" i="19"/>
  <c r="AH333" i="19"/>
  <c r="AH335" i="19"/>
  <c r="AH339" i="19"/>
  <c r="AH342" i="19"/>
  <c r="AH350" i="19"/>
  <c r="AH351" i="19"/>
  <c r="AH355" i="19"/>
  <c r="AH361" i="19"/>
  <c r="AH364" i="19"/>
  <c r="AH365" i="19"/>
  <c r="AH369" i="19"/>
  <c r="AH373" i="19"/>
  <c r="AH380" i="19"/>
  <c r="AH382" i="19"/>
  <c r="AH389" i="19"/>
  <c r="AH388" i="19"/>
  <c r="AH397" i="19"/>
  <c r="AH399" i="19"/>
  <c r="AH400" i="19"/>
  <c r="AH407" i="19"/>
  <c r="AH411" i="19"/>
  <c r="AH414" i="19"/>
  <c r="AH425" i="19"/>
  <c r="AH420" i="19"/>
  <c r="AH429" i="19"/>
  <c r="AH431" i="19"/>
  <c r="AH441" i="19"/>
  <c r="AH439" i="19"/>
  <c r="AH444" i="19"/>
  <c r="AH447" i="19"/>
  <c r="AH442" i="19"/>
  <c r="AH436" i="19"/>
  <c r="AH427" i="19"/>
  <c r="AH419" i="19"/>
  <c r="AH412" i="19"/>
  <c r="AH404" i="19"/>
  <c r="AH396" i="19"/>
  <c r="AH446" i="19"/>
  <c r="AH437" i="19"/>
  <c r="AH432" i="19"/>
  <c r="AH422" i="19"/>
  <c r="AH413" i="19"/>
  <c r="AH406" i="19"/>
  <c r="AH395" i="19"/>
  <c r="AH3" i="49"/>
  <c r="AH7" i="49"/>
  <c r="AH11" i="49"/>
  <c r="AH15" i="49"/>
  <c r="AH19" i="49"/>
  <c r="AH23" i="49"/>
  <c r="AH27" i="49"/>
  <c r="AH31" i="49"/>
  <c r="AH36" i="49"/>
  <c r="AH40" i="49"/>
  <c r="AH44" i="49"/>
  <c r="AH48" i="49"/>
  <c r="AH52" i="49"/>
  <c r="AH56" i="49"/>
  <c r="AH60" i="49"/>
  <c r="AH64" i="49"/>
  <c r="AH68" i="49"/>
  <c r="AH72" i="49"/>
  <c r="AH75" i="49"/>
  <c r="AH80" i="49"/>
  <c r="AH84" i="49"/>
  <c r="AH88" i="49"/>
  <c r="AH92" i="49"/>
  <c r="AH97" i="49"/>
  <c r="AH100" i="49"/>
  <c r="AH104" i="49"/>
  <c r="AH108" i="49"/>
  <c r="AH112" i="49"/>
  <c r="AH4" i="49"/>
  <c r="AH8" i="49"/>
  <c r="AH12" i="49"/>
  <c r="AH16" i="49"/>
  <c r="AH20" i="49"/>
  <c r="AH24" i="49"/>
  <c r="AH28" i="49"/>
  <c r="AH33" i="49"/>
  <c r="AH37" i="49"/>
  <c r="AH41" i="49"/>
  <c r="AH5" i="49"/>
  <c r="AH9" i="49"/>
  <c r="AH13" i="49"/>
  <c r="AH17" i="49"/>
  <c r="AH21" i="49"/>
  <c r="AH25" i="49"/>
  <c r="AH29" i="49"/>
  <c r="AH34" i="49"/>
  <c r="AH38" i="49"/>
  <c r="AH42" i="49"/>
  <c r="AH46" i="49"/>
  <c r="AH50" i="49"/>
  <c r="AH54" i="49"/>
  <c r="AH58" i="49"/>
  <c r="AH62" i="49"/>
  <c r="AH66" i="49"/>
  <c r="AH70" i="49"/>
  <c r="AH74" i="49"/>
  <c r="AH78" i="49"/>
  <c r="AH82" i="49"/>
  <c r="AH86" i="49"/>
  <c r="AH90" i="49"/>
  <c r="AH95" i="49"/>
  <c r="AH96" i="49"/>
  <c r="AH101" i="49"/>
  <c r="AH106" i="49"/>
  <c r="AH110" i="49"/>
  <c r="AH115" i="49"/>
  <c r="AH18" i="49"/>
  <c r="AH35" i="49"/>
  <c r="AH47" i="49"/>
  <c r="AH55" i="49"/>
  <c r="AH63" i="49"/>
  <c r="AH71" i="49"/>
  <c r="AH79" i="49"/>
  <c r="AH87" i="49"/>
  <c r="AH94" i="49"/>
  <c r="AH102" i="49"/>
  <c r="AH111" i="49"/>
  <c r="AH2" i="49"/>
  <c r="AH81" i="49"/>
  <c r="AH98" i="49"/>
  <c r="AH113" i="49"/>
  <c r="AH45" i="49"/>
  <c r="AH77" i="49"/>
  <c r="AH103" i="49"/>
  <c r="AH6" i="49"/>
  <c r="AH22" i="49"/>
  <c r="AH39" i="49"/>
  <c r="AH49" i="49"/>
  <c r="AH57" i="49"/>
  <c r="AH65" i="49"/>
  <c r="AH73" i="49"/>
  <c r="AH89" i="49"/>
  <c r="AH105" i="49"/>
  <c r="AH30" i="49"/>
  <c r="AH69" i="49"/>
  <c r="AH109" i="49"/>
  <c r="AH10" i="49"/>
  <c r="AH26" i="49"/>
  <c r="AH43" i="49"/>
  <c r="AH51" i="49"/>
  <c r="AH59" i="49"/>
  <c r="AH67" i="49"/>
  <c r="AH76" i="49"/>
  <c r="AH83" i="49"/>
  <c r="AH91" i="49"/>
  <c r="AH99" i="49"/>
  <c r="AH107" i="49"/>
  <c r="AH32" i="49"/>
  <c r="AI32" i="49" s="1"/>
  <c r="AH14" i="49"/>
  <c r="AH61" i="49"/>
  <c r="AH85" i="49"/>
  <c r="AH114" i="49"/>
  <c r="AI114" i="49" s="1"/>
  <c r="AH53" i="49"/>
  <c r="AH93" i="49"/>
  <c r="AH33" i="14"/>
  <c r="AH15" i="14"/>
  <c r="AH19" i="14"/>
  <c r="AH20" i="14"/>
  <c r="AH13" i="14"/>
  <c r="AH7" i="14"/>
  <c r="AH34" i="14"/>
  <c r="AH37" i="14"/>
  <c r="AH4" i="14"/>
  <c r="AH25" i="14"/>
  <c r="AH36" i="14"/>
  <c r="AH67" i="18"/>
  <c r="AH63" i="18"/>
  <c r="AH60" i="18"/>
  <c r="AH54" i="18"/>
  <c r="AH50" i="18"/>
  <c r="AH47" i="18"/>
  <c r="AH43" i="18"/>
  <c r="AH39" i="18"/>
  <c r="AH35" i="18"/>
  <c r="AH31" i="18"/>
  <c r="AH27" i="18"/>
  <c r="AH23" i="18"/>
  <c r="AH19" i="18"/>
  <c r="AH15" i="18"/>
  <c r="AH11" i="18"/>
  <c r="AH7" i="18"/>
  <c r="AH3" i="18"/>
  <c r="AH66" i="18"/>
  <c r="AH62" i="18"/>
  <c r="AH56" i="18"/>
  <c r="AH55" i="18"/>
  <c r="AH51" i="18"/>
  <c r="AH46" i="18"/>
  <c r="AH42" i="18"/>
  <c r="AH38" i="18"/>
  <c r="AH34" i="18"/>
  <c r="AH30" i="18"/>
  <c r="AH26" i="18"/>
  <c r="AH22" i="18"/>
  <c r="AH18" i="18"/>
  <c r="AH14" i="18"/>
  <c r="AH10" i="18"/>
  <c r="AH6" i="18"/>
  <c r="AH2" i="18"/>
  <c r="AH69" i="18"/>
  <c r="AH65" i="18"/>
  <c r="AH61" i="18"/>
  <c r="AH57" i="18"/>
  <c r="AH53" i="18"/>
  <c r="AH49" i="18"/>
  <c r="AH45" i="18"/>
  <c r="AH41" i="18"/>
  <c r="AH37" i="18"/>
  <c r="AH33" i="18"/>
  <c r="AH29" i="18"/>
  <c r="AH25" i="18"/>
  <c r="AH21" i="18"/>
  <c r="AH17" i="18"/>
  <c r="AH13" i="18"/>
  <c r="AH9" i="18"/>
  <c r="AH5" i="18"/>
  <c r="AH68" i="18"/>
  <c r="AH64" i="18"/>
  <c r="AH59" i="18"/>
  <c r="AH58" i="18"/>
  <c r="AH52" i="18"/>
  <c r="AH48" i="18"/>
  <c r="AH44" i="18"/>
  <c r="AH40" i="18"/>
  <c r="AH36" i="18"/>
  <c r="AH32" i="18"/>
  <c r="AH28" i="18"/>
  <c r="AH24" i="18"/>
  <c r="AH20" i="18"/>
  <c r="AH16" i="18"/>
  <c r="AH12" i="18"/>
  <c r="AH8" i="18"/>
  <c r="AH41" i="12"/>
  <c r="AH33" i="12"/>
  <c r="AH25" i="12"/>
  <c r="AH17" i="12"/>
  <c r="AH9" i="12"/>
  <c r="AH40" i="12"/>
  <c r="AH32" i="12"/>
  <c r="AH24" i="12"/>
  <c r="AH16" i="12"/>
  <c r="AH8" i="12"/>
  <c r="AH45" i="12"/>
  <c r="AH37" i="12"/>
  <c r="AH29" i="12"/>
  <c r="AH21" i="12"/>
  <c r="AH13" i="12"/>
  <c r="AH5" i="12"/>
  <c r="AH44" i="12"/>
  <c r="AH36" i="12"/>
  <c r="AH28" i="12"/>
  <c r="AH20" i="12"/>
  <c r="AH12" i="12"/>
  <c r="AH4" i="12"/>
  <c r="AH12" i="69"/>
  <c r="AH8" i="69"/>
  <c r="AH4" i="69"/>
  <c r="AH6" i="69"/>
  <c r="AH10" i="69"/>
  <c r="AH9" i="69"/>
  <c r="AH13" i="69"/>
  <c r="AH5" i="69"/>
  <c r="AH2" i="69"/>
  <c r="AH11" i="69"/>
  <c r="AH7" i="69"/>
  <c r="AH12" i="11"/>
  <c r="AH25" i="11"/>
  <c r="AH21" i="11"/>
  <c r="AH19" i="11"/>
  <c r="AH13" i="11"/>
  <c r="AH17" i="11"/>
  <c r="AH7" i="9"/>
  <c r="AH6" i="9"/>
  <c r="AH9" i="9"/>
  <c r="AH14" i="9"/>
  <c r="AH4" i="9"/>
  <c r="AH35" i="59"/>
  <c r="AH26" i="84"/>
  <c r="AH45" i="58"/>
  <c r="AH55" i="70"/>
  <c r="AF19" i="120"/>
  <c r="AJ3" i="120" s="1"/>
  <c r="AK3" i="120" s="1"/>
  <c r="AG19" i="120"/>
  <c r="AL18" i="120" s="1"/>
  <c r="AM18" i="120" s="1"/>
  <c r="AH19" i="120"/>
  <c r="AH48" i="28"/>
  <c r="AH43" i="28"/>
  <c r="AH40" i="28"/>
  <c r="AH37" i="28"/>
  <c r="AH32" i="28"/>
  <c r="AH28" i="28"/>
  <c r="AH24" i="28"/>
  <c r="AH20" i="28"/>
  <c r="AH16" i="28"/>
  <c r="AH12" i="28"/>
  <c r="AH8" i="28"/>
  <c r="AH4" i="28"/>
  <c r="AH47" i="28"/>
  <c r="AH44" i="28"/>
  <c r="AH39" i="28"/>
  <c r="AH35" i="28"/>
  <c r="AH31" i="28"/>
  <c r="AH26" i="28"/>
  <c r="AH23" i="28"/>
  <c r="AH19" i="28"/>
  <c r="AH15" i="28"/>
  <c r="AH11" i="28"/>
  <c r="AH7" i="28"/>
  <c r="AH3" i="28"/>
  <c r="AH2" i="28"/>
  <c r="AH46" i="28"/>
  <c r="AH42" i="28"/>
  <c r="AH38" i="28"/>
  <c r="AH34" i="28"/>
  <c r="AH30" i="28"/>
  <c r="AH27" i="28"/>
  <c r="AH22" i="28"/>
  <c r="AH18" i="28"/>
  <c r="AH14" i="28"/>
  <c r="AH10" i="28"/>
  <c r="AH30" i="21"/>
  <c r="AH4" i="21"/>
  <c r="AH13" i="21"/>
  <c r="AH11" i="21"/>
  <c r="AH7" i="21"/>
  <c r="AH10" i="21"/>
  <c r="AH18" i="21"/>
  <c r="AH31" i="21"/>
  <c r="AH14" i="21"/>
  <c r="AH24" i="21"/>
  <c r="AH33" i="21"/>
  <c r="AH17" i="21"/>
  <c r="AH26" i="21"/>
  <c r="AH6" i="21"/>
  <c r="AH25" i="21"/>
  <c r="AH8" i="21"/>
  <c r="AH16" i="21"/>
  <c r="AH29" i="21"/>
  <c r="AH3" i="21"/>
  <c r="AH15" i="21"/>
  <c r="AH12" i="21"/>
  <c r="AH2" i="21"/>
  <c r="AH19" i="21"/>
  <c r="AH9" i="21"/>
  <c r="AH39" i="20"/>
  <c r="AH7" i="20"/>
  <c r="AH2" i="20"/>
  <c r="AH51" i="20"/>
  <c r="AH35" i="20"/>
  <c r="AH19" i="20"/>
  <c r="AH3" i="20"/>
  <c r="AH55" i="20"/>
  <c r="AH23" i="20"/>
  <c r="AH63" i="20"/>
  <c r="AH47" i="20"/>
  <c r="AH31" i="20"/>
  <c r="AH15" i="20"/>
  <c r="AH59" i="20"/>
  <c r="AH43" i="20"/>
  <c r="AH27" i="20"/>
  <c r="AH11" i="20"/>
  <c r="AH66" i="20"/>
  <c r="AH62" i="20"/>
  <c r="AH57" i="20"/>
  <c r="AH54" i="20"/>
  <c r="AH50" i="20"/>
  <c r="AH46" i="20"/>
  <c r="AH42" i="20"/>
  <c r="AH38" i="20"/>
  <c r="AH34" i="20"/>
  <c r="AH30" i="20"/>
  <c r="AH26" i="20"/>
  <c r="AH22" i="20"/>
  <c r="AH18" i="20"/>
  <c r="AH14" i="20"/>
  <c r="AH10" i="20"/>
  <c r="AH6" i="20"/>
  <c r="AH65" i="20"/>
  <c r="AH61" i="20"/>
  <c r="AH58" i="20"/>
  <c r="AH53" i="20"/>
  <c r="AH49" i="20"/>
  <c r="AH45" i="20"/>
  <c r="AH41" i="20"/>
  <c r="AH37" i="20"/>
  <c r="AH33" i="20"/>
  <c r="AH29" i="20"/>
  <c r="AH25" i="20"/>
  <c r="AH21" i="20"/>
  <c r="AH17" i="20"/>
  <c r="AH13" i="20"/>
  <c r="AH9" i="20"/>
  <c r="AH5" i="20"/>
  <c r="AH64" i="20"/>
  <c r="AH60" i="20"/>
  <c r="AH56" i="20"/>
  <c r="AH52" i="20"/>
  <c r="AH48" i="20"/>
  <c r="AH44" i="20"/>
  <c r="AH40" i="20"/>
  <c r="AH36" i="20"/>
  <c r="AH32" i="20"/>
  <c r="AH28" i="20"/>
  <c r="AH24" i="20"/>
  <c r="AH20" i="20"/>
  <c r="AH16" i="20"/>
  <c r="AH12" i="20"/>
  <c r="AH8" i="20"/>
  <c r="AH4" i="82"/>
  <c r="AH31" i="82"/>
  <c r="AH14" i="82"/>
  <c r="AH26" i="82"/>
  <c r="AH16" i="82"/>
  <c r="AH24" i="82"/>
  <c r="AH10" i="82"/>
  <c r="AH11" i="82"/>
  <c r="AH13" i="82"/>
  <c r="AH32" i="82"/>
  <c r="AH12" i="82"/>
  <c r="AH8" i="82"/>
  <c r="AH30" i="82"/>
  <c r="AH9" i="82"/>
  <c r="AH25" i="82"/>
  <c r="AH15" i="82"/>
  <c r="AH22" i="82"/>
  <c r="AH3" i="82"/>
  <c r="AH27" i="82"/>
  <c r="AH33" i="82"/>
  <c r="AH2" i="82"/>
  <c r="AH7" i="82"/>
  <c r="AH18" i="82"/>
  <c r="AH26" i="27"/>
  <c r="AH37" i="27"/>
  <c r="AH27" i="27"/>
  <c r="AH13" i="27"/>
  <c r="AH12" i="27"/>
  <c r="AH4" i="27"/>
  <c r="AH40" i="27"/>
  <c r="AH9" i="27"/>
  <c r="AH33" i="27"/>
  <c r="AH19" i="27"/>
  <c r="AH8" i="27"/>
  <c r="AH28" i="27"/>
  <c r="AH22" i="27"/>
  <c r="AH14" i="27"/>
  <c r="AH11" i="27"/>
  <c r="AH24" i="27"/>
  <c r="AH2" i="27"/>
  <c r="AH32" i="27"/>
  <c r="AH17" i="27"/>
  <c r="AH42" i="27"/>
  <c r="AH41" i="27"/>
  <c r="AH21" i="27"/>
  <c r="AH35" i="27"/>
  <c r="AH36" i="27"/>
  <c r="AH3" i="27"/>
  <c r="AH39" i="27"/>
  <c r="AH96" i="47"/>
  <c r="AH92" i="47"/>
  <c r="AH88" i="47"/>
  <c r="AH84" i="47"/>
  <c r="AH80" i="47"/>
  <c r="AH76" i="47"/>
  <c r="AH74" i="47"/>
  <c r="AH68" i="47"/>
  <c r="AH64" i="47"/>
  <c r="AH59" i="47"/>
  <c r="AH56" i="47"/>
  <c r="AH52" i="47"/>
  <c r="AH48" i="47"/>
  <c r="AH44" i="47"/>
  <c r="AH40" i="47"/>
  <c r="AH36" i="47"/>
  <c r="AH33" i="47"/>
  <c r="AH28" i="47"/>
  <c r="AH24" i="47"/>
  <c r="AH20" i="47"/>
  <c r="AH16" i="47"/>
  <c r="AH12" i="47"/>
  <c r="AH8" i="47"/>
  <c r="AH4" i="47"/>
  <c r="AH98" i="47"/>
  <c r="AH95" i="47"/>
  <c r="AH91" i="47"/>
  <c r="AH87" i="47"/>
  <c r="AH83" i="47"/>
  <c r="AH78" i="47"/>
  <c r="AH73" i="47"/>
  <c r="AH71" i="47"/>
  <c r="AH67" i="47"/>
  <c r="AH63" i="47"/>
  <c r="AH60" i="47"/>
  <c r="AH54" i="47"/>
  <c r="AH51" i="47"/>
  <c r="AH47" i="47"/>
  <c r="AH43" i="47"/>
  <c r="AH39" i="47"/>
  <c r="AH35" i="47"/>
  <c r="AH31" i="47"/>
  <c r="AH27" i="47"/>
  <c r="AH23" i="47"/>
  <c r="AH19" i="47"/>
  <c r="AH15" i="47"/>
  <c r="AH11" i="47"/>
  <c r="AH7" i="47"/>
  <c r="AH3" i="47"/>
  <c r="AH99" i="47"/>
  <c r="AH94" i="47"/>
  <c r="AH90" i="47"/>
  <c r="AH86" i="47"/>
  <c r="AH82" i="47"/>
  <c r="AH79" i="47"/>
  <c r="AH72" i="47"/>
  <c r="AH69" i="47"/>
  <c r="AH66" i="47"/>
  <c r="AH62" i="47"/>
  <c r="AH58" i="47"/>
  <c r="AH55" i="47"/>
  <c r="AH50" i="47"/>
  <c r="AH46" i="47"/>
  <c r="AH42" i="47"/>
  <c r="AH38" i="47"/>
  <c r="AH34" i="47"/>
  <c r="AH30" i="47"/>
  <c r="AH26" i="47"/>
  <c r="AH22" i="47"/>
  <c r="AH18" i="47"/>
  <c r="AH14" i="47"/>
  <c r="AH10" i="47"/>
  <c r="AH6" i="47"/>
  <c r="AH54" i="26"/>
  <c r="AH68" i="26"/>
  <c r="AH65" i="26"/>
  <c r="AH61" i="26"/>
  <c r="AH58" i="26"/>
  <c r="AH53" i="26"/>
  <c r="AH49" i="26"/>
  <c r="AH45" i="26"/>
  <c r="AH41" i="26"/>
  <c r="AH37" i="26"/>
  <c r="AH33" i="26"/>
  <c r="AH29" i="26"/>
  <c r="AH25" i="26"/>
  <c r="AH21" i="26"/>
  <c r="AH17" i="26"/>
  <c r="AH13" i="26"/>
  <c r="AH9" i="26"/>
  <c r="AH5" i="26"/>
  <c r="AH2" i="26"/>
  <c r="AH62" i="26"/>
  <c r="AH50" i="26"/>
  <c r="AH42" i="26"/>
  <c r="AH34" i="26"/>
  <c r="AH30" i="26"/>
  <c r="AH26" i="26"/>
  <c r="AH18" i="26"/>
  <c r="AH10" i="26"/>
  <c r="AH69" i="26"/>
  <c r="AH64" i="26"/>
  <c r="AH60" i="26"/>
  <c r="AH56" i="26"/>
  <c r="AH52" i="26"/>
  <c r="AH48" i="26"/>
  <c r="AH44" i="26"/>
  <c r="AH40" i="26"/>
  <c r="AH36" i="26"/>
  <c r="AH32" i="26"/>
  <c r="AH28" i="26"/>
  <c r="AH24" i="26"/>
  <c r="AH20" i="26"/>
  <c r="AH16" i="26"/>
  <c r="AH12" i="26"/>
  <c r="AH8" i="26"/>
  <c r="AH4" i="26"/>
  <c r="AH67" i="26"/>
  <c r="AH59" i="26"/>
  <c r="AH46" i="26"/>
  <c r="AH38" i="26"/>
  <c r="AH22" i="26"/>
  <c r="AH14" i="26"/>
  <c r="AH6" i="26"/>
  <c r="AH66" i="26"/>
  <c r="AH63" i="26"/>
  <c r="AH57" i="26"/>
  <c r="AH55" i="26"/>
  <c r="AH51" i="26"/>
  <c r="AH47" i="26"/>
  <c r="AH43" i="26"/>
  <c r="AH39" i="26"/>
  <c r="AH35" i="26"/>
  <c r="AH31" i="26"/>
  <c r="AH27" i="26"/>
  <c r="AH23" i="26"/>
  <c r="AH19" i="26"/>
  <c r="AH15" i="26"/>
  <c r="AH11" i="26"/>
  <c r="AH7" i="26"/>
  <c r="AH135" i="24"/>
  <c r="AH72" i="24"/>
  <c r="AH170" i="24"/>
  <c r="AH221" i="24"/>
  <c r="AH217" i="24"/>
  <c r="AH202" i="24"/>
  <c r="AH71" i="24"/>
  <c r="AH133" i="24"/>
  <c r="AH86" i="24"/>
  <c r="AH219" i="24"/>
  <c r="AH37" i="24"/>
  <c r="AH110" i="24"/>
  <c r="AH30" i="24"/>
  <c r="AH91" i="24"/>
  <c r="AH53" i="24"/>
  <c r="AH223" i="24"/>
  <c r="AH119" i="24"/>
  <c r="AH93" i="24"/>
  <c r="AH166" i="24"/>
  <c r="AH226" i="24"/>
  <c r="AH92" i="24"/>
  <c r="AH144" i="24"/>
  <c r="AH34" i="24"/>
  <c r="AH78" i="24"/>
  <c r="AH194" i="24"/>
  <c r="AH33" i="24"/>
  <c r="AH88" i="24"/>
  <c r="AH162" i="24"/>
  <c r="AH198" i="24"/>
  <c r="AH174" i="24"/>
  <c r="AH126" i="24"/>
  <c r="AH209" i="24"/>
  <c r="AH203" i="24"/>
  <c r="AH38" i="24"/>
  <c r="AH165" i="24"/>
  <c r="AH42" i="24"/>
  <c r="AH139" i="24"/>
  <c r="AH55" i="24"/>
  <c r="AH150" i="24"/>
  <c r="AH115" i="24"/>
  <c r="AH25" i="24"/>
  <c r="AH20" i="24"/>
  <c r="AH77" i="24"/>
  <c r="AH160" i="24"/>
  <c r="AH96" i="24"/>
  <c r="AH3" i="24"/>
  <c r="AH178" i="24"/>
  <c r="AH181" i="24"/>
  <c r="AH106" i="24"/>
  <c r="AH18" i="24"/>
  <c r="AH199" i="24"/>
  <c r="AH130" i="24"/>
  <c r="AH94" i="24"/>
  <c r="AH83" i="24"/>
  <c r="AH169" i="24"/>
  <c r="AH6" i="24"/>
  <c r="AH56" i="24"/>
  <c r="AH201" i="24"/>
  <c r="AH66" i="24"/>
  <c r="AH220" i="24"/>
  <c r="AH154" i="24"/>
  <c r="AH196" i="24"/>
  <c r="AH95" i="24"/>
  <c r="AH131" i="24"/>
  <c r="AH14" i="24"/>
  <c r="AH80" i="24"/>
  <c r="AH161" i="24"/>
  <c r="AH81" i="24"/>
  <c r="AH57" i="24"/>
  <c r="AH176" i="24"/>
  <c r="AH76" i="24"/>
  <c r="AH17" i="24"/>
  <c r="AH208" i="24"/>
  <c r="AH49" i="24"/>
  <c r="AH224" i="24"/>
  <c r="AH48" i="24"/>
  <c r="AH101" i="24"/>
  <c r="AH98" i="24"/>
  <c r="AH158" i="24"/>
  <c r="AH145" i="24"/>
  <c r="AH61" i="24"/>
  <c r="AH52" i="24"/>
  <c r="AH8" i="24"/>
  <c r="AH29" i="24"/>
  <c r="AH211" i="24"/>
  <c r="AH85" i="24"/>
  <c r="AH204" i="24"/>
  <c r="AH31" i="24"/>
  <c r="AH113" i="24"/>
  <c r="AH87" i="24"/>
  <c r="AH46" i="24"/>
  <c r="AH41" i="24"/>
  <c r="AH136" i="24"/>
  <c r="AH69" i="24"/>
  <c r="AH84" i="24"/>
  <c r="AH82" i="24"/>
  <c r="AH44" i="24"/>
  <c r="AH164" i="24"/>
  <c r="AH188" i="24"/>
  <c r="AH149" i="24"/>
  <c r="AH50" i="24"/>
  <c r="AH182" i="24"/>
  <c r="AH171" i="24"/>
  <c r="AH102" i="24"/>
  <c r="AH114" i="24"/>
  <c r="AH39" i="24"/>
  <c r="AH24" i="24"/>
  <c r="AH43" i="24"/>
  <c r="AH127" i="24"/>
  <c r="AH90" i="24"/>
  <c r="AH157" i="24"/>
  <c r="AH210" i="24"/>
  <c r="AH60" i="24"/>
  <c r="AH146" i="24"/>
  <c r="AH7" i="24"/>
  <c r="AH172" i="24"/>
  <c r="AH167" i="24"/>
  <c r="AH148" i="24"/>
  <c r="AH73" i="24"/>
  <c r="AH111" i="24"/>
  <c r="AH153" i="24"/>
  <c r="AH100" i="24"/>
  <c r="AH67" i="24"/>
  <c r="AH206" i="24"/>
  <c r="AH5" i="24"/>
  <c r="AH65" i="24"/>
  <c r="AH27" i="24"/>
  <c r="AH54" i="24"/>
  <c r="AH11" i="24"/>
  <c r="AH120" i="24"/>
  <c r="AH191" i="24"/>
  <c r="AH222" i="24"/>
  <c r="AH132" i="24"/>
  <c r="AH21" i="24"/>
  <c r="AH99" i="24"/>
  <c r="AH143" i="24"/>
  <c r="AH177" i="24"/>
  <c r="AH163" i="24"/>
  <c r="AH225" i="24"/>
  <c r="AH79" i="24"/>
  <c r="AH62" i="24"/>
  <c r="AH205" i="24"/>
  <c r="AH141" i="24"/>
  <c r="AH122" i="24"/>
  <c r="AH189" i="24"/>
  <c r="AH213" i="24"/>
  <c r="AH142" i="24"/>
  <c r="AH109" i="24"/>
  <c r="AH10" i="24"/>
  <c r="AH156" i="24"/>
  <c r="AH13" i="24"/>
  <c r="AH112" i="24"/>
  <c r="AH108" i="24"/>
  <c r="AH216" i="24"/>
  <c r="AH193" i="24"/>
  <c r="AH124" i="24"/>
  <c r="AH151" i="24"/>
  <c r="AH2" i="24"/>
  <c r="AH187" i="24"/>
  <c r="AH229" i="24"/>
  <c r="AH183" i="24"/>
  <c r="AH74" i="24"/>
  <c r="AH185" i="24"/>
  <c r="AH214" i="24"/>
  <c r="AH179" i="24"/>
  <c r="AH4" i="24"/>
  <c r="AH116" i="24"/>
  <c r="AH12" i="24"/>
  <c r="AH35" i="24"/>
  <c r="AH104" i="24"/>
  <c r="AH75" i="24"/>
  <c r="AH137" i="24"/>
  <c r="AH16" i="24"/>
  <c r="AH117" i="24"/>
  <c r="AH180" i="24"/>
  <c r="AH45" i="24"/>
  <c r="AH40" i="24"/>
  <c r="AH227" i="24"/>
  <c r="AH159" i="24"/>
  <c r="AH128" i="24"/>
  <c r="AH134" i="24"/>
  <c r="AH215" i="24"/>
  <c r="AH63" i="24"/>
  <c r="AH9" i="24"/>
  <c r="AH47" i="24"/>
  <c r="AH228" i="24"/>
  <c r="AH68" i="24"/>
  <c r="AH212" i="24"/>
  <c r="AH19" i="24"/>
  <c r="AH28" i="24"/>
  <c r="AH118" i="24"/>
  <c r="AH138" i="24"/>
  <c r="AH105" i="24"/>
  <c r="AH32" i="24"/>
  <c r="AH195" i="24"/>
  <c r="AH152" i="24"/>
  <c r="AH36" i="24"/>
  <c r="AH192" i="24"/>
  <c r="AH197" i="24"/>
  <c r="AH23" i="24"/>
  <c r="AH218" i="24"/>
  <c r="AH70" i="24"/>
  <c r="AH173" i="24"/>
  <c r="AH129" i="24"/>
  <c r="AH155" i="24"/>
  <c r="AH186" i="24"/>
  <c r="AH207" i="24"/>
  <c r="AH121" i="24"/>
  <c r="AH175" i="24"/>
  <c r="AH97" i="24"/>
  <c r="AH140" i="24"/>
  <c r="AH123" i="24"/>
  <c r="AH190" i="24"/>
  <c r="AH147" i="24"/>
  <c r="AH15" i="24"/>
  <c r="AH64" i="24"/>
  <c r="AH125" i="24"/>
  <c r="AH59" i="24"/>
  <c r="AH184" i="24"/>
  <c r="AH103" i="24"/>
  <c r="AH168" i="24"/>
  <c r="AH200" i="24"/>
  <c r="AH107" i="24"/>
  <c r="AH58" i="24"/>
  <c r="AH89" i="24"/>
  <c r="AH51" i="24"/>
  <c r="AH22" i="24"/>
  <c r="AH12" i="14"/>
  <c r="AH6" i="14"/>
  <c r="AH26" i="14"/>
  <c r="AH9" i="14"/>
  <c r="AH45" i="14"/>
  <c r="AH5" i="14"/>
  <c r="AH46" i="14"/>
  <c r="AH11" i="14"/>
  <c r="AH3" i="14"/>
  <c r="AH29" i="14"/>
  <c r="AH40" i="14"/>
  <c r="AH28" i="14"/>
  <c r="AH39" i="14"/>
  <c r="AH23" i="14"/>
  <c r="AH21" i="14"/>
  <c r="AH16" i="14"/>
  <c r="AH27" i="14"/>
  <c r="AH10" i="14"/>
  <c r="AH41" i="14"/>
  <c r="AH2" i="14"/>
  <c r="AH8" i="14"/>
  <c r="AH44" i="14"/>
  <c r="AH22" i="14"/>
  <c r="AH17" i="14"/>
  <c r="AH31" i="14"/>
  <c r="AH43" i="14"/>
  <c r="AH30" i="14"/>
  <c r="AH18" i="14"/>
  <c r="AH32" i="14"/>
  <c r="AH38" i="14"/>
  <c r="AH35" i="14"/>
  <c r="AH24" i="14"/>
  <c r="AH42" i="14"/>
  <c r="AH43" i="12"/>
  <c r="AH39" i="12"/>
  <c r="AH35" i="12"/>
  <c r="AH31" i="12"/>
  <c r="AH27" i="12"/>
  <c r="AH23" i="12"/>
  <c r="AH19" i="12"/>
  <c r="AH15" i="12"/>
  <c r="AH11" i="12"/>
  <c r="AH7" i="12"/>
  <c r="AH3" i="12"/>
  <c r="AH42" i="12"/>
  <c r="AH38" i="12"/>
  <c r="AH34" i="12"/>
  <c r="AH30" i="12"/>
  <c r="AH26" i="12"/>
  <c r="AH22" i="12"/>
  <c r="AH18" i="12"/>
  <c r="AH14" i="12"/>
  <c r="AH10" i="12"/>
  <c r="AH6" i="12"/>
  <c r="AH27" i="11"/>
  <c r="AH6" i="11"/>
  <c r="AH26" i="11"/>
  <c r="AH24" i="11"/>
  <c r="AH15" i="11"/>
  <c r="AH5" i="11"/>
  <c r="AH18" i="11"/>
  <c r="AH10" i="11"/>
  <c r="AH11" i="11"/>
  <c r="AH9" i="11"/>
  <c r="AH14" i="11"/>
  <c r="AH16" i="11"/>
  <c r="AH2" i="11"/>
  <c r="AH7" i="11"/>
  <c r="AH22" i="11"/>
  <c r="AH20" i="11"/>
  <c r="AH23" i="11"/>
  <c r="AH4" i="11"/>
  <c r="AH8" i="11"/>
  <c r="AH21" i="8"/>
  <c r="AH5" i="8"/>
  <c r="AH17" i="8"/>
  <c r="AH13" i="8"/>
  <c r="AH25" i="8"/>
  <c r="AH9" i="8"/>
  <c r="AH5" i="9"/>
  <c r="AH2" i="9"/>
  <c r="AH10" i="9"/>
  <c r="AH11" i="9"/>
  <c r="AH15" i="9"/>
  <c r="AH13" i="9"/>
  <c r="AH8" i="9"/>
  <c r="AH16" i="9"/>
  <c r="AH20" i="9"/>
  <c r="AH17" i="9"/>
  <c r="AH19" i="9"/>
  <c r="AH18" i="9"/>
  <c r="AH12" i="9"/>
  <c r="AH34" i="6"/>
  <c r="AH39" i="6"/>
  <c r="AH25" i="6"/>
  <c r="AH43" i="6"/>
  <c r="AH20" i="6"/>
  <c r="AH32" i="6"/>
  <c r="AH23" i="6"/>
  <c r="AH5" i="6"/>
  <c r="AH11" i="6"/>
  <c r="AH35" i="6"/>
  <c r="AH18" i="6"/>
  <c r="AH13" i="6"/>
  <c r="AH42" i="6"/>
  <c r="AH12" i="6"/>
  <c r="AH38" i="6"/>
  <c r="AH2" i="6"/>
  <c r="AH41" i="6"/>
  <c r="AH16" i="6"/>
  <c r="AH22" i="6"/>
  <c r="AH31" i="6"/>
  <c r="AH37" i="6"/>
  <c r="AH14" i="6"/>
  <c r="AH6" i="6"/>
  <c r="AH28" i="6"/>
  <c r="AH8" i="6"/>
  <c r="AH17" i="6"/>
  <c r="AH27" i="6"/>
  <c r="AH4" i="6"/>
  <c r="AH3" i="6"/>
  <c r="AH10" i="6"/>
  <c r="AH15" i="6"/>
  <c r="AH7" i="6"/>
  <c r="AH29" i="6"/>
  <c r="AH21" i="6"/>
  <c r="AH36" i="6"/>
  <c r="AH26" i="6"/>
  <c r="AH33" i="6"/>
  <c r="AH24" i="6"/>
  <c r="AH30" i="6"/>
  <c r="AH9" i="6"/>
  <c r="AH40" i="6"/>
  <c r="AH24" i="8"/>
  <c r="AH20" i="8"/>
  <c r="AH16" i="8"/>
  <c r="AH12" i="8"/>
  <c r="AH8" i="8"/>
  <c r="AH4" i="8"/>
  <c r="AH27" i="8"/>
  <c r="AH23" i="8"/>
  <c r="AH19" i="8"/>
  <c r="AH15" i="8"/>
  <c r="AH11" i="8"/>
  <c r="AH7" i="8"/>
  <c r="AH3" i="8"/>
  <c r="AH26" i="8"/>
  <c r="AH22" i="8"/>
  <c r="AH18" i="8"/>
  <c r="AH14" i="8"/>
  <c r="AH10" i="8"/>
  <c r="AH6" i="8"/>
  <c r="AF10" i="119"/>
  <c r="AF13" i="119"/>
  <c r="AF6" i="119"/>
  <c r="AF9" i="119"/>
  <c r="AF11" i="119"/>
  <c r="AF8" i="119"/>
  <c r="AF12" i="119"/>
  <c r="AG10" i="119"/>
  <c r="AG13" i="119"/>
  <c r="AG6" i="119"/>
  <c r="AG9" i="119"/>
  <c r="AG11" i="119"/>
  <c r="AG8" i="119"/>
  <c r="AG12" i="119"/>
  <c r="AI10" i="119"/>
  <c r="AI13" i="119"/>
  <c r="AI6" i="119"/>
  <c r="AI9" i="119"/>
  <c r="AI8" i="119"/>
  <c r="AI12" i="119"/>
  <c r="AI11" i="119"/>
  <c r="AI4" i="119"/>
  <c r="AG4" i="119"/>
  <c r="AF4" i="119"/>
  <c r="AI14" i="119"/>
  <c r="AG14" i="119"/>
  <c r="AF14" i="119"/>
  <c r="AI7" i="119"/>
  <c r="AG7" i="119"/>
  <c r="AF7" i="119"/>
  <c r="AG2" i="119"/>
  <c r="AF2" i="119"/>
  <c r="AI3" i="119"/>
  <c r="AG3" i="119"/>
  <c r="AF3" i="119"/>
  <c r="AF6" i="22"/>
  <c r="AF8" i="22"/>
  <c r="AG6" i="22"/>
  <c r="AG8" i="22"/>
  <c r="AI6" i="22"/>
  <c r="AI4" i="118"/>
  <c r="AG4" i="118"/>
  <c r="AF4" i="118"/>
  <c r="AI3" i="118"/>
  <c r="AG3" i="118"/>
  <c r="AF3" i="118"/>
  <c r="AI2" i="118"/>
  <c r="AG2" i="118"/>
  <c r="AF2" i="118"/>
  <c r="AF12" i="81"/>
  <c r="AG12" i="81"/>
  <c r="AI12" i="81"/>
  <c r="AF21" i="59"/>
  <c r="AF34" i="59"/>
  <c r="AF32" i="59"/>
  <c r="AG21" i="59"/>
  <c r="AG34" i="59"/>
  <c r="AG32" i="59"/>
  <c r="AI21" i="59"/>
  <c r="AI34" i="59"/>
  <c r="AI32" i="59"/>
  <c r="AL17" i="120" l="1"/>
  <c r="AM17" i="120" s="1"/>
  <c r="AL7" i="120"/>
  <c r="AM7" i="120" s="1"/>
  <c r="AL3" i="120"/>
  <c r="AM3" i="120" s="1"/>
  <c r="AG5" i="118"/>
  <c r="AL4" i="118" s="1"/>
  <c r="AM4" i="118" s="1"/>
  <c r="AF5" i="118"/>
  <c r="AJ2" i="118" s="1"/>
  <c r="AF15" i="119"/>
  <c r="AJ5" i="119" s="1"/>
  <c r="AK5" i="119" s="1"/>
  <c r="AG15" i="119"/>
  <c r="AL5" i="119" s="1"/>
  <c r="AM5" i="119" s="1"/>
  <c r="AI2" i="119"/>
  <c r="AI15" i="119" s="1"/>
  <c r="AH15" i="119"/>
  <c r="AJ16" i="120"/>
  <c r="AK16" i="120" s="1"/>
  <c r="AJ8" i="120"/>
  <c r="AK8" i="120" s="1"/>
  <c r="AJ14" i="120"/>
  <c r="AK14" i="120" s="1"/>
  <c r="AJ13" i="120"/>
  <c r="AK13" i="120" s="1"/>
  <c r="AJ18" i="120"/>
  <c r="AK18" i="120" s="1"/>
  <c r="AJ2" i="120"/>
  <c r="AK2" i="120" s="1"/>
  <c r="AL2" i="120"/>
  <c r="AH50" i="28"/>
  <c r="AH14" i="22"/>
  <c r="AH39" i="52"/>
  <c r="AH34" i="82"/>
  <c r="AH28" i="45"/>
  <c r="AI6" i="45"/>
  <c r="AH50" i="13"/>
  <c r="AI5" i="13"/>
  <c r="AH181" i="46"/>
  <c r="AH107" i="50"/>
  <c r="AH448" i="19"/>
  <c r="AH44" i="6"/>
  <c r="AH21" i="9"/>
  <c r="AI5" i="118"/>
  <c r="AL15" i="120"/>
  <c r="AM15" i="120" s="1"/>
  <c r="AL4" i="120"/>
  <c r="AM4" i="120" s="1"/>
  <c r="AL6" i="120"/>
  <c r="AM6" i="120" s="1"/>
  <c r="AL12" i="120"/>
  <c r="AM12" i="120" s="1"/>
  <c r="AJ15" i="120"/>
  <c r="AK15" i="120" s="1"/>
  <c r="AJ4" i="120"/>
  <c r="AK4" i="120" s="1"/>
  <c r="AJ6" i="120"/>
  <c r="AK6" i="120" s="1"/>
  <c r="AJ12" i="120"/>
  <c r="AK12" i="120" s="1"/>
  <c r="AJ11" i="120"/>
  <c r="AK11" i="120" s="1"/>
  <c r="AJ10" i="120"/>
  <c r="AK10" i="120" s="1"/>
  <c r="AJ9" i="120"/>
  <c r="AK9" i="120" s="1"/>
  <c r="AJ5" i="120"/>
  <c r="AK5" i="120" s="1"/>
  <c r="AM2" i="120"/>
  <c r="AJ17" i="120"/>
  <c r="AK17" i="120" s="1"/>
  <c r="AJ7" i="120"/>
  <c r="AK7" i="120" s="1"/>
  <c r="AL11" i="120"/>
  <c r="AM11" i="120" s="1"/>
  <c r="AL10" i="120"/>
  <c r="AM10" i="120" s="1"/>
  <c r="AL9" i="120"/>
  <c r="AM9" i="120" s="1"/>
  <c r="AL5" i="120"/>
  <c r="AM5" i="120" s="1"/>
  <c r="AL16" i="120"/>
  <c r="AM16" i="120" s="1"/>
  <c r="AL8" i="120"/>
  <c r="AM8" i="120" s="1"/>
  <c r="AL14" i="120"/>
  <c r="AM14" i="120" s="1"/>
  <c r="AL13" i="120"/>
  <c r="AM13" i="120" s="1"/>
  <c r="AH35" i="21"/>
  <c r="AH45" i="27"/>
  <c r="AH100" i="47"/>
  <c r="AH70" i="26"/>
  <c r="AH230" i="24"/>
  <c r="AH47" i="14"/>
  <c r="AH28" i="11"/>
  <c r="AH28" i="8"/>
  <c r="AF20" i="62"/>
  <c r="AG20" i="62"/>
  <c r="AI20" i="62"/>
  <c r="AF22" i="62"/>
  <c r="AG22" i="62"/>
  <c r="AI22" i="62"/>
  <c r="AF13" i="59"/>
  <c r="AF17" i="59"/>
  <c r="AF29" i="59"/>
  <c r="AG13" i="59"/>
  <c r="AG17" i="59"/>
  <c r="AG29" i="59"/>
  <c r="AI17" i="59"/>
  <c r="AI29" i="59"/>
  <c r="AI13" i="59"/>
  <c r="AF15" i="72"/>
  <c r="AF29" i="72"/>
  <c r="AG15" i="72"/>
  <c r="AG29" i="72"/>
  <c r="AI15" i="72"/>
  <c r="AI29" i="72"/>
  <c r="AJ4" i="118" l="1"/>
  <c r="AK4" i="118" s="1"/>
  <c r="AJ3" i="118"/>
  <c r="AK3" i="118" s="1"/>
  <c r="AJ9" i="119"/>
  <c r="AK9" i="119" s="1"/>
  <c r="AJ8" i="119"/>
  <c r="AK8" i="119" s="1"/>
  <c r="AJ4" i="119"/>
  <c r="AK4" i="119" s="1"/>
  <c r="AJ7" i="119"/>
  <c r="AK7" i="119" s="1"/>
  <c r="AJ2" i="119"/>
  <c r="AJ6" i="119"/>
  <c r="AK6" i="119" s="1"/>
  <c r="AJ11" i="119"/>
  <c r="AK11" i="119" s="1"/>
  <c r="AL12" i="119"/>
  <c r="AM12" i="119" s="1"/>
  <c r="AL10" i="119"/>
  <c r="AM10" i="119" s="1"/>
  <c r="AJ12" i="119"/>
  <c r="AK12" i="119" s="1"/>
  <c r="AL4" i="119"/>
  <c r="AM4" i="119" s="1"/>
  <c r="AL2" i="119"/>
  <c r="AJ10" i="119"/>
  <c r="AK10" i="119" s="1"/>
  <c r="AL8" i="119"/>
  <c r="AM8" i="119" s="1"/>
  <c r="AL6" i="119"/>
  <c r="AM6" i="119" s="1"/>
  <c r="AL14" i="119"/>
  <c r="AM14" i="119" s="1"/>
  <c r="AL3" i="119"/>
  <c r="AM3" i="119" s="1"/>
  <c r="AL11" i="119"/>
  <c r="AM11" i="119" s="1"/>
  <c r="AJ13" i="119"/>
  <c r="AK13" i="119" s="1"/>
  <c r="AL9" i="119"/>
  <c r="AM9" i="119" s="1"/>
  <c r="AJ14" i="119"/>
  <c r="AK14" i="119" s="1"/>
  <c r="AJ3" i="119"/>
  <c r="AK3" i="119" s="1"/>
  <c r="AL13" i="119"/>
  <c r="AM13" i="119" s="1"/>
  <c r="AL7" i="119"/>
  <c r="AM7" i="119" s="1"/>
  <c r="AJ5" i="118"/>
  <c r="AK2" i="118"/>
  <c r="AL3" i="118"/>
  <c r="AM3" i="118" s="1"/>
  <c r="AL2" i="118"/>
  <c r="AM2" i="119"/>
  <c r="AK2" i="119"/>
  <c r="AK15" i="119" s="1"/>
  <c r="AJ19" i="120"/>
  <c r="AL19" i="120"/>
  <c r="AG15" i="9"/>
  <c r="AF15" i="9"/>
  <c r="AI232" i="19"/>
  <c r="AF232" i="19"/>
  <c r="AG232" i="19"/>
  <c r="AF19" i="38"/>
  <c r="AF9" i="38"/>
  <c r="AG19" i="38"/>
  <c r="AG9" i="38"/>
  <c r="AI9" i="38"/>
  <c r="AI19" i="38"/>
  <c r="AF14" i="101"/>
  <c r="AG14" i="101"/>
  <c r="AI14" i="101"/>
  <c r="AF6" i="43"/>
  <c r="AF7" i="43"/>
  <c r="AG6" i="43"/>
  <c r="AG7" i="43"/>
  <c r="AI6" i="43"/>
  <c r="AI7" i="43"/>
  <c r="AF33" i="72"/>
  <c r="AG33" i="72"/>
  <c r="AI33" i="72"/>
  <c r="AF5" i="15"/>
  <c r="AF6" i="15"/>
  <c r="AF7" i="15"/>
  <c r="AG5" i="15"/>
  <c r="AG6" i="15"/>
  <c r="AG7" i="15"/>
  <c r="AI5" i="15"/>
  <c r="AI6" i="15"/>
  <c r="AI7" i="15"/>
  <c r="AF15" i="87"/>
  <c r="AF16" i="87"/>
  <c r="AG15" i="87"/>
  <c r="AG16" i="87"/>
  <c r="AI16" i="87"/>
  <c r="AI15" i="87"/>
  <c r="AK5" i="118" l="1"/>
  <c r="AM15" i="119"/>
  <c r="AL15" i="119"/>
  <c r="AJ15" i="119"/>
  <c r="AL5" i="118"/>
  <c r="AM2" i="118"/>
  <c r="AM5" i="118" s="1"/>
  <c r="AF7" i="88"/>
  <c r="AF4" i="88"/>
  <c r="AG7" i="88"/>
  <c r="AG4" i="88"/>
  <c r="AI7" i="88"/>
  <c r="AI4" i="88"/>
  <c r="AG5" i="117"/>
  <c r="AF5" i="117"/>
  <c r="AG3" i="117"/>
  <c r="AF3" i="117"/>
  <c r="AG2" i="117"/>
  <c r="AF2" i="117"/>
  <c r="AG4" i="117"/>
  <c r="AF4" i="117"/>
  <c r="AG3" i="112"/>
  <c r="AG4" i="112"/>
  <c r="AG5" i="112"/>
  <c r="AG6" i="112"/>
  <c r="AG7" i="112"/>
  <c r="AG8" i="112"/>
  <c r="AG9" i="112"/>
  <c r="AG10" i="112"/>
  <c r="AG11" i="112"/>
  <c r="AG12" i="112"/>
  <c r="AG13" i="112"/>
  <c r="AG14" i="112"/>
  <c r="AG15" i="112"/>
  <c r="AG16" i="112"/>
  <c r="AG17" i="112"/>
  <c r="AG18" i="112"/>
  <c r="AG19" i="112"/>
  <c r="AG20" i="112"/>
  <c r="AG21" i="112"/>
  <c r="AG22" i="112"/>
  <c r="AG23" i="112"/>
  <c r="AG24" i="112"/>
  <c r="AG25" i="112"/>
  <c r="AG26" i="112"/>
  <c r="AG27" i="112"/>
  <c r="AG28" i="112"/>
  <c r="AG29" i="112"/>
  <c r="AG30" i="112"/>
  <c r="AG31" i="112"/>
  <c r="AG32" i="112"/>
  <c r="AG33" i="112"/>
  <c r="AG34" i="112"/>
  <c r="AG35" i="112"/>
  <c r="AG36" i="112"/>
  <c r="AG37" i="112"/>
  <c r="AG38" i="112"/>
  <c r="AG39" i="112"/>
  <c r="AG40" i="112"/>
  <c r="AG41" i="112"/>
  <c r="AG42" i="112"/>
  <c r="AG43" i="112"/>
  <c r="AG44" i="112"/>
  <c r="AG45" i="112"/>
  <c r="AG46" i="112"/>
  <c r="AG47" i="112"/>
  <c r="AG48" i="112"/>
  <c r="AG49" i="112"/>
  <c r="AG50" i="112"/>
  <c r="AG51" i="112"/>
  <c r="AG52" i="112"/>
  <c r="AG53" i="112"/>
  <c r="AG54" i="112"/>
  <c r="AG55" i="112"/>
  <c r="AG56" i="112"/>
  <c r="AG57" i="112"/>
  <c r="AG58" i="112"/>
  <c r="AG59" i="112"/>
  <c r="AG60" i="112"/>
  <c r="AG61" i="112"/>
  <c r="AG62" i="112"/>
  <c r="AG63" i="112"/>
  <c r="AG64" i="112"/>
  <c r="AG65" i="112"/>
  <c r="AG66" i="112"/>
  <c r="AG67" i="112"/>
  <c r="AG68" i="112"/>
  <c r="AG69" i="112"/>
  <c r="AG70" i="112"/>
  <c r="AG71" i="112"/>
  <c r="AG72" i="112"/>
  <c r="AG73" i="112"/>
  <c r="AG74" i="112"/>
  <c r="AG75" i="112"/>
  <c r="AG76" i="112"/>
  <c r="AG77" i="112"/>
  <c r="AG78" i="112"/>
  <c r="AG5" i="114"/>
  <c r="AG4" i="114"/>
  <c r="AG3" i="114"/>
  <c r="AG2" i="114"/>
  <c r="AG6" i="114"/>
  <c r="AG2" i="115"/>
  <c r="AG6" i="115"/>
  <c r="AG4" i="115"/>
  <c r="AG5" i="115"/>
  <c r="AG3" i="115"/>
  <c r="AG7" i="115"/>
  <c r="AG8" i="115"/>
  <c r="AG4" i="116"/>
  <c r="AG5" i="116"/>
  <c r="AG10" i="116"/>
  <c r="AG7" i="116"/>
  <c r="AG12" i="116"/>
  <c r="AG11" i="116"/>
  <c r="AG9" i="116"/>
  <c r="AG8" i="116"/>
  <c r="AG6" i="116"/>
  <c r="AG3" i="116"/>
  <c r="AG2" i="108"/>
  <c r="AG3" i="108"/>
  <c r="AG4" i="108"/>
  <c r="AG5" i="108"/>
  <c r="AG6" i="108"/>
  <c r="AG7" i="108"/>
  <c r="AG8" i="108"/>
  <c r="AG9" i="108"/>
  <c r="AG10" i="108"/>
  <c r="AG11" i="108"/>
  <c r="AG12" i="108"/>
  <c r="AG13" i="108"/>
  <c r="AG14" i="108"/>
  <c r="AG15" i="108"/>
  <c r="AG16" i="108"/>
  <c r="AG17" i="108"/>
  <c r="AG18" i="108"/>
  <c r="AG19" i="108"/>
  <c r="AG20" i="108"/>
  <c r="AG21" i="108"/>
  <c r="AG22" i="108"/>
  <c r="AG23" i="108"/>
  <c r="AG24" i="108"/>
  <c r="AG25" i="108"/>
  <c r="AG26" i="108"/>
  <c r="AG27" i="108"/>
  <c r="AG28" i="108"/>
  <c r="AG29" i="108"/>
  <c r="AG30" i="108"/>
  <c r="AG31" i="108"/>
  <c r="AG32" i="108"/>
  <c r="AG33" i="108"/>
  <c r="AG34" i="108"/>
  <c r="AG35" i="108"/>
  <c r="AG36" i="108"/>
  <c r="AG37" i="108"/>
  <c r="AG38" i="108"/>
  <c r="AG39" i="108"/>
  <c r="AG40" i="108"/>
  <c r="AG41" i="108"/>
  <c r="AG42" i="108"/>
  <c r="AG43" i="108"/>
  <c r="AG44" i="108"/>
  <c r="AG45" i="108"/>
  <c r="AG47" i="108"/>
  <c r="AG49" i="108"/>
  <c r="AG50" i="108"/>
  <c r="AG51" i="108"/>
  <c r="AG52" i="108"/>
  <c r="AG53" i="108"/>
  <c r="AG54" i="108"/>
  <c r="AG55" i="108"/>
  <c r="AG56" i="108"/>
  <c r="AG57" i="108"/>
  <c r="AG58" i="108"/>
  <c r="AG59" i="108"/>
  <c r="AG60" i="108"/>
  <c r="AG61" i="108"/>
  <c r="AG63" i="108"/>
  <c r="AG62" i="108"/>
  <c r="AG64" i="108"/>
  <c r="AG65" i="108"/>
  <c r="AG66" i="108"/>
  <c r="AG67" i="108"/>
  <c r="AG69" i="108"/>
  <c r="AG70" i="108"/>
  <c r="AG71" i="108"/>
  <c r="AG72" i="108"/>
  <c r="AG73" i="108"/>
  <c r="AG74" i="108"/>
  <c r="AG75" i="108"/>
  <c r="AG76" i="108"/>
  <c r="AG77" i="108"/>
  <c r="AG78" i="108"/>
  <c r="AG79" i="108"/>
  <c r="AG80" i="108"/>
  <c r="AG81" i="108"/>
  <c r="AG82" i="108"/>
  <c r="AG83" i="108"/>
  <c r="AG84" i="108"/>
  <c r="AG85" i="108"/>
  <c r="AG86" i="108"/>
  <c r="AG87" i="108"/>
  <c r="AG88" i="108"/>
  <c r="AG89" i="108"/>
  <c r="AG91" i="108"/>
  <c r="AG90" i="108"/>
  <c r="AG92" i="108"/>
  <c r="AG93" i="108"/>
  <c r="AG95" i="108"/>
  <c r="AG94" i="108"/>
  <c r="AG96" i="108"/>
  <c r="AG97" i="108"/>
  <c r="AG98" i="108"/>
  <c r="AG99" i="108"/>
  <c r="AG102" i="108"/>
  <c r="AG100" i="108"/>
  <c r="AG101" i="108"/>
  <c r="AG103" i="108"/>
  <c r="AG104" i="108"/>
  <c r="AG106" i="108"/>
  <c r="AG105" i="108"/>
  <c r="AG108" i="108"/>
  <c r="AG107" i="108"/>
  <c r="AG109" i="108"/>
  <c r="AG110" i="108"/>
  <c r="AG111" i="108"/>
  <c r="AG112" i="108"/>
  <c r="AG113" i="108"/>
  <c r="AG114" i="108"/>
  <c r="AG115" i="108"/>
  <c r="AG116" i="108"/>
  <c r="AG117" i="108"/>
  <c r="AG119" i="108"/>
  <c r="AG118" i="108"/>
  <c r="AG120" i="108"/>
  <c r="AG121" i="108"/>
  <c r="AG122" i="108"/>
  <c r="AG123" i="108"/>
  <c r="AG124" i="108"/>
  <c r="AG125" i="108"/>
  <c r="AG126" i="108"/>
  <c r="AG127" i="108"/>
  <c r="AG130" i="108"/>
  <c r="AG128" i="108"/>
  <c r="AG129" i="108"/>
  <c r="AG132" i="108"/>
  <c r="AG131" i="108"/>
  <c r="AG133" i="108"/>
  <c r="AG134" i="108"/>
  <c r="AG136" i="108"/>
  <c r="AG135" i="108"/>
  <c r="AG137" i="108"/>
  <c r="AG138" i="108"/>
  <c r="AG139" i="108"/>
  <c r="AG140" i="108"/>
  <c r="AG143" i="108"/>
  <c r="AG141" i="108"/>
  <c r="AG142" i="108"/>
  <c r="AG145" i="108"/>
  <c r="AG144" i="108"/>
  <c r="AG147" i="108"/>
  <c r="AG146" i="108"/>
  <c r="AG149" i="108"/>
  <c r="AG148" i="108"/>
  <c r="AG150" i="108"/>
  <c r="AG153" i="108"/>
  <c r="AG152" i="108"/>
  <c r="AG151" i="108"/>
  <c r="AG154" i="108"/>
  <c r="AG156" i="108"/>
  <c r="AG155" i="108"/>
  <c r="AG157" i="108"/>
  <c r="AG158" i="108"/>
  <c r="AG159" i="108"/>
  <c r="AG160" i="108"/>
  <c r="AG161" i="108"/>
  <c r="AG162" i="108"/>
  <c r="AG163" i="108"/>
  <c r="AG164" i="108"/>
  <c r="AG166" i="108"/>
  <c r="AG165" i="108"/>
  <c r="AG167" i="108"/>
  <c r="AG168" i="108"/>
  <c r="AG169" i="108"/>
  <c r="AG170" i="108"/>
  <c r="AG172" i="108"/>
  <c r="AG171" i="108"/>
  <c r="AG173" i="108"/>
  <c r="AG174" i="108"/>
  <c r="AG176" i="108"/>
  <c r="AG175" i="108"/>
  <c r="AG177" i="108"/>
  <c r="AG178" i="108"/>
  <c r="AG48" i="108"/>
  <c r="AG68" i="108"/>
  <c r="AG46" i="108"/>
  <c r="AG13" i="110"/>
  <c r="AG29" i="110"/>
  <c r="AG17" i="110"/>
  <c r="AG33" i="110"/>
  <c r="AG19" i="110"/>
  <c r="AG5" i="110"/>
  <c r="AG4" i="110"/>
  <c r="AG6" i="110"/>
  <c r="AG11" i="110"/>
  <c r="AG7" i="110"/>
  <c r="AG20" i="110"/>
  <c r="AG25" i="110"/>
  <c r="AG2" i="110"/>
  <c r="AG28" i="110"/>
  <c r="AG30" i="110"/>
  <c r="AG22" i="110"/>
  <c r="AG15" i="110"/>
  <c r="AG27" i="110"/>
  <c r="AG16" i="110"/>
  <c r="AG18" i="110"/>
  <c r="AG14" i="110"/>
  <c r="AG21" i="110"/>
  <c r="AG8" i="110"/>
  <c r="AG32" i="110"/>
  <c r="AG9" i="110"/>
  <c r="AG23" i="110"/>
  <c r="AG31" i="110"/>
  <c r="AG26" i="110"/>
  <c r="AG3" i="110"/>
  <c r="AG10" i="110"/>
  <c r="AG24" i="110"/>
  <c r="AG12" i="110"/>
  <c r="AG15" i="91"/>
  <c r="AG13" i="91"/>
  <c r="AG20" i="91"/>
  <c r="AG7" i="91"/>
  <c r="AG10" i="91"/>
  <c r="AG14" i="91"/>
  <c r="AG11" i="91"/>
  <c r="AG19" i="91"/>
  <c r="AG4" i="91"/>
  <c r="AG3" i="91"/>
  <c r="AG17" i="91"/>
  <c r="AG12" i="91"/>
  <c r="AG8" i="91"/>
  <c r="AG6" i="91"/>
  <c r="AG16" i="91"/>
  <c r="AG5" i="91"/>
  <c r="AG18" i="91"/>
  <c r="AG2" i="91"/>
  <c r="AG9" i="91"/>
  <c r="AG2" i="106"/>
  <c r="AG3" i="105"/>
  <c r="AG4" i="105"/>
  <c r="AG6" i="105"/>
  <c r="AG5" i="105"/>
  <c r="AG7" i="105"/>
  <c r="AG8" i="105"/>
  <c r="AG9" i="105"/>
  <c r="AG10" i="105"/>
  <c r="AG11" i="105"/>
  <c r="AG2" i="105"/>
  <c r="AG2" i="104"/>
  <c r="AG3" i="104"/>
  <c r="AG4" i="104"/>
  <c r="AG5" i="104"/>
  <c r="AG2" i="100"/>
  <c r="AG3" i="100"/>
  <c r="AG4" i="100"/>
  <c r="AG5" i="100"/>
  <c r="AG6" i="100"/>
  <c r="AG7" i="100"/>
  <c r="AG9" i="100"/>
  <c r="AG10" i="100"/>
  <c r="AG11" i="100"/>
  <c r="AG8" i="100"/>
  <c r="AG2" i="109"/>
  <c r="AG3" i="107"/>
  <c r="AG4" i="107"/>
  <c r="AG5" i="107"/>
  <c r="AG6" i="107"/>
  <c r="AG7" i="107"/>
  <c r="AG8" i="107"/>
  <c r="AG9" i="107"/>
  <c r="AG10" i="107"/>
  <c r="AG11" i="107"/>
  <c r="AG12" i="107"/>
  <c r="AG13" i="107"/>
  <c r="AG14" i="107"/>
  <c r="AG16" i="107"/>
  <c r="AG15" i="107"/>
  <c r="AG2" i="10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2" i="7"/>
  <c r="AG3" i="99"/>
  <c r="AG4" i="99"/>
  <c r="AG5" i="99"/>
  <c r="AG6" i="99"/>
  <c r="AG7" i="99"/>
  <c r="AG8" i="99"/>
  <c r="AG9" i="99"/>
  <c r="AG10" i="99"/>
  <c r="AG11" i="99"/>
  <c r="AG12" i="99"/>
  <c r="AG13" i="99"/>
  <c r="AG14" i="99"/>
  <c r="AG15" i="99"/>
  <c r="AG16" i="99"/>
  <c r="AG17" i="99"/>
  <c r="AG18" i="99"/>
  <c r="AG19" i="99"/>
  <c r="AG20" i="99"/>
  <c r="AG21" i="99"/>
  <c r="AG22" i="99"/>
  <c r="AG23" i="99"/>
  <c r="AG24" i="99"/>
  <c r="AG25" i="99"/>
  <c r="AG26" i="99"/>
  <c r="AG27" i="99"/>
  <c r="AG29" i="99"/>
  <c r="AG30" i="99"/>
  <c r="AG31" i="99"/>
  <c r="AG32" i="99"/>
  <c r="AG33" i="99"/>
  <c r="AG34" i="99"/>
  <c r="AG35" i="99"/>
  <c r="AG36" i="99"/>
  <c r="AG37" i="99"/>
  <c r="AG38" i="99"/>
  <c r="AG39" i="99"/>
  <c r="AG40" i="99"/>
  <c r="AG41" i="99"/>
  <c r="AG42" i="99"/>
  <c r="AG43" i="99"/>
  <c r="AG44" i="99"/>
  <c r="AG45" i="99"/>
  <c r="AG46" i="99"/>
  <c r="AG47" i="99"/>
  <c r="AG48" i="99"/>
  <c r="AG49" i="99"/>
  <c r="AG50" i="99"/>
  <c r="AG51" i="99"/>
  <c r="AG52" i="99"/>
  <c r="AG53" i="99"/>
  <c r="AG54" i="99"/>
  <c r="AG55" i="99"/>
  <c r="AG56" i="99"/>
  <c r="AG57" i="99"/>
  <c r="AG58" i="99"/>
  <c r="AG59" i="99"/>
  <c r="AG60" i="99"/>
  <c r="AG61" i="99"/>
  <c r="AG62" i="99"/>
  <c r="AG63" i="99"/>
  <c r="AG64" i="99"/>
  <c r="AG65" i="99"/>
  <c r="AG66" i="99"/>
  <c r="AG67" i="99"/>
  <c r="AG68" i="99"/>
  <c r="AG69" i="99"/>
  <c r="AG70" i="99"/>
  <c r="AG71" i="99"/>
  <c r="AG72" i="99"/>
  <c r="AG73" i="99"/>
  <c r="AG74" i="99"/>
  <c r="AG76" i="99"/>
  <c r="AG75" i="99"/>
  <c r="AG77" i="99"/>
  <c r="AG78" i="99"/>
  <c r="AG79" i="99"/>
  <c r="AG80" i="99"/>
  <c r="AG81" i="99"/>
  <c r="AG82" i="99"/>
  <c r="AG83" i="99"/>
  <c r="AG84" i="99"/>
  <c r="AG85" i="99"/>
  <c r="AG86" i="99"/>
  <c r="AG87" i="99"/>
  <c r="AG90" i="99"/>
  <c r="AG89" i="99"/>
  <c r="AG88" i="99"/>
  <c r="AG92" i="99"/>
  <c r="AG93" i="99"/>
  <c r="AG94" i="99"/>
  <c r="AG91" i="99"/>
  <c r="AG96" i="99"/>
  <c r="AG95" i="99"/>
  <c r="AG97" i="99"/>
  <c r="AG100" i="99"/>
  <c r="AG101" i="99"/>
  <c r="AG99" i="99"/>
  <c r="AG98" i="99"/>
  <c r="AG103" i="99"/>
  <c r="AG102" i="99"/>
  <c r="AG104" i="99"/>
  <c r="AG105" i="99"/>
  <c r="AG2" i="99"/>
  <c r="AG2" i="98"/>
  <c r="AG4" i="98"/>
  <c r="AG5" i="98"/>
  <c r="AG6" i="98"/>
  <c r="AG3" i="98"/>
  <c r="AG2" i="97"/>
  <c r="AG3" i="97"/>
  <c r="AG3" i="94"/>
  <c r="AG4" i="94"/>
  <c r="AG5" i="94"/>
  <c r="AG6" i="94"/>
  <c r="AG7" i="94"/>
  <c r="AG8" i="94"/>
  <c r="AG9" i="94"/>
  <c r="AG10" i="94"/>
  <c r="AG11" i="94"/>
  <c r="AG12" i="94"/>
  <c r="AG13" i="94"/>
  <c r="AG14" i="94"/>
  <c r="AG15" i="94"/>
  <c r="AG16" i="94"/>
  <c r="AG17" i="94"/>
  <c r="AG18" i="94"/>
  <c r="AG19" i="94"/>
  <c r="AG20" i="94"/>
  <c r="AG21" i="94"/>
  <c r="AG22" i="94"/>
  <c r="AG23" i="94"/>
  <c r="AG24" i="94"/>
  <c r="AG25" i="94"/>
  <c r="AG26" i="94"/>
  <c r="AG27" i="94"/>
  <c r="AG28" i="94"/>
  <c r="AG29" i="94"/>
  <c r="AG30" i="94"/>
  <c r="AG31" i="94"/>
  <c r="AG32" i="94"/>
  <c r="AG33" i="94"/>
  <c r="AG34" i="94"/>
  <c r="AG35" i="94"/>
  <c r="AG36" i="94"/>
  <c r="AG37" i="94"/>
  <c r="AG38" i="94"/>
  <c r="AG39" i="94"/>
  <c r="AG40" i="94"/>
  <c r="AG41" i="94"/>
  <c r="AG42" i="94"/>
  <c r="AG43" i="94"/>
  <c r="AG44" i="94"/>
  <c r="AG45" i="94"/>
  <c r="AG46" i="94"/>
  <c r="AG47" i="94"/>
  <c r="AG48" i="94"/>
  <c r="AG49" i="94"/>
  <c r="AG50" i="94"/>
  <c r="AG51" i="94"/>
  <c r="AG52" i="94"/>
  <c r="AG53" i="94"/>
  <c r="AG54" i="94"/>
  <c r="AG55" i="94"/>
  <c r="AG56" i="94"/>
  <c r="AG57" i="94"/>
  <c r="AG58" i="94"/>
  <c r="AG59" i="94"/>
  <c r="AG60" i="94"/>
  <c r="AG61" i="94"/>
  <c r="AG62" i="94"/>
  <c r="AG63" i="94"/>
  <c r="AG64" i="94"/>
  <c r="AG65" i="94"/>
  <c r="AG66" i="94"/>
  <c r="AG67" i="94"/>
  <c r="AG68" i="94"/>
  <c r="AG69" i="94"/>
  <c r="AG70" i="94"/>
  <c r="AG71" i="94"/>
  <c r="AG72" i="94"/>
  <c r="AG73" i="94"/>
  <c r="AG74" i="94"/>
  <c r="AG75" i="94"/>
  <c r="AG76" i="94"/>
  <c r="AG77" i="94"/>
  <c r="AG78" i="94"/>
  <c r="AG79" i="94"/>
  <c r="AG80" i="94"/>
  <c r="AG81" i="94"/>
  <c r="AG82" i="94"/>
  <c r="AG83" i="94"/>
  <c r="AG84" i="94"/>
  <c r="AG85" i="94"/>
  <c r="AG86" i="94"/>
  <c r="AG87" i="94"/>
  <c r="AG88" i="94"/>
  <c r="AG89" i="94"/>
  <c r="AG90" i="94"/>
  <c r="AG91" i="94"/>
  <c r="AG2" i="94"/>
  <c r="AG3" i="90"/>
  <c r="AG4" i="90"/>
  <c r="AG5" i="90"/>
  <c r="AG6" i="90"/>
  <c r="AG7" i="90"/>
  <c r="AG8" i="90"/>
  <c r="AG2" i="90"/>
  <c r="AG23" i="89"/>
  <c r="AG9" i="89"/>
  <c r="AG10" i="89"/>
  <c r="AG29" i="89"/>
  <c r="AG19" i="89"/>
  <c r="AG27" i="89"/>
  <c r="AG12" i="89"/>
  <c r="AG24" i="89"/>
  <c r="AG2" i="89"/>
  <c r="AG21" i="89"/>
  <c r="AG18" i="89"/>
  <c r="AG22" i="89"/>
  <c r="AG28" i="89"/>
  <c r="AG31" i="89"/>
  <c r="AG3" i="89"/>
  <c r="AG7" i="89"/>
  <c r="AG11" i="89"/>
  <c r="AG17" i="89"/>
  <c r="AG4" i="89"/>
  <c r="AG20" i="89"/>
  <c r="AG16" i="89"/>
  <c r="AG6" i="89"/>
  <c r="AG13" i="89"/>
  <c r="AG32" i="89"/>
  <c r="AG5" i="89"/>
  <c r="AG25" i="89"/>
  <c r="AG8" i="89"/>
  <c r="AG30" i="89"/>
  <c r="AG26" i="89"/>
  <c r="AG14" i="89"/>
  <c r="AG15" i="89"/>
  <c r="AG6" i="86"/>
  <c r="AG3" i="86"/>
  <c r="AG8" i="86"/>
  <c r="AG2" i="86"/>
  <c r="AG11" i="86"/>
  <c r="AG10" i="86"/>
  <c r="AG7" i="86"/>
  <c r="AG15" i="86"/>
  <c r="AG16" i="86"/>
  <c r="AG14" i="86"/>
  <c r="AG12" i="86"/>
  <c r="AG4" i="86"/>
  <c r="AG13" i="86"/>
  <c r="AG9" i="86"/>
  <c r="AG5" i="86"/>
  <c r="AG3" i="111"/>
  <c r="AG4" i="111"/>
  <c r="AG5" i="111"/>
  <c r="AG6" i="111"/>
  <c r="AG7" i="111"/>
  <c r="AG8" i="111"/>
  <c r="AG9" i="111"/>
  <c r="AG10" i="111"/>
  <c r="AG11" i="111"/>
  <c r="AG12" i="111"/>
  <c r="AG13" i="111"/>
  <c r="AG14" i="111"/>
  <c r="AG15" i="111"/>
  <c r="AG16" i="111"/>
  <c r="AG17" i="111"/>
  <c r="AG18" i="111"/>
  <c r="AG19" i="111"/>
  <c r="AG20" i="111"/>
  <c r="AG21" i="111"/>
  <c r="AG22" i="111"/>
  <c r="AG23" i="111"/>
  <c r="AG24" i="111"/>
  <c r="AG25" i="111"/>
  <c r="AG26" i="111"/>
  <c r="AG27" i="111"/>
  <c r="AG28" i="111"/>
  <c r="AG30" i="111"/>
  <c r="AG29" i="111"/>
  <c r="AG31" i="111"/>
  <c r="AG32" i="111"/>
  <c r="AG33" i="111"/>
  <c r="AG34" i="111"/>
  <c r="AG35" i="111"/>
  <c r="AG37" i="111"/>
  <c r="AG36" i="111"/>
  <c r="AG38" i="111"/>
  <c r="AG39" i="111"/>
  <c r="AG40" i="111"/>
  <c r="AG41" i="111"/>
  <c r="AG42" i="111"/>
  <c r="AG43" i="111"/>
  <c r="AG44" i="111"/>
  <c r="AG45" i="111"/>
  <c r="AG47" i="111"/>
  <c r="AG48" i="111"/>
  <c r="AG46" i="111"/>
  <c r="AG49" i="111"/>
  <c r="AG50" i="111"/>
  <c r="AG51" i="111"/>
  <c r="AG52" i="111"/>
  <c r="AG53" i="111"/>
  <c r="AG54" i="111"/>
  <c r="AG55" i="111"/>
  <c r="AG56" i="111"/>
  <c r="AG57" i="111"/>
  <c r="AG58" i="111"/>
  <c r="AG60" i="111"/>
  <c r="AG61" i="111"/>
  <c r="AG59" i="111"/>
  <c r="AG62" i="111"/>
  <c r="AG63" i="111"/>
  <c r="AG2" i="111"/>
  <c r="AG15" i="84"/>
  <c r="AG4" i="84"/>
  <c r="AG17" i="84"/>
  <c r="AG21" i="84"/>
  <c r="AG3" i="84"/>
  <c r="AG23" i="84"/>
  <c r="AG24" i="84"/>
  <c r="AG16" i="84"/>
  <c r="AG12" i="84"/>
  <c r="AG18" i="84"/>
  <c r="AG22" i="84"/>
  <c r="AG2" i="84"/>
  <c r="AG6" i="84"/>
  <c r="AG7" i="84"/>
  <c r="AG11" i="84"/>
  <c r="AG8" i="84"/>
  <c r="AG13" i="84"/>
  <c r="AG10" i="84"/>
  <c r="AG5" i="84"/>
  <c r="AG19" i="84"/>
  <c r="AG14" i="84"/>
  <c r="AG2" i="88"/>
  <c r="AG3" i="88"/>
  <c r="AG5" i="88"/>
  <c r="AG6" i="88"/>
  <c r="AG21" i="83"/>
  <c r="AG26" i="83"/>
  <c r="AG3" i="83"/>
  <c r="AG9" i="83"/>
  <c r="AG13" i="83"/>
  <c r="AG27" i="83"/>
  <c r="AG20" i="83"/>
  <c r="AG8" i="83"/>
  <c r="AG15" i="83"/>
  <c r="AG10" i="83"/>
  <c r="AG19" i="83"/>
  <c r="AG4" i="83"/>
  <c r="AG23" i="83"/>
  <c r="AG2" i="83"/>
  <c r="AG24" i="83"/>
  <c r="AG16" i="83"/>
  <c r="AG11" i="83"/>
  <c r="AG18" i="83"/>
  <c r="AG22" i="83"/>
  <c r="AG17" i="83"/>
  <c r="AG25" i="83"/>
  <c r="AG6" i="83"/>
  <c r="AG12" i="83"/>
  <c r="AG7" i="83"/>
  <c r="AG14" i="83"/>
  <c r="AG3" i="81"/>
  <c r="AG7" i="81"/>
  <c r="AG8" i="81"/>
  <c r="AG9" i="81"/>
  <c r="AG10" i="81"/>
  <c r="AG4" i="81"/>
  <c r="AG6" i="81"/>
  <c r="AG5" i="81"/>
  <c r="AG11" i="81"/>
  <c r="AG2" i="81"/>
  <c r="AG3" i="103"/>
  <c r="AG4" i="103"/>
  <c r="AG5" i="103"/>
  <c r="AG2" i="103"/>
  <c r="AG3" i="54"/>
  <c r="AG6" i="54"/>
  <c r="AG5" i="54"/>
  <c r="AG8" i="54"/>
  <c r="AG4" i="54"/>
  <c r="AG14" i="54"/>
  <c r="AG10" i="54"/>
  <c r="AG13" i="54"/>
  <c r="AG9" i="54"/>
  <c r="AG7" i="54"/>
  <c r="AG11" i="54"/>
  <c r="AG12" i="54"/>
  <c r="AG2" i="54"/>
  <c r="AG5" i="102"/>
  <c r="AG4" i="102"/>
  <c r="AG3" i="102"/>
  <c r="AG2" i="102"/>
  <c r="AG2" i="101"/>
  <c r="AG6" i="101"/>
  <c r="AG4" i="101"/>
  <c r="AG8" i="101"/>
  <c r="AG9" i="101"/>
  <c r="AG11" i="101"/>
  <c r="AG10" i="101"/>
  <c r="AG5" i="101"/>
  <c r="AG16" i="101"/>
  <c r="AG7" i="101"/>
  <c r="AG12" i="101"/>
  <c r="AG15" i="101"/>
  <c r="AG13" i="101"/>
  <c r="AG3" i="101"/>
  <c r="AG3" i="80"/>
  <c r="AG5" i="80"/>
  <c r="AG6" i="80"/>
  <c r="AG7" i="80"/>
  <c r="AG8" i="80"/>
  <c r="AG2" i="80"/>
  <c r="AG3" i="79"/>
  <c r="AG4" i="79"/>
  <c r="AG5" i="79"/>
  <c r="AG6" i="79"/>
  <c r="AG7" i="79"/>
  <c r="AG8" i="79"/>
  <c r="AG9" i="79"/>
  <c r="AG10" i="79"/>
  <c r="AG11" i="79"/>
  <c r="AG12" i="79"/>
  <c r="AG13" i="79"/>
  <c r="AG14" i="79"/>
  <c r="AG15" i="79"/>
  <c r="AG16" i="79"/>
  <c r="AG17" i="79"/>
  <c r="AG18" i="79"/>
  <c r="AG19" i="79"/>
  <c r="AG20" i="79"/>
  <c r="AG21" i="79"/>
  <c r="AG22" i="79"/>
  <c r="AG23" i="79"/>
  <c r="AG24" i="79"/>
  <c r="AG25" i="79"/>
  <c r="AG26" i="79"/>
  <c r="AG27" i="79"/>
  <c r="AG28" i="79"/>
  <c r="AG29" i="79"/>
  <c r="AG30" i="79"/>
  <c r="AG31" i="79"/>
  <c r="AG32" i="79"/>
  <c r="AG33" i="79"/>
  <c r="AG34" i="79"/>
  <c r="AG35" i="79"/>
  <c r="AG36" i="79"/>
  <c r="AG37" i="79"/>
  <c r="AG38" i="79"/>
  <c r="AG39" i="79"/>
  <c r="AG40" i="79"/>
  <c r="AG41" i="79"/>
  <c r="AG42" i="79"/>
  <c r="AG43" i="79"/>
  <c r="AG44" i="79"/>
  <c r="AG45" i="79"/>
  <c r="AG46" i="79"/>
  <c r="AG47" i="79"/>
  <c r="AG48" i="79"/>
  <c r="AG49" i="79"/>
  <c r="AG50" i="79"/>
  <c r="AG51" i="79"/>
  <c r="AG52" i="79"/>
  <c r="AG53" i="79"/>
  <c r="AG54" i="79"/>
  <c r="AG55" i="79"/>
  <c r="AG56" i="79"/>
  <c r="AG57" i="79"/>
  <c r="AG58" i="79"/>
  <c r="AG59" i="79"/>
  <c r="AG60" i="79"/>
  <c r="AG61" i="79"/>
  <c r="AG62" i="79"/>
  <c r="AG63" i="79"/>
  <c r="AG64" i="79"/>
  <c r="AG65" i="79"/>
  <c r="AG66" i="79"/>
  <c r="AG67" i="79"/>
  <c r="AG69" i="79"/>
  <c r="AG68" i="79"/>
  <c r="AG70" i="79"/>
  <c r="AG71" i="79"/>
  <c r="AG72" i="79"/>
  <c r="AG73" i="79"/>
  <c r="AG74" i="79"/>
  <c r="AG75" i="79"/>
  <c r="AG76" i="79"/>
  <c r="AG77" i="79"/>
  <c r="AG78" i="79"/>
  <c r="AG79" i="79"/>
  <c r="AG80" i="79"/>
  <c r="AG81" i="79"/>
  <c r="AG82" i="79"/>
  <c r="AG83" i="79"/>
  <c r="AG84" i="79"/>
  <c r="AG85" i="79"/>
  <c r="AG86" i="79"/>
  <c r="AG87" i="79"/>
  <c r="AG88" i="79"/>
  <c r="AG89" i="79"/>
  <c r="AG90" i="79"/>
  <c r="AG91" i="79"/>
  <c r="AG92" i="79"/>
  <c r="AG93" i="79"/>
  <c r="AG94" i="79"/>
  <c r="AG95" i="79"/>
  <c r="AG96" i="79"/>
  <c r="AG97" i="79"/>
  <c r="AG98" i="79"/>
  <c r="AG99" i="79"/>
  <c r="AG100" i="79"/>
  <c r="AG101" i="79"/>
  <c r="AG102" i="79"/>
  <c r="AG104" i="79"/>
  <c r="AG105" i="79"/>
  <c r="AG103" i="79"/>
  <c r="AG106" i="79"/>
  <c r="AG108" i="79"/>
  <c r="AG107" i="79"/>
  <c r="AG109" i="79"/>
  <c r="AG110" i="79"/>
  <c r="AG111" i="79"/>
  <c r="AG112" i="79"/>
  <c r="AG113" i="79"/>
  <c r="AG114" i="79"/>
  <c r="AG115" i="79"/>
  <c r="AG122" i="79"/>
  <c r="AG121" i="79"/>
  <c r="AG119" i="79"/>
  <c r="AG118" i="79"/>
  <c r="AG116" i="79"/>
  <c r="AG117" i="79"/>
  <c r="AG120" i="79"/>
  <c r="AG124" i="79"/>
  <c r="AG123" i="79"/>
  <c r="AG125" i="79"/>
  <c r="AG127" i="79"/>
  <c r="AG126" i="79"/>
  <c r="AG128" i="79"/>
  <c r="AG129" i="79"/>
  <c r="AG130" i="79"/>
  <c r="AG131" i="79"/>
  <c r="AG132" i="79"/>
  <c r="AG134" i="79"/>
  <c r="AG135" i="79"/>
  <c r="AG133" i="79"/>
  <c r="AG138" i="79"/>
  <c r="AG139" i="79"/>
  <c r="AG137" i="79"/>
  <c r="AG136" i="79"/>
  <c r="AG140" i="79"/>
  <c r="AG141" i="79"/>
  <c r="AG142" i="79"/>
  <c r="AG145" i="79"/>
  <c r="AG147" i="79"/>
  <c r="AG144" i="79"/>
  <c r="AG146" i="79"/>
  <c r="AG143" i="79"/>
  <c r="AG149" i="79"/>
  <c r="AG148" i="79"/>
  <c r="AG152" i="79"/>
  <c r="AG151" i="79"/>
  <c r="AG150" i="79"/>
  <c r="AG153" i="79"/>
  <c r="AG155" i="79"/>
  <c r="AG156" i="79"/>
  <c r="AG154" i="79"/>
  <c r="AG157" i="79"/>
  <c r="AG158" i="79"/>
  <c r="AG160" i="79"/>
  <c r="AG159" i="79"/>
  <c r="AG164" i="79"/>
  <c r="AG163" i="79"/>
  <c r="AG161" i="79"/>
  <c r="AG162" i="79"/>
  <c r="AG169" i="79"/>
  <c r="AG165" i="79"/>
  <c r="AG168" i="79"/>
  <c r="AG166" i="79"/>
  <c r="AG167" i="79"/>
  <c r="AG170" i="79"/>
  <c r="AG171" i="79"/>
  <c r="AG2" i="79"/>
  <c r="AG3" i="78"/>
  <c r="AG4" i="78"/>
  <c r="AG5" i="78"/>
  <c r="AG6" i="78"/>
  <c r="AG7" i="78"/>
  <c r="AG8" i="78"/>
  <c r="AG9" i="78"/>
  <c r="AG10" i="78"/>
  <c r="AG11" i="78"/>
  <c r="AG12" i="78"/>
  <c r="AG13" i="78"/>
  <c r="AG14" i="78"/>
  <c r="AG15" i="78"/>
  <c r="AG16" i="78"/>
  <c r="AG17" i="78"/>
  <c r="AG18" i="78"/>
  <c r="AG19" i="78"/>
  <c r="AG20" i="78"/>
  <c r="AG21" i="78"/>
  <c r="AG22" i="78"/>
  <c r="AG23" i="78"/>
  <c r="AG24" i="78"/>
  <c r="AG25" i="78"/>
  <c r="AG26" i="78"/>
  <c r="AG27" i="78"/>
  <c r="AG28" i="78"/>
  <c r="AG29" i="78"/>
  <c r="AG30" i="78"/>
  <c r="AG31" i="78"/>
  <c r="AG32" i="78"/>
  <c r="AG33" i="78"/>
  <c r="AG34" i="78"/>
  <c r="AG35" i="78"/>
  <c r="AG36" i="78"/>
  <c r="AG37" i="78"/>
  <c r="AG38" i="78"/>
  <c r="AG39" i="78"/>
  <c r="AG40" i="78"/>
  <c r="AG41" i="78"/>
  <c r="AG42" i="78"/>
  <c r="AG43" i="78"/>
  <c r="AG44" i="78"/>
  <c r="AG45" i="78"/>
  <c r="AG46" i="78"/>
  <c r="AG47" i="78"/>
  <c r="AG48" i="78"/>
  <c r="AG49" i="78"/>
  <c r="AG50" i="78"/>
  <c r="AG51" i="78"/>
  <c r="AG52" i="78"/>
  <c r="AG53" i="78"/>
  <c r="AG54" i="78"/>
  <c r="AG55" i="78"/>
  <c r="AG56" i="78"/>
  <c r="AG57" i="78"/>
  <c r="AG58" i="78"/>
  <c r="AG59" i="78"/>
  <c r="AG60" i="78"/>
  <c r="AG61" i="78"/>
  <c r="AG62" i="78"/>
  <c r="AG63" i="78"/>
  <c r="AG64" i="78"/>
  <c r="AG65" i="78"/>
  <c r="AG66" i="78"/>
  <c r="AG67" i="78"/>
  <c r="AG68" i="78"/>
  <c r="AG69" i="78"/>
  <c r="AG70" i="78"/>
  <c r="AG71" i="78"/>
  <c r="AG73" i="78"/>
  <c r="AG72" i="78"/>
  <c r="AG74" i="78"/>
  <c r="AG75" i="78"/>
  <c r="AG76" i="78"/>
  <c r="AG77" i="78"/>
  <c r="AG78" i="78"/>
  <c r="AG79" i="78"/>
  <c r="AG80" i="78"/>
  <c r="AG81" i="78"/>
  <c r="AG82" i="78"/>
  <c r="AG83" i="78"/>
  <c r="AG84" i="78"/>
  <c r="AG85" i="78"/>
  <c r="AG86" i="78"/>
  <c r="AG87" i="78"/>
  <c r="AG88" i="78"/>
  <c r="AG90" i="78"/>
  <c r="AG89" i="78"/>
  <c r="AG91" i="78"/>
  <c r="AG92" i="78"/>
  <c r="AG93" i="78"/>
  <c r="AG94" i="78"/>
  <c r="AG95" i="78"/>
  <c r="AG96" i="78"/>
  <c r="AG97" i="78"/>
  <c r="AG98" i="78"/>
  <c r="AG99" i="78"/>
  <c r="AG100" i="78"/>
  <c r="AG101" i="78"/>
  <c r="AG103" i="78"/>
  <c r="AG102" i="78"/>
  <c r="AG104" i="78"/>
  <c r="AG105" i="78"/>
  <c r="AG106" i="78"/>
  <c r="AG107" i="78"/>
  <c r="AG110" i="78"/>
  <c r="AG111" i="78"/>
  <c r="AG109" i="78"/>
  <c r="AG108" i="78"/>
  <c r="AG112" i="78"/>
  <c r="AG114" i="78"/>
  <c r="AG113" i="78"/>
  <c r="AG115" i="78"/>
  <c r="AG116" i="78"/>
  <c r="AG117" i="78"/>
  <c r="AG118" i="78"/>
  <c r="AG119" i="78"/>
  <c r="AG121" i="78"/>
  <c r="AG120" i="78"/>
  <c r="AG123" i="78"/>
  <c r="AG122" i="78"/>
  <c r="AG124" i="78"/>
  <c r="AG125" i="78"/>
  <c r="AG126" i="78"/>
  <c r="AG127" i="78"/>
  <c r="AG129" i="78"/>
  <c r="AG132" i="78"/>
  <c r="AG130" i="78"/>
  <c r="AG128" i="78"/>
  <c r="AG131" i="78"/>
  <c r="AG133" i="78"/>
  <c r="AG136" i="78"/>
  <c r="AG135" i="78"/>
  <c r="AG134" i="78"/>
  <c r="AG137" i="78"/>
  <c r="AG139" i="78"/>
  <c r="AG140" i="78"/>
  <c r="AG138" i="78"/>
  <c r="AG142" i="78"/>
  <c r="AG141" i="78"/>
  <c r="AG143" i="78"/>
  <c r="AG144" i="78"/>
  <c r="AG145" i="78"/>
  <c r="AG147" i="78"/>
  <c r="AG146" i="78"/>
  <c r="AG149" i="78"/>
  <c r="AG148" i="78"/>
  <c r="AG150" i="78"/>
  <c r="AG151" i="78"/>
  <c r="AG153" i="78"/>
  <c r="AG152" i="78"/>
  <c r="AG154" i="78"/>
  <c r="AG155" i="78"/>
  <c r="AG157" i="78"/>
  <c r="AG156" i="78"/>
  <c r="AG158" i="78"/>
  <c r="AG159" i="78"/>
  <c r="AG164" i="78"/>
  <c r="AG160" i="78"/>
  <c r="AG161" i="78"/>
  <c r="AG165" i="78"/>
  <c r="AG162" i="78"/>
  <c r="AG163" i="78"/>
  <c r="AG166" i="78"/>
  <c r="AG167" i="78"/>
  <c r="AG168" i="78"/>
  <c r="AG169" i="78"/>
  <c r="AG170" i="78"/>
  <c r="AG171" i="78"/>
  <c r="AG174" i="78"/>
  <c r="AG172" i="78"/>
  <c r="AG173" i="78"/>
  <c r="AG177" i="78"/>
  <c r="AG175" i="78"/>
  <c r="AG178" i="78"/>
  <c r="AG176" i="78"/>
  <c r="AG179" i="78"/>
  <c r="AG2" i="78"/>
  <c r="AG3" i="76"/>
  <c r="AG4" i="76"/>
  <c r="AG66" i="76"/>
  <c r="AG26" i="76"/>
  <c r="AG12" i="76"/>
  <c r="AG16" i="76"/>
  <c r="AG49" i="76"/>
  <c r="AG38" i="76"/>
  <c r="AG50" i="76"/>
  <c r="AG75" i="76"/>
  <c r="AG67" i="76"/>
  <c r="AG68" i="76"/>
  <c r="AG47" i="76"/>
  <c r="AG72" i="76"/>
  <c r="AG28" i="76"/>
  <c r="AG56" i="76"/>
  <c r="AG25" i="76"/>
  <c r="AG77" i="76"/>
  <c r="AG8" i="76"/>
  <c r="AG53" i="76"/>
  <c r="AG31" i="76"/>
  <c r="AG9" i="76"/>
  <c r="AG79" i="76"/>
  <c r="AG44" i="76"/>
  <c r="AG39" i="76"/>
  <c r="AG69" i="76"/>
  <c r="AG37" i="76"/>
  <c r="AG14" i="76"/>
  <c r="AG52" i="76"/>
  <c r="AG7" i="76"/>
  <c r="AG62" i="76"/>
  <c r="AG57" i="76"/>
  <c r="AG24" i="76"/>
  <c r="AG46" i="76"/>
  <c r="AG58" i="76"/>
  <c r="AG40" i="76"/>
  <c r="AG27" i="76"/>
  <c r="AG48" i="76"/>
  <c r="AG42" i="76"/>
  <c r="AG35" i="76"/>
  <c r="AG70" i="76"/>
  <c r="AG11" i="76"/>
  <c r="AG15" i="76"/>
  <c r="AG61" i="76"/>
  <c r="AG36" i="76"/>
  <c r="AG81" i="76"/>
  <c r="AG22" i="76"/>
  <c r="AG55" i="76"/>
  <c r="AG32" i="76"/>
  <c r="AG20" i="76"/>
  <c r="AG19" i="76"/>
  <c r="AG45" i="76"/>
  <c r="AG65" i="76"/>
  <c r="AG63" i="76"/>
  <c r="AG21" i="76"/>
  <c r="AG73" i="76"/>
  <c r="AG34" i="76"/>
  <c r="AG54" i="76"/>
  <c r="AG33" i="76"/>
  <c r="AG2" i="76"/>
  <c r="AG76" i="76"/>
  <c r="AG10" i="76"/>
  <c r="AG80" i="76"/>
  <c r="AG64" i="76"/>
  <c r="AG59" i="76"/>
  <c r="AG74" i="76"/>
  <c r="AG60" i="76"/>
  <c r="AG30" i="76"/>
  <c r="AG51" i="76"/>
  <c r="AG18" i="76"/>
  <c r="AG71" i="76"/>
  <c r="AG43" i="76"/>
  <c r="AG5" i="76"/>
  <c r="AG23" i="76"/>
  <c r="AG13" i="76"/>
  <c r="AG6" i="76"/>
  <c r="AG41" i="76"/>
  <c r="AG78" i="76"/>
  <c r="AG3" i="74"/>
  <c r="AG4" i="74"/>
  <c r="AG5" i="74"/>
  <c r="AG6" i="74"/>
  <c r="AG7" i="74"/>
  <c r="AG8" i="74"/>
  <c r="AG9" i="74"/>
  <c r="AG10" i="74"/>
  <c r="AG11" i="74"/>
  <c r="AG12" i="74"/>
  <c r="AG13" i="74"/>
  <c r="AG14" i="74"/>
  <c r="AG15" i="74"/>
  <c r="AG16" i="74"/>
  <c r="AG20" i="74"/>
  <c r="AG22" i="74"/>
  <c r="AG23" i="74"/>
  <c r="AG24" i="74"/>
  <c r="AG25" i="74"/>
  <c r="AG26" i="74"/>
  <c r="AG2" i="74"/>
  <c r="AG3" i="73"/>
  <c r="AG4" i="73"/>
  <c r="AG5" i="73"/>
  <c r="AG6" i="73"/>
  <c r="AG7" i="73"/>
  <c r="AG8" i="73"/>
  <c r="AG9" i="73"/>
  <c r="AG10" i="73"/>
  <c r="AG11" i="73"/>
  <c r="AG12" i="73"/>
  <c r="AG13" i="73"/>
  <c r="AG14" i="73"/>
  <c r="AG15" i="73"/>
  <c r="AG16" i="73"/>
  <c r="AG17" i="73"/>
  <c r="AG18" i="73"/>
  <c r="AG19" i="73"/>
  <c r="AG20" i="73"/>
  <c r="AG21" i="73"/>
  <c r="AG22" i="73"/>
  <c r="AG23" i="73"/>
  <c r="AG24" i="73"/>
  <c r="AG25" i="73"/>
  <c r="AG26" i="73"/>
  <c r="AG2" i="73"/>
  <c r="AG24" i="85"/>
  <c r="AG19" i="85"/>
  <c r="AG17" i="85"/>
  <c r="AG22" i="85"/>
  <c r="AG14" i="85"/>
  <c r="AG3" i="85"/>
  <c r="AG28" i="85"/>
  <c r="AG21" i="85"/>
  <c r="AG15" i="85"/>
  <c r="AG13" i="85"/>
  <c r="AG11" i="85"/>
  <c r="AG4" i="85"/>
  <c r="AG2" i="85"/>
  <c r="AG6" i="85"/>
  <c r="AG20" i="85"/>
  <c r="AG12" i="85"/>
  <c r="AG27" i="85"/>
  <c r="AG9" i="85"/>
  <c r="AG7" i="85"/>
  <c r="AG8" i="85"/>
  <c r="AG29" i="85"/>
  <c r="AG16" i="85"/>
  <c r="AG30" i="85"/>
  <c r="AG10" i="85"/>
  <c r="AG23" i="85"/>
  <c r="AG25" i="85"/>
  <c r="AG26" i="85"/>
  <c r="AG18" i="85"/>
  <c r="AG5" i="85"/>
  <c r="AG3" i="72"/>
  <c r="AG4" i="72"/>
  <c r="AG5" i="72"/>
  <c r="AG6" i="72"/>
  <c r="AG7" i="72"/>
  <c r="AG8" i="72"/>
  <c r="AG9" i="72"/>
  <c r="AG10" i="72"/>
  <c r="AG11" i="72"/>
  <c r="AG12" i="72"/>
  <c r="AG13" i="72"/>
  <c r="AG14" i="72"/>
  <c r="AG16" i="72"/>
  <c r="AG17" i="72"/>
  <c r="AG18" i="72"/>
  <c r="AG19" i="72"/>
  <c r="AG20" i="72"/>
  <c r="AG21" i="72"/>
  <c r="AG22" i="72"/>
  <c r="AG23" i="72"/>
  <c r="AG24" i="72"/>
  <c r="AG25" i="72"/>
  <c r="AG26" i="72"/>
  <c r="AG27" i="72"/>
  <c r="AG28" i="72"/>
  <c r="AG30" i="72"/>
  <c r="AG31" i="72"/>
  <c r="AG32" i="72"/>
  <c r="AG34" i="72"/>
  <c r="AG35" i="72"/>
  <c r="AG36" i="72"/>
  <c r="AG37" i="72"/>
  <c r="AG38" i="72"/>
  <c r="AG39" i="72"/>
  <c r="AG2" i="72"/>
  <c r="AG3" i="71"/>
  <c r="AG4" i="71"/>
  <c r="AG8" i="71"/>
  <c r="AG5" i="71"/>
  <c r="AG7" i="71"/>
  <c r="AG6" i="71"/>
  <c r="AG10" i="71"/>
  <c r="AG9" i="71"/>
  <c r="AG11" i="71"/>
  <c r="AG12" i="71"/>
  <c r="AG14" i="71"/>
  <c r="AG13" i="71"/>
  <c r="AG2" i="71"/>
  <c r="AG3" i="75"/>
  <c r="AG4" i="75"/>
  <c r="AG5" i="75"/>
  <c r="AG6" i="75"/>
  <c r="AG7" i="75"/>
  <c r="AG8" i="75"/>
  <c r="AG9" i="75"/>
  <c r="AG10" i="75"/>
  <c r="AG11" i="75"/>
  <c r="AG12" i="75"/>
  <c r="AG13" i="75"/>
  <c r="AG14" i="75"/>
  <c r="AG15" i="75"/>
  <c r="AG16" i="75"/>
  <c r="AG17" i="75"/>
  <c r="AG18" i="75"/>
  <c r="AG19" i="75"/>
  <c r="AG20" i="75"/>
  <c r="AG21" i="75"/>
  <c r="AG22" i="75"/>
  <c r="AG23" i="75"/>
  <c r="AG24" i="75"/>
  <c r="AG25" i="75"/>
  <c r="AG26" i="75"/>
  <c r="AG27" i="75"/>
  <c r="AG28" i="75"/>
  <c r="AG29" i="75"/>
  <c r="AG30" i="75"/>
  <c r="AG31" i="75"/>
  <c r="AG32" i="75"/>
  <c r="AG33" i="75"/>
  <c r="AG34" i="75"/>
  <c r="AG35" i="75"/>
  <c r="AG36" i="75"/>
  <c r="AG37" i="75"/>
  <c r="AG38" i="75"/>
  <c r="AG39" i="75"/>
  <c r="AG40" i="75"/>
  <c r="AG41" i="75"/>
  <c r="AG42" i="75"/>
  <c r="AG43" i="75"/>
  <c r="AG44" i="75"/>
  <c r="AG45" i="75"/>
  <c r="AG46" i="75"/>
  <c r="AG47" i="75"/>
  <c r="AG48" i="75"/>
  <c r="AG49" i="75"/>
  <c r="AG50" i="75"/>
  <c r="AG51" i="75"/>
  <c r="AG52" i="75"/>
  <c r="AG53" i="75"/>
  <c r="AG54" i="75"/>
  <c r="AG55" i="75"/>
  <c r="AG56" i="75"/>
  <c r="AG57" i="75"/>
  <c r="AG58" i="75"/>
  <c r="AG59" i="75"/>
  <c r="AG60" i="75"/>
  <c r="AG61" i="75"/>
  <c r="AG62" i="75"/>
  <c r="AG64" i="75"/>
  <c r="AG65" i="75"/>
  <c r="AG66" i="75"/>
  <c r="AG67" i="75"/>
  <c r="AG68" i="75"/>
  <c r="AG69" i="75"/>
  <c r="AG70" i="75"/>
  <c r="AG71" i="75"/>
  <c r="AG72" i="75"/>
  <c r="AG2" i="75"/>
  <c r="AG3" i="68"/>
  <c r="AG5" i="68"/>
  <c r="AG4" i="68"/>
  <c r="AG9" i="68"/>
  <c r="AG10" i="68"/>
  <c r="AG8" i="68"/>
  <c r="AG11" i="68"/>
  <c r="AG6" i="68"/>
  <c r="AG7" i="68"/>
  <c r="AG2" i="68"/>
  <c r="AG2" i="67"/>
  <c r="AG3" i="67"/>
  <c r="AG4" i="67"/>
  <c r="AG6" i="67"/>
  <c r="AG10" i="67"/>
  <c r="AG9" i="67"/>
  <c r="AG11" i="67"/>
  <c r="AG8" i="67"/>
  <c r="AG7" i="67"/>
  <c r="AG5" i="67"/>
  <c r="AG7" i="66"/>
  <c r="AG8" i="66"/>
  <c r="AG9" i="66"/>
  <c r="AG10" i="66"/>
  <c r="AG11" i="66"/>
  <c r="AG12" i="66"/>
  <c r="AG13" i="66"/>
  <c r="AG14" i="66"/>
  <c r="AG15" i="66"/>
  <c r="AG16" i="66"/>
  <c r="AG17" i="66"/>
  <c r="AG18" i="66"/>
  <c r="AG19" i="66"/>
  <c r="AG20" i="66"/>
  <c r="AG3" i="66"/>
  <c r="AG4" i="66"/>
  <c r="AG5" i="66"/>
  <c r="AG6" i="66"/>
  <c r="AG2" i="66"/>
  <c r="AG7" i="65"/>
  <c r="AG33" i="65"/>
  <c r="AG2" i="65"/>
  <c r="AG16" i="65"/>
  <c r="AG10" i="65"/>
  <c r="AG30" i="65"/>
  <c r="AG37" i="65"/>
  <c r="AG14" i="65"/>
  <c r="AG41" i="65"/>
  <c r="AG5" i="65"/>
  <c r="AG25" i="65"/>
  <c r="AG39" i="65"/>
  <c r="AG24" i="65"/>
  <c r="AG3" i="65"/>
  <c r="AG20" i="65"/>
  <c r="AG12" i="65"/>
  <c r="AG22" i="65"/>
  <c r="AG8" i="65"/>
  <c r="AG26" i="65"/>
  <c r="AG27" i="65"/>
  <c r="AG35" i="65"/>
  <c r="AG28" i="65"/>
  <c r="AG38" i="65"/>
  <c r="AG18" i="65"/>
  <c r="AG11" i="65"/>
  <c r="AG6" i="65"/>
  <c r="AG9" i="65"/>
  <c r="AG15" i="65"/>
  <c r="AG40" i="65"/>
  <c r="AG34" i="65"/>
  <c r="AG19" i="65"/>
  <c r="AG36" i="65"/>
  <c r="AG29" i="65"/>
  <c r="AG17" i="65"/>
  <c r="AG4" i="65"/>
  <c r="AG21" i="65"/>
  <c r="AG32" i="65"/>
  <c r="AG23" i="65"/>
  <c r="AG13" i="65"/>
  <c r="AG31" i="65"/>
  <c r="AG97" i="64"/>
  <c r="AG84" i="64"/>
  <c r="AG123" i="64"/>
  <c r="AG153" i="64"/>
  <c r="AG41" i="64"/>
  <c r="AG146" i="64"/>
  <c r="AG105" i="64"/>
  <c r="AG75" i="64"/>
  <c r="AG122" i="64"/>
  <c r="AG145" i="64"/>
  <c r="AG22" i="64"/>
  <c r="AG26" i="64"/>
  <c r="AG131" i="64"/>
  <c r="AG143" i="64"/>
  <c r="AG62" i="64"/>
  <c r="AG102" i="64"/>
  <c r="AG124" i="64"/>
  <c r="AG77" i="64"/>
  <c r="AG93" i="64"/>
  <c r="AG57" i="64"/>
  <c r="AG110" i="64"/>
  <c r="AG157" i="64"/>
  <c r="AG73" i="64"/>
  <c r="AG74" i="64"/>
  <c r="AG112" i="64"/>
  <c r="AG91" i="64"/>
  <c r="AG135" i="64"/>
  <c r="AG89" i="64"/>
  <c r="AG29" i="64"/>
  <c r="AG101" i="64"/>
  <c r="AG49" i="64"/>
  <c r="AG51" i="64"/>
  <c r="AG13" i="64"/>
  <c r="AG118" i="64"/>
  <c r="AG39" i="64"/>
  <c r="AG37" i="64"/>
  <c r="AG136" i="64"/>
  <c r="AG152" i="64"/>
  <c r="AG103" i="64"/>
  <c r="AG107" i="64"/>
  <c r="AG53" i="64"/>
  <c r="AG43" i="64"/>
  <c r="AG148" i="64"/>
  <c r="AG126" i="64"/>
  <c r="AG27" i="64"/>
  <c r="AG95" i="64"/>
  <c r="AG8" i="64"/>
  <c r="AG11" i="64"/>
  <c r="AG140" i="64"/>
  <c r="AG121" i="64"/>
  <c r="AG17" i="64"/>
  <c r="AG76" i="64"/>
  <c r="AG35" i="64"/>
  <c r="AG61" i="64"/>
  <c r="AG32" i="64"/>
  <c r="AG108" i="64"/>
  <c r="AG54" i="64"/>
  <c r="AG9" i="64"/>
  <c r="AG142" i="64"/>
  <c r="AG104" i="64"/>
  <c r="AG20" i="64"/>
  <c r="AG10" i="64"/>
  <c r="AG119" i="64"/>
  <c r="AG134" i="64"/>
  <c r="AG16" i="64"/>
  <c r="AG64" i="64"/>
  <c r="AG83" i="64"/>
  <c r="AG67" i="64"/>
  <c r="AG38" i="64"/>
  <c r="AG151" i="64"/>
  <c r="AG55" i="64"/>
  <c r="AG24" i="64"/>
  <c r="AG85" i="64"/>
  <c r="AG138" i="64"/>
  <c r="AG90" i="64"/>
  <c r="AG34" i="64"/>
  <c r="AG4" i="64"/>
  <c r="AG128" i="64"/>
  <c r="AG23" i="64"/>
  <c r="AG60" i="64"/>
  <c r="AG71" i="64"/>
  <c r="AG92" i="64"/>
  <c r="AG129" i="64"/>
  <c r="AG42" i="64"/>
  <c r="AG30" i="64"/>
  <c r="AG12" i="64"/>
  <c r="AG28" i="64"/>
  <c r="AG98" i="64"/>
  <c r="AG63" i="64"/>
  <c r="AG3" i="64"/>
  <c r="AG19" i="64"/>
  <c r="AG69" i="64"/>
  <c r="AG87" i="64"/>
  <c r="AG81" i="64"/>
  <c r="AG58" i="64"/>
  <c r="AG132" i="64"/>
  <c r="AG125" i="64"/>
  <c r="AG50" i="64"/>
  <c r="AG36" i="64"/>
  <c r="AG52" i="64"/>
  <c r="AG15" i="64"/>
  <c r="AG114" i="64"/>
  <c r="AG141" i="64"/>
  <c r="AG100" i="64"/>
  <c r="AG120" i="64"/>
  <c r="AG59" i="64"/>
  <c r="AG65" i="64"/>
  <c r="AG155" i="64"/>
  <c r="AG113" i="64"/>
  <c r="AG5" i="64"/>
  <c r="AG147" i="64"/>
  <c r="AG144" i="64"/>
  <c r="AG40" i="64"/>
  <c r="AG80" i="64"/>
  <c r="AG137" i="64"/>
  <c r="AG116" i="64"/>
  <c r="AG109" i="64"/>
  <c r="AG31" i="64"/>
  <c r="AG79" i="64"/>
  <c r="AG46" i="64"/>
  <c r="AG72" i="64"/>
  <c r="AG154" i="64"/>
  <c r="AG115" i="64"/>
  <c r="AG111" i="64"/>
  <c r="AG99" i="64"/>
  <c r="AG156" i="64"/>
  <c r="AG96" i="64"/>
  <c r="AG25" i="64"/>
  <c r="AG48" i="64"/>
  <c r="AG44" i="64"/>
  <c r="AG56" i="64"/>
  <c r="AG2" i="64"/>
  <c r="AG133" i="64"/>
  <c r="AG94" i="64"/>
  <c r="AG149" i="64"/>
  <c r="AG127" i="64"/>
  <c r="AG86" i="64"/>
  <c r="AG47" i="64"/>
  <c r="AG14" i="64"/>
  <c r="AG78" i="64"/>
  <c r="AG130" i="64"/>
  <c r="AG82" i="64"/>
  <c r="AG139" i="64"/>
  <c r="AG33" i="64"/>
  <c r="AG66" i="64"/>
  <c r="AG117" i="64"/>
  <c r="AG68" i="64"/>
  <c r="AG7" i="64"/>
  <c r="AG106" i="64"/>
  <c r="AG150" i="64"/>
  <c r="AG45" i="64"/>
  <c r="AG70" i="64"/>
  <c r="AG18" i="64"/>
  <c r="AG21" i="64"/>
  <c r="AG6" i="64"/>
  <c r="AG88" i="64"/>
  <c r="AG2" i="87"/>
  <c r="AG3" i="87"/>
  <c r="AG4" i="87"/>
  <c r="AG5" i="87"/>
  <c r="AG6" i="87"/>
  <c r="AG9" i="87"/>
  <c r="AG10" i="87"/>
  <c r="AG12" i="87"/>
  <c r="AG13" i="87"/>
  <c r="AG14" i="87"/>
  <c r="AG7" i="87"/>
  <c r="AG8" i="87"/>
  <c r="AG11" i="87"/>
  <c r="AG22" i="63"/>
  <c r="AG16" i="63"/>
  <c r="AG25" i="63"/>
  <c r="AG23" i="63"/>
  <c r="AG7" i="63"/>
  <c r="AG18" i="63"/>
  <c r="AG26" i="63"/>
  <c r="AG28" i="63"/>
  <c r="AG10" i="63"/>
  <c r="AG5" i="63"/>
  <c r="AG8" i="63"/>
  <c r="AG20" i="63"/>
  <c r="AG27" i="63"/>
  <c r="AG17" i="63"/>
  <c r="AG24" i="63"/>
  <c r="AG11" i="63"/>
  <c r="AG2" i="63"/>
  <c r="AG3" i="63"/>
  <c r="AG4" i="63"/>
  <c r="AG6" i="63"/>
  <c r="AG14" i="63"/>
  <c r="AG9" i="63"/>
  <c r="AG12" i="63"/>
  <c r="AG21" i="63"/>
  <c r="AG13" i="63"/>
  <c r="AG15" i="63"/>
  <c r="AG19" i="63"/>
  <c r="AG12" i="62"/>
  <c r="AG19" i="62"/>
  <c r="AG15" i="62"/>
  <c r="AG5" i="62"/>
  <c r="AG8" i="62"/>
  <c r="AG2" i="62"/>
  <c r="AG10" i="62"/>
  <c r="AG3" i="62"/>
  <c r="AG18" i="62"/>
  <c r="AG9" i="62"/>
  <c r="AG4" i="62"/>
  <c r="AG14" i="62"/>
  <c r="AG13" i="62"/>
  <c r="AG7" i="62"/>
  <c r="AG25" i="62"/>
  <c r="AG6" i="62"/>
  <c r="AG16" i="62"/>
  <c r="AG21" i="62"/>
  <c r="AG11" i="62"/>
  <c r="AG24" i="62"/>
  <c r="AG23" i="62"/>
  <c r="AG17" i="62"/>
  <c r="AG22" i="61"/>
  <c r="AG12" i="61"/>
  <c r="AG16" i="61"/>
  <c r="AG11" i="61"/>
  <c r="AG25" i="61"/>
  <c r="AG28" i="61"/>
  <c r="AG23" i="61"/>
  <c r="AG8" i="61"/>
  <c r="AG29" i="61"/>
  <c r="AG13" i="61"/>
  <c r="AG6" i="61"/>
  <c r="AG19" i="61"/>
  <c r="AG26" i="61"/>
  <c r="AG14" i="61"/>
  <c r="AG2" i="61"/>
  <c r="AG3" i="61"/>
  <c r="AG24" i="61"/>
  <c r="AG18" i="61"/>
  <c r="AG30" i="61"/>
  <c r="AG21" i="61"/>
  <c r="AG4" i="61"/>
  <c r="AG10" i="61"/>
  <c r="AG7" i="61"/>
  <c r="AG5" i="61"/>
  <c r="AG9" i="61"/>
  <c r="AG17" i="61"/>
  <c r="AG27" i="61"/>
  <c r="AG15" i="61"/>
  <c r="AG20" i="61"/>
  <c r="AG12" i="55"/>
  <c r="AG6" i="55"/>
  <c r="AG14" i="55"/>
  <c r="AG17" i="55"/>
  <c r="AG3" i="55"/>
  <c r="AG5" i="55"/>
  <c r="AG4" i="55"/>
  <c r="AG18" i="55"/>
  <c r="AG2" i="55"/>
  <c r="AG13" i="55"/>
  <c r="AG8" i="55"/>
  <c r="AG16" i="55"/>
  <c r="AG10" i="55"/>
  <c r="AG9" i="55"/>
  <c r="AG11" i="55"/>
  <c r="AG7" i="55"/>
  <c r="AG15" i="55"/>
  <c r="AG3" i="41"/>
  <c r="AG4" i="41"/>
  <c r="AG5" i="41"/>
  <c r="AG6" i="41"/>
  <c r="AG7" i="41"/>
  <c r="AG8" i="41"/>
  <c r="AG10" i="41"/>
  <c r="AG11" i="41"/>
  <c r="AG12" i="41"/>
  <c r="AG13" i="41"/>
  <c r="AG14" i="41"/>
  <c r="AG15" i="41"/>
  <c r="AG16" i="41"/>
  <c r="AG18" i="41"/>
  <c r="AG19" i="41"/>
  <c r="AG20" i="41"/>
  <c r="AG21" i="41"/>
  <c r="AG22" i="41"/>
  <c r="AG23" i="41"/>
  <c r="AG24" i="41"/>
  <c r="AG2" i="41"/>
  <c r="AG2" i="58"/>
  <c r="AG3" i="58"/>
  <c r="AG4" i="58"/>
  <c r="AG5" i="58"/>
  <c r="AG6" i="58"/>
  <c r="AG7" i="58"/>
  <c r="AG8" i="58"/>
  <c r="AG9" i="58"/>
  <c r="AG10" i="58"/>
  <c r="AG11" i="58"/>
  <c r="AG12" i="58"/>
  <c r="AG13" i="58"/>
  <c r="AG14" i="58"/>
  <c r="AG15" i="58"/>
  <c r="AG17" i="58"/>
  <c r="AG18" i="58"/>
  <c r="AG19" i="58"/>
  <c r="AG20" i="58"/>
  <c r="AG21" i="58"/>
  <c r="AG22" i="58"/>
  <c r="AG24" i="58"/>
  <c r="AG25" i="58"/>
  <c r="AG26" i="58"/>
  <c r="AG27" i="58"/>
  <c r="AG28" i="58"/>
  <c r="AG29" i="58"/>
  <c r="AG30" i="58"/>
  <c r="AG31" i="58"/>
  <c r="AG32" i="58"/>
  <c r="AG34" i="58"/>
  <c r="AG33" i="58"/>
  <c r="AG35" i="58"/>
  <c r="AG36" i="58"/>
  <c r="AG37" i="58"/>
  <c r="AG38" i="58"/>
  <c r="AG39" i="58"/>
  <c r="AG40" i="58"/>
  <c r="AG41" i="58"/>
  <c r="AG42" i="58"/>
  <c r="AG43" i="58"/>
  <c r="AG44" i="58"/>
  <c r="AG3" i="57"/>
  <c r="AG6" i="57"/>
  <c r="AG14" i="57"/>
  <c r="AG12" i="57"/>
  <c r="AG10" i="57"/>
  <c r="AG4" i="57"/>
  <c r="AG11" i="57"/>
  <c r="AG5" i="57"/>
  <c r="AG13" i="57"/>
  <c r="AG8" i="57"/>
  <c r="AG2" i="57"/>
  <c r="AG7" i="57"/>
  <c r="AG9" i="57"/>
  <c r="AG3" i="59"/>
  <c r="AG5" i="59"/>
  <c r="AG6" i="59"/>
  <c r="AG7" i="59"/>
  <c r="AG8" i="59"/>
  <c r="AG9" i="59"/>
  <c r="AG10" i="59"/>
  <c r="AG11" i="59"/>
  <c r="AG12" i="59"/>
  <c r="AG14" i="59"/>
  <c r="AG15" i="59"/>
  <c r="AG16" i="59"/>
  <c r="AG18" i="59"/>
  <c r="AG20" i="59"/>
  <c r="AG22" i="59"/>
  <c r="AG23" i="59"/>
  <c r="AG24" i="59"/>
  <c r="AG25" i="59"/>
  <c r="AG26" i="59"/>
  <c r="AG27" i="59"/>
  <c r="AG28" i="59"/>
  <c r="AG30" i="59"/>
  <c r="AG31" i="59"/>
  <c r="AG19" i="59"/>
  <c r="AG4" i="59"/>
  <c r="AG2" i="59"/>
  <c r="AG3" i="53"/>
  <c r="AG4" i="53"/>
  <c r="AG5" i="53"/>
  <c r="AG6" i="53"/>
  <c r="AG2" i="53"/>
  <c r="AG2" i="44"/>
  <c r="AG3" i="44"/>
  <c r="AG4" i="44"/>
  <c r="AG5" i="44"/>
  <c r="AG6" i="44"/>
  <c r="AG7" i="44"/>
  <c r="AG8" i="44"/>
  <c r="AG9" i="44"/>
  <c r="AG10" i="44"/>
  <c r="AG11" i="44"/>
  <c r="AG12" i="44"/>
  <c r="AG13" i="44"/>
  <c r="AG14" i="44"/>
  <c r="AG15" i="44"/>
  <c r="AG16" i="44"/>
  <c r="AG17" i="44"/>
  <c r="AG18" i="44"/>
  <c r="AG19" i="44"/>
  <c r="AG20" i="44"/>
  <c r="AG21" i="44"/>
  <c r="AG22" i="44"/>
  <c r="AG23" i="44"/>
  <c r="AG24" i="44"/>
  <c r="AG25" i="44"/>
  <c r="AG26" i="44"/>
  <c r="AG27" i="44"/>
  <c r="AG28" i="44"/>
  <c r="AG29" i="44"/>
  <c r="AG2" i="15"/>
  <c r="AG3" i="15"/>
  <c r="AG4" i="15"/>
  <c r="AG2" i="77"/>
  <c r="AG3" i="77"/>
  <c r="AG4" i="77"/>
  <c r="AG5" i="77"/>
  <c r="AG6" i="77"/>
  <c r="AG7" i="77"/>
  <c r="AG8" i="77"/>
  <c r="AG9" i="77"/>
  <c r="AG10" i="77"/>
  <c r="AG11" i="77"/>
  <c r="AG12" i="77"/>
  <c r="AG13" i="77"/>
  <c r="AG14" i="77"/>
  <c r="AG15" i="77"/>
  <c r="AG16" i="77"/>
  <c r="AG17" i="77"/>
  <c r="AG18" i="77"/>
  <c r="AG19" i="77"/>
  <c r="AG20" i="77"/>
  <c r="AG21" i="77"/>
  <c r="AG22" i="77"/>
  <c r="AG23" i="77"/>
  <c r="AG24" i="77"/>
  <c r="AG25" i="77"/>
  <c r="AG26" i="77"/>
  <c r="AG27" i="77"/>
  <c r="AG28" i="77"/>
  <c r="AG29" i="77"/>
  <c r="AG30" i="77"/>
  <c r="AG31" i="77"/>
  <c r="AG32" i="77"/>
  <c r="AG33" i="77"/>
  <c r="AG34" i="77"/>
  <c r="AG35" i="77"/>
  <c r="AG36" i="77"/>
  <c r="AG37" i="77"/>
  <c r="AG38" i="77"/>
  <c r="AG39" i="77"/>
  <c r="AG40" i="77"/>
  <c r="AG41" i="77"/>
  <c r="AG42" i="77"/>
  <c r="AG43" i="77"/>
  <c r="AG44" i="77"/>
  <c r="AG45" i="77"/>
  <c r="AG46" i="77"/>
  <c r="AG47" i="77"/>
  <c r="AG48" i="77"/>
  <c r="AG49" i="77"/>
  <c r="AG50" i="77"/>
  <c r="AG51" i="77"/>
  <c r="AG52" i="77"/>
  <c r="AG53" i="77"/>
  <c r="AG54" i="77"/>
  <c r="AG55" i="77"/>
  <c r="AG56" i="77"/>
  <c r="AG57" i="77"/>
  <c r="AG58" i="77"/>
  <c r="AG59" i="77"/>
  <c r="AG60" i="77"/>
  <c r="AG61" i="77"/>
  <c r="AG62" i="77"/>
  <c r="AG63" i="77"/>
  <c r="AG64" i="77"/>
  <c r="AG65" i="77"/>
  <c r="AG66" i="77"/>
  <c r="AG67" i="77"/>
  <c r="AG68" i="77"/>
  <c r="AG69" i="77"/>
  <c r="AG70" i="77"/>
  <c r="AG71" i="77"/>
  <c r="AG72" i="77"/>
  <c r="AG73" i="77"/>
  <c r="AG76" i="77"/>
  <c r="AG74" i="77"/>
  <c r="AG75" i="77"/>
  <c r="AG77" i="77"/>
  <c r="AG79" i="77"/>
  <c r="AG78" i="77"/>
  <c r="AG80" i="77"/>
  <c r="AG81" i="77"/>
  <c r="AG82" i="77"/>
  <c r="AG2" i="43"/>
  <c r="AG4" i="43"/>
  <c r="AG3" i="43"/>
  <c r="AG5" i="43"/>
  <c r="AG2" i="42"/>
  <c r="AG3" i="42"/>
  <c r="AG4" i="42"/>
  <c r="AG5" i="42"/>
  <c r="AG6" i="42"/>
  <c r="AG7" i="42"/>
  <c r="AG8" i="42"/>
  <c r="AG9" i="42"/>
  <c r="AG11" i="42"/>
  <c r="AG10" i="42"/>
  <c r="AG12" i="42"/>
  <c r="AG13" i="42"/>
  <c r="AG2" i="56"/>
  <c r="AG3" i="56"/>
  <c r="AG4" i="56"/>
  <c r="AG5" i="56"/>
  <c r="AG6" i="56"/>
  <c r="AG7" i="56"/>
  <c r="AG8" i="56"/>
  <c r="AG9" i="56"/>
  <c r="AG10" i="56"/>
  <c r="AG11" i="56"/>
  <c r="AG12" i="56"/>
  <c r="AG13" i="56"/>
  <c r="AG15" i="56"/>
  <c r="AG14" i="56"/>
  <c r="AG16" i="56"/>
  <c r="AG13" i="40"/>
  <c r="AG9" i="40"/>
  <c r="AG6" i="40"/>
  <c r="AG21" i="40"/>
  <c r="AG4" i="40"/>
  <c r="AG5" i="40"/>
  <c r="AG22" i="40"/>
  <c r="AG19" i="40"/>
  <c r="AG24" i="40"/>
  <c r="AG25" i="40"/>
  <c r="AG18" i="40"/>
  <c r="AG23" i="40"/>
  <c r="AG11" i="40"/>
  <c r="AG2" i="40"/>
  <c r="AG20" i="40"/>
  <c r="AG7" i="40"/>
  <c r="AG15" i="40"/>
  <c r="AG14" i="40"/>
  <c r="AG8" i="40"/>
  <c r="AG10" i="40"/>
  <c r="AG17" i="40"/>
  <c r="AG3" i="40"/>
  <c r="AG12" i="40"/>
  <c r="AG16" i="40"/>
  <c r="AG2" i="70"/>
  <c r="AG3" i="70"/>
  <c r="AG4" i="70"/>
  <c r="AG5" i="70"/>
  <c r="AG6" i="70"/>
  <c r="AG7" i="70"/>
  <c r="AG8" i="70"/>
  <c r="AG9" i="70"/>
  <c r="AG10" i="70"/>
  <c r="AG11" i="70"/>
  <c r="AG12" i="70"/>
  <c r="AG13" i="70"/>
  <c r="AG14" i="70"/>
  <c r="AG15" i="70"/>
  <c r="AG16" i="70"/>
  <c r="AG17" i="70"/>
  <c r="AG19" i="70"/>
  <c r="AG18" i="70"/>
  <c r="AG20" i="70"/>
  <c r="AG21" i="70"/>
  <c r="AG22" i="70"/>
  <c r="AG23" i="70"/>
  <c r="AG24" i="70"/>
  <c r="AG25" i="70"/>
  <c r="AG26" i="70"/>
  <c r="AG27" i="70"/>
  <c r="AG28" i="70"/>
  <c r="AG29" i="70"/>
  <c r="AG30" i="70"/>
  <c r="AG31" i="70"/>
  <c r="AG32" i="70"/>
  <c r="AG33" i="70"/>
  <c r="AG34" i="70"/>
  <c r="AG35" i="70"/>
  <c r="AG36" i="70"/>
  <c r="AG37" i="70"/>
  <c r="AG38" i="70"/>
  <c r="AG39" i="70"/>
  <c r="AG40" i="70"/>
  <c r="AG41" i="70"/>
  <c r="AG42" i="70"/>
  <c r="AG43" i="70"/>
  <c r="AG45" i="70"/>
  <c r="AG44" i="70"/>
  <c r="AG46" i="70"/>
  <c r="AG47" i="70"/>
  <c r="AG48" i="70"/>
  <c r="AG49" i="70"/>
  <c r="AG50" i="70"/>
  <c r="AG51" i="70"/>
  <c r="AG52" i="70"/>
  <c r="AG53" i="70"/>
  <c r="AG54" i="70"/>
  <c r="AG23" i="38"/>
  <c r="AG14" i="38"/>
  <c r="AG18" i="38"/>
  <c r="AG26" i="38"/>
  <c r="AG13" i="38"/>
  <c r="AG5" i="38"/>
  <c r="AG28" i="38"/>
  <c r="AG2" i="38"/>
  <c r="AG29" i="38"/>
  <c r="AG25" i="38"/>
  <c r="AG15" i="38"/>
  <c r="AG4" i="38"/>
  <c r="AG7" i="38"/>
  <c r="AG6" i="38"/>
  <c r="AG10" i="38"/>
  <c r="AG27" i="38"/>
  <c r="AG16" i="38"/>
  <c r="AG3" i="38"/>
  <c r="AG11" i="38"/>
  <c r="AG22" i="38"/>
  <c r="AG17" i="38"/>
  <c r="AG21" i="38"/>
  <c r="AG12" i="38"/>
  <c r="AG8" i="38"/>
  <c r="AG24" i="38"/>
  <c r="AG20" i="38"/>
  <c r="AG2" i="92"/>
  <c r="AG3" i="92"/>
  <c r="AG5" i="92"/>
  <c r="AG4" i="92"/>
  <c r="AG6" i="92"/>
  <c r="AG7" i="92"/>
  <c r="AG8" i="92"/>
  <c r="AG12" i="92"/>
  <c r="AG11" i="92"/>
  <c r="AG9" i="92"/>
  <c r="AG16" i="92"/>
  <c r="AG18" i="92"/>
  <c r="AG13" i="92"/>
  <c r="AG17" i="92"/>
  <c r="AG15" i="92"/>
  <c r="AG10" i="92"/>
  <c r="AG14" i="92"/>
  <c r="AG19" i="92"/>
  <c r="AG25" i="36"/>
  <c r="AG26" i="36"/>
  <c r="AG33" i="36"/>
  <c r="AG9" i="36"/>
  <c r="AG28" i="36"/>
  <c r="AG22" i="36"/>
  <c r="AG24" i="36"/>
  <c r="AG10" i="36"/>
  <c r="AG16" i="36"/>
  <c r="AG14" i="36"/>
  <c r="AG21" i="36"/>
  <c r="AG17" i="36"/>
  <c r="AG15" i="36"/>
  <c r="AG5" i="36"/>
  <c r="AG3" i="36"/>
  <c r="AG31" i="36"/>
  <c r="AG12" i="36"/>
  <c r="AG23" i="36"/>
  <c r="AG18" i="36"/>
  <c r="AG11" i="36"/>
  <c r="AG7" i="36"/>
  <c r="AG4" i="36"/>
  <c r="AG19" i="36"/>
  <c r="AG34" i="36"/>
  <c r="AG6" i="36"/>
  <c r="AG27" i="36"/>
  <c r="AG20" i="36"/>
  <c r="AG29" i="36"/>
  <c r="AG35" i="36"/>
  <c r="AG30" i="36"/>
  <c r="AG32" i="36"/>
  <c r="AG13" i="36"/>
  <c r="AG8" i="36"/>
  <c r="AG2" i="36"/>
  <c r="AG2" i="35"/>
  <c r="AG4" i="35"/>
  <c r="AG3" i="35"/>
  <c r="AG6" i="35"/>
  <c r="AG5" i="35"/>
  <c r="AG10" i="35"/>
  <c r="AG9" i="35"/>
  <c r="AG7" i="35"/>
  <c r="AG11" i="35"/>
  <c r="AG8" i="35"/>
  <c r="AG17" i="35"/>
  <c r="AG12" i="35"/>
  <c r="AG24" i="35"/>
  <c r="AG47" i="35"/>
  <c r="AG21" i="35"/>
  <c r="AG15" i="35"/>
  <c r="AG13" i="35"/>
  <c r="AG16" i="35"/>
  <c r="AG20" i="35"/>
  <c r="AG32" i="35"/>
  <c r="AG28" i="35"/>
  <c r="AG19" i="35"/>
  <c r="AG30" i="35"/>
  <c r="AG18" i="35"/>
  <c r="AG22" i="35"/>
  <c r="AG23" i="35"/>
  <c r="AG39" i="35"/>
  <c r="AG31" i="35"/>
  <c r="AG40" i="35"/>
  <c r="AG33" i="35"/>
  <c r="AG26" i="35"/>
  <c r="AG34" i="35"/>
  <c r="AG35" i="35"/>
  <c r="AG29" i="35"/>
  <c r="AG49" i="35"/>
  <c r="AG37" i="35"/>
  <c r="AG25" i="35"/>
  <c r="AG42" i="35"/>
  <c r="AG45" i="35"/>
  <c r="AG38" i="35"/>
  <c r="AG46" i="35"/>
  <c r="AG51" i="35"/>
  <c r="AG41" i="35"/>
  <c r="AG36" i="35"/>
  <c r="AG48" i="35"/>
  <c r="AG43" i="35"/>
  <c r="AG44" i="35"/>
  <c r="AG14" i="35"/>
  <c r="AG32" i="37"/>
  <c r="AG16" i="37"/>
  <c r="AG4" i="37"/>
  <c r="AG18" i="37"/>
  <c r="AG19" i="37"/>
  <c r="AG8" i="37"/>
  <c r="AG24" i="37"/>
  <c r="AG34" i="37"/>
  <c r="AG35" i="37"/>
  <c r="AG36" i="37"/>
  <c r="AG11" i="37"/>
  <c r="AG9" i="37"/>
  <c r="AG12" i="37"/>
  <c r="AG37" i="37"/>
  <c r="AG23" i="37"/>
  <c r="AG28" i="37"/>
  <c r="AG30" i="37"/>
  <c r="AG3" i="37"/>
  <c r="AG26" i="37"/>
  <c r="AG13" i="37"/>
  <c r="AG14" i="37"/>
  <c r="AG21" i="37"/>
  <c r="AG29" i="37"/>
  <c r="AG38" i="37"/>
  <c r="AG33" i="37"/>
  <c r="AG17" i="37"/>
  <c r="AG15" i="37"/>
  <c r="AG5" i="37"/>
  <c r="AG27" i="37"/>
  <c r="AG20" i="37"/>
  <c r="AG10" i="37"/>
  <c r="AG7" i="37"/>
  <c r="AG22" i="37"/>
  <c r="AG6" i="37"/>
  <c r="AG2" i="37"/>
  <c r="AG31" i="37"/>
  <c r="AG25" i="37"/>
  <c r="AG2" i="93"/>
  <c r="AG2" i="39"/>
  <c r="AG2" i="33"/>
  <c r="AG37" i="32"/>
  <c r="AG25" i="32"/>
  <c r="AG43" i="32"/>
  <c r="AG2" i="32"/>
  <c r="AG34" i="32"/>
  <c r="AG19" i="32"/>
  <c r="AG78" i="32"/>
  <c r="AG55" i="32"/>
  <c r="AG59" i="32"/>
  <c r="AG9" i="32"/>
  <c r="AG56" i="32"/>
  <c r="AG45" i="32"/>
  <c r="AG52" i="32"/>
  <c r="AG51" i="32"/>
  <c r="AG75" i="32"/>
  <c r="AG77" i="32"/>
  <c r="AG13" i="32"/>
  <c r="AG70" i="32"/>
  <c r="AG31" i="32"/>
  <c r="AG3" i="32"/>
  <c r="AG48" i="32"/>
  <c r="AG60" i="32"/>
  <c r="AG58" i="32"/>
  <c r="AG23" i="32"/>
  <c r="AG41" i="32"/>
  <c r="AG74" i="32"/>
  <c r="AG36" i="32"/>
  <c r="AG44" i="32"/>
  <c r="AG35" i="32"/>
  <c r="AG54" i="32"/>
  <c r="AG10" i="32"/>
  <c r="AG47" i="32"/>
  <c r="AG21" i="32"/>
  <c r="AG79" i="32"/>
  <c r="AG33" i="32"/>
  <c r="AG68" i="32"/>
  <c r="AG61" i="32"/>
  <c r="AG6" i="32"/>
  <c r="AG15" i="32"/>
  <c r="AG11" i="32"/>
  <c r="AG7" i="32"/>
  <c r="AG12" i="32"/>
  <c r="AG5" i="32"/>
  <c r="AG39" i="32"/>
  <c r="AG29" i="32"/>
  <c r="AG17" i="32"/>
  <c r="AG24" i="32"/>
  <c r="AG73" i="32"/>
  <c r="AG72" i="32"/>
  <c r="AG49" i="32"/>
  <c r="AG40" i="32"/>
  <c r="AG30" i="32"/>
  <c r="AG63" i="32"/>
  <c r="AG28" i="32"/>
  <c r="AG27" i="32"/>
  <c r="AG67" i="32"/>
  <c r="AG69" i="32"/>
  <c r="AG20" i="32"/>
  <c r="AG4" i="32"/>
  <c r="AG57" i="32"/>
  <c r="AG62" i="32"/>
  <c r="AG65" i="32"/>
  <c r="AG76" i="32"/>
  <c r="AG46" i="32"/>
  <c r="AG64" i="32"/>
  <c r="AG66" i="32"/>
  <c r="AG50" i="32"/>
  <c r="AG14" i="32"/>
  <c r="AG38" i="32"/>
  <c r="AG32" i="32"/>
  <c r="AG53" i="32"/>
  <c r="AG16" i="32"/>
  <c r="AG42" i="32"/>
  <c r="AG26" i="32"/>
  <c r="AG22" i="32"/>
  <c r="AG8" i="32"/>
  <c r="AG71" i="32"/>
  <c r="AG18" i="32"/>
  <c r="AG2" i="31"/>
  <c r="AG3" i="31"/>
  <c r="AG4" i="31"/>
  <c r="AG2" i="30"/>
  <c r="AG3" i="30"/>
  <c r="AG5" i="30"/>
  <c r="AG6" i="30"/>
  <c r="AG4" i="30"/>
  <c r="AG7" i="30"/>
  <c r="AG2" i="29"/>
  <c r="AG3" i="29"/>
  <c r="AG4" i="29"/>
  <c r="AG5" i="29"/>
  <c r="AG7" i="29"/>
  <c r="AG8" i="29"/>
  <c r="AG9" i="29"/>
  <c r="AG11" i="29"/>
  <c r="AG12" i="29"/>
  <c r="AG13" i="29"/>
  <c r="AG14" i="29"/>
  <c r="AG15" i="29"/>
  <c r="AG16" i="29"/>
  <c r="AG18" i="29"/>
  <c r="AG19" i="29"/>
  <c r="AG20" i="29"/>
  <c r="AG22" i="29"/>
  <c r="AG23" i="29"/>
  <c r="AG24" i="29"/>
  <c r="AG25" i="29"/>
  <c r="AG28" i="29"/>
  <c r="AG29" i="29"/>
  <c r="AG30" i="29"/>
  <c r="AG31" i="29"/>
  <c r="AG33" i="29"/>
  <c r="AG34" i="29"/>
  <c r="AG35" i="29"/>
  <c r="AG36" i="29"/>
  <c r="AG37" i="29"/>
  <c r="AG38" i="29"/>
  <c r="AG41" i="29"/>
  <c r="AG43" i="29"/>
  <c r="AG45" i="29"/>
  <c r="AG46" i="29"/>
  <c r="AG47" i="29"/>
  <c r="AG48" i="29"/>
  <c r="AG49" i="29"/>
  <c r="AG51" i="29"/>
  <c r="AG52" i="29"/>
  <c r="AG54" i="29"/>
  <c r="AG55" i="29"/>
  <c r="AG56" i="29"/>
  <c r="AG58" i="29"/>
  <c r="AG59" i="29"/>
  <c r="AG60" i="29"/>
  <c r="AG61" i="29"/>
  <c r="AG62" i="29"/>
  <c r="AG63" i="29"/>
  <c r="AG64" i="29"/>
  <c r="AG66" i="29"/>
  <c r="AG67" i="29"/>
  <c r="AG68" i="29"/>
  <c r="AG69" i="29"/>
  <c r="AG70" i="29"/>
  <c r="AG71" i="29"/>
  <c r="AG72" i="29"/>
  <c r="AG73" i="29"/>
  <c r="AG74" i="29"/>
  <c r="AG75" i="29"/>
  <c r="AG76" i="29"/>
  <c r="AG78" i="29"/>
  <c r="AG77" i="29"/>
  <c r="AG80" i="29"/>
  <c r="AG79" i="29"/>
  <c r="AG82" i="29"/>
  <c r="AG83" i="29"/>
  <c r="AG84" i="29"/>
  <c r="AG86" i="29"/>
  <c r="AG87" i="29"/>
  <c r="AG90" i="29"/>
  <c r="AG88" i="29"/>
  <c r="AG93" i="29"/>
  <c r="AG91" i="29"/>
  <c r="AG92" i="29"/>
  <c r="AG95" i="29"/>
  <c r="AG94" i="29"/>
  <c r="AG96" i="29"/>
  <c r="AG97" i="29"/>
  <c r="AG98" i="29"/>
  <c r="AG100" i="29"/>
  <c r="AG99" i="29"/>
  <c r="AG50" i="29"/>
  <c r="AG65" i="29"/>
  <c r="AG57" i="29"/>
  <c r="AG26" i="29"/>
  <c r="AG40" i="29"/>
  <c r="AG85" i="29"/>
  <c r="AG6" i="29"/>
  <c r="AG27" i="29"/>
  <c r="AG89" i="29"/>
  <c r="AG42" i="29"/>
  <c r="AG81" i="29"/>
  <c r="AG17" i="29"/>
  <c r="AG53" i="29"/>
  <c r="AG10" i="29"/>
  <c r="AG49" i="28"/>
  <c r="AG33" i="28"/>
  <c r="AG16" i="28"/>
  <c r="AG18" i="28"/>
  <c r="AG37" i="28"/>
  <c r="AG3" i="28"/>
  <c r="AG4" i="28"/>
  <c r="AG34" i="28"/>
  <c r="AG44" i="28"/>
  <c r="AG40" i="28"/>
  <c r="AG42" i="28"/>
  <c r="AG46" i="28"/>
  <c r="AG11" i="28"/>
  <c r="AG14" i="28"/>
  <c r="AG12" i="28"/>
  <c r="AG17" i="28"/>
  <c r="AG35" i="28"/>
  <c r="AG39" i="28"/>
  <c r="AG15" i="28"/>
  <c r="AG7" i="28"/>
  <c r="AG2" i="28"/>
  <c r="AG19" i="28"/>
  <c r="AG36" i="28"/>
  <c r="AG23" i="28"/>
  <c r="AG45" i="28"/>
  <c r="AG41" i="28"/>
  <c r="AG21" i="28"/>
  <c r="AG22" i="28"/>
  <c r="AG32" i="28"/>
  <c r="AG47" i="28"/>
  <c r="AG38" i="28"/>
  <c r="AG25" i="28"/>
  <c r="AG31" i="28"/>
  <c r="AG28" i="28"/>
  <c r="AG10" i="28"/>
  <c r="AG9" i="28"/>
  <c r="AG8" i="28"/>
  <c r="AG48" i="28"/>
  <c r="AG30" i="28"/>
  <c r="AG5" i="28"/>
  <c r="AG13" i="28"/>
  <c r="AG29" i="28"/>
  <c r="AG27" i="28"/>
  <c r="AG24" i="28"/>
  <c r="AG20" i="28"/>
  <c r="AG26" i="28"/>
  <c r="AG6" i="28"/>
  <c r="AG43" i="28"/>
  <c r="AG23" i="23"/>
  <c r="AG8" i="23"/>
  <c r="AG4" i="23"/>
  <c r="AG5" i="23"/>
  <c r="AG20" i="23"/>
  <c r="AG10" i="23"/>
  <c r="AG17" i="23"/>
  <c r="AG14" i="23"/>
  <c r="AG11" i="23"/>
  <c r="AG18" i="23"/>
  <c r="AG7" i="23"/>
  <c r="AG24" i="23"/>
  <c r="AG21" i="23"/>
  <c r="AG16" i="23"/>
  <c r="AG13" i="23"/>
  <c r="AG6" i="23"/>
  <c r="AG15" i="23"/>
  <c r="AG3" i="23"/>
  <c r="AG2" i="23"/>
  <c r="AG2" i="25"/>
  <c r="AG3" i="25"/>
  <c r="AG4" i="25"/>
  <c r="AG5" i="25"/>
  <c r="AG6" i="25"/>
  <c r="AG7" i="25"/>
  <c r="AG9" i="25"/>
  <c r="AG10" i="25"/>
  <c r="AG11" i="25"/>
  <c r="AG12" i="25"/>
  <c r="AG13" i="25"/>
  <c r="AG14" i="25"/>
  <c r="AG15" i="25"/>
  <c r="AG16" i="25"/>
  <c r="AG18" i="25"/>
  <c r="AG19" i="25"/>
  <c r="AG21" i="25"/>
  <c r="AG22" i="25"/>
  <c r="AG23" i="25"/>
  <c r="AG24" i="25"/>
  <c r="AG25" i="25"/>
  <c r="AG17" i="25"/>
  <c r="AG20" i="25"/>
  <c r="AG8" i="25"/>
  <c r="AG2" i="22"/>
  <c r="AG3" i="22"/>
  <c r="AG4" i="22"/>
  <c r="AG5" i="22"/>
  <c r="AG7" i="22"/>
  <c r="AG9" i="22"/>
  <c r="AG11" i="22"/>
  <c r="AG12" i="22"/>
  <c r="AG13" i="22"/>
  <c r="AG8" i="51"/>
  <c r="AG23" i="51"/>
  <c r="AG17" i="51"/>
  <c r="AG14" i="51"/>
  <c r="AG6" i="51"/>
  <c r="AG21" i="51"/>
  <c r="AG4" i="51"/>
  <c r="AG26" i="51"/>
  <c r="AG7" i="51"/>
  <c r="AG13" i="51"/>
  <c r="AG10" i="51"/>
  <c r="AG2" i="51"/>
  <c r="AG20" i="51"/>
  <c r="AG19" i="51"/>
  <c r="AG28" i="51"/>
  <c r="AG5" i="51"/>
  <c r="AG3" i="51"/>
  <c r="AG18" i="51"/>
  <c r="AG11" i="51"/>
  <c r="AG12" i="51"/>
  <c r="AG25" i="51"/>
  <c r="AG22" i="51"/>
  <c r="AG9" i="51"/>
  <c r="AG15" i="51"/>
  <c r="AG16" i="51"/>
  <c r="AG24" i="51"/>
  <c r="AG27" i="51"/>
  <c r="AG2" i="48"/>
  <c r="AG3" i="48"/>
  <c r="AG4" i="48"/>
  <c r="AG5" i="48"/>
  <c r="AG6" i="48"/>
  <c r="AG7" i="48"/>
  <c r="AG8" i="48"/>
  <c r="AG9" i="48"/>
  <c r="AG10" i="48"/>
  <c r="AG12" i="48"/>
  <c r="AG13" i="48"/>
  <c r="AG14" i="48"/>
  <c r="AG15" i="48"/>
  <c r="AG16" i="48"/>
  <c r="AG17" i="48"/>
  <c r="AG18" i="48"/>
  <c r="AG19" i="48"/>
  <c r="AG21" i="48"/>
  <c r="AG20" i="48"/>
  <c r="AG22" i="48"/>
  <c r="AG23" i="48"/>
  <c r="AG24" i="48"/>
  <c r="AG25" i="48"/>
  <c r="AG26" i="48"/>
  <c r="AG27" i="48"/>
  <c r="AG28" i="48"/>
  <c r="AG29" i="48"/>
  <c r="AG30" i="48"/>
  <c r="AG31" i="48"/>
  <c r="AG32" i="48"/>
  <c r="AG24" i="52"/>
  <c r="AG22" i="52"/>
  <c r="AG27" i="52"/>
  <c r="AG21" i="52"/>
  <c r="AG5" i="52"/>
  <c r="AG2" i="52"/>
  <c r="AG6" i="52"/>
  <c r="AG37" i="52"/>
  <c r="AG11" i="52"/>
  <c r="AG17" i="52"/>
  <c r="AG32" i="52"/>
  <c r="AG30" i="52"/>
  <c r="AG36" i="52"/>
  <c r="AG10" i="52"/>
  <c r="AG3" i="52"/>
  <c r="AG4" i="52"/>
  <c r="AG25" i="52"/>
  <c r="AG34" i="52"/>
  <c r="AG16" i="52"/>
  <c r="AG31" i="52"/>
  <c r="AG35" i="52"/>
  <c r="AG38" i="52"/>
  <c r="AG12" i="52"/>
  <c r="AG5" i="21"/>
  <c r="AG16" i="21"/>
  <c r="AG14" i="21"/>
  <c r="AG27" i="21"/>
  <c r="AG9" i="21"/>
  <c r="AG8" i="21"/>
  <c r="AG31" i="21"/>
  <c r="AG23" i="21"/>
  <c r="AG19" i="21"/>
  <c r="AG25" i="21"/>
  <c r="AG18" i="21"/>
  <c r="AG28" i="21"/>
  <c r="AG2" i="21"/>
  <c r="AG6" i="21"/>
  <c r="AG10" i="21"/>
  <c r="AG21" i="21"/>
  <c r="AG12" i="21"/>
  <c r="AG26" i="21"/>
  <c r="AG7" i="21"/>
  <c r="AG22" i="21"/>
  <c r="AG15" i="21"/>
  <c r="AG17" i="21"/>
  <c r="AG11" i="21"/>
  <c r="AG34" i="21"/>
  <c r="AG3" i="21"/>
  <c r="AG33" i="21"/>
  <c r="AG13" i="21"/>
  <c r="AG32" i="21"/>
  <c r="AG29" i="21"/>
  <c r="AG24" i="21"/>
  <c r="AG4" i="21"/>
  <c r="AG20" i="21"/>
  <c r="AG30" i="21"/>
  <c r="AG29" i="82"/>
  <c r="AG19" i="82"/>
  <c r="AG15" i="82"/>
  <c r="AG11" i="82"/>
  <c r="AG23" i="82"/>
  <c r="AG18" i="82"/>
  <c r="AG25" i="82"/>
  <c r="AG10" i="82"/>
  <c r="AG17" i="82"/>
  <c r="AG7" i="82"/>
  <c r="AG9" i="82"/>
  <c r="AG24" i="82"/>
  <c r="AG28" i="82"/>
  <c r="AG2" i="82"/>
  <c r="AG30" i="82"/>
  <c r="AG16" i="82"/>
  <c r="AG6" i="82"/>
  <c r="AG33" i="82"/>
  <c r="AG8" i="82"/>
  <c r="AG26" i="82"/>
  <c r="AG21" i="82"/>
  <c r="AG27" i="82"/>
  <c r="AG12" i="82"/>
  <c r="AG14" i="82"/>
  <c r="AG5" i="82"/>
  <c r="AG3" i="82"/>
  <c r="AG32" i="82"/>
  <c r="AG31" i="82"/>
  <c r="AG20" i="82"/>
  <c r="AG22" i="82"/>
  <c r="AG13" i="82"/>
  <c r="AG4" i="82"/>
  <c r="AG29" i="27"/>
  <c r="AG15" i="27"/>
  <c r="AG24" i="27"/>
  <c r="AG19" i="27"/>
  <c r="AG18" i="27"/>
  <c r="AG39" i="27"/>
  <c r="AG11" i="27"/>
  <c r="AG33" i="27"/>
  <c r="AG30" i="27"/>
  <c r="AG3" i="27"/>
  <c r="AG14" i="27"/>
  <c r="AG9" i="27"/>
  <c r="AG43" i="27"/>
  <c r="AG36" i="27"/>
  <c r="AG22" i="27"/>
  <c r="AG40" i="27"/>
  <c r="AG23" i="27"/>
  <c r="AG35" i="27"/>
  <c r="AG28" i="27"/>
  <c r="AG4" i="27"/>
  <c r="AG6" i="27"/>
  <c r="AG21" i="27"/>
  <c r="AG8" i="27"/>
  <c r="AG12" i="27"/>
  <c r="AG10" i="27"/>
  <c r="AG41" i="27"/>
  <c r="AG7" i="27"/>
  <c r="AG13" i="27"/>
  <c r="AG31" i="27"/>
  <c r="AG42" i="27"/>
  <c r="AG20" i="27"/>
  <c r="AG27" i="27"/>
  <c r="AG16" i="27"/>
  <c r="AG17" i="27"/>
  <c r="AG44" i="27"/>
  <c r="AG37" i="27"/>
  <c r="AG25" i="27"/>
  <c r="AG32" i="27"/>
  <c r="AG38" i="27"/>
  <c r="AG26" i="27"/>
  <c r="AG34" i="27"/>
  <c r="AG2" i="27"/>
  <c r="AG5" i="27"/>
  <c r="AG2" i="45"/>
  <c r="AG3" i="45"/>
  <c r="AG4" i="45"/>
  <c r="AG5" i="45"/>
  <c r="AG6" i="45"/>
  <c r="AG7" i="45"/>
  <c r="AG8" i="45"/>
  <c r="AG9" i="45"/>
  <c r="AG10" i="45"/>
  <c r="AG11" i="45"/>
  <c r="AG12" i="45"/>
  <c r="AG13" i="45"/>
  <c r="AG14" i="45"/>
  <c r="AG15" i="45"/>
  <c r="AG16" i="45"/>
  <c r="AG17" i="45"/>
  <c r="AG18" i="45"/>
  <c r="AG19" i="45"/>
  <c r="AG20" i="45"/>
  <c r="AG21" i="45"/>
  <c r="AG22" i="45"/>
  <c r="AG23" i="45"/>
  <c r="AG24" i="45"/>
  <c r="AG25" i="45"/>
  <c r="AG27" i="45"/>
  <c r="AG26" i="45"/>
  <c r="AG2" i="13"/>
  <c r="AG3" i="13"/>
  <c r="AG4" i="13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9" i="13"/>
  <c r="AG28" i="13"/>
  <c r="AG30" i="13"/>
  <c r="AG31" i="13"/>
  <c r="AG32" i="13"/>
  <c r="AG33" i="13"/>
  <c r="AG34" i="13"/>
  <c r="AG35" i="13"/>
  <c r="AG36" i="13"/>
  <c r="AG37" i="13"/>
  <c r="AG38" i="13"/>
  <c r="AG40" i="13"/>
  <c r="AG39" i="13"/>
  <c r="AG41" i="13"/>
  <c r="AG42" i="13"/>
  <c r="AG43" i="13"/>
  <c r="AG44" i="13"/>
  <c r="AG45" i="13"/>
  <c r="AG46" i="13"/>
  <c r="AG47" i="13"/>
  <c r="AG48" i="13"/>
  <c r="AG49" i="13"/>
  <c r="AG3" i="20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8" i="20"/>
  <c r="AG57" i="20"/>
  <c r="AG59" i="20"/>
  <c r="AG60" i="20"/>
  <c r="AG61" i="20"/>
  <c r="AG62" i="20"/>
  <c r="AG63" i="20"/>
  <c r="AG64" i="20"/>
  <c r="AG65" i="20"/>
  <c r="AG66" i="20"/>
  <c r="AG2" i="20"/>
  <c r="AG3" i="47"/>
  <c r="AG46" i="47"/>
  <c r="AG83" i="47"/>
  <c r="AG95" i="47"/>
  <c r="AG63" i="47"/>
  <c r="AG93" i="47"/>
  <c r="AG97" i="47"/>
  <c r="AG85" i="47"/>
  <c r="AG38" i="47"/>
  <c r="AG79" i="47"/>
  <c r="AG99" i="47"/>
  <c r="AG14" i="47"/>
  <c r="AG96" i="47"/>
  <c r="AG2" i="47"/>
  <c r="AG19" i="47"/>
  <c r="AG8" i="47"/>
  <c r="AG11" i="47"/>
  <c r="AG5" i="47"/>
  <c r="AG74" i="47"/>
  <c r="AG22" i="47"/>
  <c r="AG18" i="47"/>
  <c r="AG48" i="47"/>
  <c r="AG39" i="47"/>
  <c r="AG28" i="47"/>
  <c r="AG17" i="47"/>
  <c r="AG60" i="47"/>
  <c r="AG57" i="47"/>
  <c r="AG4" i="47"/>
  <c r="AG10" i="47"/>
  <c r="AG56" i="47"/>
  <c r="AG27" i="47"/>
  <c r="AG21" i="47"/>
  <c r="AG78" i="47"/>
  <c r="AG86" i="47"/>
  <c r="AG82" i="47"/>
  <c r="AG9" i="47"/>
  <c r="AG64" i="47"/>
  <c r="AG35" i="47"/>
  <c r="AG94" i="47"/>
  <c r="AG55" i="47"/>
  <c r="AG92" i="47"/>
  <c r="AG40" i="47"/>
  <c r="AG24" i="47"/>
  <c r="AG43" i="47"/>
  <c r="AG80" i="47"/>
  <c r="AG52" i="47"/>
  <c r="AG87" i="47"/>
  <c r="AG23" i="47"/>
  <c r="AG26" i="47"/>
  <c r="AG58" i="47"/>
  <c r="AG75" i="47"/>
  <c r="AG12" i="47"/>
  <c r="AG44" i="47"/>
  <c r="AG66" i="47"/>
  <c r="AG20" i="47"/>
  <c r="AG88" i="47"/>
  <c r="AG37" i="47"/>
  <c r="AG70" i="47"/>
  <c r="AG69" i="47"/>
  <c r="AG47" i="47"/>
  <c r="AG67" i="47"/>
  <c r="AG65" i="47"/>
  <c r="AG62" i="47"/>
  <c r="AG71" i="47"/>
  <c r="AG41" i="47"/>
  <c r="AG36" i="47"/>
  <c r="AG33" i="47"/>
  <c r="AG84" i="47"/>
  <c r="AG59" i="47"/>
  <c r="AG50" i="47"/>
  <c r="AG53" i="47"/>
  <c r="AG76" i="47"/>
  <c r="AG72" i="47"/>
  <c r="AG61" i="47"/>
  <c r="AG29" i="47"/>
  <c r="AG6" i="47"/>
  <c r="AG89" i="47"/>
  <c r="AG15" i="47"/>
  <c r="AG54" i="47"/>
  <c r="AG91" i="47"/>
  <c r="AG98" i="47"/>
  <c r="AG16" i="47"/>
  <c r="AG49" i="47"/>
  <c r="AG51" i="47"/>
  <c r="AG32" i="47"/>
  <c r="AG30" i="47"/>
  <c r="AG73" i="47"/>
  <c r="AG13" i="47"/>
  <c r="AG31" i="47"/>
  <c r="AG34" i="47"/>
  <c r="AG81" i="47"/>
  <c r="AG90" i="47"/>
  <c r="AG42" i="47"/>
  <c r="AG7" i="47"/>
  <c r="AG25" i="47"/>
  <c r="AG68" i="47"/>
  <c r="AG77" i="47"/>
  <c r="AG45" i="47"/>
  <c r="AG42" i="26"/>
  <c r="AG51" i="26"/>
  <c r="AG47" i="26"/>
  <c r="AG67" i="26"/>
  <c r="AG25" i="26"/>
  <c r="AG8" i="26"/>
  <c r="AG65" i="26"/>
  <c r="AG58" i="26"/>
  <c r="AG69" i="26"/>
  <c r="AG2" i="26"/>
  <c r="AG28" i="26"/>
  <c r="AG15" i="26"/>
  <c r="AG40" i="26"/>
  <c r="AG4" i="26"/>
  <c r="AG16" i="26"/>
  <c r="AG33" i="26"/>
  <c r="AG29" i="26"/>
  <c r="AG55" i="26"/>
  <c r="AG41" i="26"/>
  <c r="AG49" i="26"/>
  <c r="AG48" i="26"/>
  <c r="AG26" i="26"/>
  <c r="AG32" i="26"/>
  <c r="AG5" i="26"/>
  <c r="AG44" i="26"/>
  <c r="AG43" i="26"/>
  <c r="AG24" i="26"/>
  <c r="AG7" i="26"/>
  <c r="AG31" i="26"/>
  <c r="AG10" i="26"/>
  <c r="AG34" i="26"/>
  <c r="AG52" i="26"/>
  <c r="AG35" i="26"/>
  <c r="AG59" i="26"/>
  <c r="AG61" i="26"/>
  <c r="AG21" i="26"/>
  <c r="AG23" i="26"/>
  <c r="AG6" i="26"/>
  <c r="AG56" i="26"/>
  <c r="AG63" i="26"/>
  <c r="AG36" i="26"/>
  <c r="AG14" i="26"/>
  <c r="AG37" i="26"/>
  <c r="AG22" i="26"/>
  <c r="AG20" i="26"/>
  <c r="AG9" i="26"/>
  <c r="AG13" i="26"/>
  <c r="AG66" i="26"/>
  <c r="AG64" i="26"/>
  <c r="AG45" i="26"/>
  <c r="AG18" i="26"/>
  <c r="AG60" i="26"/>
  <c r="AG53" i="26"/>
  <c r="AG39" i="26"/>
  <c r="AG11" i="26"/>
  <c r="AG57" i="26"/>
  <c r="AG50" i="26"/>
  <c r="AG12" i="26"/>
  <c r="AG3" i="26"/>
  <c r="AG30" i="26"/>
  <c r="AG19" i="26"/>
  <c r="AG68" i="26"/>
  <c r="AG54" i="26"/>
  <c r="AG38" i="26"/>
  <c r="AG27" i="26"/>
  <c r="AG62" i="26"/>
  <c r="AG17" i="26"/>
  <c r="AG46" i="26"/>
  <c r="AG55" i="24"/>
  <c r="AG160" i="24"/>
  <c r="AG18" i="24"/>
  <c r="AG52" i="24"/>
  <c r="AG150" i="24"/>
  <c r="AG96" i="24"/>
  <c r="AG199" i="24"/>
  <c r="AG8" i="24"/>
  <c r="AG115" i="24"/>
  <c r="AG3" i="24"/>
  <c r="AG130" i="24"/>
  <c r="AG29" i="24"/>
  <c r="AG25" i="24"/>
  <c r="AG178" i="24"/>
  <c r="AG94" i="24"/>
  <c r="AG211" i="24"/>
  <c r="AG20" i="24"/>
  <c r="AG181" i="24"/>
  <c r="AG83" i="24"/>
  <c r="AG85" i="24"/>
  <c r="AG77" i="24"/>
  <c r="AG106" i="24"/>
  <c r="AG169" i="24"/>
  <c r="AG204" i="24"/>
  <c r="AG22" i="24"/>
  <c r="AG19" i="24"/>
  <c r="AG6" i="24"/>
  <c r="AG31" i="24"/>
  <c r="AG13" i="24"/>
  <c r="AG26" i="24"/>
  <c r="AG56" i="24"/>
  <c r="AG113" i="24"/>
  <c r="AG51" i="24"/>
  <c r="AG212" i="24"/>
  <c r="AG201" i="24"/>
  <c r="AG87" i="24"/>
  <c r="AG156" i="24"/>
  <c r="AG139" i="24"/>
  <c r="AG66" i="24"/>
  <c r="AG46" i="24"/>
  <c r="AG89" i="24"/>
  <c r="AG68" i="24"/>
  <c r="AG220" i="24"/>
  <c r="AG41" i="24"/>
  <c r="AG10" i="24"/>
  <c r="AG42" i="24"/>
  <c r="AG154" i="24"/>
  <c r="AG136" i="24"/>
  <c r="AG58" i="24"/>
  <c r="AG228" i="24"/>
  <c r="AG196" i="24"/>
  <c r="AG69" i="24"/>
  <c r="AG109" i="24"/>
  <c r="AG165" i="24"/>
  <c r="AG95" i="24"/>
  <c r="AG84" i="24"/>
  <c r="AG107" i="24"/>
  <c r="AG47" i="24"/>
  <c r="AG131" i="24"/>
  <c r="AG82" i="24"/>
  <c r="AG142" i="24"/>
  <c r="AG38" i="24"/>
  <c r="AG14" i="24"/>
  <c r="AG44" i="24"/>
  <c r="AG200" i="24"/>
  <c r="AG9" i="24"/>
  <c r="AG80" i="24"/>
  <c r="AG164" i="24"/>
  <c r="AG213" i="24"/>
  <c r="AG203" i="24"/>
  <c r="AG161" i="24"/>
  <c r="AG188" i="24"/>
  <c r="AG168" i="24"/>
  <c r="AG63" i="24"/>
  <c r="AG81" i="24"/>
  <c r="AG149" i="24"/>
  <c r="AG189" i="24"/>
  <c r="AG209" i="24"/>
  <c r="AG57" i="24"/>
  <c r="AG50" i="24"/>
  <c r="AG103" i="24"/>
  <c r="AG215" i="24"/>
  <c r="AG176" i="24"/>
  <c r="AG182" i="24"/>
  <c r="AG122" i="24"/>
  <c r="AG126" i="24"/>
  <c r="AG76" i="24"/>
  <c r="AG171" i="24"/>
  <c r="AG184" i="24"/>
  <c r="AG134" i="24"/>
  <c r="AG17" i="24"/>
  <c r="AG102" i="24"/>
  <c r="AG141" i="24"/>
  <c r="AG174" i="24"/>
  <c r="AG208" i="24"/>
  <c r="AG114" i="24"/>
  <c r="AG59" i="24"/>
  <c r="AG128" i="24"/>
  <c r="AG49" i="24"/>
  <c r="AG39" i="24"/>
  <c r="AG205" i="24"/>
  <c r="AG198" i="24"/>
  <c r="AG224" i="24"/>
  <c r="AG24" i="24"/>
  <c r="AG125" i="24"/>
  <c r="AG159" i="24"/>
  <c r="AG48" i="24"/>
  <c r="AG43" i="24"/>
  <c r="AG62" i="24"/>
  <c r="AG162" i="24"/>
  <c r="AG101" i="24"/>
  <c r="AG127" i="24"/>
  <c r="AG64" i="24"/>
  <c r="AG227" i="24"/>
  <c r="AG98" i="24"/>
  <c r="AG90" i="24"/>
  <c r="AG79" i="24"/>
  <c r="AG88" i="24"/>
  <c r="AG158" i="24"/>
  <c r="AG157" i="24"/>
  <c r="AG15" i="24"/>
  <c r="AG40" i="24"/>
  <c r="AG145" i="24"/>
  <c r="AG210" i="24"/>
  <c r="AG225" i="24"/>
  <c r="AG33" i="24"/>
  <c r="AG61" i="24"/>
  <c r="AG60" i="24"/>
  <c r="AG147" i="24"/>
  <c r="AG45" i="24"/>
  <c r="AG163" i="24"/>
  <c r="AG194" i="24"/>
  <c r="AG190" i="24"/>
  <c r="AG180" i="24"/>
  <c r="AG177" i="24"/>
  <c r="AG78" i="24"/>
  <c r="AG123" i="24"/>
  <c r="AG117" i="24"/>
  <c r="AG143" i="24"/>
  <c r="AG34" i="24"/>
  <c r="AG140" i="24"/>
  <c r="AG16" i="24"/>
  <c r="AG99" i="24"/>
  <c r="AG144" i="24"/>
  <c r="AG97" i="24"/>
  <c r="AG137" i="24"/>
  <c r="AG21" i="24"/>
  <c r="AG92" i="24"/>
  <c r="AG175" i="24"/>
  <c r="AG75" i="24"/>
  <c r="AG132" i="24"/>
  <c r="AG226" i="24"/>
  <c r="AG121" i="24"/>
  <c r="AG104" i="24"/>
  <c r="AG222" i="24"/>
  <c r="AG166" i="24"/>
  <c r="AG207" i="24"/>
  <c r="AG35" i="24"/>
  <c r="AG191" i="24"/>
  <c r="AG93" i="24"/>
  <c r="AG186" i="24"/>
  <c r="AG12" i="24"/>
  <c r="AG120" i="24"/>
  <c r="AG119" i="24"/>
  <c r="AG155" i="24"/>
  <c r="AG116" i="24"/>
  <c r="AG11" i="24"/>
  <c r="AG223" i="24"/>
  <c r="AG129" i="24"/>
  <c r="AG4" i="24"/>
  <c r="AG54" i="24"/>
  <c r="AG53" i="24"/>
  <c r="AG173" i="24"/>
  <c r="AG179" i="24"/>
  <c r="AG27" i="24"/>
  <c r="AG91" i="24"/>
  <c r="AG70" i="24"/>
  <c r="AG214" i="24"/>
  <c r="AG65" i="24"/>
  <c r="AG30" i="24"/>
  <c r="AG218" i="24"/>
  <c r="AG185" i="24"/>
  <c r="AG5" i="24"/>
  <c r="AG110" i="24"/>
  <c r="AG23" i="24"/>
  <c r="AG74" i="24"/>
  <c r="AG206" i="24"/>
  <c r="AG37" i="24"/>
  <c r="AG197" i="24"/>
  <c r="AG183" i="24"/>
  <c r="AG67" i="24"/>
  <c r="AG219" i="24"/>
  <c r="AG192" i="24"/>
  <c r="AG229" i="24"/>
  <c r="AG100" i="24"/>
  <c r="AG86" i="24"/>
  <c r="AG36" i="24"/>
  <c r="AG187" i="24"/>
  <c r="AG153" i="24"/>
  <c r="AG133" i="24"/>
  <c r="AG152" i="24"/>
  <c r="AG2" i="24"/>
  <c r="AG111" i="24"/>
  <c r="AG71" i="24"/>
  <c r="AG195" i="24"/>
  <c r="AG151" i="24"/>
  <c r="AG73" i="24"/>
  <c r="AG202" i="24"/>
  <c r="AG32" i="24"/>
  <c r="AG124" i="24"/>
  <c r="AG148" i="24"/>
  <c r="AG217" i="24"/>
  <c r="AG105" i="24"/>
  <c r="AG193" i="24"/>
  <c r="AG167" i="24"/>
  <c r="AG221" i="24"/>
  <c r="AG138" i="24"/>
  <c r="AG216" i="24"/>
  <c r="AG172" i="24"/>
  <c r="AG170" i="24"/>
  <c r="AG118" i="24"/>
  <c r="AG108" i="24"/>
  <c r="AG7" i="24"/>
  <c r="AG72" i="24"/>
  <c r="AG28" i="24"/>
  <c r="AG112" i="24"/>
  <c r="AG146" i="24"/>
  <c r="AG135" i="24"/>
  <c r="AG89" i="46"/>
  <c r="AG17" i="46"/>
  <c r="AG18" i="46"/>
  <c r="AG32" i="46"/>
  <c r="AG3" i="46"/>
  <c r="AG151" i="46"/>
  <c r="AG74" i="46"/>
  <c r="AG52" i="46"/>
  <c r="AG139" i="46"/>
  <c r="AG155" i="46"/>
  <c r="AG140" i="46"/>
  <c r="AG85" i="46"/>
  <c r="AG56" i="46"/>
  <c r="AG45" i="46"/>
  <c r="AG174" i="46"/>
  <c r="AG30" i="46"/>
  <c r="AG49" i="46"/>
  <c r="AG84" i="46"/>
  <c r="AG87" i="46"/>
  <c r="AG40" i="46"/>
  <c r="AG142" i="46"/>
  <c r="AG111" i="46"/>
  <c r="AG137" i="46"/>
  <c r="AG113" i="46"/>
  <c r="AG115" i="46"/>
  <c r="AG16" i="46"/>
  <c r="AG119" i="46"/>
  <c r="AG80" i="46"/>
  <c r="AG117" i="46"/>
  <c r="AG145" i="46"/>
  <c r="AG90" i="46"/>
  <c r="AG180" i="46"/>
  <c r="AG108" i="46"/>
  <c r="AG168" i="46"/>
  <c r="AG154" i="46"/>
  <c r="AG26" i="46"/>
  <c r="AG101" i="46"/>
  <c r="AG36" i="46"/>
  <c r="AG165" i="46"/>
  <c r="AG55" i="46"/>
  <c r="AG61" i="46"/>
  <c r="AG144" i="46"/>
  <c r="AG175" i="46"/>
  <c r="AG34" i="46"/>
  <c r="AG110" i="46"/>
  <c r="AG37" i="46"/>
  <c r="AG127" i="46"/>
  <c r="AG82" i="46"/>
  <c r="AG46" i="46"/>
  <c r="AG136" i="46"/>
  <c r="AG79" i="46"/>
  <c r="AG29" i="46"/>
  <c r="AG163" i="46"/>
  <c r="AG97" i="46"/>
  <c r="AG54" i="46"/>
  <c r="AG67" i="46"/>
  <c r="AG64" i="46"/>
  <c r="AG23" i="46"/>
  <c r="AG177" i="46"/>
  <c r="AG48" i="46"/>
  <c r="AG4" i="46"/>
  <c r="AG10" i="46"/>
  <c r="AG134" i="46"/>
  <c r="AG57" i="46"/>
  <c r="AG107" i="46"/>
  <c r="AG164" i="46"/>
  <c r="AG160" i="46"/>
  <c r="AG28" i="46"/>
  <c r="AG71" i="46"/>
  <c r="AG12" i="46"/>
  <c r="AG59" i="46"/>
  <c r="AG14" i="46"/>
  <c r="AG122" i="46"/>
  <c r="AG8" i="46"/>
  <c r="AG6" i="46"/>
  <c r="AG118" i="46"/>
  <c r="AG44" i="46"/>
  <c r="AG135" i="46"/>
  <c r="AG105" i="46"/>
  <c r="AG68" i="46"/>
  <c r="AG158" i="46"/>
  <c r="AG11" i="46"/>
  <c r="AG138" i="46"/>
  <c r="AG76" i="46"/>
  <c r="AG78" i="46"/>
  <c r="AG95" i="46"/>
  <c r="AG98" i="46"/>
  <c r="AG120" i="46"/>
  <c r="AG96" i="46"/>
  <c r="AG9" i="46"/>
  <c r="AG43" i="46"/>
  <c r="AG83" i="46"/>
  <c r="AG103" i="46"/>
  <c r="AG114" i="46"/>
  <c r="AG106" i="46"/>
  <c r="AG25" i="46"/>
  <c r="AG166" i="46"/>
  <c r="AG121" i="46"/>
  <c r="AG53" i="46"/>
  <c r="AG131" i="46"/>
  <c r="AG173" i="46"/>
  <c r="AG69" i="46"/>
  <c r="AG27" i="46"/>
  <c r="AG178" i="46"/>
  <c r="AG167" i="46"/>
  <c r="AG38" i="46"/>
  <c r="AG99" i="46"/>
  <c r="AG102" i="46"/>
  <c r="AG153" i="46"/>
  <c r="AG75" i="46"/>
  <c r="AG35" i="46"/>
  <c r="AG104" i="46"/>
  <c r="AG72" i="46"/>
  <c r="AG147" i="46"/>
  <c r="AG77" i="46"/>
  <c r="AG86" i="46"/>
  <c r="AG125" i="46"/>
  <c r="AG130" i="46"/>
  <c r="AG13" i="46"/>
  <c r="AG92" i="46"/>
  <c r="AG24" i="46"/>
  <c r="AG161" i="46"/>
  <c r="AG94" i="46"/>
  <c r="AG171" i="46"/>
  <c r="AG143" i="46"/>
  <c r="AG7" i="46"/>
  <c r="AG50" i="46"/>
  <c r="AG62" i="46"/>
  <c r="AG141" i="46"/>
  <c r="AG170" i="46"/>
  <c r="AG109" i="46"/>
  <c r="AG169" i="46"/>
  <c r="AG91" i="46"/>
  <c r="AG100" i="46"/>
  <c r="AG128" i="46"/>
  <c r="AG132" i="46"/>
  <c r="AG2" i="46"/>
  <c r="AG19" i="46"/>
  <c r="AG148" i="46"/>
  <c r="AG42" i="46"/>
  <c r="AG133" i="46"/>
  <c r="AG58" i="46"/>
  <c r="AG123" i="46"/>
  <c r="AG63" i="46"/>
  <c r="AG66" i="46"/>
  <c r="AG81" i="46"/>
  <c r="AG150" i="46"/>
  <c r="AG176" i="46"/>
  <c r="AG162" i="46"/>
  <c r="AG149" i="46"/>
  <c r="AG179" i="46"/>
  <c r="AG5" i="46"/>
  <c r="AG159" i="46"/>
  <c r="AG116" i="46"/>
  <c r="AG39" i="46"/>
  <c r="AG31" i="46"/>
  <c r="AG33" i="46"/>
  <c r="AG73" i="46"/>
  <c r="AG20" i="46"/>
  <c r="AG41" i="46"/>
  <c r="AG129" i="46"/>
  <c r="AG47" i="46"/>
  <c r="AG152" i="46"/>
  <c r="AG112" i="46"/>
  <c r="AG93" i="46"/>
  <c r="AG21" i="46"/>
  <c r="AG146" i="46"/>
  <c r="AG126" i="46"/>
  <c r="AG70" i="46"/>
  <c r="AG157" i="46"/>
  <c r="AG88" i="46"/>
  <c r="AG124" i="46"/>
  <c r="AG15" i="46"/>
  <c r="AG51" i="46"/>
  <c r="AG60" i="46"/>
  <c r="AG65" i="46"/>
  <c r="AG156" i="46"/>
  <c r="AG172" i="46"/>
  <c r="AG22" i="46"/>
  <c r="AG38" i="50"/>
  <c r="AG91" i="50"/>
  <c r="AG56" i="50"/>
  <c r="AG94" i="50"/>
  <c r="AG99" i="50"/>
  <c r="AG17" i="50"/>
  <c r="AG69" i="50"/>
  <c r="AG10" i="50"/>
  <c r="AG37" i="50"/>
  <c r="AG81" i="50"/>
  <c r="AG104" i="50"/>
  <c r="AG70" i="50"/>
  <c r="AG50" i="50"/>
  <c r="AG15" i="50"/>
  <c r="AG59" i="50"/>
  <c r="AG87" i="50"/>
  <c r="AG55" i="50"/>
  <c r="AG103" i="50"/>
  <c r="AG4" i="50"/>
  <c r="AG2" i="50"/>
  <c r="AG41" i="50"/>
  <c r="AG14" i="50"/>
  <c r="AG28" i="50"/>
  <c r="AG92" i="50"/>
  <c r="AG90" i="50"/>
  <c r="AG105" i="50"/>
  <c r="AG48" i="50"/>
  <c r="AG101" i="50"/>
  <c r="AG84" i="50"/>
  <c r="AG73" i="50"/>
  <c r="AG96" i="50"/>
  <c r="AG31" i="50"/>
  <c r="AG78" i="50"/>
  <c r="AG79" i="50"/>
  <c r="AG62" i="50"/>
  <c r="AG66" i="50"/>
  <c r="AG54" i="50"/>
  <c r="AG64" i="50"/>
  <c r="AG6" i="50"/>
  <c r="AG30" i="50"/>
  <c r="AG42" i="50"/>
  <c r="AG34" i="50"/>
  <c r="AG65" i="50"/>
  <c r="AG89" i="50"/>
  <c r="AG61" i="50"/>
  <c r="AG44" i="50"/>
  <c r="AG29" i="50"/>
  <c r="AG102" i="50"/>
  <c r="AG95" i="50"/>
  <c r="AG46" i="50"/>
  <c r="AG68" i="50"/>
  <c r="AG22" i="50"/>
  <c r="AG13" i="50"/>
  <c r="AG83" i="50"/>
  <c r="AG58" i="50"/>
  <c r="AG18" i="50"/>
  <c r="AG57" i="50"/>
  <c r="AG35" i="50"/>
  <c r="AG33" i="50"/>
  <c r="AG16" i="50"/>
  <c r="AG39" i="50"/>
  <c r="AG24" i="50"/>
  <c r="AG93" i="50"/>
  <c r="AG3" i="50"/>
  <c r="AG52" i="50"/>
  <c r="AG47" i="50"/>
  <c r="AG49" i="50"/>
  <c r="AG60" i="50"/>
  <c r="AG88" i="50"/>
  <c r="AG36" i="50"/>
  <c r="AG23" i="50"/>
  <c r="AG100" i="50"/>
  <c r="AG51" i="50"/>
  <c r="AG71" i="50"/>
  <c r="AG67" i="50"/>
  <c r="AG43" i="50"/>
  <c r="AG82" i="50"/>
  <c r="AG63" i="50"/>
  <c r="AG20" i="50"/>
  <c r="AG12" i="50"/>
  <c r="AG75" i="50"/>
  <c r="AG25" i="50"/>
  <c r="AG77" i="50"/>
  <c r="AG76" i="50"/>
  <c r="AG74" i="50"/>
  <c r="AG98" i="50"/>
  <c r="AG106" i="50"/>
  <c r="AG86" i="50"/>
  <c r="AG7" i="50"/>
  <c r="AG9" i="50"/>
  <c r="AG80" i="50"/>
  <c r="AG97" i="50"/>
  <c r="AG85" i="50"/>
  <c r="AG8" i="50"/>
  <c r="AG11" i="50"/>
  <c r="AG40" i="50"/>
  <c r="AG26" i="50"/>
  <c r="AG5" i="50"/>
  <c r="AG21" i="50"/>
  <c r="AG27" i="50"/>
  <c r="AG72" i="50"/>
  <c r="AG53" i="50"/>
  <c r="AG32" i="50"/>
  <c r="AG45" i="50"/>
  <c r="AG19" i="50"/>
  <c r="AG66" i="19"/>
  <c r="AG156" i="19"/>
  <c r="AG78" i="19"/>
  <c r="AG443" i="19"/>
  <c r="AG139" i="19"/>
  <c r="AG266" i="19"/>
  <c r="AG97" i="19"/>
  <c r="AG306" i="19"/>
  <c r="AG162" i="19"/>
  <c r="AG393" i="19"/>
  <c r="AG370" i="19"/>
  <c r="AG49" i="19"/>
  <c r="AG248" i="19"/>
  <c r="AG54" i="19"/>
  <c r="AG406" i="19"/>
  <c r="AG10" i="19"/>
  <c r="AG155" i="19"/>
  <c r="AG182" i="19"/>
  <c r="AG86" i="19"/>
  <c r="AG195" i="19"/>
  <c r="AG113" i="19"/>
  <c r="AG346" i="19"/>
  <c r="AG90" i="19"/>
  <c r="AG350" i="19"/>
  <c r="AG176" i="19"/>
  <c r="AG355" i="19"/>
  <c r="AG308" i="19"/>
  <c r="AG358" i="19"/>
  <c r="AG159" i="19"/>
  <c r="AG4" i="19"/>
  <c r="AG87" i="19"/>
  <c r="AG264" i="19"/>
  <c r="AG85" i="19"/>
  <c r="AG62" i="19"/>
  <c r="AG70" i="19"/>
  <c r="AG429" i="19"/>
  <c r="AG377" i="19"/>
  <c r="AG407" i="19"/>
  <c r="AG441" i="19"/>
  <c r="AG298" i="19"/>
  <c r="AG239" i="19"/>
  <c r="AG3" i="19"/>
  <c r="AG371" i="19"/>
  <c r="AG375" i="19"/>
  <c r="AG84" i="19"/>
  <c r="AG27" i="19"/>
  <c r="AG230" i="19"/>
  <c r="AG280" i="19"/>
  <c r="AG140" i="19"/>
  <c r="AG117" i="19"/>
  <c r="AG281" i="19"/>
  <c r="AG252" i="19"/>
  <c r="AG200" i="19"/>
  <c r="AG246" i="19"/>
  <c r="AG242" i="19"/>
  <c r="AG364" i="19"/>
  <c r="AG276" i="19"/>
  <c r="AG270" i="19"/>
  <c r="AG404" i="19"/>
  <c r="AG385" i="19"/>
  <c r="AG342" i="19"/>
  <c r="AG143" i="19"/>
  <c r="AG175" i="19"/>
  <c r="AG98" i="19"/>
  <c r="AG274" i="19"/>
  <c r="AG261" i="19"/>
  <c r="AG145" i="19"/>
  <c r="AG432" i="19"/>
  <c r="AG72" i="19"/>
  <c r="AG425" i="19"/>
  <c r="AG324" i="19"/>
  <c r="AG123" i="19"/>
  <c r="AG64" i="19"/>
  <c r="AG391" i="19"/>
  <c r="AG403" i="19"/>
  <c r="AG71" i="19"/>
  <c r="AG35" i="19"/>
  <c r="AG82" i="19"/>
  <c r="AG104" i="19"/>
  <c r="AG109" i="19"/>
  <c r="AG233" i="19"/>
  <c r="AG316" i="19"/>
  <c r="AG138" i="19"/>
  <c r="AG345" i="19"/>
  <c r="AG415" i="19"/>
  <c r="AG96" i="19"/>
  <c r="AG74" i="19"/>
  <c r="AG229" i="19"/>
  <c r="AG382" i="19"/>
  <c r="AG129" i="19"/>
  <c r="AG304" i="19"/>
  <c r="AG263" i="19"/>
  <c r="AG158" i="19"/>
  <c r="AG312" i="19"/>
  <c r="AG243" i="19"/>
  <c r="AG328" i="19"/>
  <c r="AG294" i="19"/>
  <c r="AG444" i="19"/>
  <c r="AG99" i="19"/>
  <c r="AG31" i="19"/>
  <c r="AG25" i="19"/>
  <c r="AG283" i="19"/>
  <c r="AG315" i="19"/>
  <c r="AG208" i="19"/>
  <c r="AG363" i="19"/>
  <c r="AG73" i="19"/>
  <c r="AG267" i="19"/>
  <c r="AG389" i="19"/>
  <c r="AG236" i="19"/>
  <c r="AG339" i="19"/>
  <c r="AG373" i="19"/>
  <c r="AG333" i="19"/>
  <c r="AG58" i="19"/>
  <c r="AG88" i="19"/>
  <c r="AG234" i="19"/>
  <c r="AG337" i="19"/>
  <c r="AG293" i="19"/>
  <c r="AG67" i="19"/>
  <c r="AG152" i="19"/>
  <c r="AG23" i="19"/>
  <c r="AG154" i="19"/>
  <c r="AG322" i="19"/>
  <c r="AG132" i="19"/>
  <c r="AG57" i="19"/>
  <c r="AG340" i="19"/>
  <c r="AG288" i="19"/>
  <c r="AG295" i="19"/>
  <c r="AG277" i="19"/>
  <c r="AG207" i="19"/>
  <c r="AG141" i="19"/>
  <c r="AG326" i="19"/>
  <c r="AG367" i="19"/>
  <c r="AG18" i="19"/>
  <c r="AG83" i="19"/>
  <c r="AG146" i="19"/>
  <c r="AG110" i="19"/>
  <c r="AG108" i="19"/>
  <c r="AG260" i="19"/>
  <c r="AG205" i="19"/>
  <c r="AG163" i="19"/>
  <c r="AG392" i="19"/>
  <c r="AG135" i="19"/>
  <c r="AG51" i="19"/>
  <c r="AG209" i="19"/>
  <c r="AG374" i="19"/>
  <c r="AG167" i="19"/>
  <c r="AG29" i="19"/>
  <c r="AG102" i="19"/>
  <c r="AG414" i="19"/>
  <c r="AG127" i="19"/>
  <c r="AG164" i="19"/>
  <c r="AG56" i="19"/>
  <c r="AG126" i="19"/>
  <c r="AG307" i="19"/>
  <c r="AG112" i="19"/>
  <c r="AG417" i="19"/>
  <c r="AG44" i="19"/>
  <c r="AG411" i="19"/>
  <c r="AG257" i="19"/>
  <c r="AG265" i="19"/>
  <c r="AG282" i="19"/>
  <c r="AG177" i="19"/>
  <c r="AG394" i="19"/>
  <c r="AG251" i="19"/>
  <c r="AG220" i="19"/>
  <c r="AG13" i="19"/>
  <c r="AG43" i="19"/>
  <c r="AG194" i="19"/>
  <c r="AG22" i="19"/>
  <c r="AG446" i="19"/>
  <c r="AG187" i="19"/>
  <c r="AG447" i="19"/>
  <c r="AG111" i="19"/>
  <c r="AG12" i="19"/>
  <c r="AG269" i="19"/>
  <c r="AG273" i="19"/>
  <c r="AG255" i="19"/>
  <c r="AG247" i="19"/>
  <c r="AG77" i="19"/>
  <c r="AG378" i="19"/>
  <c r="AG291" i="19"/>
  <c r="AG272" i="19"/>
  <c r="AG321" i="19"/>
  <c r="AG235" i="19"/>
  <c r="AG47" i="19"/>
  <c r="AG289" i="19"/>
  <c r="AG151" i="19"/>
  <c r="AG319" i="19"/>
  <c r="AG125" i="19"/>
  <c r="AG361" i="19"/>
  <c r="AG422" i="19"/>
  <c r="AG390" i="19"/>
  <c r="AG59" i="19"/>
  <c r="AG332" i="19"/>
  <c r="AG149" i="19"/>
  <c r="AG228" i="19"/>
  <c r="AG249" i="19"/>
  <c r="AG297" i="19"/>
  <c r="AG427" i="19"/>
  <c r="AG192" i="19"/>
  <c r="AG45" i="19"/>
  <c r="AG418" i="19"/>
  <c r="AG204" i="19"/>
  <c r="AG433" i="19"/>
  <c r="AG368" i="19"/>
  <c r="AG359" i="19"/>
  <c r="AG133" i="19"/>
  <c r="AG53" i="19"/>
  <c r="AG89" i="19"/>
  <c r="AG416" i="19"/>
  <c r="AG419" i="19"/>
  <c r="AG144" i="19"/>
  <c r="AG262" i="19"/>
  <c r="AG383" i="19"/>
  <c r="AG323" i="19"/>
  <c r="AG318" i="19"/>
  <c r="AG290" i="19"/>
  <c r="AG40" i="19"/>
  <c r="AG6" i="19"/>
  <c r="AG286" i="19"/>
  <c r="AG181" i="19"/>
  <c r="AG199" i="19"/>
  <c r="AG442" i="19"/>
  <c r="AG349" i="19"/>
  <c r="AG348" i="19"/>
  <c r="AG351" i="19"/>
  <c r="AG354" i="19"/>
  <c r="AG137" i="19"/>
  <c r="AG256" i="19"/>
  <c r="AG410" i="19"/>
  <c r="AG241" i="19"/>
  <c r="AG225" i="19"/>
  <c r="AG431" i="19"/>
  <c r="AG352" i="19"/>
  <c r="AG188" i="19"/>
  <c r="AG103" i="19"/>
  <c r="AG148" i="19"/>
  <c r="AG5" i="19"/>
  <c r="AG347" i="19"/>
  <c r="AG15" i="19"/>
  <c r="AG445" i="19"/>
  <c r="AG409" i="19"/>
  <c r="AG397" i="19"/>
  <c r="AG399" i="19"/>
  <c r="AG2" i="19"/>
  <c r="AG343" i="19"/>
  <c r="AG325" i="19"/>
  <c r="AG2" i="49"/>
  <c r="AG3" i="49"/>
  <c r="AG4" i="49"/>
  <c r="AG5" i="49"/>
  <c r="AG6" i="49"/>
  <c r="AG7" i="49"/>
  <c r="AG8" i="49"/>
  <c r="AG9" i="49"/>
  <c r="AG10" i="49"/>
  <c r="AG11" i="49"/>
  <c r="AG12" i="49"/>
  <c r="AG13" i="49"/>
  <c r="AG14" i="49"/>
  <c r="AG15" i="49"/>
  <c r="AG16" i="49"/>
  <c r="AG17" i="49"/>
  <c r="AG18" i="49"/>
  <c r="AG19" i="49"/>
  <c r="AG20" i="49"/>
  <c r="AG21" i="49"/>
  <c r="AG22" i="49"/>
  <c r="AG23" i="49"/>
  <c r="AG24" i="49"/>
  <c r="AG25" i="49"/>
  <c r="AG26" i="49"/>
  <c r="AG27" i="49"/>
  <c r="AG28" i="49"/>
  <c r="AG29" i="49"/>
  <c r="AG30" i="49"/>
  <c r="AG31" i="49"/>
  <c r="AG33" i="49"/>
  <c r="AG34" i="49"/>
  <c r="AG35" i="49"/>
  <c r="AG36" i="49"/>
  <c r="AG37" i="49"/>
  <c r="AG38" i="49"/>
  <c r="AG39" i="49"/>
  <c r="AG40" i="49"/>
  <c r="AG41" i="49"/>
  <c r="AG42" i="49"/>
  <c r="AG43" i="49"/>
  <c r="AG44" i="49"/>
  <c r="AG45" i="49"/>
  <c r="AG46" i="49"/>
  <c r="AG47" i="49"/>
  <c r="AG48" i="49"/>
  <c r="AG49" i="49"/>
  <c r="AG50" i="49"/>
  <c r="AG51" i="49"/>
  <c r="AG52" i="49"/>
  <c r="AG53" i="49"/>
  <c r="AG54" i="49"/>
  <c r="AG55" i="49"/>
  <c r="AG56" i="49"/>
  <c r="AG57" i="49"/>
  <c r="AG58" i="49"/>
  <c r="AG59" i="49"/>
  <c r="AG60" i="49"/>
  <c r="AG61" i="49"/>
  <c r="AG62" i="49"/>
  <c r="AG63" i="49"/>
  <c r="AG64" i="49"/>
  <c r="AG65" i="49"/>
  <c r="AG66" i="49"/>
  <c r="AG67" i="49"/>
  <c r="AG68" i="49"/>
  <c r="AG69" i="49"/>
  <c r="AG70" i="49"/>
  <c r="AG71" i="49"/>
  <c r="AG72" i="49"/>
  <c r="AG73" i="49"/>
  <c r="AG74" i="49"/>
  <c r="AG76" i="49"/>
  <c r="AG75" i="49"/>
  <c r="AG77" i="49"/>
  <c r="AG78" i="49"/>
  <c r="AG79" i="49"/>
  <c r="AG80" i="49"/>
  <c r="AG81" i="49"/>
  <c r="AG82" i="49"/>
  <c r="AG83" i="49"/>
  <c r="AG84" i="49"/>
  <c r="AG85" i="49"/>
  <c r="AG86" i="49"/>
  <c r="AG87" i="49"/>
  <c r="AG88" i="49"/>
  <c r="AG89" i="49"/>
  <c r="AG90" i="49"/>
  <c r="AG91" i="49"/>
  <c r="AG92" i="49"/>
  <c r="AG93" i="49"/>
  <c r="AG95" i="49"/>
  <c r="AG94" i="49"/>
  <c r="AG97" i="49"/>
  <c r="AG98" i="49"/>
  <c r="AG96" i="49"/>
  <c r="AG99" i="49"/>
  <c r="AG100" i="49"/>
  <c r="AG103" i="49"/>
  <c r="AG101" i="49"/>
  <c r="AG102" i="49"/>
  <c r="AG104" i="49"/>
  <c r="AG105" i="49"/>
  <c r="AG106" i="49"/>
  <c r="AG107" i="49"/>
  <c r="AG108" i="49"/>
  <c r="AG109" i="49"/>
  <c r="AG110" i="49"/>
  <c r="AG111" i="49"/>
  <c r="AG112" i="49"/>
  <c r="AG113" i="49"/>
  <c r="AG115" i="49"/>
  <c r="AI80" i="49"/>
  <c r="AF80" i="49"/>
  <c r="AG28" i="14"/>
  <c r="AG7" i="14"/>
  <c r="AG14" i="14"/>
  <c r="AG22" i="14"/>
  <c r="AG40" i="14"/>
  <c r="AG19" i="14"/>
  <c r="AG42" i="14"/>
  <c r="AG44" i="14"/>
  <c r="AG29" i="14"/>
  <c r="AG36" i="14"/>
  <c r="AG24" i="14"/>
  <c r="AG8" i="14"/>
  <c r="AG3" i="14"/>
  <c r="AG37" i="14"/>
  <c r="AG35" i="14"/>
  <c r="AG2" i="14"/>
  <c r="AG11" i="14"/>
  <c r="AG13" i="14"/>
  <c r="AG38" i="14"/>
  <c r="AG41" i="14"/>
  <c r="AG46" i="14"/>
  <c r="AG15" i="14"/>
  <c r="AG32" i="14"/>
  <c r="AG10" i="14"/>
  <c r="AG5" i="14"/>
  <c r="AG25" i="14"/>
  <c r="AG18" i="14"/>
  <c r="AG27" i="14"/>
  <c r="AG45" i="14"/>
  <c r="AG34" i="14"/>
  <c r="AG30" i="14"/>
  <c r="AG16" i="14"/>
  <c r="AG9" i="14"/>
  <c r="AG20" i="14"/>
  <c r="AG43" i="14"/>
  <c r="AG21" i="14"/>
  <c r="AG26" i="14"/>
  <c r="AG33" i="14"/>
  <c r="AG31" i="14"/>
  <c r="AG23" i="14"/>
  <c r="AG6" i="14"/>
  <c r="AG4" i="14"/>
  <c r="AG17" i="14"/>
  <c r="AG39" i="14"/>
  <c r="AG12" i="14"/>
  <c r="AG22" i="18"/>
  <c r="AG67" i="18"/>
  <c r="AG60" i="18"/>
  <c r="AG58" i="18"/>
  <c r="AG52" i="18"/>
  <c r="AG57" i="18"/>
  <c r="AG69" i="18"/>
  <c r="AG11" i="18"/>
  <c r="AG4" i="18"/>
  <c r="AG6" i="18"/>
  <c r="AG44" i="18"/>
  <c r="AG3" i="18"/>
  <c r="AG42" i="18"/>
  <c r="AG16" i="18"/>
  <c r="AG41" i="18"/>
  <c r="AG40" i="18"/>
  <c r="AG31" i="18"/>
  <c r="AG59" i="18"/>
  <c r="AG39" i="18"/>
  <c r="AG18" i="18"/>
  <c r="AG28" i="18"/>
  <c r="AG7" i="18"/>
  <c r="AG43" i="18"/>
  <c r="AG62" i="18"/>
  <c r="AG32" i="18"/>
  <c r="AG5" i="18"/>
  <c r="AG30" i="18"/>
  <c r="AG25" i="18"/>
  <c r="AG68" i="18"/>
  <c r="AG21" i="18"/>
  <c r="AG63" i="18"/>
  <c r="AG17" i="18"/>
  <c r="AG53" i="18"/>
  <c r="AG27" i="18"/>
  <c r="AG12" i="18"/>
  <c r="AG9" i="18"/>
  <c r="AG33" i="18"/>
  <c r="AG20" i="18"/>
  <c r="AG56" i="18"/>
  <c r="AG51" i="18"/>
  <c r="AG50" i="18"/>
  <c r="AG35" i="18"/>
  <c r="AG23" i="18"/>
  <c r="AG49" i="18"/>
  <c r="AG36" i="18"/>
  <c r="AG29" i="18"/>
  <c r="AG55" i="18"/>
  <c r="AG2" i="18"/>
  <c r="AG64" i="18"/>
  <c r="AG65" i="18"/>
  <c r="AG19" i="18"/>
  <c r="AG10" i="18"/>
  <c r="AG8" i="18"/>
  <c r="AG46" i="18"/>
  <c r="AG61" i="18"/>
  <c r="AG54" i="18"/>
  <c r="AG14" i="18"/>
  <c r="AG47" i="18"/>
  <c r="AG48" i="18"/>
  <c r="AG66" i="18"/>
  <c r="AG15" i="18"/>
  <c r="AG34" i="18"/>
  <c r="AG38" i="18"/>
  <c r="AG26" i="18"/>
  <c r="AG37" i="18"/>
  <c r="AG24" i="18"/>
  <c r="AG13" i="18"/>
  <c r="AG45" i="18"/>
  <c r="AG76" i="17"/>
  <c r="AG57" i="17"/>
  <c r="AG9" i="17"/>
  <c r="AG59" i="17"/>
  <c r="AG89" i="17"/>
  <c r="AG50" i="17"/>
  <c r="AG52" i="17"/>
  <c r="AG25" i="17"/>
  <c r="AG49" i="17"/>
  <c r="AG53" i="17"/>
  <c r="AG79" i="17"/>
  <c r="AG35" i="17"/>
  <c r="AG55" i="17"/>
  <c r="AG82" i="17"/>
  <c r="AG47" i="17"/>
  <c r="AG51" i="17"/>
  <c r="AG38" i="17"/>
  <c r="AG90" i="17"/>
  <c r="AG72" i="17"/>
  <c r="AG88" i="17"/>
  <c r="AG43" i="17"/>
  <c r="AG40" i="17"/>
  <c r="AG21" i="17"/>
  <c r="AG83" i="17"/>
  <c r="AG54" i="17"/>
  <c r="AG2" i="17"/>
  <c r="AG11" i="17"/>
  <c r="AG67" i="17"/>
  <c r="AG56" i="17"/>
  <c r="AG48" i="17"/>
  <c r="AG69" i="17"/>
  <c r="AG27" i="17"/>
  <c r="AG66" i="17"/>
  <c r="AG85" i="17"/>
  <c r="AG6" i="17"/>
  <c r="AG4" i="17"/>
  <c r="AG74" i="17"/>
  <c r="AG33" i="17"/>
  <c r="AG41" i="17"/>
  <c r="AG84" i="17"/>
  <c r="AG42" i="17"/>
  <c r="AG36" i="17"/>
  <c r="AG8" i="17"/>
  <c r="AG29" i="17"/>
  <c r="AG71" i="17"/>
  <c r="AG73" i="17"/>
  <c r="AG45" i="17"/>
  <c r="AG28" i="17"/>
  <c r="AG63" i="17"/>
  <c r="AG5" i="12"/>
  <c r="AG38" i="12"/>
  <c r="AG3" i="12"/>
  <c r="AG14" i="12"/>
  <c r="AG26" i="12"/>
  <c r="AG21" i="12"/>
  <c r="AG36" i="12"/>
  <c r="AG45" i="12"/>
  <c r="AG32" i="12"/>
  <c r="AG23" i="12"/>
  <c r="AG29" i="12"/>
  <c r="AG24" i="12"/>
  <c r="AG22" i="12"/>
  <c r="AG27" i="12"/>
  <c r="AG42" i="12"/>
  <c r="AG4" i="12"/>
  <c r="AG20" i="12"/>
  <c r="AG39" i="12"/>
  <c r="AG9" i="12"/>
  <c r="AG41" i="12"/>
  <c r="AG34" i="12"/>
  <c r="AG11" i="12"/>
  <c r="AG28" i="12"/>
  <c r="AG15" i="12"/>
  <c r="AG18" i="12"/>
  <c r="AG16" i="12"/>
  <c r="AG8" i="12"/>
  <c r="AG40" i="12"/>
  <c r="AG19" i="12"/>
  <c r="AG43" i="12"/>
  <c r="AG7" i="12"/>
  <c r="AG37" i="12"/>
  <c r="AG17" i="12"/>
  <c r="AG30" i="12"/>
  <c r="AG25" i="12"/>
  <c r="AG6" i="12"/>
  <c r="AG2" i="12"/>
  <c r="AG44" i="12"/>
  <c r="AG31" i="12"/>
  <c r="AG13" i="12"/>
  <c r="AG35" i="12"/>
  <c r="AG33" i="12"/>
  <c r="AG12" i="12"/>
  <c r="AG10" i="12"/>
  <c r="AG4" i="69"/>
  <c r="AG3" i="69"/>
  <c r="AG2" i="69"/>
  <c r="AG9" i="69"/>
  <c r="AG8" i="69"/>
  <c r="AG7" i="69"/>
  <c r="AG5" i="69"/>
  <c r="AG10" i="69"/>
  <c r="AG12" i="69"/>
  <c r="AG11" i="69"/>
  <c r="AG13" i="69"/>
  <c r="AG6" i="69"/>
  <c r="AG13" i="60"/>
  <c r="AG17" i="60"/>
  <c r="AG18" i="60"/>
  <c r="AG27" i="60"/>
  <c r="AG29" i="60"/>
  <c r="AG25" i="60"/>
  <c r="AG26" i="60"/>
  <c r="AG12" i="60"/>
  <c r="AG10" i="60"/>
  <c r="AG28" i="60"/>
  <c r="AG2" i="60"/>
  <c r="AG11" i="60"/>
  <c r="AG5" i="60"/>
  <c r="AG6" i="60"/>
  <c r="AG23" i="60"/>
  <c r="AG15" i="60"/>
  <c r="AG4" i="60"/>
  <c r="AG7" i="60"/>
  <c r="AG14" i="60"/>
  <c r="AG9" i="60"/>
  <c r="AG24" i="60"/>
  <c r="AG21" i="60"/>
  <c r="AG16" i="60"/>
  <c r="AG22" i="60"/>
  <c r="AG3" i="60"/>
  <c r="AG8" i="60"/>
  <c r="AG19" i="60"/>
  <c r="AG20" i="60"/>
  <c r="AG3" i="11"/>
  <c r="AG2" i="11"/>
  <c r="AG5" i="11"/>
  <c r="AG13" i="11"/>
  <c r="AG8" i="11"/>
  <c r="AG16" i="11"/>
  <c r="AG15" i="11"/>
  <c r="AG21" i="11"/>
  <c r="AG4" i="11"/>
  <c r="AG14" i="11"/>
  <c r="AG24" i="11"/>
  <c r="AG12" i="11"/>
  <c r="AG23" i="11"/>
  <c r="AG9" i="11"/>
  <c r="AG26" i="11"/>
  <c r="AG17" i="11"/>
  <c r="AG20" i="11"/>
  <c r="AG11" i="11"/>
  <c r="AG6" i="11"/>
  <c r="AG19" i="11"/>
  <c r="AG22" i="11"/>
  <c r="AG10" i="11"/>
  <c r="AG27" i="11"/>
  <c r="AG25" i="11"/>
  <c r="AG7" i="11"/>
  <c r="AG18" i="11"/>
  <c r="AG17" i="6"/>
  <c r="AG18" i="6"/>
  <c r="AG38" i="6"/>
  <c r="AG40" i="6"/>
  <c r="AG8" i="6"/>
  <c r="AG35" i="6"/>
  <c r="AG15" i="6"/>
  <c r="AG9" i="6"/>
  <c r="AG28" i="6"/>
  <c r="AG11" i="6"/>
  <c r="AG12" i="6"/>
  <c r="AG30" i="6"/>
  <c r="AG6" i="6"/>
  <c r="AG5" i="6"/>
  <c r="AG10" i="6"/>
  <c r="AG24" i="6"/>
  <c r="AG14" i="6"/>
  <c r="AG23" i="6"/>
  <c r="AG42" i="6"/>
  <c r="AG33" i="6"/>
  <c r="AG37" i="6"/>
  <c r="AG32" i="6"/>
  <c r="AG3" i="6"/>
  <c r="AG26" i="6"/>
  <c r="AG31" i="6"/>
  <c r="AG20" i="6"/>
  <c r="AG4" i="6"/>
  <c r="AG36" i="6"/>
  <c r="AG22" i="6"/>
  <c r="AG43" i="6"/>
  <c r="AG34" i="6"/>
  <c r="AG21" i="6"/>
  <c r="AG16" i="6"/>
  <c r="AG25" i="6"/>
  <c r="AG13" i="6"/>
  <c r="AG29" i="6"/>
  <c r="AG41" i="6"/>
  <c r="AG39" i="6"/>
  <c r="AG27" i="6"/>
  <c r="AG7" i="6"/>
  <c r="AG2" i="6"/>
  <c r="AG19" i="6"/>
  <c r="AG6" i="9"/>
  <c r="AG3" i="9"/>
  <c r="AG20" i="9"/>
  <c r="AG11" i="9"/>
  <c r="AG4" i="9"/>
  <c r="AG12" i="9"/>
  <c r="AG16" i="9"/>
  <c r="AG10" i="9"/>
  <c r="AG14" i="9"/>
  <c r="AG18" i="9"/>
  <c r="AG8" i="9"/>
  <c r="AG5" i="9"/>
  <c r="AG9" i="9"/>
  <c r="AG19" i="9"/>
  <c r="AG13" i="9"/>
  <c r="AG2" i="9"/>
  <c r="AG7" i="9"/>
  <c r="AG17" i="9"/>
  <c r="AG3" i="8"/>
  <c r="AG4" i="8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" i="8"/>
  <c r="AG6" i="117" l="1"/>
  <c r="AL2" i="117" s="1"/>
  <c r="AF6" i="117"/>
  <c r="AJ5" i="117" s="1"/>
  <c r="AK5" i="117" s="1"/>
  <c r="AG6" i="104"/>
  <c r="AL5" i="104" s="1"/>
  <c r="AM5" i="104" s="1"/>
  <c r="AG12" i="105"/>
  <c r="AL7" i="105" s="1"/>
  <c r="AM7" i="105" s="1"/>
  <c r="AG8" i="88"/>
  <c r="AL2" i="88" s="1"/>
  <c r="AG21" i="9"/>
  <c r="AL15" i="9" s="1"/>
  <c r="AM15" i="9" s="1"/>
  <c r="AG8" i="43"/>
  <c r="AL5" i="43" s="1"/>
  <c r="AG16" i="54"/>
  <c r="AL15" i="54" s="1"/>
  <c r="AM15" i="54" s="1"/>
  <c r="AG8" i="15"/>
  <c r="AL2" i="15" s="1"/>
  <c r="AG25" i="23"/>
  <c r="AL10" i="23" s="1"/>
  <c r="AG9" i="115"/>
  <c r="AL8" i="115" s="1"/>
  <c r="AG13" i="116"/>
  <c r="AG15" i="106"/>
  <c r="AG12" i="100"/>
  <c r="AL10" i="100" s="1"/>
  <c r="AG17" i="86"/>
  <c r="AL13" i="86" s="1"/>
  <c r="AM13" i="86" s="1"/>
  <c r="AG28" i="83"/>
  <c r="AG13" i="81"/>
  <c r="AL12" i="81" s="1"/>
  <c r="AM12" i="81" s="1"/>
  <c r="AG17" i="101"/>
  <c r="AL14" i="101" s="1"/>
  <c r="AM14" i="101" s="1"/>
  <c r="AG12" i="68"/>
  <c r="AL7" i="68" s="1"/>
  <c r="AG17" i="87"/>
  <c r="AL5" i="87" s="1"/>
  <c r="AG31" i="61"/>
  <c r="AL7" i="61" s="1"/>
  <c r="AG15" i="57"/>
  <c r="AL14" i="57" s="1"/>
  <c r="AG35" i="59"/>
  <c r="AL8" i="59" s="1"/>
  <c r="AG83" i="77"/>
  <c r="AL82" i="77" s="1"/>
  <c r="AG17" i="56"/>
  <c r="AL12" i="56" s="1"/>
  <c r="AG20" i="92"/>
  <c r="AL13" i="92" s="1"/>
  <c r="AG36" i="36"/>
  <c r="AL20" i="36" s="1"/>
  <c r="AG41" i="39"/>
  <c r="AG23" i="33"/>
  <c r="AG26" i="25"/>
  <c r="AL17" i="25" s="1"/>
  <c r="AG14" i="22"/>
  <c r="AL2" i="22" s="1"/>
  <c r="AG39" i="52"/>
  <c r="AL32" i="52" s="1"/>
  <c r="AG28" i="45"/>
  <c r="AL25" i="45" s="1"/>
  <c r="AG50" i="13"/>
  <c r="AL47" i="13" s="1"/>
  <c r="AG181" i="46"/>
  <c r="AL22" i="46" s="1"/>
  <c r="AG107" i="50"/>
  <c r="AL45" i="50" s="1"/>
  <c r="AG448" i="19"/>
  <c r="AL347" i="19" s="1"/>
  <c r="AG7" i="114"/>
  <c r="AL3" i="114" s="1"/>
  <c r="AG26" i="84"/>
  <c r="AL9" i="84" s="1"/>
  <c r="AM9" i="84" s="1"/>
  <c r="AG31" i="85"/>
  <c r="AL26" i="85" s="1"/>
  <c r="AG40" i="72"/>
  <c r="AL22" i="72" s="1"/>
  <c r="AG158" i="64"/>
  <c r="AL14" i="64" s="1"/>
  <c r="AG26" i="62"/>
  <c r="AL4" i="62" s="1"/>
  <c r="AG45" i="58"/>
  <c r="AL39" i="58" s="1"/>
  <c r="AG55" i="70"/>
  <c r="AL51" i="70" s="1"/>
  <c r="AG30" i="38"/>
  <c r="AL27" i="38" s="1"/>
  <c r="AG53" i="35"/>
  <c r="AL48" i="35" s="1"/>
  <c r="AG39" i="37"/>
  <c r="AL5" i="37" s="1"/>
  <c r="AG50" i="28"/>
  <c r="AL31" i="28" s="1"/>
  <c r="AG35" i="21"/>
  <c r="AL30" i="21" s="1"/>
  <c r="AG34" i="82"/>
  <c r="AL13" i="82" s="1"/>
  <c r="AG45" i="27"/>
  <c r="AL5" i="27" s="1"/>
  <c r="AG100" i="47"/>
  <c r="AL25" i="47" s="1"/>
  <c r="AG70" i="26"/>
  <c r="AL46" i="26" s="1"/>
  <c r="AG230" i="24"/>
  <c r="AL112" i="24" s="1"/>
  <c r="AG116" i="49"/>
  <c r="AG47" i="14"/>
  <c r="AL17" i="14" s="1"/>
  <c r="AG70" i="18"/>
  <c r="AL37" i="18" s="1"/>
  <c r="AG91" i="17"/>
  <c r="AL36" i="17" s="1"/>
  <c r="AG30" i="60"/>
  <c r="AL3" i="60" s="1"/>
  <c r="AG28" i="11"/>
  <c r="AL18" i="11" s="1"/>
  <c r="AG44" i="6"/>
  <c r="AL19" i="6" s="1"/>
  <c r="AG28" i="8"/>
  <c r="AL26" i="8" s="1"/>
  <c r="AF11" i="62"/>
  <c r="AF24" i="62"/>
  <c r="AF23" i="62"/>
  <c r="AF17" i="62"/>
  <c r="AI11" i="62"/>
  <c r="AI24" i="62"/>
  <c r="AI23" i="62"/>
  <c r="AI17" i="62"/>
  <c r="AF12" i="86"/>
  <c r="AF4" i="86"/>
  <c r="AF13" i="86"/>
  <c r="AF9" i="86"/>
  <c r="AI9" i="86"/>
  <c r="AI12" i="86"/>
  <c r="AI4" i="86"/>
  <c r="AI13" i="86"/>
  <c r="AF12" i="83"/>
  <c r="AF7" i="83"/>
  <c r="AI12" i="83"/>
  <c r="AI7" i="83"/>
  <c r="AF6" i="83"/>
  <c r="AI6" i="83"/>
  <c r="AF11" i="83"/>
  <c r="AF18" i="83"/>
  <c r="AF22" i="83"/>
  <c r="AF17" i="83"/>
  <c r="AF25" i="83"/>
  <c r="AI18" i="83"/>
  <c r="AI17" i="83"/>
  <c r="AI25" i="83"/>
  <c r="AI11" i="83"/>
  <c r="AI22" i="83"/>
  <c r="AF66" i="49"/>
  <c r="AF90" i="50"/>
  <c r="AF20" i="60"/>
  <c r="AI20" i="60"/>
  <c r="AF235" i="19"/>
  <c r="AI235" i="19"/>
  <c r="AF380" i="19"/>
  <c r="AF367" i="19"/>
  <c r="AF328" i="19"/>
  <c r="AI380" i="19"/>
  <c r="AI367" i="19"/>
  <c r="AI328" i="19"/>
  <c r="AF23" i="21"/>
  <c r="AF24" i="21"/>
  <c r="AF4" i="21"/>
  <c r="AF20" i="21"/>
  <c r="AI23" i="21"/>
  <c r="AI24" i="21"/>
  <c r="AI4" i="21"/>
  <c r="AI20" i="21"/>
  <c r="AF166" i="19"/>
  <c r="AF89" i="19"/>
  <c r="AF171" i="19"/>
  <c r="AF253" i="19"/>
  <c r="AI89" i="19"/>
  <c r="AI171" i="19"/>
  <c r="AI253" i="19"/>
  <c r="AI166" i="19"/>
  <c r="AF93" i="49"/>
  <c r="AF37" i="49"/>
  <c r="AI93" i="49"/>
  <c r="AI37" i="49"/>
  <c r="AF265" i="19"/>
  <c r="AF237" i="19"/>
  <c r="AF348" i="19"/>
  <c r="AF360" i="19"/>
  <c r="AF340" i="19"/>
  <c r="AI265" i="19"/>
  <c r="AI237" i="19"/>
  <c r="AI348" i="19"/>
  <c r="AI360" i="19"/>
  <c r="AI340" i="19"/>
  <c r="AF391" i="19"/>
  <c r="AI391" i="19"/>
  <c r="AF113" i="24"/>
  <c r="AF145" i="24"/>
  <c r="AF135" i="24"/>
  <c r="AI113" i="24"/>
  <c r="AI145" i="24"/>
  <c r="AI135" i="24"/>
  <c r="AF363" i="19"/>
  <c r="AF174" i="19"/>
  <c r="AF94" i="19"/>
  <c r="AF209" i="19"/>
  <c r="AI363" i="19"/>
  <c r="AI174" i="19"/>
  <c r="AI94" i="19"/>
  <c r="AI209" i="19"/>
  <c r="AF285" i="19"/>
  <c r="AI285" i="19"/>
  <c r="AF76" i="24"/>
  <c r="AF190" i="24"/>
  <c r="AF36" i="24"/>
  <c r="AF221" i="24"/>
  <c r="AI36" i="24"/>
  <c r="AI221" i="24"/>
  <c r="AI76" i="24"/>
  <c r="AI190" i="24"/>
  <c r="AF27" i="27"/>
  <c r="AF42" i="27"/>
  <c r="AF13" i="27"/>
  <c r="AI27" i="27"/>
  <c r="AI42" i="27"/>
  <c r="AI13" i="27"/>
  <c r="AF96" i="49"/>
  <c r="AF113" i="49"/>
  <c r="AF83" i="49"/>
  <c r="AF73" i="49"/>
  <c r="AI96" i="49"/>
  <c r="AI113" i="49"/>
  <c r="AI83" i="49"/>
  <c r="AI73" i="49"/>
  <c r="AF23" i="13"/>
  <c r="AF65" i="49"/>
  <c r="AF57" i="49"/>
  <c r="AF69" i="49"/>
  <c r="AF105" i="49"/>
  <c r="AI65" i="49"/>
  <c r="AI57" i="49"/>
  <c r="AI69" i="49"/>
  <c r="AI105" i="49"/>
  <c r="AF112" i="49"/>
  <c r="AF103" i="49"/>
  <c r="AF100" i="49"/>
  <c r="AI112" i="49"/>
  <c r="AI103" i="49"/>
  <c r="AI100" i="49"/>
  <c r="AF4" i="13"/>
  <c r="AF25" i="13"/>
  <c r="AF12" i="13"/>
  <c r="AF26" i="21"/>
  <c r="AF18" i="21"/>
  <c r="AF31" i="21"/>
  <c r="AI26" i="21"/>
  <c r="AI18" i="21"/>
  <c r="AI31" i="21"/>
  <c r="AL11" i="100" l="1"/>
  <c r="AL4" i="100"/>
  <c r="AL3" i="100"/>
  <c r="AL9" i="100"/>
  <c r="AL2" i="100"/>
  <c r="AL7" i="100"/>
  <c r="AL5" i="100"/>
  <c r="AL6" i="100"/>
  <c r="AL8" i="100"/>
  <c r="AL9" i="116"/>
  <c r="AL2" i="116"/>
  <c r="AM2" i="116" s="1"/>
  <c r="AJ2" i="117"/>
  <c r="AJ6" i="117" s="1"/>
  <c r="AJ3" i="117"/>
  <c r="AK3" i="117" s="1"/>
  <c r="AM2" i="117"/>
  <c r="AJ4" i="117"/>
  <c r="AK4" i="117" s="1"/>
  <c r="AL3" i="117"/>
  <c r="AM3" i="117" s="1"/>
  <c r="AL5" i="117"/>
  <c r="AM5" i="117" s="1"/>
  <c r="AL4" i="117"/>
  <c r="AM4" i="117" s="1"/>
  <c r="AK2" i="117"/>
  <c r="AL4" i="104"/>
  <c r="AM4" i="104" s="1"/>
  <c r="AL2" i="104"/>
  <c r="AL3" i="104"/>
  <c r="AM3" i="104" s="1"/>
  <c r="AL11" i="105"/>
  <c r="AM11" i="105" s="1"/>
  <c r="AL6" i="105"/>
  <c r="AM6" i="105" s="1"/>
  <c r="AL4" i="105"/>
  <c r="AM4" i="105" s="1"/>
  <c r="AL5" i="105"/>
  <c r="AM5" i="105" s="1"/>
  <c r="AL2" i="105"/>
  <c r="AM2" i="105" s="1"/>
  <c r="AL3" i="105"/>
  <c r="AM3" i="105" s="1"/>
  <c r="AL10" i="105"/>
  <c r="AM10" i="105" s="1"/>
  <c r="AL8" i="105"/>
  <c r="AM8" i="105" s="1"/>
  <c r="AL9" i="105"/>
  <c r="AM9" i="105" s="1"/>
  <c r="AL6" i="115"/>
  <c r="AL5" i="115"/>
  <c r="AL7" i="115"/>
  <c r="AL2" i="115"/>
  <c r="AL4" i="115"/>
  <c r="AL3" i="115"/>
  <c r="AL7" i="116"/>
  <c r="AL6" i="116"/>
  <c r="AL3" i="57"/>
  <c r="AL13" i="57"/>
  <c r="AL12" i="57"/>
  <c r="AL6" i="57"/>
  <c r="AL5" i="57"/>
  <c r="AL4" i="57"/>
  <c r="AL15" i="59"/>
  <c r="AL10" i="59"/>
  <c r="AL14" i="83"/>
  <c r="AL5" i="83"/>
  <c r="AM5" i="83" s="1"/>
  <c r="AL4" i="15"/>
  <c r="AL7" i="77"/>
  <c r="AL23" i="77"/>
  <c r="AL39" i="77"/>
  <c r="AL55" i="77"/>
  <c r="AL71" i="77"/>
  <c r="AL8" i="77"/>
  <c r="AL24" i="77"/>
  <c r="AL40" i="77"/>
  <c r="AL56" i="77"/>
  <c r="AL72" i="77"/>
  <c r="AL9" i="77"/>
  <c r="AL25" i="77"/>
  <c r="AL41" i="77"/>
  <c r="AL57" i="77"/>
  <c r="AL73" i="77"/>
  <c r="AL6" i="77"/>
  <c r="AL22" i="77"/>
  <c r="AL38" i="77"/>
  <c r="AL54" i="77"/>
  <c r="AL70" i="77"/>
  <c r="AL11" i="77"/>
  <c r="AL27" i="77"/>
  <c r="AL43" i="77"/>
  <c r="AL59" i="77"/>
  <c r="AL74" i="77"/>
  <c r="AL12" i="77"/>
  <c r="AL28" i="77"/>
  <c r="AL44" i="77"/>
  <c r="AL60" i="77"/>
  <c r="AL75" i="77"/>
  <c r="AL13" i="77"/>
  <c r="AL29" i="77"/>
  <c r="AL45" i="77"/>
  <c r="AL61" i="77"/>
  <c r="AL77" i="77"/>
  <c r="AL10" i="77"/>
  <c r="AL26" i="77"/>
  <c r="AL42" i="77"/>
  <c r="AL58" i="77"/>
  <c r="AL76" i="77"/>
  <c r="AL15" i="77"/>
  <c r="AL31" i="77"/>
  <c r="AL47" i="77"/>
  <c r="AL63" i="77"/>
  <c r="AL78" i="77"/>
  <c r="AL16" i="77"/>
  <c r="AL32" i="77"/>
  <c r="AL48" i="77"/>
  <c r="AL64" i="77"/>
  <c r="AL80" i="77"/>
  <c r="AL17" i="77"/>
  <c r="AL33" i="77"/>
  <c r="AL49" i="77"/>
  <c r="AL65" i="77"/>
  <c r="AL81" i="77"/>
  <c r="AL14" i="77"/>
  <c r="AL30" i="77"/>
  <c r="AL46" i="77"/>
  <c r="AL62" i="77"/>
  <c r="AL79" i="77"/>
  <c r="AL3" i="77"/>
  <c r="AL19" i="77"/>
  <c r="AL35" i="77"/>
  <c r="AL51" i="77"/>
  <c r="AL67" i="77"/>
  <c r="AL4" i="77"/>
  <c r="AL20" i="77"/>
  <c r="AL36" i="77"/>
  <c r="AL52" i="77"/>
  <c r="AL68" i="77"/>
  <c r="AL5" i="77"/>
  <c r="AL21" i="77"/>
  <c r="AL37" i="77"/>
  <c r="AL53" i="77"/>
  <c r="AL69" i="77"/>
  <c r="AL2" i="77"/>
  <c r="AL18" i="77"/>
  <c r="AL34" i="77"/>
  <c r="AL50" i="77"/>
  <c r="AL66" i="77"/>
  <c r="AL21" i="85"/>
  <c r="AL10" i="85"/>
  <c r="AL15" i="85"/>
  <c r="AL23" i="85"/>
  <c r="AL13" i="85"/>
  <c r="AL25" i="85"/>
  <c r="AL20" i="85"/>
  <c r="AL4" i="85"/>
  <c r="AL18" i="85"/>
  <c r="AL2" i="85"/>
  <c r="AL5" i="85"/>
  <c r="AL6" i="85"/>
  <c r="AL17" i="85"/>
  <c r="AL7" i="85"/>
  <c r="AL12" i="85"/>
  <c r="AL24" i="85"/>
  <c r="AL27" i="85"/>
  <c r="AL19" i="85"/>
  <c r="AL9" i="85"/>
  <c r="AL28" i="85"/>
  <c r="AL30" i="85"/>
  <c r="AL22" i="85"/>
  <c r="AL8" i="85"/>
  <c r="AL14" i="85"/>
  <c r="AL29" i="85"/>
  <c r="AL3" i="85"/>
  <c r="AL16" i="85"/>
  <c r="AL11" i="85"/>
  <c r="AL3" i="88"/>
  <c r="AL4" i="88"/>
  <c r="AM4" i="88" s="1"/>
  <c r="AL6" i="88"/>
  <c r="AL7" i="88"/>
  <c r="AM7" i="88" s="1"/>
  <c r="AL5" i="88"/>
  <c r="AL27" i="83"/>
  <c r="AL6" i="83"/>
  <c r="AM6" i="83" s="1"/>
  <c r="AL24" i="83"/>
  <c r="AL8" i="83"/>
  <c r="AL7" i="83"/>
  <c r="AM7" i="83" s="1"/>
  <c r="AL23" i="83"/>
  <c r="AL10" i="83"/>
  <c r="AL3" i="83"/>
  <c r="AL22" i="83"/>
  <c r="AM22" i="83" s="1"/>
  <c r="AL4" i="83"/>
  <c r="AL21" i="83"/>
  <c r="AL11" i="83"/>
  <c r="AM11" i="83" s="1"/>
  <c r="AL2" i="83"/>
  <c r="AL20" i="83"/>
  <c r="AL12" i="83"/>
  <c r="AM12" i="83" s="1"/>
  <c r="AL16" i="83"/>
  <c r="AL13" i="83"/>
  <c r="AL25" i="83"/>
  <c r="AM25" i="83" s="1"/>
  <c r="AL26" i="83"/>
  <c r="AL18" i="83"/>
  <c r="AM18" i="83" s="1"/>
  <c r="AL19" i="83"/>
  <c r="AL9" i="83"/>
  <c r="AL17" i="83"/>
  <c r="AM17" i="83" s="1"/>
  <c r="AL15" i="83"/>
  <c r="AL10" i="81"/>
  <c r="AL6" i="81"/>
  <c r="AL17" i="23"/>
  <c r="AL4" i="25"/>
  <c r="AL23" i="25"/>
  <c r="AL14" i="25"/>
  <c r="AL2" i="25"/>
  <c r="AL21" i="25"/>
  <c r="AL12" i="25"/>
  <c r="AL9" i="25"/>
  <c r="AL20" i="25"/>
  <c r="AL19" i="25"/>
  <c r="AL6" i="25"/>
  <c r="AL25" i="25"/>
  <c r="AL16" i="25"/>
  <c r="AL13" i="25"/>
  <c r="AL5" i="25"/>
  <c r="AL24" i="25"/>
  <c r="AL11" i="25"/>
  <c r="AL3" i="25"/>
  <c r="AL22" i="25"/>
  <c r="AL18" i="25"/>
  <c r="AL10" i="25"/>
  <c r="AL8" i="25"/>
  <c r="AL15" i="25"/>
  <c r="AL7" i="25"/>
  <c r="AL102" i="64"/>
  <c r="AL51" i="64"/>
  <c r="AL134" i="64"/>
  <c r="AL60" i="64"/>
  <c r="AL132" i="64"/>
  <c r="AL25" i="64"/>
  <c r="AL33" i="64"/>
  <c r="AL97" i="64"/>
  <c r="AL124" i="64"/>
  <c r="AL140" i="64"/>
  <c r="AL16" i="64"/>
  <c r="AL71" i="64"/>
  <c r="AL125" i="64"/>
  <c r="AL48" i="64"/>
  <c r="AL66" i="64"/>
  <c r="AL146" i="64"/>
  <c r="AL157" i="64"/>
  <c r="AL152" i="64"/>
  <c r="AL151" i="64"/>
  <c r="AL12" i="64"/>
  <c r="AL114" i="64"/>
  <c r="AL31" i="64"/>
  <c r="AL94" i="64"/>
  <c r="AL150" i="64"/>
  <c r="AL135" i="64"/>
  <c r="AL148" i="64"/>
  <c r="AL142" i="64"/>
  <c r="AL90" i="64"/>
  <c r="AL19" i="64"/>
  <c r="AL65" i="64"/>
  <c r="AL115" i="64"/>
  <c r="AL6" i="64"/>
  <c r="AL153" i="64"/>
  <c r="AL57" i="64"/>
  <c r="AL37" i="64"/>
  <c r="AL76" i="64"/>
  <c r="AL67" i="64"/>
  <c r="AL42" i="64"/>
  <c r="AL52" i="64"/>
  <c r="AL116" i="64"/>
  <c r="AL2" i="64"/>
  <c r="AL7" i="64"/>
  <c r="AL41" i="64"/>
  <c r="AL110" i="64"/>
  <c r="AL136" i="64"/>
  <c r="AL35" i="64"/>
  <c r="AL38" i="64"/>
  <c r="AL30" i="64"/>
  <c r="AL15" i="64"/>
  <c r="AL109" i="64"/>
  <c r="AL133" i="64"/>
  <c r="AL106" i="64"/>
  <c r="AL145" i="64"/>
  <c r="AL91" i="64"/>
  <c r="AL43" i="64"/>
  <c r="AL9" i="64"/>
  <c r="AL138" i="64"/>
  <c r="AL3" i="64"/>
  <c r="AL59" i="64"/>
  <c r="AL154" i="64"/>
  <c r="AL47" i="64"/>
  <c r="AL21" i="64"/>
  <c r="AL62" i="64"/>
  <c r="AL49" i="64"/>
  <c r="AL8" i="64"/>
  <c r="AL119" i="64"/>
  <c r="AL23" i="64"/>
  <c r="AL58" i="64"/>
  <c r="AL147" i="64"/>
  <c r="AL96" i="64"/>
  <c r="AL139" i="64"/>
  <c r="AL107" i="64"/>
  <c r="AL100" i="64"/>
  <c r="AL112" i="64"/>
  <c r="AL72" i="64"/>
  <c r="AL10" i="64"/>
  <c r="AL93" i="64"/>
  <c r="AL56" i="64"/>
  <c r="AL75" i="64"/>
  <c r="AL74" i="64"/>
  <c r="AL108" i="64"/>
  <c r="AL24" i="64"/>
  <c r="AL98" i="64"/>
  <c r="AL46" i="64"/>
  <c r="AL127" i="64"/>
  <c r="AL70" i="64"/>
  <c r="AL122" i="64"/>
  <c r="AL53" i="64"/>
  <c r="AL54" i="64"/>
  <c r="AL85" i="64"/>
  <c r="AL63" i="64"/>
  <c r="AL120" i="64"/>
  <c r="AL86" i="64"/>
  <c r="AL18" i="64"/>
  <c r="AL143" i="64"/>
  <c r="AL101" i="64"/>
  <c r="AL95" i="64"/>
  <c r="AL128" i="64"/>
  <c r="AL81" i="64"/>
  <c r="AL5" i="64"/>
  <c r="AL156" i="64"/>
  <c r="AL82" i="64"/>
  <c r="AL123" i="64"/>
  <c r="AL39" i="64"/>
  <c r="AL17" i="64"/>
  <c r="AL83" i="64"/>
  <c r="AL129" i="64"/>
  <c r="AL36" i="64"/>
  <c r="AL137" i="64"/>
  <c r="AL68" i="64"/>
  <c r="AL26" i="64"/>
  <c r="AL89" i="64"/>
  <c r="AL126" i="64"/>
  <c r="AL104" i="64"/>
  <c r="AL34" i="64"/>
  <c r="AL69" i="64"/>
  <c r="AL155" i="64"/>
  <c r="AL111" i="64"/>
  <c r="AL78" i="64"/>
  <c r="AL88" i="64"/>
  <c r="AL131" i="64"/>
  <c r="AL29" i="64"/>
  <c r="AL27" i="64"/>
  <c r="AL20" i="64"/>
  <c r="AL4" i="64"/>
  <c r="AL87" i="64"/>
  <c r="AL113" i="64"/>
  <c r="AL99" i="64"/>
  <c r="AL130" i="64"/>
  <c r="AL84" i="64"/>
  <c r="AL77" i="64"/>
  <c r="AL118" i="64"/>
  <c r="AL121" i="64"/>
  <c r="AL64" i="64"/>
  <c r="AL92" i="64"/>
  <c r="AL50" i="64"/>
  <c r="AL80" i="64"/>
  <c r="AL44" i="64"/>
  <c r="AL117" i="64"/>
  <c r="AL105" i="64"/>
  <c r="AL73" i="64"/>
  <c r="AL103" i="64"/>
  <c r="AL32" i="64"/>
  <c r="AL55" i="64"/>
  <c r="AL28" i="64"/>
  <c r="AL141" i="64"/>
  <c r="AL79" i="64"/>
  <c r="AL149" i="64"/>
  <c r="AL45" i="64"/>
  <c r="AL11" i="64"/>
  <c r="AL144" i="64"/>
  <c r="AL13" i="64"/>
  <c r="AL40" i="64"/>
  <c r="AL61" i="64"/>
  <c r="AL22" i="64"/>
  <c r="AL14" i="62"/>
  <c r="AL8" i="62"/>
  <c r="AL23" i="62"/>
  <c r="AM23" i="62" s="1"/>
  <c r="AL7" i="62"/>
  <c r="AL10" i="62"/>
  <c r="AL6" i="62"/>
  <c r="AL18" i="62"/>
  <c r="AL19" i="62"/>
  <c r="AL21" i="62"/>
  <c r="AL22" i="62"/>
  <c r="AM22" i="62" s="1"/>
  <c r="AL20" i="62"/>
  <c r="AM20" i="62" s="1"/>
  <c r="AL5" i="62"/>
  <c r="AL24" i="62"/>
  <c r="AM24" i="62" s="1"/>
  <c r="AL13" i="62"/>
  <c r="AL2" i="62"/>
  <c r="AL17" i="62"/>
  <c r="AM17" i="62" s="1"/>
  <c r="AL25" i="62"/>
  <c r="AL3" i="62"/>
  <c r="AL12" i="62"/>
  <c r="AL16" i="62"/>
  <c r="AL9" i="62"/>
  <c r="AL15" i="62"/>
  <c r="AL11" i="62"/>
  <c r="AM11" i="62" s="1"/>
  <c r="AL29" i="61"/>
  <c r="AL4" i="9"/>
  <c r="AL17" i="60"/>
  <c r="AL7" i="60"/>
  <c r="AL26" i="60"/>
  <c r="AL16" i="60"/>
  <c r="AL11" i="60"/>
  <c r="AL20" i="60"/>
  <c r="AM20" i="60" s="1"/>
  <c r="AL5" i="60"/>
  <c r="AL25" i="60"/>
  <c r="AL21" i="60"/>
  <c r="AL2" i="60"/>
  <c r="AL19" i="60"/>
  <c r="AL15" i="60"/>
  <c r="AL13" i="60"/>
  <c r="AL4" i="60"/>
  <c r="AL28" i="60"/>
  <c r="AL8" i="60"/>
  <c r="AL23" i="60"/>
  <c r="AL27" i="60"/>
  <c r="AL9" i="60"/>
  <c r="AL29" i="60"/>
  <c r="AL24" i="60"/>
  <c r="AL6" i="60"/>
  <c r="AL18" i="60"/>
  <c r="AL14" i="60"/>
  <c r="AL12" i="60"/>
  <c r="AL22" i="60"/>
  <c r="AL10" i="60"/>
  <c r="AL6" i="11"/>
  <c r="AL52" i="17"/>
  <c r="AL21" i="17"/>
  <c r="AL41" i="17"/>
  <c r="AL25" i="17"/>
  <c r="AL83" i="17"/>
  <c r="AL84" i="17"/>
  <c r="AL89" i="17"/>
  <c r="AL43" i="17"/>
  <c r="AL74" i="17"/>
  <c r="AL57" i="17"/>
  <c r="AL90" i="17"/>
  <c r="AL85" i="17"/>
  <c r="AL79" i="17"/>
  <c r="AL11" i="17"/>
  <c r="AL8" i="17"/>
  <c r="AL35" i="17"/>
  <c r="AL67" i="17"/>
  <c r="AL29" i="17"/>
  <c r="AL49" i="17"/>
  <c r="AL54" i="17"/>
  <c r="AL42" i="17"/>
  <c r="AL50" i="17"/>
  <c r="AL40" i="17"/>
  <c r="AL33" i="17"/>
  <c r="AL47" i="17"/>
  <c r="AL69" i="17"/>
  <c r="AL45" i="17"/>
  <c r="AL51" i="17"/>
  <c r="AL27" i="17"/>
  <c r="AL28" i="17"/>
  <c r="AL55" i="17"/>
  <c r="AL56" i="17"/>
  <c r="AL71" i="17"/>
  <c r="AL53" i="17"/>
  <c r="AL2" i="17"/>
  <c r="AL62" i="17"/>
  <c r="AL58" i="17"/>
  <c r="AL44" i="17"/>
  <c r="AL64" i="17"/>
  <c r="AM64" i="17" s="1"/>
  <c r="AL22" i="17"/>
  <c r="AL46" i="17"/>
  <c r="AL34" i="17"/>
  <c r="AL12" i="17"/>
  <c r="AL75" i="17"/>
  <c r="AL26" i="17"/>
  <c r="AL60" i="17"/>
  <c r="AL16" i="17"/>
  <c r="AL70" i="17"/>
  <c r="AL19" i="17"/>
  <c r="AL81" i="17"/>
  <c r="AM81" i="17" s="1"/>
  <c r="AL37" i="17"/>
  <c r="AL5" i="17"/>
  <c r="AL23" i="17"/>
  <c r="AL77" i="17"/>
  <c r="AL86" i="17"/>
  <c r="AL14" i="17"/>
  <c r="AL17" i="17"/>
  <c r="AL24" i="17"/>
  <c r="AL30" i="17"/>
  <c r="AL31" i="17"/>
  <c r="AL3" i="17"/>
  <c r="AL15" i="17"/>
  <c r="AL80" i="17"/>
  <c r="AL78" i="17"/>
  <c r="AL87" i="17"/>
  <c r="AL61" i="17"/>
  <c r="AL20" i="17"/>
  <c r="AM20" i="17" s="1"/>
  <c r="AL10" i="17"/>
  <c r="AL65" i="17"/>
  <c r="AL68" i="17"/>
  <c r="AL13" i="17"/>
  <c r="AL7" i="17"/>
  <c r="AL18" i="17"/>
  <c r="AL39" i="17"/>
  <c r="AL32" i="17"/>
  <c r="AL9" i="17"/>
  <c r="AL72" i="17"/>
  <c r="AL6" i="17"/>
  <c r="AL59" i="17"/>
  <c r="AL88" i="17"/>
  <c r="AL4" i="17"/>
  <c r="AL76" i="17"/>
  <c r="AL38" i="17"/>
  <c r="AL66" i="17"/>
  <c r="AL63" i="17"/>
  <c r="AL82" i="17"/>
  <c r="AL48" i="17"/>
  <c r="AL73" i="17"/>
  <c r="AL3" i="43"/>
  <c r="AL2" i="43"/>
  <c r="AL4" i="43"/>
  <c r="AL6" i="43"/>
  <c r="AM6" i="43" s="1"/>
  <c r="AL7" i="43"/>
  <c r="AM7" i="43" s="1"/>
  <c r="AL4" i="36"/>
  <c r="AL29" i="36"/>
  <c r="AL16" i="36"/>
  <c r="AL6" i="36"/>
  <c r="AL10" i="54"/>
  <c r="AL11" i="54"/>
  <c r="AL3" i="54"/>
  <c r="AL8" i="54"/>
  <c r="AL4" i="54"/>
  <c r="AL6" i="54"/>
  <c r="AL5" i="54"/>
  <c r="AL13" i="54"/>
  <c r="AL9" i="54"/>
  <c r="AL14" i="54"/>
  <c r="AL12" i="54"/>
  <c r="AL2" i="54"/>
  <c r="AL7" i="54"/>
  <c r="AL11" i="22"/>
  <c r="AL30" i="52"/>
  <c r="AL5" i="52"/>
  <c r="AL35" i="52"/>
  <c r="AL26" i="21"/>
  <c r="AM26" i="21" s="1"/>
  <c r="AL18" i="21"/>
  <c r="AM18" i="21" s="1"/>
  <c r="AL4" i="21"/>
  <c r="AM4" i="21" s="1"/>
  <c r="AL22" i="21"/>
  <c r="AL16" i="82"/>
  <c r="AL24" i="13"/>
  <c r="AL9" i="13"/>
  <c r="AL41" i="13"/>
  <c r="AL34" i="13"/>
  <c r="AL3" i="13"/>
  <c r="AL4" i="13"/>
  <c r="AM4" i="13" s="1"/>
  <c r="AL36" i="13"/>
  <c r="AL21" i="13"/>
  <c r="AL8" i="13"/>
  <c r="AL39" i="13"/>
  <c r="AL25" i="13"/>
  <c r="AM25" i="13" s="1"/>
  <c r="AL2" i="13"/>
  <c r="AL19" i="13"/>
  <c r="AL20" i="13"/>
  <c r="AL5" i="13"/>
  <c r="AL37" i="13"/>
  <c r="AL18" i="13"/>
  <c r="AL35" i="13"/>
  <c r="AL30" i="46"/>
  <c r="AL178" i="46"/>
  <c r="AL126" i="46"/>
  <c r="AL122" i="46"/>
  <c r="AL113" i="46"/>
  <c r="AL34" i="46"/>
  <c r="AL57" i="46"/>
  <c r="AL120" i="46"/>
  <c r="AL102" i="46"/>
  <c r="AL62" i="46"/>
  <c r="AL5" i="46"/>
  <c r="AL124" i="46"/>
  <c r="AL56" i="46"/>
  <c r="AL101" i="46"/>
  <c r="AL96" i="46"/>
  <c r="AL159" i="46"/>
  <c r="AL48" i="46"/>
  <c r="AL171" i="46"/>
  <c r="AL117" i="46"/>
  <c r="AL52" i="46"/>
  <c r="AL80" i="46"/>
  <c r="AL82" i="46"/>
  <c r="AL14" i="46"/>
  <c r="AL83" i="46"/>
  <c r="AL104" i="46"/>
  <c r="AL132" i="46"/>
  <c r="AL31" i="46"/>
  <c r="AL65" i="46"/>
  <c r="AL142" i="46"/>
  <c r="AL61" i="46"/>
  <c r="AL167" i="46"/>
  <c r="AL55" i="46"/>
  <c r="AL68" i="46"/>
  <c r="AL63" i="46"/>
  <c r="AL139" i="46"/>
  <c r="AL85" i="46"/>
  <c r="AL180" i="46"/>
  <c r="AL67" i="46"/>
  <c r="AL118" i="46"/>
  <c r="AL25" i="46"/>
  <c r="AL92" i="46"/>
  <c r="AL42" i="46"/>
  <c r="AL41" i="46"/>
  <c r="AL3" i="46"/>
  <c r="AL115" i="46"/>
  <c r="AL64" i="46"/>
  <c r="AL24" i="46"/>
  <c r="AL103" i="50"/>
  <c r="AL50" i="50"/>
  <c r="AL82" i="50"/>
  <c r="AL79" i="50"/>
  <c r="AL39" i="50"/>
  <c r="AL84" i="50"/>
  <c r="AL85" i="50"/>
  <c r="AL46" i="50"/>
  <c r="AL61" i="50"/>
  <c r="AL91" i="50"/>
  <c r="AL48" i="50"/>
  <c r="AL10" i="84"/>
  <c r="AL20" i="84"/>
  <c r="AM20" i="84" s="1"/>
  <c r="AL25" i="84"/>
  <c r="AM25" i="84" s="1"/>
  <c r="AL3" i="59"/>
  <c r="AL2" i="59"/>
  <c r="AL33" i="59"/>
  <c r="AM33" i="59" s="1"/>
  <c r="AL7" i="59"/>
  <c r="AL28" i="59"/>
  <c r="AL16" i="59"/>
  <c r="AL5" i="59"/>
  <c r="AL26" i="59"/>
  <c r="AL23" i="59"/>
  <c r="AL12" i="59"/>
  <c r="AL14" i="59"/>
  <c r="AL6" i="59"/>
  <c r="AL31" i="59"/>
  <c r="AL27" i="59"/>
  <c r="AL24" i="59"/>
  <c r="AL20" i="59"/>
  <c r="AL9" i="61"/>
  <c r="AL8" i="61"/>
  <c r="AL13" i="61"/>
  <c r="AL5" i="61"/>
  <c r="AL17" i="61"/>
  <c r="AL2" i="57"/>
  <c r="AL10" i="57"/>
  <c r="AL8" i="57"/>
  <c r="AL11" i="57"/>
  <c r="AL7" i="15"/>
  <c r="AM7" i="15" s="1"/>
  <c r="AL6" i="15"/>
  <c r="AM6" i="15" s="1"/>
  <c r="AL5" i="15"/>
  <c r="AM5" i="15" s="1"/>
  <c r="AL3" i="15"/>
  <c r="AL37" i="70"/>
  <c r="AL24" i="70"/>
  <c r="AL45" i="70"/>
  <c r="AL13" i="70"/>
  <c r="AL9" i="92"/>
  <c r="AL8" i="92"/>
  <c r="AL12" i="92"/>
  <c r="AL17" i="36"/>
  <c r="AL22" i="36"/>
  <c r="AL4" i="23"/>
  <c r="AL2" i="23"/>
  <c r="AL24" i="23"/>
  <c r="AL11" i="23"/>
  <c r="AL22" i="23"/>
  <c r="AM22" i="23" s="1"/>
  <c r="AL12" i="23"/>
  <c r="AM12" i="23" s="1"/>
  <c r="AL9" i="23"/>
  <c r="AM9" i="23" s="1"/>
  <c r="AL19" i="23"/>
  <c r="AM19" i="23" s="1"/>
  <c r="AL6" i="23"/>
  <c r="AL21" i="23"/>
  <c r="AL18" i="23"/>
  <c r="AL7" i="23"/>
  <c r="AL5" i="23"/>
  <c r="AL23" i="23"/>
  <c r="AL15" i="23"/>
  <c r="AL16" i="23"/>
  <c r="AL13" i="23"/>
  <c r="AL14" i="23"/>
  <c r="AL20" i="23"/>
  <c r="AL8" i="23"/>
  <c r="AL3" i="23"/>
  <c r="AL2" i="114"/>
  <c r="AL12" i="116"/>
  <c r="AL3" i="116"/>
  <c r="AL8" i="116"/>
  <c r="AL5" i="116"/>
  <c r="AL10" i="116"/>
  <c r="AL4" i="116"/>
  <c r="AL11" i="116"/>
  <c r="AL9" i="106"/>
  <c r="AM9" i="106" s="1"/>
  <c r="AL11" i="106"/>
  <c r="AM11" i="106" s="1"/>
  <c r="AL7" i="106"/>
  <c r="AM7" i="106" s="1"/>
  <c r="AL10" i="106"/>
  <c r="AM10" i="106" s="1"/>
  <c r="AL12" i="106"/>
  <c r="AM12" i="106" s="1"/>
  <c r="AL3" i="106"/>
  <c r="AM3" i="106" s="1"/>
  <c r="AL13" i="106"/>
  <c r="AM13" i="106" s="1"/>
  <c r="AL5" i="106"/>
  <c r="AM5" i="106" s="1"/>
  <c r="AL14" i="106"/>
  <c r="AM14" i="106" s="1"/>
  <c r="AL4" i="106"/>
  <c r="AM4" i="106" s="1"/>
  <c r="AL8" i="106"/>
  <c r="AM8" i="106" s="1"/>
  <c r="AL6" i="106"/>
  <c r="AM6" i="106" s="1"/>
  <c r="AL2" i="106"/>
  <c r="AL10" i="86"/>
  <c r="AL7" i="86"/>
  <c r="AL15" i="86"/>
  <c r="AL3" i="86"/>
  <c r="AL8" i="86"/>
  <c r="AL2" i="86"/>
  <c r="AL11" i="86"/>
  <c r="AL14" i="86"/>
  <c r="AL12" i="86"/>
  <c r="AM12" i="86" s="1"/>
  <c r="AL4" i="86"/>
  <c r="AM4" i="86" s="1"/>
  <c r="AL16" i="86"/>
  <c r="AL9" i="86"/>
  <c r="AM9" i="86" s="1"/>
  <c r="AL5" i="86"/>
  <c r="AL6" i="86"/>
  <c r="AL11" i="84"/>
  <c r="AL5" i="81"/>
  <c r="AL7" i="81"/>
  <c r="AL8" i="81"/>
  <c r="AL3" i="81"/>
  <c r="AL4" i="81"/>
  <c r="AL9" i="81"/>
  <c r="AL11" i="81"/>
  <c r="AL2" i="81"/>
  <c r="AL13" i="81" s="1"/>
  <c r="AL16" i="101"/>
  <c r="AL7" i="101"/>
  <c r="AL12" i="101"/>
  <c r="AL2" i="101"/>
  <c r="AL13" i="101"/>
  <c r="AL3" i="101"/>
  <c r="AL8" i="101"/>
  <c r="AL6" i="101"/>
  <c r="AL4" i="101"/>
  <c r="AL5" i="101"/>
  <c r="AL9" i="101"/>
  <c r="AL11" i="101"/>
  <c r="AL10" i="101"/>
  <c r="AL15" i="101"/>
  <c r="AL5" i="72"/>
  <c r="AL5" i="68"/>
  <c r="AL4" i="68"/>
  <c r="AL3" i="68"/>
  <c r="AL8" i="68"/>
  <c r="AL11" i="68"/>
  <c r="AL10" i="68"/>
  <c r="AL2" i="68"/>
  <c r="AL9" i="68"/>
  <c r="AL6" i="68"/>
  <c r="AL6" i="87"/>
  <c r="AL9" i="87"/>
  <c r="AL7" i="87"/>
  <c r="AL13" i="87"/>
  <c r="AL14" i="87"/>
  <c r="AL15" i="87"/>
  <c r="AM15" i="87" s="1"/>
  <c r="AL16" i="87"/>
  <c r="AM16" i="87" s="1"/>
  <c r="AL11" i="87"/>
  <c r="AL4" i="87"/>
  <c r="AL12" i="87"/>
  <c r="AL2" i="87"/>
  <c r="AL3" i="87"/>
  <c r="AL10" i="87"/>
  <c r="AL8" i="87"/>
  <c r="AL19" i="61"/>
  <c r="AL15" i="61"/>
  <c r="AL26" i="61"/>
  <c r="AL20" i="61"/>
  <c r="AL14" i="61"/>
  <c r="AL16" i="61"/>
  <c r="AL2" i="61"/>
  <c r="AL3" i="61"/>
  <c r="AL22" i="61"/>
  <c r="AL24" i="61"/>
  <c r="AL12" i="61"/>
  <c r="AL18" i="61"/>
  <c r="AL23" i="61"/>
  <c r="AL30" i="61"/>
  <c r="AL11" i="61"/>
  <c r="AL21" i="61"/>
  <c r="AL25" i="61"/>
  <c r="AL4" i="61"/>
  <c r="AL28" i="61"/>
  <c r="AL10" i="61"/>
  <c r="AL6" i="61"/>
  <c r="AL27" i="61"/>
  <c r="AL7" i="57"/>
  <c r="AL9" i="57"/>
  <c r="AL15" i="57" s="1"/>
  <c r="AL25" i="59"/>
  <c r="AL22" i="59"/>
  <c r="AL11" i="59"/>
  <c r="AL19" i="59"/>
  <c r="AL18" i="59"/>
  <c r="AL9" i="59"/>
  <c r="AL30" i="59"/>
  <c r="AL4" i="59"/>
  <c r="AL32" i="59"/>
  <c r="AM32" i="59" s="1"/>
  <c r="AL34" i="59"/>
  <c r="AM34" i="59" s="1"/>
  <c r="AL21" i="59"/>
  <c r="AM21" i="59" s="1"/>
  <c r="AL17" i="59"/>
  <c r="AM17" i="59" s="1"/>
  <c r="AL13" i="59"/>
  <c r="AM13" i="59" s="1"/>
  <c r="AL29" i="59"/>
  <c r="AM29" i="59" s="1"/>
  <c r="AL5" i="56"/>
  <c r="AL2" i="56"/>
  <c r="AL3" i="56"/>
  <c r="AL4" i="56"/>
  <c r="AL9" i="56"/>
  <c r="AL6" i="56"/>
  <c r="AL7" i="56"/>
  <c r="AL8" i="56"/>
  <c r="AL13" i="56"/>
  <c r="AL10" i="56"/>
  <c r="AL11" i="56"/>
  <c r="AL15" i="56"/>
  <c r="AL14" i="56"/>
  <c r="AL16" i="56"/>
  <c r="AL26" i="70"/>
  <c r="AL8" i="70"/>
  <c r="AL28" i="70"/>
  <c r="AL48" i="70"/>
  <c r="AL21" i="70"/>
  <c r="AL41" i="70"/>
  <c r="AL2" i="70"/>
  <c r="AL34" i="70"/>
  <c r="AL12" i="70"/>
  <c r="AL32" i="70"/>
  <c r="AL5" i="70"/>
  <c r="AL25" i="70"/>
  <c r="AL44" i="70"/>
  <c r="AL10" i="70"/>
  <c r="AL42" i="70"/>
  <c r="AL16" i="70"/>
  <c r="AL40" i="70"/>
  <c r="AL9" i="70"/>
  <c r="AL29" i="70"/>
  <c r="AL53" i="70"/>
  <c r="AL19" i="70"/>
  <c r="AL50" i="70"/>
  <c r="AL29" i="38"/>
  <c r="AL24" i="38"/>
  <c r="AL6" i="38"/>
  <c r="AL18" i="38"/>
  <c r="AL11" i="38"/>
  <c r="AL4" i="38"/>
  <c r="AL7" i="38"/>
  <c r="AL14" i="38"/>
  <c r="AL3" i="38"/>
  <c r="AL28" i="38"/>
  <c r="AL12" i="38"/>
  <c r="AL9" i="38"/>
  <c r="AM9" i="38" s="1"/>
  <c r="AL19" i="38"/>
  <c r="AM19" i="38" s="1"/>
  <c r="AL23" i="38"/>
  <c r="AL16" i="38"/>
  <c r="AL5" i="38"/>
  <c r="AL21" i="38"/>
  <c r="AL15" i="38"/>
  <c r="AL26" i="38"/>
  <c r="AL22" i="38"/>
  <c r="AL13" i="38"/>
  <c r="AL17" i="38"/>
  <c r="AL25" i="38"/>
  <c r="AL20" i="38"/>
  <c r="AL10" i="38"/>
  <c r="AL2" i="38"/>
  <c r="AL8" i="38"/>
  <c r="AL17" i="92"/>
  <c r="AL16" i="92"/>
  <c r="AL18" i="92"/>
  <c r="AL6" i="92"/>
  <c r="AL3" i="92"/>
  <c r="AL19" i="92"/>
  <c r="AL15" i="92"/>
  <c r="AL10" i="92"/>
  <c r="AL11" i="92"/>
  <c r="AL7" i="92"/>
  <c r="AL5" i="92"/>
  <c r="AL4" i="92"/>
  <c r="AL2" i="92"/>
  <c r="AL14" i="92"/>
  <c r="AL31" i="36"/>
  <c r="AL13" i="36"/>
  <c r="AL15" i="36"/>
  <c r="AL35" i="36"/>
  <c r="AL14" i="36"/>
  <c r="AL27" i="36"/>
  <c r="AL33" i="36"/>
  <c r="AL18" i="36"/>
  <c r="AL9" i="36"/>
  <c r="AL11" i="36"/>
  <c r="AL25" i="36"/>
  <c r="AL12" i="36"/>
  <c r="AL8" i="36"/>
  <c r="AL5" i="36"/>
  <c r="AL30" i="36"/>
  <c r="AL24" i="36"/>
  <c r="AL19" i="36"/>
  <c r="AL10" i="36"/>
  <c r="AL34" i="36"/>
  <c r="AL28" i="36"/>
  <c r="AL7" i="36"/>
  <c r="AL26" i="36"/>
  <c r="AL23" i="36"/>
  <c r="AL2" i="36"/>
  <c r="AL21" i="36"/>
  <c r="AL3" i="36"/>
  <c r="AL36" i="36" s="1"/>
  <c r="AL32" i="36"/>
  <c r="AL33" i="35"/>
  <c r="AL17" i="35"/>
  <c r="AL41" i="35"/>
  <c r="AL18" i="35"/>
  <c r="AL5" i="35"/>
  <c r="AL25" i="35"/>
  <c r="AL4" i="35"/>
  <c r="AL16" i="35"/>
  <c r="AL29" i="35"/>
  <c r="AL27" i="35"/>
  <c r="AL21" i="35"/>
  <c r="AL26" i="35"/>
  <c r="AL44" i="35"/>
  <c r="AL12" i="35"/>
  <c r="AL31" i="35"/>
  <c r="AL36" i="35"/>
  <c r="AL11" i="35"/>
  <c r="AL22" i="35"/>
  <c r="AL46" i="35"/>
  <c r="AL47" i="35"/>
  <c r="AL43" i="35"/>
  <c r="AL39" i="35"/>
  <c r="AL7" i="35"/>
  <c r="AL38" i="35"/>
  <c r="AL28" i="35"/>
  <c r="AL10" i="35"/>
  <c r="AL19" i="35"/>
  <c r="AL42" i="35"/>
  <c r="AL3" i="35"/>
  <c r="AL20" i="35"/>
  <c r="AL49" i="35"/>
  <c r="AL14" i="35"/>
  <c r="AL15" i="35"/>
  <c r="AL34" i="35"/>
  <c r="AL52" i="35"/>
  <c r="AL24" i="35"/>
  <c r="AL40" i="35"/>
  <c r="AL8" i="35"/>
  <c r="AL23" i="35"/>
  <c r="AL51" i="35"/>
  <c r="AL9" i="35"/>
  <c r="AL30" i="35"/>
  <c r="AL45" i="35"/>
  <c r="AL6" i="35"/>
  <c r="AL32" i="35"/>
  <c r="AL37" i="35"/>
  <c r="AL2" i="35"/>
  <c r="AL13" i="35"/>
  <c r="AL35" i="35"/>
  <c r="AL50" i="35"/>
  <c r="AL22" i="37"/>
  <c r="AL29" i="37"/>
  <c r="AL36" i="37"/>
  <c r="AL32" i="37"/>
  <c r="AL17" i="37"/>
  <c r="AL30" i="37"/>
  <c r="AL24" i="37"/>
  <c r="AL25" i="39"/>
  <c r="AM25" i="39" s="1"/>
  <c r="AL9" i="39"/>
  <c r="AM9" i="39" s="1"/>
  <c r="AL40" i="39"/>
  <c r="AM40" i="39" s="1"/>
  <c r="AL24" i="39"/>
  <c r="AM24" i="39" s="1"/>
  <c r="AL8" i="39"/>
  <c r="AM8" i="39" s="1"/>
  <c r="AL27" i="39"/>
  <c r="AM27" i="39" s="1"/>
  <c r="AL11" i="39"/>
  <c r="AM11" i="39" s="1"/>
  <c r="AL26" i="39"/>
  <c r="AM26" i="39" s="1"/>
  <c r="AL10" i="39"/>
  <c r="AM10" i="39" s="1"/>
  <c r="AL37" i="39"/>
  <c r="AM37" i="39" s="1"/>
  <c r="AL21" i="39"/>
  <c r="AM21" i="39" s="1"/>
  <c r="AL5" i="39"/>
  <c r="AM5" i="39" s="1"/>
  <c r="AL36" i="39"/>
  <c r="AM36" i="39" s="1"/>
  <c r="AL20" i="39"/>
  <c r="AM20" i="39" s="1"/>
  <c r="AL4" i="39"/>
  <c r="AM4" i="39" s="1"/>
  <c r="AL39" i="39"/>
  <c r="AM39" i="39" s="1"/>
  <c r="AL23" i="39"/>
  <c r="AM23" i="39" s="1"/>
  <c r="AL7" i="39"/>
  <c r="AM7" i="39" s="1"/>
  <c r="AL38" i="39"/>
  <c r="AM38" i="39" s="1"/>
  <c r="AL22" i="39"/>
  <c r="AM22" i="39" s="1"/>
  <c r="AL6" i="39"/>
  <c r="AM6" i="39" s="1"/>
  <c r="AL33" i="39"/>
  <c r="AM33" i="39" s="1"/>
  <c r="AL17" i="39"/>
  <c r="AM17" i="39" s="1"/>
  <c r="AL32" i="39"/>
  <c r="AM32" i="39" s="1"/>
  <c r="AL16" i="39"/>
  <c r="AM16" i="39" s="1"/>
  <c r="AL35" i="39"/>
  <c r="AM35" i="39" s="1"/>
  <c r="AL19" i="39"/>
  <c r="AM19" i="39" s="1"/>
  <c r="AL3" i="39"/>
  <c r="AM3" i="39" s="1"/>
  <c r="AL34" i="39"/>
  <c r="AM34" i="39" s="1"/>
  <c r="AL18" i="39"/>
  <c r="AM18" i="39" s="1"/>
  <c r="AL29" i="39"/>
  <c r="AM29" i="39" s="1"/>
  <c r="AL13" i="39"/>
  <c r="AM13" i="39" s="1"/>
  <c r="AL28" i="39"/>
  <c r="AM28" i="39" s="1"/>
  <c r="AL12" i="39"/>
  <c r="AM12" i="39" s="1"/>
  <c r="AL31" i="39"/>
  <c r="AM31" i="39" s="1"/>
  <c r="AL15" i="39"/>
  <c r="AM15" i="39" s="1"/>
  <c r="AL30" i="39"/>
  <c r="AM30" i="39" s="1"/>
  <c r="AL14" i="39"/>
  <c r="AM14" i="39" s="1"/>
  <c r="AL2" i="39"/>
  <c r="AL18" i="33"/>
  <c r="AM18" i="33" s="1"/>
  <c r="AL17" i="33"/>
  <c r="AM17" i="33" s="1"/>
  <c r="AL7" i="33"/>
  <c r="AM7" i="33" s="1"/>
  <c r="AL10" i="33"/>
  <c r="AM10" i="33" s="1"/>
  <c r="AL13" i="33"/>
  <c r="AM13" i="33" s="1"/>
  <c r="AL20" i="33"/>
  <c r="AM20" i="33" s="1"/>
  <c r="AL19" i="33"/>
  <c r="AM19" i="33" s="1"/>
  <c r="AL3" i="33"/>
  <c r="AM3" i="33" s="1"/>
  <c r="AL6" i="33"/>
  <c r="AM6" i="33" s="1"/>
  <c r="AL9" i="33"/>
  <c r="AM9" i="33" s="1"/>
  <c r="AL16" i="33"/>
  <c r="AM16" i="33" s="1"/>
  <c r="AL12" i="33"/>
  <c r="AM12" i="33" s="1"/>
  <c r="AL15" i="33"/>
  <c r="AM15" i="33" s="1"/>
  <c r="AL22" i="33"/>
  <c r="AM22" i="33" s="1"/>
  <c r="AL21" i="33"/>
  <c r="AM21" i="33" s="1"/>
  <c r="AL5" i="33"/>
  <c r="AM5" i="33" s="1"/>
  <c r="AL4" i="33"/>
  <c r="AM4" i="33" s="1"/>
  <c r="AL8" i="33"/>
  <c r="AM8" i="33" s="1"/>
  <c r="AL11" i="33"/>
  <c r="AM11" i="33" s="1"/>
  <c r="AL14" i="33"/>
  <c r="AM14" i="33" s="1"/>
  <c r="AL2" i="33"/>
  <c r="AL46" i="28"/>
  <c r="AL42" i="28"/>
  <c r="AL22" i="28"/>
  <c r="AL29" i="28"/>
  <c r="AL40" i="28"/>
  <c r="AL21" i="28"/>
  <c r="AL24" i="28"/>
  <c r="AL41" i="28"/>
  <c r="AL27" i="28"/>
  <c r="AL44" i="28"/>
  <c r="AL3" i="22"/>
  <c r="AL12" i="22"/>
  <c r="AL9" i="22"/>
  <c r="AL7" i="22"/>
  <c r="AL5" i="22"/>
  <c r="AL13" i="22"/>
  <c r="AL4" i="22"/>
  <c r="AL10" i="22"/>
  <c r="AL8" i="22"/>
  <c r="AM8" i="22" s="1"/>
  <c r="AL6" i="22"/>
  <c r="AM6" i="22" s="1"/>
  <c r="AL14" i="22"/>
  <c r="AL21" i="52"/>
  <c r="AL31" i="52"/>
  <c r="AL36" i="52"/>
  <c r="AL22" i="52"/>
  <c r="AL10" i="52"/>
  <c r="AL27" i="52"/>
  <c r="AL37" i="52"/>
  <c r="AL24" i="52"/>
  <c r="AL25" i="52"/>
  <c r="AL2" i="52"/>
  <c r="AL34" i="52"/>
  <c r="AL7" i="52"/>
  <c r="AM7" i="52" s="1"/>
  <c r="AL13" i="52"/>
  <c r="AM13" i="52" s="1"/>
  <c r="AL33" i="52"/>
  <c r="AM33" i="52" s="1"/>
  <c r="AL29" i="52"/>
  <c r="AM29" i="52" s="1"/>
  <c r="AL20" i="52"/>
  <c r="AM20" i="52" s="1"/>
  <c r="AL26" i="52"/>
  <c r="AM26" i="52" s="1"/>
  <c r="AL23" i="52"/>
  <c r="AM23" i="52" s="1"/>
  <c r="AL19" i="52"/>
  <c r="AM19" i="52" s="1"/>
  <c r="AL18" i="52"/>
  <c r="AM18" i="52" s="1"/>
  <c r="AL8" i="52"/>
  <c r="AM8" i="52" s="1"/>
  <c r="AL14" i="52"/>
  <c r="AM14" i="52" s="1"/>
  <c r="AL15" i="52"/>
  <c r="AM15" i="52" s="1"/>
  <c r="AL28" i="52"/>
  <c r="AM28" i="52" s="1"/>
  <c r="AL9" i="52"/>
  <c r="AM9" i="52" s="1"/>
  <c r="AL38" i="52"/>
  <c r="AL3" i="52"/>
  <c r="AL4" i="52"/>
  <c r="AL11" i="52"/>
  <c r="AL6" i="52"/>
  <c r="AL17" i="52"/>
  <c r="AL16" i="52"/>
  <c r="AL12" i="52"/>
  <c r="AL16" i="21"/>
  <c r="AL33" i="21"/>
  <c r="AL10" i="21"/>
  <c r="AL27" i="21"/>
  <c r="AL32" i="21"/>
  <c r="AL25" i="21"/>
  <c r="AL24" i="21"/>
  <c r="AM24" i="21" s="1"/>
  <c r="AL7" i="21"/>
  <c r="AL28" i="21"/>
  <c r="AL20" i="21"/>
  <c r="AM20" i="21" s="1"/>
  <c r="AL6" i="21"/>
  <c r="AL14" i="21"/>
  <c r="AL13" i="21"/>
  <c r="AL21" i="21"/>
  <c r="AL5" i="21"/>
  <c r="AL4" i="82"/>
  <c r="AL28" i="82"/>
  <c r="AL20" i="82"/>
  <c r="AL27" i="27"/>
  <c r="AM27" i="27" s="1"/>
  <c r="AL3" i="27"/>
  <c r="AL18" i="27"/>
  <c r="AL41" i="27"/>
  <c r="AL6" i="27"/>
  <c r="AL40" i="27"/>
  <c r="AL25" i="27"/>
  <c r="AL10" i="45"/>
  <c r="AL27" i="45"/>
  <c r="AL15" i="45"/>
  <c r="AL4" i="45"/>
  <c r="AL20" i="45"/>
  <c r="AL13" i="45"/>
  <c r="AL14" i="45"/>
  <c r="AL3" i="45"/>
  <c r="AL19" i="45"/>
  <c r="AL8" i="45"/>
  <c r="AL24" i="45"/>
  <c r="AL17" i="45"/>
  <c r="AL2" i="45"/>
  <c r="AL18" i="45"/>
  <c r="AL7" i="45"/>
  <c r="AL23" i="45"/>
  <c r="AL12" i="45"/>
  <c r="AL5" i="45"/>
  <c r="AL21" i="45"/>
  <c r="AL6" i="45"/>
  <c r="AL22" i="45"/>
  <c r="AL11" i="45"/>
  <c r="AL26" i="45"/>
  <c r="AL16" i="45"/>
  <c r="AL9" i="45"/>
  <c r="AL12" i="13"/>
  <c r="AM12" i="13" s="1"/>
  <c r="AL29" i="13"/>
  <c r="AL44" i="13"/>
  <c r="AL13" i="13"/>
  <c r="AL28" i="13"/>
  <c r="AL45" i="13"/>
  <c r="AL6" i="13"/>
  <c r="AL22" i="13"/>
  <c r="AL38" i="13"/>
  <c r="AL7" i="13"/>
  <c r="AL23" i="13"/>
  <c r="AM23" i="13" s="1"/>
  <c r="AL40" i="13"/>
  <c r="AL16" i="13"/>
  <c r="AL32" i="13"/>
  <c r="AL48" i="13"/>
  <c r="AL17" i="13"/>
  <c r="AL33" i="13"/>
  <c r="AL49" i="13"/>
  <c r="AL10" i="13"/>
  <c r="AL26" i="13"/>
  <c r="AL42" i="13"/>
  <c r="AL11" i="13"/>
  <c r="AL27" i="13"/>
  <c r="AL43" i="13"/>
  <c r="AL14" i="13"/>
  <c r="AL30" i="13"/>
  <c r="AL46" i="13"/>
  <c r="AL15" i="13"/>
  <c r="AL31" i="13"/>
  <c r="AL12" i="47"/>
  <c r="AL11" i="47"/>
  <c r="AL22" i="47"/>
  <c r="AL95" i="47"/>
  <c r="AL84" i="47"/>
  <c r="AL41" i="47"/>
  <c r="AL51" i="47"/>
  <c r="AL9" i="47"/>
  <c r="AL3" i="47"/>
  <c r="AL40" i="26"/>
  <c r="AL31" i="26"/>
  <c r="AL20" i="26"/>
  <c r="AL19" i="26"/>
  <c r="AL18" i="24"/>
  <c r="AL80" i="24"/>
  <c r="AL85" i="24"/>
  <c r="AL217" i="24"/>
  <c r="AL173" i="24"/>
  <c r="AL117" i="24"/>
  <c r="AL199" i="24"/>
  <c r="AL6" i="24"/>
  <c r="AL196" i="24"/>
  <c r="AL161" i="24"/>
  <c r="AL177" i="24"/>
  <c r="AL153" i="24"/>
  <c r="AL87" i="24"/>
  <c r="AL39" i="24"/>
  <c r="AL119" i="24"/>
  <c r="AL135" i="24"/>
  <c r="AM135" i="24" s="1"/>
  <c r="AL142" i="24"/>
  <c r="AL225" i="24"/>
  <c r="AL197" i="24"/>
  <c r="AL19" i="24"/>
  <c r="AL134" i="24"/>
  <c r="AL104" i="24"/>
  <c r="AL220" i="24"/>
  <c r="AL5" i="24"/>
  <c r="AL92" i="24"/>
  <c r="AL3" i="24"/>
  <c r="AL130" i="24"/>
  <c r="AL201" i="24"/>
  <c r="AL95" i="24"/>
  <c r="AL76" i="24"/>
  <c r="AM76" i="24" s="1"/>
  <c r="AL132" i="24"/>
  <c r="AL167" i="24"/>
  <c r="AL69" i="24"/>
  <c r="AL90" i="24"/>
  <c r="AL30" i="24"/>
  <c r="AL25" i="24"/>
  <c r="AL189" i="24"/>
  <c r="AL140" i="24"/>
  <c r="AL195" i="24"/>
  <c r="AL68" i="24"/>
  <c r="AL159" i="24"/>
  <c r="AL4" i="24"/>
  <c r="AL169" i="24"/>
  <c r="AL158" i="24"/>
  <c r="AL182" i="24"/>
  <c r="AL10" i="24"/>
  <c r="AL62" i="24"/>
  <c r="AL63" i="24"/>
  <c r="AL83" i="24"/>
  <c r="AL66" i="24"/>
  <c r="AL131" i="24"/>
  <c r="AL224" i="24"/>
  <c r="AL11" i="24"/>
  <c r="AL52" i="24"/>
  <c r="AL164" i="24"/>
  <c r="AL194" i="24"/>
  <c r="AL86" i="24"/>
  <c r="AL13" i="24"/>
  <c r="AL141" i="24"/>
  <c r="AL207" i="24"/>
  <c r="AL118" i="24"/>
  <c r="AL47" i="24"/>
  <c r="AL40" i="24"/>
  <c r="AL74" i="24"/>
  <c r="AL32" i="46"/>
  <c r="AL40" i="46"/>
  <c r="AL26" i="46"/>
  <c r="AL29" i="46"/>
  <c r="AL28" i="46"/>
  <c r="AL76" i="46"/>
  <c r="AL131" i="46"/>
  <c r="AL86" i="46"/>
  <c r="AL169" i="46"/>
  <c r="AL176" i="46"/>
  <c r="AL112" i="46"/>
  <c r="AL89" i="46"/>
  <c r="AL49" i="46"/>
  <c r="AL108" i="46"/>
  <c r="AL46" i="46"/>
  <c r="AL107" i="46"/>
  <c r="AL158" i="46"/>
  <c r="AL166" i="46"/>
  <c r="AL72" i="46"/>
  <c r="AL141" i="46"/>
  <c r="AL133" i="46"/>
  <c r="AL33" i="46"/>
  <c r="AL15" i="46"/>
  <c r="AL155" i="46"/>
  <c r="AL16" i="46"/>
  <c r="AL144" i="46"/>
  <c r="AL23" i="46"/>
  <c r="AL8" i="46"/>
  <c r="AL9" i="46"/>
  <c r="AL38" i="46"/>
  <c r="AL161" i="46"/>
  <c r="AL19" i="46"/>
  <c r="AL116" i="46"/>
  <c r="AL157" i="46"/>
  <c r="AL74" i="46"/>
  <c r="AL137" i="46"/>
  <c r="AL165" i="46"/>
  <c r="AL54" i="46"/>
  <c r="AL59" i="46"/>
  <c r="AL98" i="46"/>
  <c r="AL27" i="46"/>
  <c r="AL13" i="46"/>
  <c r="AL128" i="46"/>
  <c r="AL179" i="46"/>
  <c r="AL146" i="46"/>
  <c r="AL163" i="46"/>
  <c r="AL71" i="46"/>
  <c r="AL78" i="46"/>
  <c r="AL173" i="46"/>
  <c r="AL125" i="46"/>
  <c r="AL91" i="46"/>
  <c r="AL66" i="46"/>
  <c r="AL129" i="46"/>
  <c r="AL156" i="46"/>
  <c r="AL45" i="46"/>
  <c r="AL145" i="46"/>
  <c r="AL37" i="46"/>
  <c r="AL10" i="46"/>
  <c r="AL135" i="46"/>
  <c r="AL114" i="46"/>
  <c r="AL75" i="46"/>
  <c r="AL7" i="46"/>
  <c r="AL58" i="46"/>
  <c r="AL73" i="46"/>
  <c r="AL51" i="46"/>
  <c r="AL140" i="46"/>
  <c r="AL119" i="46"/>
  <c r="AL175" i="46"/>
  <c r="AL177" i="46"/>
  <c r="AL6" i="46"/>
  <c r="AL43" i="46"/>
  <c r="AL99" i="46"/>
  <c r="AL94" i="46"/>
  <c r="AL148" i="46"/>
  <c r="AL39" i="46"/>
  <c r="AL88" i="46"/>
  <c r="AL162" i="46"/>
  <c r="AL93" i="46"/>
  <c r="AL17" i="46"/>
  <c r="AL84" i="46"/>
  <c r="AL168" i="46"/>
  <c r="AL136" i="46"/>
  <c r="AL164" i="46"/>
  <c r="AL11" i="46"/>
  <c r="AL121" i="46"/>
  <c r="AL147" i="46"/>
  <c r="AL170" i="46"/>
  <c r="AL81" i="46"/>
  <c r="AL47" i="46"/>
  <c r="AL172" i="46"/>
  <c r="AL174" i="46"/>
  <c r="AL90" i="46"/>
  <c r="AL127" i="46"/>
  <c r="AL134" i="46"/>
  <c r="AL105" i="46"/>
  <c r="AL106" i="46"/>
  <c r="AL35" i="46"/>
  <c r="AL50" i="46"/>
  <c r="AL123" i="46"/>
  <c r="AL20" i="46"/>
  <c r="AL60" i="46"/>
  <c r="AL110" i="46"/>
  <c r="AL4" i="46"/>
  <c r="AL44" i="46"/>
  <c r="AL103" i="46"/>
  <c r="AL153" i="46"/>
  <c r="AL143" i="46"/>
  <c r="AL2" i="46"/>
  <c r="AL70" i="46"/>
  <c r="AL151" i="46"/>
  <c r="AL111" i="46"/>
  <c r="AL36" i="46"/>
  <c r="AL97" i="46"/>
  <c r="AL12" i="46"/>
  <c r="AL95" i="46"/>
  <c r="AL69" i="46"/>
  <c r="AL130" i="46"/>
  <c r="AL100" i="46"/>
  <c r="AL149" i="46"/>
  <c r="AL21" i="46"/>
  <c r="AL18" i="46"/>
  <c r="AL87" i="46"/>
  <c r="AL154" i="46"/>
  <c r="AL79" i="46"/>
  <c r="AL160" i="46"/>
  <c r="AL138" i="46"/>
  <c r="AL53" i="46"/>
  <c r="AL77" i="46"/>
  <c r="AL109" i="46"/>
  <c r="AL150" i="46"/>
  <c r="AL152" i="46"/>
  <c r="AL37" i="50"/>
  <c r="AL90" i="50"/>
  <c r="AL42" i="50"/>
  <c r="AL57" i="50"/>
  <c r="AL51" i="50"/>
  <c r="AL7" i="50"/>
  <c r="AL19" i="50"/>
  <c r="AL15" i="50"/>
  <c r="AL73" i="50"/>
  <c r="AL44" i="50"/>
  <c r="AL24" i="50"/>
  <c r="AL63" i="50"/>
  <c r="AL8" i="50"/>
  <c r="AL69" i="50"/>
  <c r="AL28" i="50"/>
  <c r="AL6" i="50"/>
  <c r="AL58" i="50"/>
  <c r="AL23" i="50"/>
  <c r="AL106" i="50"/>
  <c r="AL32" i="50"/>
  <c r="AL87" i="50"/>
  <c r="AL101" i="50"/>
  <c r="AL89" i="50"/>
  <c r="AL16" i="50"/>
  <c r="AL43" i="50"/>
  <c r="AL97" i="50"/>
  <c r="AL31" i="50"/>
  <c r="AL102" i="50"/>
  <c r="AL3" i="50"/>
  <c r="AL12" i="50"/>
  <c r="AL40" i="50"/>
  <c r="AL47" i="50"/>
  <c r="AL25" i="50"/>
  <c r="AL5" i="50"/>
  <c r="AL104" i="50"/>
  <c r="AL65" i="50"/>
  <c r="AL33" i="50"/>
  <c r="AL67" i="50"/>
  <c r="AL80" i="50"/>
  <c r="AL94" i="50"/>
  <c r="AL38" i="50"/>
  <c r="AL55" i="50"/>
  <c r="AL78" i="50"/>
  <c r="AL95" i="50"/>
  <c r="AL52" i="50"/>
  <c r="AL75" i="50"/>
  <c r="AL26" i="50"/>
  <c r="AL17" i="50"/>
  <c r="AL14" i="50"/>
  <c r="AL64" i="50"/>
  <c r="AL83" i="50"/>
  <c r="AL36" i="50"/>
  <c r="AL98" i="50"/>
  <c r="AL53" i="50"/>
  <c r="AL59" i="50"/>
  <c r="AL96" i="50"/>
  <c r="AL29" i="50"/>
  <c r="AL93" i="50"/>
  <c r="AL20" i="50"/>
  <c r="AL11" i="50"/>
  <c r="AL10" i="50"/>
  <c r="AL2" i="50"/>
  <c r="AL66" i="50"/>
  <c r="AL22" i="50"/>
  <c r="AL60" i="50"/>
  <c r="AL76" i="50"/>
  <c r="AL27" i="50"/>
  <c r="AL99" i="50"/>
  <c r="AL41" i="50"/>
  <c r="AL54" i="50"/>
  <c r="AL13" i="50"/>
  <c r="AL88" i="50"/>
  <c r="AL74" i="50"/>
  <c r="AL72" i="50"/>
  <c r="AL81" i="50"/>
  <c r="AL105" i="50"/>
  <c r="AL34" i="50"/>
  <c r="AL35" i="50"/>
  <c r="AL71" i="50"/>
  <c r="AL9" i="50"/>
  <c r="AL56" i="50"/>
  <c r="AL4" i="50"/>
  <c r="AL62" i="50"/>
  <c r="AL68" i="50"/>
  <c r="AL49" i="50"/>
  <c r="AL77" i="50"/>
  <c r="AL21" i="50"/>
  <c r="AL70" i="50"/>
  <c r="AL92" i="50"/>
  <c r="AL30" i="50"/>
  <c r="AL18" i="50"/>
  <c r="AL100" i="50"/>
  <c r="AL86" i="50"/>
  <c r="AL375" i="19"/>
  <c r="AL263" i="19"/>
  <c r="AL163" i="19"/>
  <c r="AL433" i="19"/>
  <c r="AL113" i="19"/>
  <c r="AL249" i="19"/>
  <c r="AL443" i="19"/>
  <c r="AL195" i="19"/>
  <c r="AL429" i="19"/>
  <c r="AL252" i="19"/>
  <c r="AL432" i="19"/>
  <c r="AL345" i="19"/>
  <c r="AL31" i="19"/>
  <c r="AL337" i="19"/>
  <c r="AL367" i="19"/>
  <c r="AM367" i="19" s="1"/>
  <c r="AL102" i="19"/>
  <c r="AL251" i="19"/>
  <c r="AL378" i="19"/>
  <c r="AL228" i="19"/>
  <c r="AL144" i="19"/>
  <c r="AL137" i="19"/>
  <c r="AL399" i="19"/>
  <c r="AL248" i="19"/>
  <c r="AL159" i="19"/>
  <c r="AL84" i="19"/>
  <c r="AL342" i="19"/>
  <c r="AL35" i="19"/>
  <c r="AL158" i="19"/>
  <c r="AL236" i="19"/>
  <c r="AL340" i="19"/>
  <c r="AM340" i="19" s="1"/>
  <c r="AL392" i="19"/>
  <c r="AL44" i="19"/>
  <c r="AL111" i="19"/>
  <c r="AL125" i="19"/>
  <c r="AL368" i="19"/>
  <c r="AL181" i="19"/>
  <c r="AL148" i="19"/>
  <c r="AL156" i="19"/>
  <c r="AL182" i="19"/>
  <c r="AL62" i="19"/>
  <c r="AL117" i="19"/>
  <c r="AL261" i="19"/>
  <c r="AL316" i="19"/>
  <c r="AL444" i="19"/>
  <c r="AL88" i="19"/>
  <c r="AL141" i="19"/>
  <c r="AL167" i="19"/>
  <c r="AL177" i="19"/>
  <c r="AL247" i="19"/>
  <c r="AL332" i="19"/>
  <c r="AL416" i="19"/>
  <c r="AL351" i="19"/>
  <c r="AL409" i="19"/>
  <c r="AL370" i="19"/>
  <c r="AL308" i="19"/>
  <c r="AL371" i="19"/>
  <c r="AL404" i="19"/>
  <c r="AL403" i="19"/>
  <c r="AL304" i="19"/>
  <c r="AL267" i="19"/>
  <c r="AL132" i="19"/>
  <c r="AL205" i="19"/>
  <c r="AL112" i="19"/>
  <c r="AL187" i="19"/>
  <c r="AL151" i="19"/>
  <c r="AL204" i="19"/>
  <c r="AL6" i="19"/>
  <c r="AL188" i="19"/>
  <c r="AL49" i="19"/>
  <c r="AL385" i="19"/>
  <c r="AL389" i="19"/>
  <c r="AL417" i="19"/>
  <c r="AL319" i="19"/>
  <c r="AL103" i="19"/>
  <c r="AL377" i="19"/>
  <c r="AL72" i="19"/>
  <c r="AL25" i="19"/>
  <c r="AL18" i="19"/>
  <c r="AL220" i="19"/>
  <c r="AL262" i="19"/>
  <c r="AL306" i="19"/>
  <c r="AL350" i="19"/>
  <c r="AL298" i="19"/>
  <c r="AL364" i="19"/>
  <c r="AL123" i="19"/>
  <c r="AL229" i="19"/>
  <c r="AL208" i="19"/>
  <c r="AL23" i="19"/>
  <c r="AL110" i="19"/>
  <c r="AL56" i="19"/>
  <c r="AL194" i="19"/>
  <c r="AL235" i="19"/>
  <c r="AM235" i="19" s="1"/>
  <c r="AL192" i="19"/>
  <c r="AL318" i="19"/>
  <c r="AL225" i="19"/>
  <c r="AL66" i="19"/>
  <c r="AL155" i="19"/>
  <c r="AL85" i="19"/>
  <c r="AL140" i="19"/>
  <c r="AL274" i="19"/>
  <c r="AL233" i="19"/>
  <c r="AL294" i="19"/>
  <c r="AL58" i="19"/>
  <c r="AL207" i="19"/>
  <c r="AL374" i="19"/>
  <c r="AL282" i="19"/>
  <c r="AL255" i="19"/>
  <c r="AL59" i="19"/>
  <c r="AL89" i="19"/>
  <c r="AM89" i="19" s="1"/>
  <c r="AL348" i="19"/>
  <c r="AM348" i="19" s="1"/>
  <c r="AL445" i="19"/>
  <c r="AL266" i="19"/>
  <c r="AL346" i="19"/>
  <c r="AL407" i="19"/>
  <c r="AL246" i="19"/>
  <c r="AL425" i="19"/>
  <c r="AL96" i="19"/>
  <c r="AL283" i="19"/>
  <c r="AL67" i="19"/>
  <c r="AL83" i="19"/>
  <c r="AL127" i="19"/>
  <c r="AL13" i="19"/>
  <c r="AL272" i="19"/>
  <c r="AL297" i="19"/>
  <c r="AL383" i="19"/>
  <c r="AL410" i="19"/>
  <c r="AL343" i="19"/>
  <c r="AL406" i="19"/>
  <c r="AL87" i="19"/>
  <c r="AL230" i="19"/>
  <c r="AL175" i="19"/>
  <c r="AL104" i="19"/>
  <c r="AL243" i="19"/>
  <c r="AL373" i="19"/>
  <c r="AL295" i="19"/>
  <c r="AL51" i="19"/>
  <c r="AL257" i="19"/>
  <c r="AL269" i="19"/>
  <c r="AL422" i="19"/>
  <c r="AL133" i="19"/>
  <c r="AL442" i="19"/>
  <c r="AL193" i="19"/>
  <c r="AL296" i="19"/>
  <c r="AL115" i="19"/>
  <c r="AL334" i="19"/>
  <c r="AL142" i="19"/>
  <c r="AL211" i="19"/>
  <c r="AL408" i="19"/>
  <c r="AL197" i="19"/>
  <c r="AL101" i="19"/>
  <c r="AL401" i="19"/>
  <c r="AL258" i="19"/>
  <c r="AL226" i="19"/>
  <c r="AL311" i="19"/>
  <c r="AL384" i="19"/>
  <c r="AL30" i="19"/>
  <c r="AL134" i="19"/>
  <c r="AL173" i="19"/>
  <c r="AL179" i="19"/>
  <c r="AL81" i="19"/>
  <c r="AL420" i="19"/>
  <c r="AL28" i="19"/>
  <c r="AL299" i="19"/>
  <c r="AL253" i="19"/>
  <c r="AM253" i="19" s="1"/>
  <c r="AL268" i="19"/>
  <c r="AL150" i="19"/>
  <c r="AL440" i="19"/>
  <c r="AL329" i="19"/>
  <c r="AL438" i="19"/>
  <c r="AL402" i="19"/>
  <c r="AL206" i="19"/>
  <c r="AL201" i="19"/>
  <c r="AL38" i="19"/>
  <c r="AL120" i="19"/>
  <c r="AL166" i="19"/>
  <c r="AM166" i="19" s="1"/>
  <c r="AL93" i="19"/>
  <c r="AL114" i="19"/>
  <c r="AL365" i="19"/>
  <c r="AL341" i="19"/>
  <c r="AL20" i="19"/>
  <c r="AL184" i="19"/>
  <c r="AL48" i="19"/>
  <c r="AL330" i="19"/>
  <c r="AL191" i="19"/>
  <c r="AL147" i="19"/>
  <c r="AL128" i="19"/>
  <c r="AL189" i="19"/>
  <c r="AL279" i="19"/>
  <c r="AL278" i="19"/>
  <c r="AL124" i="19"/>
  <c r="AL185" i="19"/>
  <c r="AL68" i="19"/>
  <c r="AL366" i="19"/>
  <c r="AL63" i="19"/>
  <c r="AL344" i="19"/>
  <c r="AL210" i="19"/>
  <c r="AL41" i="19"/>
  <c r="AL254" i="19"/>
  <c r="AL170" i="19"/>
  <c r="AL213" i="19"/>
  <c r="AL238" i="19"/>
  <c r="AL275" i="19"/>
  <c r="AL313" i="19"/>
  <c r="AL165" i="19"/>
  <c r="AL250" i="19"/>
  <c r="AL160" i="19"/>
  <c r="AL37" i="19"/>
  <c r="AL169" i="19"/>
  <c r="AL231" i="19"/>
  <c r="AL303" i="19"/>
  <c r="AL221" i="19"/>
  <c r="AL8" i="19"/>
  <c r="AL75" i="19"/>
  <c r="AL65" i="19"/>
  <c r="AL305" i="19"/>
  <c r="AL26" i="19"/>
  <c r="AL36" i="19"/>
  <c r="AL412" i="19"/>
  <c r="AL405" i="19"/>
  <c r="AL50" i="19"/>
  <c r="AL381" i="19"/>
  <c r="AL216" i="19"/>
  <c r="AL335" i="19"/>
  <c r="AL362" i="19"/>
  <c r="AL372" i="19"/>
  <c r="AL183" i="19"/>
  <c r="AL157" i="19"/>
  <c r="AL395" i="19"/>
  <c r="AL309" i="19"/>
  <c r="AL214" i="19"/>
  <c r="AL428" i="19"/>
  <c r="AL34" i="19"/>
  <c r="AL168" i="19"/>
  <c r="AL300" i="19"/>
  <c r="AL196" i="19"/>
  <c r="AL16" i="19"/>
  <c r="AL439" i="19"/>
  <c r="AL301" i="19"/>
  <c r="AL42" i="19"/>
  <c r="AL437" i="19"/>
  <c r="AL237" i="19"/>
  <c r="AM237" i="19" s="1"/>
  <c r="AL94" i="19"/>
  <c r="AM94" i="19" s="1"/>
  <c r="AL17" i="19"/>
  <c r="AL186" i="19"/>
  <c r="AL202" i="19"/>
  <c r="AL259" i="19"/>
  <c r="AL80" i="19"/>
  <c r="AL421" i="19"/>
  <c r="AL426" i="19"/>
  <c r="AL434" i="19"/>
  <c r="AL116" i="19"/>
  <c r="AL122" i="19"/>
  <c r="AL55" i="19"/>
  <c r="AL198" i="19"/>
  <c r="AL400" i="19"/>
  <c r="AL360" i="19"/>
  <c r="AM360" i="19" s="1"/>
  <c r="AL240" i="19"/>
  <c r="AL396" i="19"/>
  <c r="AL121" i="19"/>
  <c r="AL190" i="19"/>
  <c r="AL76" i="19"/>
  <c r="AL327" i="19"/>
  <c r="AL19" i="19"/>
  <c r="AL227" i="19"/>
  <c r="AL14" i="19"/>
  <c r="AL388" i="19"/>
  <c r="AL387" i="19"/>
  <c r="AL271" i="19"/>
  <c r="AL106" i="19"/>
  <c r="AL21" i="19"/>
  <c r="AL161" i="19"/>
  <c r="AL118" i="19"/>
  <c r="AL314" i="19"/>
  <c r="AL245" i="19"/>
  <c r="AL39" i="19"/>
  <c r="AL435" i="19"/>
  <c r="AL436" i="19"/>
  <c r="AL69" i="19"/>
  <c r="AL131" i="19"/>
  <c r="AL222" i="19"/>
  <c r="AL130" i="19"/>
  <c r="AL153" i="19"/>
  <c r="AL215" i="19"/>
  <c r="AL180" i="19"/>
  <c r="AL217" i="19"/>
  <c r="AL302" i="19"/>
  <c r="AL292" i="19"/>
  <c r="AL369" i="19"/>
  <c r="AL357" i="19"/>
  <c r="AL61" i="19"/>
  <c r="AL223" i="19"/>
  <c r="AL212" i="19"/>
  <c r="AL105" i="19"/>
  <c r="AL119" i="19"/>
  <c r="AL32" i="19"/>
  <c r="AL171" i="19"/>
  <c r="AM171" i="19" s="1"/>
  <c r="AL100" i="19"/>
  <c r="AL203" i="19"/>
  <c r="AL107" i="19"/>
  <c r="AL60" i="19"/>
  <c r="AL79" i="19"/>
  <c r="AL91" i="19"/>
  <c r="AL92" i="19"/>
  <c r="AL398" i="19"/>
  <c r="AL219" i="19"/>
  <c r="AL356" i="19"/>
  <c r="AL285" i="19"/>
  <c r="AM285" i="19" s="1"/>
  <c r="AL413" i="19"/>
  <c r="AL24" i="19"/>
  <c r="AL174" i="19"/>
  <c r="AM174" i="19" s="1"/>
  <c r="AL46" i="19"/>
  <c r="AL310" i="19"/>
  <c r="AL336" i="19"/>
  <c r="AL338" i="19"/>
  <c r="AL430" i="19"/>
  <c r="AL218" i="19"/>
  <c r="AL11" i="19"/>
  <c r="AL284" i="19"/>
  <c r="AL320" i="19"/>
  <c r="AL376" i="19"/>
  <c r="AL244" i="19"/>
  <c r="AL52" i="19"/>
  <c r="AL287" i="19"/>
  <c r="AL172" i="19"/>
  <c r="AL380" i="19"/>
  <c r="AM380" i="19" s="1"/>
  <c r="AL386" i="19"/>
  <c r="AL33" i="19"/>
  <c r="AL95" i="19"/>
  <c r="AL9" i="19"/>
  <c r="AL423" i="19"/>
  <c r="AL424" i="19"/>
  <c r="AL136" i="19"/>
  <c r="AL353" i="19"/>
  <c r="AL178" i="19"/>
  <c r="AL331" i="19"/>
  <c r="AL224" i="19"/>
  <c r="AL379" i="19"/>
  <c r="AL317" i="19"/>
  <c r="AL7" i="19"/>
  <c r="AL232" i="19"/>
  <c r="AM232" i="19" s="1"/>
  <c r="AL393" i="19"/>
  <c r="AL355" i="19"/>
  <c r="AL3" i="19"/>
  <c r="AL270" i="19"/>
  <c r="AL391" i="19"/>
  <c r="AM391" i="19" s="1"/>
  <c r="AL129" i="19"/>
  <c r="AL73" i="19"/>
  <c r="AL322" i="19"/>
  <c r="AL260" i="19"/>
  <c r="AL307" i="19"/>
  <c r="AL446" i="19"/>
  <c r="AL289" i="19"/>
  <c r="AL418" i="19"/>
  <c r="AL40" i="19"/>
  <c r="AL352" i="19"/>
  <c r="AL78" i="19"/>
  <c r="AL86" i="19"/>
  <c r="AL70" i="19"/>
  <c r="AL281" i="19"/>
  <c r="AL145" i="19"/>
  <c r="AL138" i="19"/>
  <c r="AL99" i="19"/>
  <c r="AL234" i="19"/>
  <c r="AL326" i="19"/>
  <c r="AL29" i="19"/>
  <c r="AL394" i="19"/>
  <c r="AL77" i="19"/>
  <c r="AL149" i="19"/>
  <c r="AL419" i="19"/>
  <c r="AL354" i="19"/>
  <c r="AL397" i="19"/>
  <c r="AL358" i="19"/>
  <c r="AL71" i="19"/>
  <c r="AL57" i="19"/>
  <c r="AL447" i="19"/>
  <c r="AL286" i="19"/>
  <c r="AL139" i="19"/>
  <c r="AL200" i="19"/>
  <c r="AL415" i="19"/>
  <c r="AL293" i="19"/>
  <c r="AL414" i="19"/>
  <c r="AL291" i="19"/>
  <c r="AL256" i="19"/>
  <c r="AL10" i="19"/>
  <c r="AL264" i="19"/>
  <c r="AL280" i="19"/>
  <c r="AL98" i="19"/>
  <c r="AL109" i="19"/>
  <c r="AL328" i="19"/>
  <c r="AM328" i="19" s="1"/>
  <c r="AL333" i="19"/>
  <c r="AL277" i="19"/>
  <c r="AL209" i="19"/>
  <c r="AM209" i="19" s="1"/>
  <c r="AL265" i="19"/>
  <c r="AM265" i="19" s="1"/>
  <c r="AL273" i="19"/>
  <c r="AL390" i="19"/>
  <c r="AL53" i="19"/>
  <c r="AL349" i="19"/>
  <c r="AL15" i="19"/>
  <c r="AL162" i="19"/>
  <c r="AL176" i="19"/>
  <c r="AL239" i="19"/>
  <c r="AL276" i="19"/>
  <c r="AL64" i="19"/>
  <c r="AL382" i="19"/>
  <c r="AL363" i="19"/>
  <c r="AM363" i="19" s="1"/>
  <c r="AL154" i="19"/>
  <c r="AL108" i="19"/>
  <c r="AL126" i="19"/>
  <c r="AL22" i="19"/>
  <c r="AL47" i="19"/>
  <c r="AL45" i="19"/>
  <c r="AL290" i="19"/>
  <c r="AL431" i="19"/>
  <c r="AL2" i="19"/>
  <c r="AL54" i="19"/>
  <c r="AL4" i="19"/>
  <c r="AL27" i="19"/>
  <c r="AL143" i="19"/>
  <c r="AL82" i="19"/>
  <c r="AL312" i="19"/>
  <c r="AL339" i="19"/>
  <c r="AL288" i="19"/>
  <c r="AL135" i="19"/>
  <c r="AL411" i="19"/>
  <c r="AL12" i="19"/>
  <c r="AL361" i="19"/>
  <c r="AL359" i="19"/>
  <c r="AL199" i="19"/>
  <c r="AL5" i="19"/>
  <c r="AL97" i="19"/>
  <c r="AL90" i="19"/>
  <c r="AL441" i="19"/>
  <c r="AL242" i="19"/>
  <c r="AL324" i="19"/>
  <c r="AL74" i="19"/>
  <c r="AL315" i="19"/>
  <c r="AL152" i="19"/>
  <c r="AL146" i="19"/>
  <c r="AL164" i="19"/>
  <c r="AL43" i="19"/>
  <c r="AL321" i="19"/>
  <c r="AL427" i="19"/>
  <c r="AL323" i="19"/>
  <c r="AL241" i="19"/>
  <c r="AL325" i="19"/>
  <c r="AL32" i="49"/>
  <c r="AM32" i="49" s="1"/>
  <c r="AL114" i="49"/>
  <c r="AM114" i="49" s="1"/>
  <c r="AL14" i="49"/>
  <c r="AL30" i="49"/>
  <c r="AL47" i="49"/>
  <c r="AL63" i="49"/>
  <c r="AL79" i="49"/>
  <c r="AL94" i="49"/>
  <c r="AL111" i="49"/>
  <c r="AL15" i="49"/>
  <c r="AL31" i="49"/>
  <c r="AL48" i="49"/>
  <c r="AL64" i="49"/>
  <c r="AL80" i="49"/>
  <c r="AM80" i="49" s="1"/>
  <c r="AL92" i="49"/>
  <c r="AL108" i="49"/>
  <c r="AL4" i="49"/>
  <c r="AL20" i="49"/>
  <c r="AL37" i="49"/>
  <c r="AM37" i="49" s="1"/>
  <c r="AL53" i="49"/>
  <c r="AL69" i="49"/>
  <c r="AM69" i="49" s="1"/>
  <c r="AL85" i="49"/>
  <c r="AL103" i="49"/>
  <c r="AM103" i="49" s="1"/>
  <c r="AL5" i="49"/>
  <c r="AL21" i="49"/>
  <c r="AL38" i="49"/>
  <c r="AL54" i="49"/>
  <c r="AL70" i="49"/>
  <c r="AL86" i="49"/>
  <c r="AL101" i="49"/>
  <c r="AL2" i="49"/>
  <c r="AL18" i="49"/>
  <c r="AL35" i="49"/>
  <c r="AL51" i="49"/>
  <c r="AL67" i="49"/>
  <c r="AL83" i="49"/>
  <c r="AM83" i="49" s="1"/>
  <c r="AL99" i="49"/>
  <c r="AL3" i="49"/>
  <c r="AL19" i="49"/>
  <c r="AL36" i="49"/>
  <c r="AL52" i="49"/>
  <c r="AL68" i="49"/>
  <c r="AL97" i="49"/>
  <c r="AL112" i="49"/>
  <c r="AM112" i="49" s="1"/>
  <c r="AL8" i="49"/>
  <c r="AL24" i="49"/>
  <c r="AL41" i="49"/>
  <c r="AL57" i="49"/>
  <c r="AM57" i="49" s="1"/>
  <c r="AL73" i="49"/>
  <c r="AM73" i="49" s="1"/>
  <c r="AL89" i="49"/>
  <c r="AL105" i="49"/>
  <c r="AM105" i="49" s="1"/>
  <c r="AL9" i="49"/>
  <c r="AL25" i="49"/>
  <c r="AL42" i="49"/>
  <c r="AL58" i="49"/>
  <c r="AL74" i="49"/>
  <c r="AL90" i="49"/>
  <c r="AL106" i="49"/>
  <c r="AL6" i="49"/>
  <c r="AL22" i="49"/>
  <c r="AL39" i="49"/>
  <c r="AL55" i="49"/>
  <c r="AL71" i="49"/>
  <c r="AL87" i="49"/>
  <c r="AL102" i="49"/>
  <c r="AL7" i="49"/>
  <c r="AL23" i="49"/>
  <c r="AL40" i="49"/>
  <c r="AL56" i="49"/>
  <c r="AL72" i="49"/>
  <c r="AL84" i="49"/>
  <c r="AL100" i="49"/>
  <c r="AM100" i="49" s="1"/>
  <c r="AL12" i="49"/>
  <c r="AL28" i="49"/>
  <c r="AL45" i="49"/>
  <c r="AL61" i="49"/>
  <c r="AL77" i="49"/>
  <c r="AL93" i="49"/>
  <c r="AM93" i="49" s="1"/>
  <c r="AL109" i="49"/>
  <c r="AL13" i="49"/>
  <c r="AL29" i="49"/>
  <c r="AL46" i="49"/>
  <c r="AL62" i="49"/>
  <c r="AL78" i="49"/>
  <c r="AL95" i="49"/>
  <c r="AL110" i="49"/>
  <c r="AL10" i="49"/>
  <c r="AL26" i="49"/>
  <c r="AL43" i="49"/>
  <c r="AL59" i="49"/>
  <c r="AL76" i="49"/>
  <c r="AL91" i="49"/>
  <c r="AL107" i="49"/>
  <c r="AL11" i="49"/>
  <c r="AL27" i="49"/>
  <c r="AL44" i="49"/>
  <c r="AL60" i="49"/>
  <c r="AL75" i="49"/>
  <c r="AL88" i="49"/>
  <c r="AL104" i="49"/>
  <c r="AL16" i="49"/>
  <c r="AL33" i="49"/>
  <c r="AL49" i="49"/>
  <c r="AL65" i="49"/>
  <c r="AM65" i="49" s="1"/>
  <c r="AL81" i="49"/>
  <c r="AL98" i="49"/>
  <c r="AL113" i="49"/>
  <c r="AM113" i="49" s="1"/>
  <c r="AL17" i="49"/>
  <c r="AL34" i="49"/>
  <c r="AL50" i="49"/>
  <c r="AL66" i="49"/>
  <c r="AL82" i="49"/>
  <c r="AL96" i="49"/>
  <c r="AM96" i="49" s="1"/>
  <c r="AL115" i="49"/>
  <c r="AL67" i="18"/>
  <c r="AL59" i="18"/>
  <c r="AL27" i="18"/>
  <c r="AL65" i="18"/>
  <c r="AL24" i="18"/>
  <c r="AL41" i="18"/>
  <c r="AL63" i="18"/>
  <c r="AL55" i="18"/>
  <c r="AL38" i="18"/>
  <c r="AL3" i="18"/>
  <c r="AL25" i="18"/>
  <c r="AL49" i="18"/>
  <c r="AL66" i="18"/>
  <c r="AL52" i="18"/>
  <c r="AL28" i="18"/>
  <c r="AL33" i="18"/>
  <c r="AL8" i="18"/>
  <c r="AL57" i="18"/>
  <c r="AL7" i="18"/>
  <c r="AL20" i="18"/>
  <c r="AL46" i="18"/>
  <c r="AL60" i="18"/>
  <c r="AL39" i="18"/>
  <c r="AL12" i="18"/>
  <c r="AL19" i="18"/>
  <c r="AL13" i="18"/>
  <c r="AL40" i="18"/>
  <c r="AL17" i="18"/>
  <c r="AL2" i="18"/>
  <c r="AL26" i="18"/>
  <c r="AL4" i="18"/>
  <c r="AL32" i="18"/>
  <c r="AL50" i="18"/>
  <c r="AL14" i="18"/>
  <c r="AL6" i="18"/>
  <c r="AL5" i="18"/>
  <c r="AL35" i="18"/>
  <c r="AL47" i="18"/>
  <c r="AL69" i="18"/>
  <c r="AL43" i="18"/>
  <c r="AL56" i="18"/>
  <c r="AL61" i="18"/>
  <c r="AL58" i="18"/>
  <c r="AL18" i="18"/>
  <c r="AL9" i="18"/>
  <c r="AL10" i="18"/>
  <c r="AL45" i="18"/>
  <c r="AL42" i="18"/>
  <c r="AL68" i="18"/>
  <c r="AL36" i="18"/>
  <c r="AL15" i="18"/>
  <c r="AL16" i="18"/>
  <c r="AL21" i="18"/>
  <c r="AL29" i="18"/>
  <c r="AL34" i="18"/>
  <c r="AL44" i="18"/>
  <c r="AL30" i="18"/>
  <c r="AL23" i="18"/>
  <c r="AL48" i="18"/>
  <c r="AL11" i="18"/>
  <c r="AL62" i="18"/>
  <c r="AL51" i="18"/>
  <c r="AL54" i="18"/>
  <c r="AL22" i="18"/>
  <c r="AL31" i="18"/>
  <c r="AL53" i="18"/>
  <c r="AL64" i="18"/>
  <c r="AL3" i="11"/>
  <c r="AL5" i="11"/>
  <c r="AL20" i="11"/>
  <c r="AL12" i="11"/>
  <c r="AL4" i="6"/>
  <c r="AL28" i="6"/>
  <c r="AL40" i="6"/>
  <c r="AL31" i="6"/>
  <c r="AL33" i="6"/>
  <c r="AL12" i="6"/>
  <c r="AL29" i="6"/>
  <c r="AL12" i="9"/>
  <c r="AL20" i="9"/>
  <c r="AL7" i="9"/>
  <c r="AL5" i="114"/>
  <c r="AL6" i="114"/>
  <c r="AL7" i="114" s="1"/>
  <c r="AL4" i="114"/>
  <c r="AL22" i="84"/>
  <c r="AL16" i="84"/>
  <c r="AL19" i="84"/>
  <c r="AL6" i="84"/>
  <c r="AL23" i="84"/>
  <c r="AL15" i="84"/>
  <c r="AL13" i="84"/>
  <c r="AL18" i="84"/>
  <c r="AL17" i="84"/>
  <c r="AL5" i="84"/>
  <c r="AL2" i="84"/>
  <c r="AL3" i="84"/>
  <c r="AL14" i="84"/>
  <c r="AL7" i="84"/>
  <c r="AL24" i="84"/>
  <c r="AL21" i="84"/>
  <c r="AL8" i="84"/>
  <c r="AL12" i="84"/>
  <c r="AL4" i="84"/>
  <c r="AL15" i="72"/>
  <c r="AM15" i="72" s="1"/>
  <c r="AL29" i="72"/>
  <c r="AM29" i="72" s="1"/>
  <c r="AL33" i="72"/>
  <c r="AM33" i="72" s="1"/>
  <c r="AL14" i="72"/>
  <c r="AL32" i="72"/>
  <c r="AL11" i="72"/>
  <c r="AL28" i="72"/>
  <c r="AL8" i="72"/>
  <c r="AL25" i="72"/>
  <c r="AL9" i="72"/>
  <c r="AL26" i="72"/>
  <c r="AL2" i="72"/>
  <c r="AL19" i="72"/>
  <c r="AL37" i="72"/>
  <c r="AL16" i="72"/>
  <c r="AL34" i="72"/>
  <c r="AL12" i="72"/>
  <c r="AL30" i="72"/>
  <c r="AL13" i="72"/>
  <c r="AL31" i="72"/>
  <c r="AL6" i="72"/>
  <c r="AL23" i="72"/>
  <c r="AL3" i="72"/>
  <c r="AL20" i="72"/>
  <c r="AL38" i="72"/>
  <c r="AL17" i="72"/>
  <c r="AL35" i="72"/>
  <c r="AL18" i="72"/>
  <c r="AL36" i="72"/>
  <c r="AL10" i="72"/>
  <c r="AL27" i="72"/>
  <c r="AL7" i="72"/>
  <c r="AL24" i="72"/>
  <c r="AL4" i="72"/>
  <c r="AL21" i="72"/>
  <c r="AL39" i="72"/>
  <c r="AL6" i="58"/>
  <c r="AL24" i="58"/>
  <c r="AL40" i="58"/>
  <c r="AL11" i="58"/>
  <c r="AL29" i="58"/>
  <c r="AL4" i="58"/>
  <c r="AL21" i="58"/>
  <c r="AL38" i="58"/>
  <c r="AL13" i="58"/>
  <c r="AL31" i="58"/>
  <c r="AL10" i="58"/>
  <c r="AL28" i="58"/>
  <c r="AL44" i="58"/>
  <c r="AL15" i="58"/>
  <c r="AL34" i="58"/>
  <c r="AL8" i="58"/>
  <c r="AL26" i="58"/>
  <c r="AL42" i="58"/>
  <c r="AL18" i="58"/>
  <c r="AL35" i="58"/>
  <c r="AL2" i="58"/>
  <c r="AL14" i="58"/>
  <c r="AL32" i="58"/>
  <c r="AL3" i="58"/>
  <c r="AL20" i="58"/>
  <c r="AL37" i="58"/>
  <c r="AL12" i="58"/>
  <c r="AL30" i="58"/>
  <c r="AL5" i="58"/>
  <c r="AL22" i="58"/>
  <c r="AL16" i="58"/>
  <c r="AL23" i="58"/>
  <c r="AL19" i="58"/>
  <c r="AL36" i="58"/>
  <c r="AL7" i="58"/>
  <c r="AL25" i="58"/>
  <c r="AL41" i="58"/>
  <c r="AL17" i="58"/>
  <c r="AL33" i="58"/>
  <c r="AL9" i="58"/>
  <c r="AL27" i="58"/>
  <c r="AL43" i="58"/>
  <c r="AL14" i="70"/>
  <c r="AL30" i="70"/>
  <c r="AL46" i="70"/>
  <c r="AL7" i="70"/>
  <c r="AL23" i="70"/>
  <c r="AL39" i="70"/>
  <c r="AL11" i="70"/>
  <c r="AL27" i="70"/>
  <c r="AL43" i="70"/>
  <c r="AL4" i="70"/>
  <c r="AL20" i="70"/>
  <c r="AL36" i="70"/>
  <c r="AL52" i="70"/>
  <c r="AL17" i="70"/>
  <c r="AL33" i="70"/>
  <c r="AL49" i="70"/>
  <c r="AL6" i="70"/>
  <c r="AL22" i="70"/>
  <c r="AL38" i="70"/>
  <c r="AL54" i="70"/>
  <c r="AL15" i="70"/>
  <c r="AL31" i="70"/>
  <c r="AL47" i="70"/>
  <c r="AL3" i="70"/>
  <c r="AL18" i="70"/>
  <c r="AL35" i="70"/>
  <c r="AL35" i="37"/>
  <c r="AL33" i="37"/>
  <c r="AL16" i="37"/>
  <c r="AL3" i="37"/>
  <c r="AL6" i="37"/>
  <c r="AL23" i="37"/>
  <c r="AL10" i="37"/>
  <c r="AL34" i="37"/>
  <c r="AL38" i="37"/>
  <c r="AL12" i="37"/>
  <c r="AL27" i="37"/>
  <c r="AL8" i="37"/>
  <c r="AL21" i="37"/>
  <c r="AL4" i="37"/>
  <c r="AL26" i="37"/>
  <c r="AL2" i="37"/>
  <c r="AL9" i="37"/>
  <c r="AL28" i="37"/>
  <c r="AL7" i="37"/>
  <c r="AL19" i="37"/>
  <c r="AL14" i="37"/>
  <c r="AL25" i="37"/>
  <c r="AL37" i="37"/>
  <c r="AL20" i="37"/>
  <c r="AL11" i="37"/>
  <c r="AL15" i="37"/>
  <c r="AL18" i="37"/>
  <c r="AL13" i="37"/>
  <c r="AL31" i="37"/>
  <c r="AL3" i="28"/>
  <c r="AL19" i="28"/>
  <c r="AL48" i="28"/>
  <c r="AL4" i="28"/>
  <c r="AL36" i="28"/>
  <c r="AL30" i="28"/>
  <c r="AL34" i="28"/>
  <c r="AL23" i="28"/>
  <c r="AL5" i="28"/>
  <c r="AL37" i="28"/>
  <c r="AL2" i="28"/>
  <c r="AL8" i="28"/>
  <c r="AL14" i="28"/>
  <c r="AL47" i="28"/>
  <c r="AL26" i="28"/>
  <c r="AL12" i="28"/>
  <c r="AL38" i="28"/>
  <c r="AL6" i="28"/>
  <c r="AL17" i="28"/>
  <c r="AL25" i="28"/>
  <c r="AL43" i="28"/>
  <c r="AL11" i="28"/>
  <c r="AL45" i="28"/>
  <c r="AL13" i="28"/>
  <c r="AL33" i="28"/>
  <c r="AL39" i="28"/>
  <c r="AL28" i="28"/>
  <c r="AL16" i="28"/>
  <c r="AL15" i="28"/>
  <c r="AL10" i="28"/>
  <c r="AL18" i="28"/>
  <c r="AL7" i="28"/>
  <c r="AL9" i="28"/>
  <c r="AL49" i="28"/>
  <c r="AL35" i="28"/>
  <c r="AL32" i="28"/>
  <c r="AL20" i="28"/>
  <c r="AL19" i="21"/>
  <c r="AL15" i="21"/>
  <c r="AL3" i="21"/>
  <c r="AL2" i="21"/>
  <c r="AL29" i="21"/>
  <c r="AL8" i="21"/>
  <c r="AL17" i="21"/>
  <c r="AL31" i="21"/>
  <c r="AM31" i="21" s="1"/>
  <c r="AL11" i="21"/>
  <c r="AL23" i="21"/>
  <c r="AM23" i="21" s="1"/>
  <c r="AL34" i="21"/>
  <c r="AL9" i="21"/>
  <c r="AL35" i="21" s="1"/>
  <c r="AL12" i="21"/>
  <c r="AL10" i="82"/>
  <c r="AL14" i="82"/>
  <c r="AL23" i="82"/>
  <c r="AL21" i="82"/>
  <c r="AL18" i="82"/>
  <c r="AL33" i="82"/>
  <c r="AL15" i="82"/>
  <c r="AL8" i="82"/>
  <c r="AL24" i="82"/>
  <c r="AL31" i="82"/>
  <c r="AL17" i="82"/>
  <c r="AL5" i="82"/>
  <c r="AL7" i="82"/>
  <c r="AL27" i="82"/>
  <c r="AL25" i="82"/>
  <c r="AL12" i="82"/>
  <c r="AL3" i="82"/>
  <c r="AL9" i="82"/>
  <c r="AL32" i="82"/>
  <c r="AL11" i="82"/>
  <c r="AL26" i="82"/>
  <c r="AL29" i="82"/>
  <c r="AL6" i="82"/>
  <c r="AL19" i="82"/>
  <c r="AL2" i="82"/>
  <c r="AL22" i="82"/>
  <c r="AL30" i="82"/>
  <c r="AL19" i="27"/>
  <c r="AL4" i="27"/>
  <c r="AL37" i="27"/>
  <c r="AL30" i="27"/>
  <c r="AL10" i="27"/>
  <c r="AL34" i="27"/>
  <c r="AL36" i="27"/>
  <c r="AL42" i="27"/>
  <c r="AM42" i="27" s="1"/>
  <c r="AL2" i="27"/>
  <c r="AL22" i="27"/>
  <c r="AL20" i="27"/>
  <c r="AL33" i="27"/>
  <c r="AL12" i="27"/>
  <c r="AL26" i="27"/>
  <c r="AL43" i="27"/>
  <c r="AL31" i="27"/>
  <c r="AL15" i="27"/>
  <c r="AL35" i="27"/>
  <c r="AL17" i="27"/>
  <c r="AL24" i="27"/>
  <c r="AL28" i="27"/>
  <c r="AL44" i="27"/>
  <c r="AL9" i="27"/>
  <c r="AL13" i="27"/>
  <c r="AM13" i="27" s="1"/>
  <c r="AL29" i="27"/>
  <c r="AL23" i="27"/>
  <c r="AL16" i="27"/>
  <c r="AL39" i="27"/>
  <c r="AL21" i="27"/>
  <c r="AL32" i="27"/>
  <c r="AL11" i="27"/>
  <c r="AL8" i="27"/>
  <c r="AL38" i="27"/>
  <c r="AL14" i="27"/>
  <c r="AL7" i="27"/>
  <c r="AL26" i="47"/>
  <c r="AL77" i="47"/>
  <c r="AL8" i="47"/>
  <c r="AL21" i="47"/>
  <c r="AL23" i="47"/>
  <c r="AL71" i="47"/>
  <c r="AL91" i="47"/>
  <c r="AL68" i="47"/>
  <c r="AL96" i="47"/>
  <c r="AL10" i="47"/>
  <c r="AL80" i="47"/>
  <c r="AL67" i="47"/>
  <c r="AL89" i="47"/>
  <c r="AL42" i="47"/>
  <c r="AL79" i="47"/>
  <c r="AL48" i="47"/>
  <c r="AL35" i="47"/>
  <c r="AL66" i="47"/>
  <c r="AL50" i="47"/>
  <c r="AL30" i="47"/>
  <c r="AL83" i="47"/>
  <c r="AL74" i="47"/>
  <c r="AL82" i="47"/>
  <c r="AL75" i="47"/>
  <c r="AL33" i="47"/>
  <c r="AL49" i="47"/>
  <c r="AL60" i="47"/>
  <c r="AL40" i="47"/>
  <c r="AL70" i="47"/>
  <c r="AL61" i="47"/>
  <c r="AL34" i="47"/>
  <c r="AL97" i="47"/>
  <c r="AL39" i="47"/>
  <c r="AL94" i="47"/>
  <c r="AL20" i="47"/>
  <c r="AL53" i="47"/>
  <c r="AL73" i="47"/>
  <c r="AL85" i="47"/>
  <c r="AL28" i="47"/>
  <c r="AL55" i="47"/>
  <c r="AL88" i="47"/>
  <c r="AL76" i="47"/>
  <c r="AL13" i="47"/>
  <c r="AL63" i="47"/>
  <c r="AL18" i="47"/>
  <c r="AL64" i="47"/>
  <c r="AL44" i="47"/>
  <c r="AL59" i="47"/>
  <c r="AL32" i="47"/>
  <c r="AL46" i="47"/>
  <c r="AL2" i="47"/>
  <c r="AL56" i="47"/>
  <c r="AL52" i="47"/>
  <c r="AL65" i="47"/>
  <c r="AL15" i="47"/>
  <c r="AL7" i="47"/>
  <c r="AL99" i="47"/>
  <c r="AL57" i="47"/>
  <c r="AL24" i="47"/>
  <c r="AL69" i="47"/>
  <c r="AL29" i="47"/>
  <c r="AL81" i="47"/>
  <c r="AL78" i="47"/>
  <c r="AL98" i="47"/>
  <c r="AL14" i="47"/>
  <c r="AL4" i="47"/>
  <c r="AL43" i="47"/>
  <c r="AL47" i="47"/>
  <c r="AL6" i="47"/>
  <c r="AL90" i="47"/>
  <c r="AL38" i="47"/>
  <c r="AL17" i="47"/>
  <c r="AL92" i="47"/>
  <c r="AL37" i="47"/>
  <c r="AL72" i="47"/>
  <c r="AL31" i="47"/>
  <c r="AL93" i="47"/>
  <c r="AL5" i="47"/>
  <c r="AL86" i="47"/>
  <c r="AL58" i="47"/>
  <c r="AL36" i="47"/>
  <c r="AL16" i="47"/>
  <c r="AL45" i="47"/>
  <c r="AL19" i="47"/>
  <c r="AL27" i="47"/>
  <c r="AL87" i="47"/>
  <c r="AL62" i="47"/>
  <c r="AL54" i="47"/>
  <c r="AL25" i="26"/>
  <c r="AL48" i="26"/>
  <c r="AL23" i="26"/>
  <c r="AL53" i="26"/>
  <c r="AL51" i="26"/>
  <c r="AL4" i="26"/>
  <c r="AL10" i="26"/>
  <c r="AL9" i="26"/>
  <c r="AL68" i="26"/>
  <c r="AL28" i="26"/>
  <c r="AL24" i="26"/>
  <c r="AL37" i="26"/>
  <c r="AL3" i="26"/>
  <c r="AL58" i="26"/>
  <c r="AL5" i="26"/>
  <c r="AL63" i="26"/>
  <c r="AL57" i="26"/>
  <c r="AL69" i="26"/>
  <c r="AL44" i="26"/>
  <c r="AL36" i="26"/>
  <c r="AL50" i="26"/>
  <c r="AL8" i="26"/>
  <c r="AL55" i="26"/>
  <c r="AL59" i="26"/>
  <c r="AL45" i="26"/>
  <c r="AL62" i="26"/>
  <c r="AL16" i="26"/>
  <c r="AL34" i="26"/>
  <c r="AL13" i="26"/>
  <c r="AL54" i="26"/>
  <c r="AL15" i="26"/>
  <c r="AL7" i="26"/>
  <c r="AL22" i="26"/>
  <c r="AL30" i="26"/>
  <c r="AL26" i="26"/>
  <c r="AL6" i="26"/>
  <c r="AL39" i="26"/>
  <c r="AL47" i="26"/>
  <c r="AL41" i="26"/>
  <c r="AL61" i="26"/>
  <c r="AL18" i="26"/>
  <c r="AL17" i="26"/>
  <c r="AL33" i="26"/>
  <c r="AL52" i="26"/>
  <c r="AL66" i="26"/>
  <c r="AL38" i="26"/>
  <c r="AL42" i="26"/>
  <c r="AL29" i="26"/>
  <c r="AL35" i="26"/>
  <c r="AL64" i="26"/>
  <c r="AL27" i="26"/>
  <c r="AL2" i="26"/>
  <c r="AL43" i="26"/>
  <c r="AL14" i="26"/>
  <c r="AL12" i="26"/>
  <c r="AL65" i="26"/>
  <c r="AL32" i="26"/>
  <c r="AL56" i="26"/>
  <c r="AL11" i="26"/>
  <c r="AL67" i="26"/>
  <c r="AL49" i="26"/>
  <c r="AL21" i="26"/>
  <c r="AL60" i="26"/>
  <c r="AL193" i="24"/>
  <c r="AL81" i="24"/>
  <c r="AL17" i="24"/>
  <c r="AL48" i="24"/>
  <c r="AL145" i="24"/>
  <c r="AM145" i="24" s="1"/>
  <c r="AL143" i="24"/>
  <c r="AL222" i="24"/>
  <c r="AL206" i="24"/>
  <c r="AL111" i="24"/>
  <c r="AL172" i="24"/>
  <c r="AL8" i="24"/>
  <c r="AL204" i="24"/>
  <c r="AL46" i="24"/>
  <c r="AL84" i="24"/>
  <c r="AL188" i="24"/>
  <c r="AL171" i="24"/>
  <c r="AL24" i="24"/>
  <c r="AL157" i="24"/>
  <c r="AL78" i="24"/>
  <c r="AL226" i="24"/>
  <c r="AL223" i="24"/>
  <c r="AL110" i="24"/>
  <c r="AL133" i="24"/>
  <c r="AL221" i="24"/>
  <c r="AM221" i="24" s="1"/>
  <c r="AL55" i="24"/>
  <c r="AL20" i="24"/>
  <c r="AL51" i="24"/>
  <c r="AL58" i="24"/>
  <c r="AL200" i="24"/>
  <c r="AL103" i="24"/>
  <c r="AL59" i="24"/>
  <c r="AL64" i="24"/>
  <c r="AL147" i="24"/>
  <c r="AL97" i="24"/>
  <c r="AL186" i="24"/>
  <c r="AL70" i="24"/>
  <c r="AL192" i="24"/>
  <c r="AL32" i="24"/>
  <c r="AL28" i="24"/>
  <c r="AL178" i="24"/>
  <c r="AL26" i="24"/>
  <c r="AL42" i="24"/>
  <c r="AL38" i="24"/>
  <c r="AL209" i="24"/>
  <c r="AL174" i="24"/>
  <c r="AL162" i="24"/>
  <c r="AL33" i="24"/>
  <c r="AL16" i="24"/>
  <c r="AL35" i="24"/>
  <c r="AL179" i="24"/>
  <c r="AL183" i="24"/>
  <c r="AL2" i="24"/>
  <c r="AL216" i="24"/>
  <c r="AL54" i="24"/>
  <c r="AL94" i="24"/>
  <c r="AL56" i="24"/>
  <c r="AL154" i="24"/>
  <c r="AL14" i="24"/>
  <c r="AL57" i="24"/>
  <c r="AL208" i="24"/>
  <c r="AL101" i="24"/>
  <c r="AL61" i="24"/>
  <c r="AL99" i="24"/>
  <c r="AL191" i="24"/>
  <c r="AL27" i="24"/>
  <c r="AL67" i="24"/>
  <c r="AL73" i="24"/>
  <c r="AL7" i="24"/>
  <c r="AL29" i="24"/>
  <c r="AL31" i="24"/>
  <c r="AL41" i="24"/>
  <c r="AL82" i="24"/>
  <c r="AL149" i="24"/>
  <c r="AL102" i="24"/>
  <c r="AL43" i="24"/>
  <c r="AL210" i="24"/>
  <c r="AL34" i="24"/>
  <c r="AL166" i="24"/>
  <c r="AL53" i="24"/>
  <c r="AL37" i="24"/>
  <c r="AL71" i="24"/>
  <c r="AL170" i="24"/>
  <c r="AL150" i="24"/>
  <c r="AL77" i="24"/>
  <c r="AL156" i="24"/>
  <c r="AL109" i="24"/>
  <c r="AL213" i="24"/>
  <c r="AL122" i="24"/>
  <c r="AL205" i="24"/>
  <c r="AL79" i="24"/>
  <c r="AL190" i="24"/>
  <c r="AM190" i="24" s="1"/>
  <c r="AL175" i="24"/>
  <c r="AL155" i="24"/>
  <c r="AL218" i="24"/>
  <c r="AL36" i="24"/>
  <c r="AM36" i="24" s="1"/>
  <c r="AL105" i="24"/>
  <c r="AL160" i="24"/>
  <c r="AL181" i="24"/>
  <c r="AL212" i="24"/>
  <c r="AL228" i="24"/>
  <c r="AL9" i="24"/>
  <c r="AL215" i="24"/>
  <c r="AL128" i="24"/>
  <c r="AL227" i="24"/>
  <c r="AL45" i="24"/>
  <c r="AL137" i="24"/>
  <c r="AL12" i="24"/>
  <c r="AL214" i="24"/>
  <c r="AL229" i="24"/>
  <c r="AL151" i="24"/>
  <c r="AL108" i="24"/>
  <c r="AL176" i="24"/>
  <c r="AL49" i="24"/>
  <c r="AL98" i="24"/>
  <c r="AL163" i="24"/>
  <c r="AL21" i="24"/>
  <c r="AL120" i="24"/>
  <c r="AL65" i="24"/>
  <c r="AL100" i="24"/>
  <c r="AL148" i="24"/>
  <c r="AL146" i="24"/>
  <c r="AL211" i="24"/>
  <c r="AL113" i="24"/>
  <c r="AM113" i="24" s="1"/>
  <c r="AL136" i="24"/>
  <c r="AL44" i="24"/>
  <c r="AL50" i="24"/>
  <c r="AL114" i="24"/>
  <c r="AL127" i="24"/>
  <c r="AL60" i="24"/>
  <c r="AL144" i="24"/>
  <c r="AL93" i="24"/>
  <c r="AL91" i="24"/>
  <c r="AL219" i="24"/>
  <c r="AL202" i="24"/>
  <c r="AL72" i="24"/>
  <c r="AL115" i="24"/>
  <c r="AL22" i="24"/>
  <c r="AL89" i="24"/>
  <c r="AL107" i="24"/>
  <c r="AL168" i="24"/>
  <c r="AL184" i="24"/>
  <c r="AL125" i="24"/>
  <c r="AL15" i="24"/>
  <c r="AL123" i="24"/>
  <c r="AL121" i="24"/>
  <c r="AL129" i="24"/>
  <c r="AL23" i="24"/>
  <c r="AL152" i="24"/>
  <c r="AL138" i="24"/>
  <c r="AL96" i="24"/>
  <c r="AL106" i="24"/>
  <c r="AL139" i="24"/>
  <c r="AL165" i="24"/>
  <c r="AL203" i="24"/>
  <c r="AL126" i="24"/>
  <c r="AL198" i="24"/>
  <c r="AL88" i="24"/>
  <c r="AL180" i="24"/>
  <c r="AL75" i="24"/>
  <c r="AL116" i="24"/>
  <c r="AL185" i="24"/>
  <c r="AL187" i="24"/>
  <c r="AL124" i="24"/>
  <c r="AL8" i="14"/>
  <c r="AL10" i="14"/>
  <c r="AL23" i="14"/>
  <c r="AL29" i="14"/>
  <c r="AL5" i="14"/>
  <c r="AL6" i="14"/>
  <c r="AL36" i="14"/>
  <c r="AL25" i="14"/>
  <c r="AL4" i="14"/>
  <c r="AL35" i="14"/>
  <c r="AL30" i="14"/>
  <c r="AL27" i="14"/>
  <c r="AL39" i="14"/>
  <c r="AL3" i="14"/>
  <c r="AL45" i="14"/>
  <c r="AL12" i="14"/>
  <c r="AL37" i="14"/>
  <c r="AL34" i="14"/>
  <c r="AL14" i="14"/>
  <c r="AL38" i="14"/>
  <c r="AL43" i="14"/>
  <c r="AL22" i="14"/>
  <c r="AL2" i="14"/>
  <c r="AL16" i="14"/>
  <c r="AL28" i="14"/>
  <c r="AL11" i="14"/>
  <c r="AL9" i="14"/>
  <c r="AL7" i="14"/>
  <c r="AL13" i="14"/>
  <c r="AL20" i="14"/>
  <c r="AL42" i="14"/>
  <c r="AL32" i="14"/>
  <c r="AL31" i="14"/>
  <c r="AL44" i="14"/>
  <c r="AL41" i="14"/>
  <c r="AL21" i="14"/>
  <c r="AL40" i="14"/>
  <c r="AL46" i="14"/>
  <c r="AL26" i="14"/>
  <c r="AL19" i="14"/>
  <c r="AL15" i="14"/>
  <c r="AL33" i="14"/>
  <c r="AL24" i="14"/>
  <c r="AL18" i="14"/>
  <c r="AL26" i="11"/>
  <c r="AL21" i="11"/>
  <c r="AL25" i="11"/>
  <c r="AL23" i="11"/>
  <c r="AL2" i="11"/>
  <c r="AL9" i="11"/>
  <c r="AL11" i="11"/>
  <c r="AL15" i="11"/>
  <c r="AL27" i="11"/>
  <c r="AL17" i="11"/>
  <c r="AL8" i="11"/>
  <c r="AL22" i="11"/>
  <c r="AL16" i="11"/>
  <c r="AL10" i="11"/>
  <c r="AL24" i="11"/>
  <c r="AL13" i="11"/>
  <c r="AL19" i="11"/>
  <c r="AL4" i="11"/>
  <c r="AL7" i="11"/>
  <c r="AL14" i="11"/>
  <c r="AL7" i="8"/>
  <c r="AL23" i="8"/>
  <c r="AL3" i="8"/>
  <c r="AL12" i="8"/>
  <c r="AL11" i="8"/>
  <c r="AL9" i="9"/>
  <c r="AL19" i="9"/>
  <c r="AL8" i="9"/>
  <c r="AL10" i="9"/>
  <c r="AL6" i="9"/>
  <c r="AL3" i="9"/>
  <c r="AL17" i="9"/>
  <c r="AL13" i="9"/>
  <c r="AL5" i="9"/>
  <c r="AL14" i="9"/>
  <c r="AL18" i="9"/>
  <c r="AL16" i="9"/>
  <c r="AL11" i="9"/>
  <c r="AL2" i="9"/>
  <c r="AL10" i="6"/>
  <c r="AL34" i="6"/>
  <c r="AL9" i="6"/>
  <c r="AL26" i="6"/>
  <c r="AL7" i="6"/>
  <c r="AL6" i="6"/>
  <c r="AL22" i="6"/>
  <c r="AL2" i="6"/>
  <c r="AL5" i="6"/>
  <c r="AL43" i="6"/>
  <c r="AL38" i="6"/>
  <c r="AL42" i="6"/>
  <c r="AL13" i="6"/>
  <c r="AL30" i="6"/>
  <c r="AL36" i="6"/>
  <c r="AL17" i="6"/>
  <c r="AL14" i="6"/>
  <c r="AL16" i="6"/>
  <c r="AL18" i="6"/>
  <c r="AL23" i="6"/>
  <c r="AL25" i="6"/>
  <c r="AL15" i="6"/>
  <c r="AL3" i="6"/>
  <c r="AL27" i="6"/>
  <c r="AL24" i="6"/>
  <c r="AL21" i="6"/>
  <c r="AL8" i="6"/>
  <c r="AL37" i="6"/>
  <c r="AL41" i="6"/>
  <c r="AL35" i="6"/>
  <c r="AL32" i="6"/>
  <c r="AL39" i="6"/>
  <c r="AL11" i="6"/>
  <c r="AL20" i="6"/>
  <c r="AL15" i="8"/>
  <c r="AL4" i="8"/>
  <c r="AL20" i="8"/>
  <c r="AL5" i="8"/>
  <c r="AL21" i="8"/>
  <c r="AL14" i="8"/>
  <c r="AL19" i="8"/>
  <c r="AL8" i="8"/>
  <c r="AL24" i="8"/>
  <c r="AL9" i="8"/>
  <c r="AL25" i="8"/>
  <c r="AL18" i="8"/>
  <c r="AL13" i="8"/>
  <c r="AL6" i="8"/>
  <c r="AL22" i="8"/>
  <c r="AL27" i="8"/>
  <c r="AL16" i="8"/>
  <c r="AL2" i="8"/>
  <c r="AL17" i="8"/>
  <c r="AL10" i="8"/>
  <c r="AF12" i="54"/>
  <c r="AM12" i="54"/>
  <c r="AI12" i="54"/>
  <c r="AM12" i="105" l="1"/>
  <c r="AK6" i="117"/>
  <c r="AM6" i="117"/>
  <c r="AL6" i="117"/>
  <c r="AL6" i="104"/>
  <c r="AM2" i="104"/>
  <c r="AM6" i="104" s="1"/>
  <c r="AL12" i="105"/>
  <c r="AL17" i="87"/>
  <c r="AL39" i="52"/>
  <c r="AL50" i="13"/>
  <c r="AL35" i="59"/>
  <c r="AL25" i="23"/>
  <c r="AL13" i="116"/>
  <c r="AL17" i="86"/>
  <c r="AL17" i="101"/>
  <c r="AL12" i="68"/>
  <c r="AL31" i="61"/>
  <c r="AL17" i="56"/>
  <c r="AL20" i="92"/>
  <c r="AL28" i="45"/>
  <c r="AL230" i="24"/>
  <c r="AL181" i="46"/>
  <c r="AL107" i="50"/>
  <c r="AL448" i="19"/>
  <c r="AL28" i="11"/>
  <c r="AL21" i="9"/>
  <c r="AL26" i="84"/>
  <c r="AL40" i="72"/>
  <c r="AL45" i="58"/>
  <c r="AL55" i="70"/>
  <c r="AL39" i="37"/>
  <c r="AL50" i="28"/>
  <c r="AL34" i="82"/>
  <c r="AL45" i="27"/>
  <c r="AL100" i="47"/>
  <c r="AL70" i="26"/>
  <c r="AL47" i="14"/>
  <c r="AL44" i="6"/>
  <c r="AL28" i="8"/>
  <c r="AF31" i="13"/>
  <c r="AF40" i="13"/>
  <c r="AM31" i="13"/>
  <c r="AM40" i="13"/>
  <c r="AF11" i="81"/>
  <c r="AI11" i="81"/>
  <c r="AM11" i="81"/>
  <c r="AF18" i="85"/>
  <c r="AI18" i="85"/>
  <c r="AM18" i="85"/>
  <c r="AF7" i="85"/>
  <c r="AM7" i="85"/>
  <c r="AI7" i="85"/>
  <c r="AF11" i="56"/>
  <c r="AM11" i="56"/>
  <c r="AI11" i="56"/>
  <c r="AF11" i="68"/>
  <c r="AF6" i="68"/>
  <c r="AF7" i="68"/>
  <c r="AM11" i="68"/>
  <c r="AM6" i="68"/>
  <c r="AM7" i="68"/>
  <c r="AI11" i="68"/>
  <c r="AI6" i="68"/>
  <c r="AI7" i="68"/>
  <c r="AF9" i="68"/>
  <c r="AF10" i="68"/>
  <c r="AF8" i="68"/>
  <c r="AM9" i="68"/>
  <c r="AM10" i="68"/>
  <c r="AM8" i="68"/>
  <c r="AI9" i="68"/>
  <c r="AI10" i="68"/>
  <c r="AI8" i="68"/>
  <c r="AF19" i="84"/>
  <c r="AM19" i="84"/>
  <c r="AI19" i="84"/>
  <c r="AF18" i="37" l="1"/>
  <c r="AF36" i="37"/>
  <c r="AM18" i="37"/>
  <c r="AM36" i="37"/>
  <c r="AI18" i="37"/>
  <c r="AI36" i="37"/>
  <c r="AF11" i="28"/>
  <c r="AF22" i="28"/>
  <c r="AF6" i="28"/>
  <c r="AM11" i="28"/>
  <c r="AM22" i="28"/>
  <c r="AM6" i="28"/>
  <c r="AI11" i="28"/>
  <c r="AI22" i="28"/>
  <c r="AI6" i="28"/>
  <c r="AF45" i="28"/>
  <c r="AF30" i="28"/>
  <c r="AF47" i="28"/>
  <c r="AF41" i="28"/>
  <c r="AF38" i="28"/>
  <c r="AF15" i="28"/>
  <c r="AM30" i="28"/>
  <c r="AM47" i="28"/>
  <c r="AM41" i="28"/>
  <c r="AM38" i="28"/>
  <c r="AM15" i="28"/>
  <c r="AI45" i="28"/>
  <c r="AI30" i="28"/>
  <c r="AI47" i="28"/>
  <c r="AI41" i="28"/>
  <c r="AI38" i="28"/>
  <c r="AI15" i="28"/>
  <c r="AM45" i="28"/>
  <c r="AI15" i="9"/>
  <c r="AF20" i="9"/>
  <c r="AM20" i="9"/>
  <c r="AI20" i="9"/>
  <c r="AF35" i="6"/>
  <c r="AF31" i="6"/>
  <c r="AM35" i="6"/>
  <c r="AM31" i="6"/>
  <c r="AI35" i="6"/>
  <c r="AI31" i="6"/>
  <c r="AF7" i="9" l="1"/>
  <c r="AF10" i="9"/>
  <c r="AM7" i="9"/>
  <c r="AM10" i="9"/>
  <c r="AI7" i="9"/>
  <c r="AI10" i="9"/>
  <c r="AF14" i="9"/>
  <c r="AM14" i="9"/>
  <c r="AI14" i="9"/>
  <c r="AF6" i="116" l="1"/>
  <c r="AM6" i="116"/>
  <c r="AI6" i="116"/>
  <c r="AF8" i="116"/>
  <c r="AM8" i="116"/>
  <c r="AI8" i="116"/>
  <c r="AI9" i="116"/>
  <c r="AM9" i="116"/>
  <c r="AF9" i="116"/>
  <c r="AI11" i="116"/>
  <c r="AM11" i="116"/>
  <c r="AF11" i="116"/>
  <c r="AI12" i="116"/>
  <c r="AM12" i="116"/>
  <c r="AF12" i="116"/>
  <c r="AI7" i="116"/>
  <c r="AM7" i="116"/>
  <c r="AF7" i="116"/>
  <c r="AI10" i="116"/>
  <c r="AM10" i="116"/>
  <c r="AF10" i="116"/>
  <c r="AI5" i="116"/>
  <c r="AM5" i="116"/>
  <c r="AF5" i="116"/>
  <c r="AI4" i="116"/>
  <c r="AM4" i="116"/>
  <c r="AF4" i="116"/>
  <c r="AI3" i="116"/>
  <c r="AM3" i="116"/>
  <c r="AF3" i="116"/>
  <c r="AI13" i="116" l="1"/>
  <c r="AM13" i="116"/>
  <c r="AF13" i="116"/>
  <c r="AF7" i="115"/>
  <c r="AF8" i="115"/>
  <c r="AM7" i="115"/>
  <c r="AM8" i="115"/>
  <c r="AI7" i="115"/>
  <c r="AI8" i="115"/>
  <c r="AI3" i="115"/>
  <c r="AM3" i="115"/>
  <c r="AF3" i="115"/>
  <c r="AI5" i="115"/>
  <c r="AM5" i="115"/>
  <c r="AF5" i="115"/>
  <c r="AI4" i="115"/>
  <c r="AM4" i="115"/>
  <c r="AF4" i="115"/>
  <c r="AM6" i="115"/>
  <c r="AI6" i="115"/>
  <c r="AF6" i="115"/>
  <c r="AF2" i="115"/>
  <c r="AJ5" i="116" l="1"/>
  <c r="AK5" i="116" s="1"/>
  <c r="AJ2" i="116"/>
  <c r="AK2" i="116" s="1"/>
  <c r="AM2" i="115"/>
  <c r="AM9" i="115" s="1"/>
  <c r="AL9" i="115"/>
  <c r="AI2" i="115"/>
  <c r="AI9" i="115" s="1"/>
  <c r="AH9" i="115"/>
  <c r="AF9" i="115"/>
  <c r="AJ2" i="115" s="1"/>
  <c r="AJ6" i="116"/>
  <c r="AK6" i="116" s="1"/>
  <c r="AJ10" i="116"/>
  <c r="AK10" i="116" s="1"/>
  <c r="AJ3" i="116"/>
  <c r="AK3" i="116" s="1"/>
  <c r="AJ4" i="116"/>
  <c r="AK4" i="116" s="1"/>
  <c r="AJ11" i="116"/>
  <c r="AK11" i="116" s="1"/>
  <c r="AJ9" i="116"/>
  <c r="AK9" i="116" s="1"/>
  <c r="AJ7" i="116"/>
  <c r="AJ12" i="116"/>
  <c r="AK12" i="116" s="1"/>
  <c r="AJ8" i="116"/>
  <c r="AK8" i="116" s="1"/>
  <c r="AI6" i="114"/>
  <c r="AM6" i="114"/>
  <c r="AF6" i="114"/>
  <c r="AI2" i="114"/>
  <c r="AM2" i="114"/>
  <c r="AF2" i="114"/>
  <c r="AI3" i="114"/>
  <c r="AM3" i="114"/>
  <c r="AF3" i="114"/>
  <c r="AI4" i="114"/>
  <c r="AM4" i="114"/>
  <c r="AF4" i="114"/>
  <c r="AI5" i="114"/>
  <c r="AI7" i="114" s="1"/>
  <c r="AF5" i="114"/>
  <c r="AJ8" i="115" l="1"/>
  <c r="AK8" i="115" s="1"/>
  <c r="AJ5" i="115"/>
  <c r="AK5" i="115" s="1"/>
  <c r="AJ4" i="115"/>
  <c r="AK4" i="115" s="1"/>
  <c r="AJ7" i="115"/>
  <c r="AK7" i="115" s="1"/>
  <c r="AJ6" i="115"/>
  <c r="AK6" i="115" s="1"/>
  <c r="AJ3" i="115"/>
  <c r="AK3" i="115" s="1"/>
  <c r="AK2" i="115"/>
  <c r="AJ13" i="116"/>
  <c r="AK7" i="116"/>
  <c r="AK13" i="116" s="1"/>
  <c r="AF7" i="114"/>
  <c r="AJ3" i="114" s="1"/>
  <c r="AK3" i="114" s="1"/>
  <c r="AM5" i="114"/>
  <c r="AM7" i="114" s="1"/>
  <c r="AJ9" i="115" l="1"/>
  <c r="AK9" i="115"/>
  <c r="AJ4" i="114"/>
  <c r="AK4" i="114" s="1"/>
  <c r="AJ5" i="114"/>
  <c r="AK5" i="114" s="1"/>
  <c r="AJ2" i="114"/>
  <c r="AK2" i="114" s="1"/>
  <c r="AJ6" i="114"/>
  <c r="AF8" i="100"/>
  <c r="AM8" i="100"/>
  <c r="AI8" i="100"/>
  <c r="AF2" i="100"/>
  <c r="AI2" i="100"/>
  <c r="AF3" i="100"/>
  <c r="AM3" i="100"/>
  <c r="AI3" i="100"/>
  <c r="AF11" i="100"/>
  <c r="AM11" i="100"/>
  <c r="AI11" i="100"/>
  <c r="AF10" i="100"/>
  <c r="AM10" i="100"/>
  <c r="AI10" i="100"/>
  <c r="AF9" i="100"/>
  <c r="AM9" i="100"/>
  <c r="AI9" i="100"/>
  <c r="AF3" i="104"/>
  <c r="AF4" i="104"/>
  <c r="AF7" i="105"/>
  <c r="AF5" i="105"/>
  <c r="AF3" i="105"/>
  <c r="AF6" i="105"/>
  <c r="AF11" i="105"/>
  <c r="AF10" i="105"/>
  <c r="AF4" i="105"/>
  <c r="AF8" i="105"/>
  <c r="AF7" i="57"/>
  <c r="AF9" i="57"/>
  <c r="AM7" i="57"/>
  <c r="AM9" i="57"/>
  <c r="AI7" i="57"/>
  <c r="AI9" i="57"/>
  <c r="AF10" i="23"/>
  <c r="AF3" i="23"/>
  <c r="AF4" i="23"/>
  <c r="AF13" i="23"/>
  <c r="AM3" i="23"/>
  <c r="AM4" i="23"/>
  <c r="AM13" i="23"/>
  <c r="AI4" i="23"/>
  <c r="AI13" i="23"/>
  <c r="AI10" i="23"/>
  <c r="AI3" i="23"/>
  <c r="AM10" i="23"/>
  <c r="AF24" i="36"/>
  <c r="AM24" i="36"/>
  <c r="AI24" i="36"/>
  <c r="AF23" i="36"/>
  <c r="AM23" i="36"/>
  <c r="AI23" i="36"/>
  <c r="AM2" i="100" l="1"/>
  <c r="AJ7" i="114"/>
  <c r="AK6" i="114"/>
  <c r="AK7" i="114" s="1"/>
  <c r="AF35" i="36"/>
  <c r="AM35" i="36"/>
  <c r="AI35" i="36"/>
  <c r="AF27" i="36"/>
  <c r="AM27" i="36"/>
  <c r="AI27" i="36"/>
  <c r="AF16" i="36"/>
  <c r="AM16" i="36"/>
  <c r="AI16" i="36"/>
  <c r="AF21" i="36"/>
  <c r="AI21" i="36"/>
  <c r="AM21" i="36"/>
  <c r="AF5" i="36"/>
  <c r="AM5" i="36"/>
  <c r="AI5" i="36"/>
  <c r="AF30" i="36"/>
  <c r="AF25" i="36"/>
  <c r="AF33" i="36"/>
  <c r="AF19" i="36"/>
  <c r="AM30" i="36"/>
  <c r="AM25" i="36"/>
  <c r="AM33" i="36"/>
  <c r="AI25" i="36"/>
  <c r="AI33" i="36"/>
  <c r="AI19" i="36"/>
  <c r="AI30" i="36"/>
  <c r="AM19" i="36"/>
  <c r="AF6" i="100"/>
  <c r="AM6" i="100"/>
  <c r="AI6" i="100"/>
  <c r="AI29" i="60"/>
  <c r="AM29" i="60"/>
  <c r="AF29" i="60"/>
  <c r="AF26" i="60"/>
  <c r="AF12" i="60"/>
  <c r="AF11" i="60"/>
  <c r="AF9" i="60"/>
  <c r="AF22" i="60"/>
  <c r="AM26" i="60"/>
  <c r="AM12" i="60"/>
  <c r="AM11" i="60"/>
  <c r="AM9" i="60"/>
  <c r="AM22" i="60"/>
  <c r="AI26" i="60"/>
  <c r="AI12" i="60"/>
  <c r="AI11" i="60"/>
  <c r="AI9" i="60"/>
  <c r="AI22" i="60"/>
  <c r="AA179" i="108" l="1"/>
  <c r="AA106" i="99"/>
  <c r="AH28" i="99" s="1"/>
  <c r="AI28" i="99" s="1"/>
  <c r="AH5" i="99" l="1"/>
  <c r="AH9" i="99"/>
  <c r="AH13" i="99"/>
  <c r="AH17" i="99"/>
  <c r="AH21" i="99"/>
  <c r="AH25" i="99"/>
  <c r="AH30" i="99"/>
  <c r="AH34" i="99"/>
  <c r="AH38" i="99"/>
  <c r="AH42" i="99"/>
  <c r="AH46" i="99"/>
  <c r="AH50" i="99"/>
  <c r="AH54" i="99"/>
  <c r="AH58" i="99"/>
  <c r="AH62" i="99"/>
  <c r="AH66" i="99"/>
  <c r="AH70" i="99"/>
  <c r="AH74" i="99"/>
  <c r="AH78" i="99"/>
  <c r="AH82" i="99"/>
  <c r="AH86" i="99"/>
  <c r="AH88" i="99"/>
  <c r="AH91" i="99"/>
  <c r="AH100" i="99"/>
  <c r="AH103" i="99"/>
  <c r="AH2" i="99"/>
  <c r="AH6" i="99"/>
  <c r="AH10" i="99"/>
  <c r="AH14" i="99"/>
  <c r="AH18" i="99"/>
  <c r="AH22" i="99"/>
  <c r="AH26" i="99"/>
  <c r="AH31" i="99"/>
  <c r="AH35" i="99"/>
  <c r="AH39" i="99"/>
  <c r="AH43" i="99"/>
  <c r="AH47" i="99"/>
  <c r="AH51" i="99"/>
  <c r="AH55" i="99"/>
  <c r="AH59" i="99"/>
  <c r="AH63" i="99"/>
  <c r="AH67" i="99"/>
  <c r="AH71" i="99"/>
  <c r="AH76" i="99"/>
  <c r="AH79" i="99"/>
  <c r="AH83" i="99"/>
  <c r="AH87" i="99"/>
  <c r="AH92" i="99"/>
  <c r="AH96" i="99"/>
  <c r="AH101" i="99"/>
  <c r="AH102" i="99"/>
  <c r="AH3" i="99"/>
  <c r="AH11" i="99"/>
  <c r="AH19" i="99"/>
  <c r="AH27" i="99"/>
  <c r="AH36" i="99"/>
  <c r="AH44" i="99"/>
  <c r="AH52" i="99"/>
  <c r="AH60" i="99"/>
  <c r="AH68" i="99"/>
  <c r="AH75" i="99"/>
  <c r="AH84" i="99"/>
  <c r="AH93" i="99"/>
  <c r="AH99" i="99"/>
  <c r="AH4" i="99"/>
  <c r="AH20" i="99"/>
  <c r="AH29" i="99"/>
  <c r="AH45" i="99"/>
  <c r="AH53" i="99"/>
  <c r="AH69" i="99"/>
  <c r="AH77" i="99"/>
  <c r="AH85" i="99"/>
  <c r="AH94" i="99"/>
  <c r="AH98" i="99"/>
  <c r="AH8" i="99"/>
  <c r="AH33" i="99"/>
  <c r="AH49" i="99"/>
  <c r="AH73" i="99"/>
  <c r="AH97" i="99"/>
  <c r="AH12" i="99"/>
  <c r="AH37" i="99"/>
  <c r="AH61" i="99"/>
  <c r="AH24" i="99"/>
  <c r="AH57" i="99"/>
  <c r="AH81" i="99"/>
  <c r="AH7" i="99"/>
  <c r="AH15" i="99"/>
  <c r="AH23" i="99"/>
  <c r="AH32" i="99"/>
  <c r="AH40" i="99"/>
  <c r="AH48" i="99"/>
  <c r="AH56" i="99"/>
  <c r="AH64" i="99"/>
  <c r="AH72" i="99"/>
  <c r="AH80" i="99"/>
  <c r="AH90" i="99"/>
  <c r="AH95" i="99"/>
  <c r="AH104" i="99"/>
  <c r="AH16" i="99"/>
  <c r="AH41" i="99"/>
  <c r="AH65" i="99"/>
  <c r="AH89" i="99"/>
  <c r="AH105" i="99"/>
  <c r="AA84" i="76"/>
  <c r="AA27" i="74"/>
  <c r="AH19" i="74" l="1"/>
  <c r="AI19" i="74" s="1"/>
  <c r="AH17" i="74"/>
  <c r="AI17" i="74" s="1"/>
  <c r="AH21" i="74"/>
  <c r="AI21" i="74" s="1"/>
  <c r="AH3" i="74"/>
  <c r="AH7" i="74"/>
  <c r="AH11" i="74"/>
  <c r="AH15" i="74"/>
  <c r="AH23" i="74"/>
  <c r="AH18" i="74"/>
  <c r="AH10" i="74"/>
  <c r="AH14" i="74"/>
  <c r="AH4" i="74"/>
  <c r="AH8" i="74"/>
  <c r="AH12" i="74"/>
  <c r="AH16" i="74"/>
  <c r="AH24" i="74"/>
  <c r="AH2" i="74"/>
  <c r="AH5" i="74"/>
  <c r="AH9" i="74"/>
  <c r="AH13" i="74"/>
  <c r="AH20" i="74"/>
  <c r="AH25" i="74"/>
  <c r="AH6" i="74"/>
  <c r="AH22" i="74"/>
  <c r="AH26" i="74"/>
  <c r="AA73" i="75"/>
  <c r="AH63" i="75" s="1"/>
  <c r="AI63" i="75" s="1"/>
  <c r="AA12" i="67"/>
  <c r="AA42" i="65"/>
  <c r="AA29" i="63"/>
  <c r="AH4" i="75" l="1"/>
  <c r="AH8" i="75"/>
  <c r="AH12" i="75"/>
  <c r="AH16" i="75"/>
  <c r="AH20" i="75"/>
  <c r="AH24" i="75"/>
  <c r="AH28" i="75"/>
  <c r="AH32" i="75"/>
  <c r="AH36" i="75"/>
  <c r="AH40" i="75"/>
  <c r="AH44" i="75"/>
  <c r="AH48" i="75"/>
  <c r="AH52" i="75"/>
  <c r="AH56" i="75"/>
  <c r="AH60" i="75"/>
  <c r="AH65" i="75"/>
  <c r="AH69" i="75"/>
  <c r="AH2" i="75"/>
  <c r="AH15" i="75"/>
  <c r="AH23" i="75"/>
  <c r="AH64" i="75"/>
  <c r="AH5" i="75"/>
  <c r="AH9" i="75"/>
  <c r="AH13" i="75"/>
  <c r="AH17" i="75"/>
  <c r="AH21" i="75"/>
  <c r="AH25" i="75"/>
  <c r="AH29" i="75"/>
  <c r="AH33" i="75"/>
  <c r="AH37" i="75"/>
  <c r="AH41" i="75"/>
  <c r="AH45" i="75"/>
  <c r="AH49" i="75"/>
  <c r="AH53" i="75"/>
  <c r="AH57" i="75"/>
  <c r="AH61" i="75"/>
  <c r="AH66" i="75"/>
  <c r="AH70" i="75"/>
  <c r="AH11" i="75"/>
  <c r="AH27" i="75"/>
  <c r="AH39" i="75"/>
  <c r="AH47" i="75"/>
  <c r="AH55" i="75"/>
  <c r="AH59" i="75"/>
  <c r="AH72" i="75"/>
  <c r="AH6" i="75"/>
  <c r="AH10" i="75"/>
  <c r="AH14" i="75"/>
  <c r="AH18" i="75"/>
  <c r="AH22" i="75"/>
  <c r="AH26" i="75"/>
  <c r="AH30" i="75"/>
  <c r="AH34" i="75"/>
  <c r="AH38" i="75"/>
  <c r="AH42" i="75"/>
  <c r="AH46" i="75"/>
  <c r="AH50" i="75"/>
  <c r="AH54" i="75"/>
  <c r="AH58" i="75"/>
  <c r="AH62" i="75"/>
  <c r="AH67" i="75"/>
  <c r="AH71" i="75"/>
  <c r="AH7" i="75"/>
  <c r="AH35" i="75"/>
  <c r="AH51" i="75"/>
  <c r="AH3" i="75"/>
  <c r="AH19" i="75"/>
  <c r="AH31" i="75"/>
  <c r="AH43" i="75"/>
  <c r="AH68" i="75"/>
  <c r="AH7" i="65"/>
  <c r="AH10" i="65"/>
  <c r="AH41" i="65"/>
  <c r="AH24" i="65"/>
  <c r="AH22" i="65"/>
  <c r="AH35" i="65"/>
  <c r="AH11" i="65"/>
  <c r="AH40" i="65"/>
  <c r="AH29" i="65"/>
  <c r="AH32" i="65"/>
  <c r="AH31" i="65"/>
  <c r="AH33" i="65"/>
  <c r="AH30" i="65"/>
  <c r="AH5" i="65"/>
  <c r="AH3" i="65"/>
  <c r="AH8" i="65"/>
  <c r="AH28" i="65"/>
  <c r="AH6" i="65"/>
  <c r="AH34" i="65"/>
  <c r="AH17" i="65"/>
  <c r="AH23" i="65"/>
  <c r="AH2" i="65"/>
  <c r="AH37" i="65"/>
  <c r="AH25" i="65"/>
  <c r="AH20" i="65"/>
  <c r="AH26" i="65"/>
  <c r="AH38" i="65"/>
  <c r="AH9" i="65"/>
  <c r="AH19" i="65"/>
  <c r="AH4" i="65"/>
  <c r="AH13" i="65"/>
  <c r="AH16" i="65"/>
  <c r="AH14" i="65"/>
  <c r="AH39" i="65"/>
  <c r="AH12" i="65"/>
  <c r="AH27" i="65"/>
  <c r="AH18" i="65"/>
  <c r="AH15" i="65"/>
  <c r="AH36" i="65"/>
  <c r="AH21" i="65"/>
  <c r="AH23" i="63"/>
  <c r="AH28" i="63"/>
  <c r="AH20" i="63"/>
  <c r="AH11" i="63"/>
  <c r="AH6" i="63"/>
  <c r="AH21" i="63"/>
  <c r="AH7" i="63"/>
  <c r="AH10" i="63"/>
  <c r="AH27" i="63"/>
  <c r="AH2" i="63"/>
  <c r="AH14" i="63"/>
  <c r="AH13" i="63"/>
  <c r="AH16" i="63"/>
  <c r="AH18" i="63"/>
  <c r="AH5" i="63"/>
  <c r="AH17" i="63"/>
  <c r="AH3" i="63"/>
  <c r="AH9" i="63"/>
  <c r="AH15" i="63"/>
  <c r="AH22" i="63"/>
  <c r="AH25" i="63"/>
  <c r="AH26" i="63"/>
  <c r="AH8" i="63"/>
  <c r="AH24" i="63"/>
  <c r="AH4" i="63"/>
  <c r="AH12" i="63"/>
  <c r="AH19" i="63"/>
  <c r="AH6" i="67"/>
  <c r="AH8" i="67"/>
  <c r="AH11" i="67"/>
  <c r="AH10" i="67"/>
  <c r="AH7" i="67"/>
  <c r="AH3" i="67"/>
  <c r="AH9" i="67"/>
  <c r="AH5" i="67"/>
  <c r="AH4" i="67"/>
  <c r="AH2" i="67"/>
  <c r="AA19" i="55"/>
  <c r="AA25" i="41"/>
  <c r="AH3" i="41" l="1"/>
  <c r="AH7" i="41"/>
  <c r="AH12" i="41"/>
  <c r="AH16" i="41"/>
  <c r="AH21" i="41"/>
  <c r="AH9" i="41"/>
  <c r="AH2" i="41"/>
  <c r="AH10" i="41"/>
  <c r="AH19" i="41"/>
  <c r="AH6" i="41"/>
  <c r="AH15" i="41"/>
  <c r="AH20" i="41"/>
  <c r="AH4" i="41"/>
  <c r="AH8" i="41"/>
  <c r="AH13" i="41"/>
  <c r="AH18" i="41"/>
  <c r="AH22" i="41"/>
  <c r="AH17" i="41"/>
  <c r="AH5" i="41"/>
  <c r="AH14" i="41"/>
  <c r="AH23" i="41"/>
  <c r="AH11" i="41"/>
  <c r="AH24" i="41"/>
  <c r="AH6" i="55"/>
  <c r="AH5" i="55"/>
  <c r="AH13" i="55"/>
  <c r="AH9" i="55"/>
  <c r="AH14" i="55"/>
  <c r="AH4" i="55"/>
  <c r="AH8" i="55"/>
  <c r="AH11" i="55"/>
  <c r="AH12" i="55"/>
  <c r="AH17" i="55"/>
  <c r="AH18" i="55"/>
  <c r="AH16" i="55"/>
  <c r="AH7" i="55"/>
  <c r="AH3" i="55"/>
  <c r="AH2" i="55"/>
  <c r="AH10" i="55"/>
  <c r="AH15" i="55"/>
  <c r="AA14" i="42"/>
  <c r="AA26" i="40"/>
  <c r="AH4" i="42" l="1"/>
  <c r="AH8" i="42"/>
  <c r="AH12" i="42"/>
  <c r="AH13" i="42"/>
  <c r="AH5" i="42"/>
  <c r="AH6" i="42"/>
  <c r="AH11" i="42"/>
  <c r="AH2" i="42"/>
  <c r="AH3" i="42"/>
  <c r="AH7" i="42"/>
  <c r="AH10" i="42"/>
  <c r="AH9" i="42"/>
  <c r="AH4" i="40"/>
  <c r="AH8" i="40"/>
  <c r="AH12" i="40"/>
  <c r="AH16" i="40"/>
  <c r="AH20" i="40"/>
  <c r="AH24" i="40"/>
  <c r="AH5" i="40"/>
  <c r="AH9" i="40"/>
  <c r="AH13" i="40"/>
  <c r="AH17" i="40"/>
  <c r="AH21" i="40"/>
  <c r="AH25" i="40"/>
  <c r="AH6" i="40"/>
  <c r="AH10" i="40"/>
  <c r="AH14" i="40"/>
  <c r="AH18" i="40"/>
  <c r="AH22" i="40"/>
  <c r="AH2" i="40"/>
  <c r="AH3" i="40"/>
  <c r="AH7" i="40"/>
  <c r="AH11" i="40"/>
  <c r="AH15" i="40"/>
  <c r="AH19" i="40"/>
  <c r="AH23" i="40"/>
  <c r="AA101" i="29"/>
  <c r="AA29" i="51"/>
  <c r="AA33" i="48"/>
  <c r="AH5" i="48" l="1"/>
  <c r="AH9" i="48"/>
  <c r="AH13" i="48"/>
  <c r="AH17" i="48"/>
  <c r="AH20" i="48"/>
  <c r="AH25" i="48"/>
  <c r="AH29" i="48"/>
  <c r="AH2" i="48"/>
  <c r="AH6" i="48"/>
  <c r="AH10" i="48"/>
  <c r="AH14" i="48"/>
  <c r="AH18" i="48"/>
  <c r="AH22" i="48"/>
  <c r="AH26" i="48"/>
  <c r="AH30" i="48"/>
  <c r="AH3" i="48"/>
  <c r="AH7" i="48"/>
  <c r="AH11" i="48"/>
  <c r="AH15" i="48"/>
  <c r="AH19" i="48"/>
  <c r="AH23" i="48"/>
  <c r="AH27" i="48"/>
  <c r="AH31" i="48"/>
  <c r="AH4" i="48"/>
  <c r="AH8" i="48"/>
  <c r="AH12" i="48"/>
  <c r="AH16" i="48"/>
  <c r="AH21" i="48"/>
  <c r="AH24" i="48"/>
  <c r="AH28" i="48"/>
  <c r="AH32" i="48"/>
  <c r="AH5" i="51"/>
  <c r="AH9" i="51"/>
  <c r="AH13" i="51"/>
  <c r="AH17" i="51"/>
  <c r="AH21" i="51"/>
  <c r="AH24" i="51"/>
  <c r="AH2" i="51"/>
  <c r="AH6" i="51"/>
  <c r="AH10" i="51"/>
  <c r="AH14" i="51"/>
  <c r="AH18" i="51"/>
  <c r="AH22" i="51"/>
  <c r="AH26" i="51"/>
  <c r="AH3" i="51"/>
  <c r="AH7" i="51"/>
  <c r="AH11" i="51"/>
  <c r="AH15" i="51"/>
  <c r="AH19" i="51"/>
  <c r="AH23" i="51"/>
  <c r="AH28" i="51"/>
  <c r="AH4" i="51"/>
  <c r="AH8" i="51"/>
  <c r="AH12" i="51"/>
  <c r="AH16" i="51"/>
  <c r="AH20" i="51"/>
  <c r="AH25" i="51"/>
  <c r="AH27" i="51"/>
  <c r="AH65" i="29"/>
  <c r="AH13" i="29"/>
  <c r="AH57" i="29"/>
  <c r="AH99" i="29"/>
  <c r="AH8" i="29"/>
  <c r="AH88" i="29"/>
  <c r="AH72" i="29"/>
  <c r="AH22" i="29"/>
  <c r="AH34" i="29"/>
  <c r="AH59" i="29"/>
  <c r="AH58" i="29"/>
  <c r="AH23" i="29"/>
  <c r="AH67" i="29"/>
  <c r="AH14" i="29"/>
  <c r="AH31" i="29"/>
  <c r="AH46" i="29"/>
  <c r="AH90" i="29"/>
  <c r="AH45" i="29"/>
  <c r="AH35" i="29"/>
  <c r="AH78" i="29"/>
  <c r="AH7" i="29"/>
  <c r="AH47" i="29"/>
  <c r="AH24" i="29"/>
  <c r="AH10" i="29"/>
  <c r="AH39" i="29"/>
  <c r="AH96" i="29"/>
  <c r="AH77" i="29"/>
  <c r="AH2" i="29"/>
  <c r="AH75" i="29"/>
  <c r="AH91" i="29"/>
  <c r="AH62" i="29"/>
  <c r="AH40" i="29"/>
  <c r="AH64" i="29"/>
  <c r="AH79" i="29"/>
  <c r="AH3" i="29"/>
  <c r="AH66" i="29"/>
  <c r="AH92" i="29"/>
  <c r="AH52" i="29"/>
  <c r="AH54" i="29"/>
  <c r="AH89" i="29"/>
  <c r="AH18" i="29"/>
  <c r="AH68" i="29"/>
  <c r="AH48" i="29"/>
  <c r="AH12" i="29"/>
  <c r="AH16" i="29"/>
  <c r="AH73" i="29"/>
  <c r="AH25" i="29"/>
  <c r="AH30" i="29"/>
  <c r="AH93" i="29"/>
  <c r="AH21" i="29"/>
  <c r="AH82" i="29"/>
  <c r="AH86" i="29"/>
  <c r="AH38" i="29"/>
  <c r="AH87" i="29"/>
  <c r="AH26" i="29"/>
  <c r="AH28" i="29"/>
  <c r="AH85" i="29"/>
  <c r="AH33" i="29"/>
  <c r="AH94" i="29"/>
  <c r="AH37" i="29"/>
  <c r="AH100" i="29"/>
  <c r="AH9" i="29"/>
  <c r="AH60" i="29"/>
  <c r="AH42" i="29"/>
  <c r="AH81" i="29"/>
  <c r="AH36" i="29"/>
  <c r="AH49" i="29"/>
  <c r="AH43" i="29"/>
  <c r="AH5" i="29"/>
  <c r="AH50" i="29"/>
  <c r="AH17" i="29"/>
  <c r="AH63" i="29"/>
  <c r="AH53" i="29"/>
  <c r="AH32" i="29"/>
  <c r="AH71" i="29"/>
  <c r="AH98" i="29"/>
  <c r="AH76" i="29"/>
  <c r="AH70" i="29"/>
  <c r="AH51" i="29"/>
  <c r="AH29" i="29"/>
  <c r="AH19" i="29"/>
  <c r="AH20" i="29"/>
  <c r="AH4" i="29"/>
  <c r="AH6" i="29"/>
  <c r="AH27" i="29"/>
  <c r="AH80" i="29"/>
  <c r="AH56" i="29"/>
  <c r="AH84" i="29"/>
  <c r="AH95" i="29"/>
  <c r="AH69" i="29"/>
  <c r="AH83" i="29"/>
  <c r="AH97" i="29"/>
  <c r="AH15" i="29"/>
  <c r="AH55" i="29"/>
  <c r="AH61" i="29"/>
  <c r="AH74" i="29"/>
  <c r="AH41" i="29"/>
  <c r="AH11" i="29"/>
  <c r="AH44" i="29"/>
  <c r="AF5" i="81"/>
  <c r="AM5" i="81"/>
  <c r="AI5" i="81"/>
  <c r="AF6" i="81"/>
  <c r="AM6" i="81"/>
  <c r="AI6" i="81"/>
  <c r="AF4" i="81"/>
  <c r="AM4" i="81"/>
  <c r="AI4" i="81"/>
  <c r="AF4" i="112" l="1"/>
  <c r="AF43" i="112"/>
  <c r="AF74" i="112"/>
  <c r="AF39" i="112"/>
  <c r="AF42" i="112"/>
  <c r="AF35" i="112"/>
  <c r="AF69" i="112"/>
  <c r="AF5" i="112"/>
  <c r="AF72" i="112"/>
  <c r="AF65" i="112"/>
  <c r="AF16" i="112"/>
  <c r="AF44" i="112"/>
  <c r="AF25" i="112"/>
  <c r="AF9" i="112"/>
  <c r="AF20" i="112"/>
  <c r="AF45" i="112"/>
  <c r="AF77" i="112"/>
  <c r="AF32" i="112"/>
  <c r="AF17" i="112"/>
  <c r="AF53" i="112"/>
  <c r="AF48" i="112"/>
  <c r="AF21" i="112"/>
  <c r="AF58" i="112"/>
  <c r="AF28" i="112"/>
  <c r="AF6" i="112"/>
  <c r="AF24" i="112"/>
  <c r="AF15" i="112"/>
  <c r="AF22" i="112"/>
  <c r="AF73" i="112"/>
  <c r="AF38" i="112"/>
  <c r="AF60" i="112"/>
  <c r="AF76" i="112"/>
  <c r="AF41" i="112"/>
  <c r="AF50" i="112"/>
  <c r="AF23" i="112"/>
  <c r="AF26" i="112"/>
  <c r="AF68" i="112"/>
  <c r="AF49" i="112"/>
  <c r="AF2" i="112"/>
  <c r="AF47" i="112"/>
  <c r="AF7" i="112"/>
  <c r="AF40" i="112"/>
  <c r="AF19" i="112"/>
  <c r="AF63" i="112"/>
  <c r="AF12" i="112"/>
  <c r="AF67" i="112"/>
  <c r="AF10" i="112"/>
  <c r="AF29" i="112"/>
  <c r="AF27" i="112"/>
  <c r="AF37" i="112"/>
  <c r="AF55" i="112"/>
  <c r="AF71" i="112"/>
  <c r="AF59" i="112"/>
  <c r="AF36" i="112"/>
  <c r="AF30" i="112"/>
  <c r="AF52" i="112"/>
  <c r="AF11" i="112"/>
  <c r="AF8" i="112"/>
  <c r="AF46" i="112"/>
  <c r="AF3" i="112"/>
  <c r="AF70" i="112"/>
  <c r="AF61" i="112"/>
  <c r="AF56" i="112"/>
  <c r="AF75" i="112"/>
  <c r="AF31" i="112"/>
  <c r="AF64" i="112"/>
  <c r="AF18" i="112"/>
  <c r="AF13" i="112"/>
  <c r="AF33" i="112"/>
  <c r="AF78" i="112"/>
  <c r="AF34" i="112"/>
  <c r="AF57" i="112"/>
  <c r="AF62" i="112"/>
  <c r="AF14" i="112"/>
  <c r="AF54" i="112"/>
  <c r="AF51" i="112"/>
  <c r="AF66" i="112"/>
  <c r="AF79" i="112" l="1"/>
  <c r="AM79" i="112"/>
  <c r="AG79" i="112"/>
  <c r="AI79" i="112"/>
  <c r="AH79" i="112"/>
  <c r="AL79" i="112"/>
  <c r="AI3" i="111"/>
  <c r="AI5" i="111"/>
  <c r="AI31" i="111"/>
  <c r="AI25" i="111"/>
  <c r="AI8" i="111"/>
  <c r="AI2" i="111"/>
  <c r="AI17" i="111"/>
  <c r="AI13" i="111"/>
  <c r="AI12" i="111"/>
  <c r="AI7" i="111"/>
  <c r="AI19" i="111"/>
  <c r="AI18" i="111"/>
  <c r="AI59" i="111"/>
  <c r="AI36" i="111"/>
  <c r="AI23" i="111"/>
  <c r="AI26" i="111"/>
  <c r="AI27" i="111"/>
  <c r="AI35" i="111"/>
  <c r="AI47" i="111"/>
  <c r="AI39" i="111"/>
  <c r="AI56" i="111"/>
  <c r="AI24" i="111"/>
  <c r="AI46" i="111"/>
  <c r="AI49" i="111"/>
  <c r="AI41" i="111"/>
  <c r="AI32" i="111"/>
  <c r="AI51" i="111"/>
  <c r="AI34" i="111"/>
  <c r="AI38" i="111"/>
  <c r="AI21" i="111"/>
  <c r="AI53" i="111"/>
  <c r="AI61" i="111"/>
  <c r="AI14" i="111"/>
  <c r="AI54" i="111"/>
  <c r="AI58" i="111"/>
  <c r="AI62" i="111"/>
  <c r="AI44" i="111"/>
  <c r="AI40" i="111"/>
  <c r="AI60" i="111"/>
  <c r="AI63" i="111"/>
  <c r="AF52" i="111"/>
  <c r="AF44" i="111"/>
  <c r="AF16" i="111"/>
  <c r="AF29" i="111"/>
  <c r="AF18" i="111"/>
  <c r="AF56" i="111"/>
  <c r="AF21" i="111"/>
  <c r="AF28" i="111"/>
  <c r="AF47" i="111"/>
  <c r="AF37" i="111"/>
  <c r="AF39" i="111"/>
  <c r="AF6" i="111"/>
  <c r="AF51" i="111"/>
  <c r="AF45" i="111"/>
  <c r="AF58" i="111"/>
  <c r="AF40" i="111"/>
  <c r="AF22" i="111"/>
  <c r="AF2" i="111"/>
  <c r="AF5" i="111"/>
  <c r="AF4" i="111"/>
  <c r="AF31" i="111"/>
  <c r="AF25" i="111"/>
  <c r="AF8" i="111"/>
  <c r="AF17" i="111"/>
  <c r="AF13" i="111"/>
  <c r="AF12" i="111"/>
  <c r="AF20" i="111"/>
  <c r="AF59" i="111"/>
  <c r="AF36" i="111"/>
  <c r="AF23" i="111"/>
  <c r="AF30" i="111"/>
  <c r="AF35" i="111"/>
  <c r="AF50" i="111"/>
  <c r="AF46" i="111"/>
  <c r="AF41" i="111"/>
  <c r="AF55" i="111"/>
  <c r="AF34" i="111"/>
  <c r="AF10" i="111"/>
  <c r="AF38" i="111"/>
  <c r="AF53" i="111"/>
  <c r="AF63" i="111"/>
  <c r="AF3" i="111"/>
  <c r="AF11" i="111"/>
  <c r="AF7" i="111"/>
  <c r="AF26" i="111"/>
  <c r="AF27" i="111"/>
  <c r="AF24" i="111"/>
  <c r="AF49" i="111"/>
  <c r="AF42" i="111"/>
  <c r="AF14" i="111"/>
  <c r="AF62" i="111"/>
  <c r="AF57" i="111"/>
  <c r="AF60" i="111"/>
  <c r="AI37" i="111"/>
  <c r="AI20" i="111"/>
  <c r="AI30" i="111"/>
  <c r="AI10" i="111"/>
  <c r="AI52" i="111"/>
  <c r="AI16" i="111"/>
  <c r="AI29" i="111"/>
  <c r="AI28" i="111"/>
  <c r="AI6" i="111"/>
  <c r="AI45" i="111"/>
  <c r="AI22" i="111"/>
  <c r="AI4" i="111"/>
  <c r="AI50" i="111"/>
  <c r="AI55" i="111"/>
  <c r="AI11" i="111"/>
  <c r="AI42" i="111"/>
  <c r="AI57" i="111"/>
  <c r="AF32" i="111"/>
  <c r="AI48" i="111"/>
  <c r="AF48" i="111"/>
  <c r="AI15" i="111"/>
  <c r="AF15" i="111"/>
  <c r="AI43" i="111"/>
  <c r="AF43" i="111"/>
  <c r="AF19" i="111"/>
  <c r="AI9" i="111"/>
  <c r="AF9" i="111"/>
  <c r="AF61" i="111"/>
  <c r="AF54" i="111"/>
  <c r="AF33" i="111"/>
  <c r="AJ79" i="112" l="1"/>
  <c r="AK79" i="112"/>
  <c r="AF64" i="111"/>
  <c r="AJ33" i="111" s="1"/>
  <c r="AK33" i="111" s="1"/>
  <c r="AH64" i="111"/>
  <c r="AG64" i="111"/>
  <c r="AI33" i="111"/>
  <c r="AI64" i="111" s="1"/>
  <c r="AJ32" i="111" l="1"/>
  <c r="AK32" i="111" s="1"/>
  <c r="AJ6" i="111"/>
  <c r="AK6" i="111" s="1"/>
  <c r="AJ4" i="111"/>
  <c r="AK4" i="111" s="1"/>
  <c r="AJ59" i="111"/>
  <c r="AK59" i="111" s="1"/>
  <c r="AJ55" i="111"/>
  <c r="AK55" i="111" s="1"/>
  <c r="AJ49" i="111"/>
  <c r="AK49" i="111" s="1"/>
  <c r="AJ50" i="111"/>
  <c r="AK50" i="111" s="1"/>
  <c r="AJ26" i="111"/>
  <c r="AK26" i="111" s="1"/>
  <c r="AJ60" i="111"/>
  <c r="AK60" i="111" s="1"/>
  <c r="AJ61" i="111"/>
  <c r="AK61" i="111" s="1"/>
  <c r="AJ2" i="111"/>
  <c r="AK2" i="111" s="1"/>
  <c r="AJ21" i="111"/>
  <c r="AK21" i="111" s="1"/>
  <c r="AJ58" i="111"/>
  <c r="AK58" i="111" s="1"/>
  <c r="AJ8" i="111"/>
  <c r="AK8" i="111" s="1"/>
  <c r="AJ30" i="111"/>
  <c r="AK30" i="111" s="1"/>
  <c r="AJ38" i="111"/>
  <c r="AK38" i="111" s="1"/>
  <c r="AJ24" i="111"/>
  <c r="AK24" i="111" s="1"/>
  <c r="AJ15" i="111"/>
  <c r="AK15" i="111" s="1"/>
  <c r="AJ57" i="111"/>
  <c r="AK57" i="111" s="1"/>
  <c r="AJ18" i="111"/>
  <c r="AK18" i="111" s="1"/>
  <c r="AJ51" i="111"/>
  <c r="AK51" i="111" s="1"/>
  <c r="AJ31" i="111"/>
  <c r="AK31" i="111" s="1"/>
  <c r="AJ34" i="111"/>
  <c r="AK34" i="111" s="1"/>
  <c r="AJ44" i="111"/>
  <c r="AK44" i="111" s="1"/>
  <c r="AJ37" i="111"/>
  <c r="AK37" i="111" s="1"/>
  <c r="AJ25" i="111"/>
  <c r="AK25" i="111" s="1"/>
  <c r="AJ23" i="111"/>
  <c r="AK23" i="111" s="1"/>
  <c r="AJ10" i="111"/>
  <c r="AK10" i="111" s="1"/>
  <c r="AJ27" i="111"/>
  <c r="AK27" i="111" s="1"/>
  <c r="AJ19" i="111"/>
  <c r="AK19" i="111" s="1"/>
  <c r="AL2" i="111"/>
  <c r="AM2" i="111" s="1"/>
  <c r="AL46" i="111"/>
  <c r="AM46" i="111" s="1"/>
  <c r="AL32" i="111"/>
  <c r="AM32" i="111" s="1"/>
  <c r="AL16" i="111"/>
  <c r="AM16" i="111" s="1"/>
  <c r="AL63" i="111"/>
  <c r="AM63" i="111" s="1"/>
  <c r="AL48" i="111"/>
  <c r="AM48" i="111" s="1"/>
  <c r="AL31" i="111"/>
  <c r="AM31" i="111" s="1"/>
  <c r="AL15" i="111"/>
  <c r="AM15" i="111" s="1"/>
  <c r="AL62" i="111"/>
  <c r="AM62" i="111" s="1"/>
  <c r="AL47" i="111"/>
  <c r="AM47" i="111" s="1"/>
  <c r="AL29" i="111"/>
  <c r="AM29" i="111" s="1"/>
  <c r="AL14" i="111"/>
  <c r="AM14" i="111" s="1"/>
  <c r="AL57" i="111"/>
  <c r="AM57" i="111" s="1"/>
  <c r="AL41" i="111"/>
  <c r="AM41" i="111" s="1"/>
  <c r="AL25" i="111"/>
  <c r="AM25" i="111" s="1"/>
  <c r="AL9" i="111"/>
  <c r="AM9" i="111" s="1"/>
  <c r="AL61" i="111"/>
  <c r="AM61" i="111" s="1"/>
  <c r="AL44" i="111"/>
  <c r="AM44" i="111" s="1"/>
  <c r="AL28" i="111"/>
  <c r="AM28" i="111" s="1"/>
  <c r="AL12" i="111"/>
  <c r="AM12" i="111" s="1"/>
  <c r="AL60" i="111"/>
  <c r="AM60" i="111" s="1"/>
  <c r="AL43" i="111"/>
  <c r="AM43" i="111" s="1"/>
  <c r="AL27" i="111"/>
  <c r="AM27" i="111" s="1"/>
  <c r="AL11" i="111"/>
  <c r="AM11" i="111" s="1"/>
  <c r="AL58" i="111"/>
  <c r="AM58" i="111" s="1"/>
  <c r="AL42" i="111"/>
  <c r="AM42" i="111" s="1"/>
  <c r="AL26" i="111"/>
  <c r="AM26" i="111" s="1"/>
  <c r="AL10" i="111"/>
  <c r="AM10" i="111" s="1"/>
  <c r="AL53" i="111"/>
  <c r="AM53" i="111" s="1"/>
  <c r="AL36" i="111"/>
  <c r="AM36" i="111" s="1"/>
  <c r="AL21" i="111"/>
  <c r="AM21" i="111" s="1"/>
  <c r="AL5" i="111"/>
  <c r="AM5" i="111" s="1"/>
  <c r="AL56" i="111"/>
  <c r="AM56" i="111" s="1"/>
  <c r="AL40" i="111"/>
  <c r="AM40" i="111" s="1"/>
  <c r="AL24" i="111"/>
  <c r="AM24" i="111" s="1"/>
  <c r="AL8" i="111"/>
  <c r="AM8" i="111" s="1"/>
  <c r="AL55" i="111"/>
  <c r="AM55" i="111" s="1"/>
  <c r="AL39" i="111"/>
  <c r="AM39" i="111" s="1"/>
  <c r="AL23" i="111"/>
  <c r="AM23" i="111" s="1"/>
  <c r="AL7" i="111"/>
  <c r="AM7" i="111" s="1"/>
  <c r="AL54" i="111"/>
  <c r="AM54" i="111" s="1"/>
  <c r="AL38" i="111"/>
  <c r="AM38" i="111" s="1"/>
  <c r="AL22" i="111"/>
  <c r="AM22" i="111" s="1"/>
  <c r="AL6" i="111"/>
  <c r="AM6" i="111" s="1"/>
  <c r="AL49" i="111"/>
  <c r="AM49" i="111" s="1"/>
  <c r="AL33" i="111"/>
  <c r="AM33" i="111" s="1"/>
  <c r="AL17" i="111"/>
  <c r="AM17" i="111" s="1"/>
  <c r="AL52" i="111"/>
  <c r="AM52" i="111" s="1"/>
  <c r="AL37" i="111"/>
  <c r="AM37" i="111" s="1"/>
  <c r="AL20" i="111"/>
  <c r="AM20" i="111" s="1"/>
  <c r="AL4" i="111"/>
  <c r="AM4" i="111" s="1"/>
  <c r="AL51" i="111"/>
  <c r="AM51" i="111" s="1"/>
  <c r="AL35" i="111"/>
  <c r="AM35" i="111" s="1"/>
  <c r="AL19" i="111"/>
  <c r="AM19" i="111" s="1"/>
  <c r="AL3" i="111"/>
  <c r="AM3" i="111" s="1"/>
  <c r="AL50" i="111"/>
  <c r="AM50" i="111" s="1"/>
  <c r="AL34" i="111"/>
  <c r="AM34" i="111" s="1"/>
  <c r="AL18" i="111"/>
  <c r="AM18" i="111" s="1"/>
  <c r="AL59" i="111"/>
  <c r="AM59" i="111" s="1"/>
  <c r="AL45" i="111"/>
  <c r="AM45" i="111" s="1"/>
  <c r="AL30" i="111"/>
  <c r="AM30" i="111" s="1"/>
  <c r="AL13" i="111"/>
  <c r="AM13" i="111" s="1"/>
  <c r="AJ29" i="111"/>
  <c r="AK29" i="111" s="1"/>
  <c r="AJ40" i="111"/>
  <c r="AK40" i="111" s="1"/>
  <c r="AJ17" i="111"/>
  <c r="AK17" i="111" s="1"/>
  <c r="AJ35" i="111"/>
  <c r="AK35" i="111" s="1"/>
  <c r="AJ53" i="111"/>
  <c r="AK53" i="111" s="1"/>
  <c r="AJ9" i="111"/>
  <c r="AK9" i="111" s="1"/>
  <c r="AJ13" i="111"/>
  <c r="AK13" i="111" s="1"/>
  <c r="AJ63" i="111"/>
  <c r="AK63" i="111" s="1"/>
  <c r="AJ42" i="111"/>
  <c r="AK42" i="111" s="1"/>
  <c r="AJ48" i="111"/>
  <c r="AK48" i="111" s="1"/>
  <c r="AJ54" i="111"/>
  <c r="AK54" i="111" s="1"/>
  <c r="AJ16" i="111"/>
  <c r="AK16" i="111" s="1"/>
  <c r="AJ39" i="111"/>
  <c r="AK39" i="111" s="1"/>
  <c r="AJ5" i="111"/>
  <c r="AK5" i="111" s="1"/>
  <c r="AJ20" i="111"/>
  <c r="AK20" i="111" s="1"/>
  <c r="AJ41" i="111"/>
  <c r="AK41" i="111" s="1"/>
  <c r="AJ11" i="111"/>
  <c r="AK11" i="111" s="1"/>
  <c r="AJ62" i="111"/>
  <c r="AK62" i="111" s="1"/>
  <c r="AJ28" i="111"/>
  <c r="AK28" i="111" s="1"/>
  <c r="AJ7" i="111"/>
  <c r="AK7" i="111" s="1"/>
  <c r="AJ52" i="111"/>
  <c r="AK52" i="111" s="1"/>
  <c r="AJ47" i="111"/>
  <c r="AK47" i="111" s="1"/>
  <c r="AJ22" i="111"/>
  <c r="AK22" i="111" s="1"/>
  <c r="AJ36" i="111"/>
  <c r="AK36" i="111" s="1"/>
  <c r="AJ43" i="111"/>
  <c r="AK43" i="111" s="1"/>
  <c r="AJ56" i="111"/>
  <c r="AK56" i="111" s="1"/>
  <c r="AJ45" i="111"/>
  <c r="AK45" i="111" s="1"/>
  <c r="AJ12" i="111"/>
  <c r="AK12" i="111" s="1"/>
  <c r="AJ46" i="111"/>
  <c r="AK46" i="111" s="1"/>
  <c r="AJ3" i="111"/>
  <c r="AK3" i="111" s="1"/>
  <c r="AJ14" i="111"/>
  <c r="AK14" i="111" s="1"/>
  <c r="AK64" i="111" l="1"/>
  <c r="AJ64" i="111"/>
  <c r="AM64" i="111"/>
  <c r="AL64" i="111"/>
  <c r="AF35" i="76"/>
  <c r="AF30" i="76"/>
  <c r="AF33" i="76"/>
  <c r="AF57" i="76"/>
  <c r="AF44" i="76"/>
  <c r="AF34" i="76"/>
  <c r="AF60" i="76"/>
  <c r="AF40" i="76"/>
  <c r="AF31" i="76"/>
  <c r="AF56" i="76"/>
  <c r="AF47" i="76"/>
  <c r="AF70" i="76"/>
  <c r="AF46" i="76"/>
  <c r="AF64" i="76"/>
  <c r="AF75" i="76"/>
  <c r="AF79" i="76"/>
  <c r="AF43" i="76"/>
  <c r="AF77" i="76"/>
  <c r="AF18" i="76"/>
  <c r="AF5" i="76"/>
  <c r="AI5" i="110" l="1"/>
  <c r="AI4" i="110"/>
  <c r="AI16" i="110"/>
  <c r="AI2" i="110"/>
  <c r="AI11" i="110"/>
  <c r="AI9" i="110"/>
  <c r="AI19" i="110"/>
  <c r="AI6" i="110"/>
  <c r="AI25" i="110"/>
  <c r="AI8" i="110"/>
  <c r="AI13" i="110"/>
  <c r="AI10" i="110"/>
  <c r="AI22" i="110"/>
  <c r="AI33" i="110"/>
  <c r="AI14" i="110"/>
  <c r="AI12" i="110"/>
  <c r="AI20" i="110"/>
  <c r="AI27" i="110"/>
  <c r="AI18" i="110"/>
  <c r="AI24" i="110"/>
  <c r="AI17" i="110"/>
  <c r="AI7" i="110"/>
  <c r="AI28" i="110"/>
  <c r="AI26" i="110"/>
  <c r="AI21" i="110"/>
  <c r="AI32" i="110"/>
  <c r="AI23" i="110"/>
  <c r="AI31" i="110"/>
  <c r="AI30" i="110"/>
  <c r="AI7" i="91"/>
  <c r="AI9" i="91"/>
  <c r="AF7" i="91"/>
  <c r="AF9" i="91"/>
  <c r="AI15" i="110"/>
  <c r="AI29" i="110"/>
  <c r="AF32" i="110"/>
  <c r="AF23" i="110"/>
  <c r="AF31" i="110"/>
  <c r="AF30" i="110"/>
  <c r="AF6" i="110"/>
  <c r="AF25" i="110"/>
  <c r="AF8" i="110"/>
  <c r="AF13" i="110"/>
  <c r="AF10" i="110"/>
  <c r="AF22" i="110"/>
  <c r="AF33" i="110"/>
  <c r="AF14" i="110"/>
  <c r="AF12" i="110"/>
  <c r="AF20" i="110"/>
  <c r="AF27" i="110"/>
  <c r="AF18" i="110"/>
  <c r="AF24" i="110"/>
  <c r="AF17" i="110"/>
  <c r="AF29" i="110"/>
  <c r="AF7" i="110"/>
  <c r="AF28" i="110"/>
  <c r="AF26" i="110"/>
  <c r="AF21" i="110"/>
  <c r="AF15" i="110"/>
  <c r="AF19" i="110"/>
  <c r="AF9" i="110"/>
  <c r="AF11" i="110"/>
  <c r="AF2" i="110"/>
  <c r="AF16" i="110"/>
  <c r="AF4" i="110"/>
  <c r="AF5" i="110"/>
  <c r="AF3" i="110"/>
  <c r="AG34" i="110" l="1"/>
  <c r="AF34" i="110"/>
  <c r="AJ16" i="110" s="1"/>
  <c r="AK16" i="110" s="1"/>
  <c r="AH34" i="110"/>
  <c r="AH21" i="91"/>
  <c r="AI3" i="110"/>
  <c r="AI34" i="110" s="1"/>
  <c r="AF41" i="109"/>
  <c r="AF39" i="109"/>
  <c r="AF25" i="109"/>
  <c r="AF23" i="109"/>
  <c r="AF46" i="109"/>
  <c r="AF29" i="109"/>
  <c r="AF58" i="109"/>
  <c r="AF42" i="109"/>
  <c r="AF28" i="109"/>
  <c r="AF43" i="109"/>
  <c r="AF53" i="109"/>
  <c r="AF31" i="109"/>
  <c r="AF79" i="109"/>
  <c r="AF37" i="109"/>
  <c r="AF69" i="109"/>
  <c r="AF49" i="109"/>
  <c r="AF35" i="109"/>
  <c r="AF48" i="109"/>
  <c r="AF24" i="109"/>
  <c r="AF5" i="109"/>
  <c r="AF74" i="109"/>
  <c r="AF50" i="109"/>
  <c r="AF22" i="109"/>
  <c r="AF54" i="109"/>
  <c r="AF65" i="109"/>
  <c r="AF47" i="109"/>
  <c r="AF61" i="109"/>
  <c r="AF59" i="109"/>
  <c r="AF83" i="109"/>
  <c r="AF32" i="109"/>
  <c r="AF34" i="109"/>
  <c r="AF57" i="109"/>
  <c r="AF3" i="109"/>
  <c r="AF62" i="109"/>
  <c r="AF18" i="109"/>
  <c r="AF66" i="109"/>
  <c r="AF70" i="109"/>
  <c r="AF76" i="109"/>
  <c r="AF68" i="109"/>
  <c r="AF75" i="109"/>
  <c r="AF93" i="109"/>
  <c r="AF92" i="109"/>
  <c r="AF52" i="109"/>
  <c r="AF60" i="109"/>
  <c r="AF38" i="109"/>
  <c r="AF71" i="109"/>
  <c r="AF51" i="109"/>
  <c r="AF87" i="109"/>
  <c r="AF63" i="109"/>
  <c r="AF67" i="109"/>
  <c r="AF56" i="109"/>
  <c r="AF88" i="109"/>
  <c r="AF84" i="109"/>
  <c r="AF55" i="109"/>
  <c r="AF78" i="109"/>
  <c r="AF85" i="109"/>
  <c r="AF44" i="109"/>
  <c r="AF89" i="109"/>
  <c r="AF82" i="109"/>
  <c r="AF26" i="109"/>
  <c r="AF80" i="109"/>
  <c r="AF86" i="109"/>
  <c r="AF77" i="109"/>
  <c r="AF91" i="109"/>
  <c r="AF73" i="109"/>
  <c r="AF81" i="109"/>
  <c r="AF94" i="109"/>
  <c r="AF72" i="109"/>
  <c r="AF64" i="109"/>
  <c r="AA95" i="109"/>
  <c r="AF40" i="109"/>
  <c r="AF33" i="109"/>
  <c r="AF36" i="109"/>
  <c r="AF20" i="109"/>
  <c r="AF7" i="109"/>
  <c r="AF13" i="109"/>
  <c r="AF21" i="109"/>
  <c r="AF45" i="109"/>
  <c r="AF14" i="109"/>
  <c r="AF30" i="109"/>
  <c r="AF27" i="109"/>
  <c r="AF10" i="109"/>
  <c r="AF6" i="109"/>
  <c r="AF19" i="109"/>
  <c r="AF90" i="109"/>
  <c r="AF16" i="109"/>
  <c r="AF17" i="109"/>
  <c r="AF9" i="109"/>
  <c r="AF11" i="109"/>
  <c r="AF15" i="109"/>
  <c r="AF2" i="109"/>
  <c r="AF12" i="109"/>
  <c r="AF8" i="109"/>
  <c r="AF4" i="109"/>
  <c r="AJ23" i="110" l="1"/>
  <c r="AK23" i="110" s="1"/>
  <c r="AJ17" i="110"/>
  <c r="AK17" i="110" s="1"/>
  <c r="AJ8" i="110"/>
  <c r="AK8" i="110" s="1"/>
  <c r="AJ21" i="110"/>
  <c r="AK21" i="110" s="1"/>
  <c r="AJ30" i="110"/>
  <c r="AK30" i="110" s="1"/>
  <c r="AJ7" i="110"/>
  <c r="AK7" i="110" s="1"/>
  <c r="AJ32" i="110"/>
  <c r="AK32" i="110" s="1"/>
  <c r="AJ24" i="110"/>
  <c r="AK24" i="110" s="1"/>
  <c r="AJ25" i="110"/>
  <c r="AK25" i="110" s="1"/>
  <c r="AJ26" i="110"/>
  <c r="AK26" i="110" s="1"/>
  <c r="AJ33" i="110"/>
  <c r="AK33" i="110" s="1"/>
  <c r="AJ11" i="110"/>
  <c r="AK11" i="110" s="1"/>
  <c r="AJ13" i="110"/>
  <c r="AJ15" i="110"/>
  <c r="AK15" i="110" s="1"/>
  <c r="AJ6" i="110"/>
  <c r="AK6" i="110" s="1"/>
  <c r="AJ28" i="110"/>
  <c r="AK28" i="110" s="1"/>
  <c r="AJ22" i="110"/>
  <c r="AK22" i="110" s="1"/>
  <c r="AJ9" i="110"/>
  <c r="AK9" i="110" s="1"/>
  <c r="AJ27" i="110"/>
  <c r="AK27" i="110" s="1"/>
  <c r="AJ5" i="110"/>
  <c r="AK5" i="110" s="1"/>
  <c r="AJ14" i="110"/>
  <c r="AK14" i="110" s="1"/>
  <c r="AJ2" i="110"/>
  <c r="AK2" i="110" s="1"/>
  <c r="AJ10" i="110"/>
  <c r="AK10" i="110" s="1"/>
  <c r="AJ19" i="110"/>
  <c r="AK19" i="110" s="1"/>
  <c r="AL12" i="110"/>
  <c r="AM12" i="110" s="1"/>
  <c r="AL22" i="110"/>
  <c r="AM22" i="110" s="1"/>
  <c r="AL24" i="110"/>
  <c r="AM24" i="110" s="1"/>
  <c r="AL30" i="110"/>
  <c r="AM30" i="110" s="1"/>
  <c r="AL10" i="110"/>
  <c r="AM10" i="110" s="1"/>
  <c r="AL28" i="110"/>
  <c r="AM28" i="110" s="1"/>
  <c r="AL3" i="110"/>
  <c r="AM3" i="110" s="1"/>
  <c r="AL2" i="110"/>
  <c r="AM2" i="110" s="1"/>
  <c r="AL26" i="110"/>
  <c r="AM26" i="110" s="1"/>
  <c r="AL25" i="110"/>
  <c r="AM25" i="110" s="1"/>
  <c r="AL31" i="110"/>
  <c r="AM31" i="110" s="1"/>
  <c r="AL20" i="110"/>
  <c r="AM20" i="110" s="1"/>
  <c r="AL23" i="110"/>
  <c r="AM23" i="110" s="1"/>
  <c r="AL7" i="110"/>
  <c r="AM7" i="110" s="1"/>
  <c r="AL9" i="110"/>
  <c r="AM9" i="110" s="1"/>
  <c r="AL11" i="110"/>
  <c r="AM11" i="110" s="1"/>
  <c r="AL32" i="110"/>
  <c r="AM32" i="110" s="1"/>
  <c r="AL6" i="110"/>
  <c r="AM6" i="110" s="1"/>
  <c r="AL8" i="110"/>
  <c r="AM8" i="110" s="1"/>
  <c r="AL4" i="110"/>
  <c r="AM4" i="110" s="1"/>
  <c r="AL21" i="110"/>
  <c r="AM21" i="110" s="1"/>
  <c r="AL5" i="110"/>
  <c r="AM5" i="110" s="1"/>
  <c r="AL14" i="110"/>
  <c r="AM14" i="110" s="1"/>
  <c r="AL19" i="110"/>
  <c r="AM19" i="110" s="1"/>
  <c r="AL18" i="110"/>
  <c r="AM18" i="110" s="1"/>
  <c r="AL33" i="110"/>
  <c r="AM33" i="110" s="1"/>
  <c r="AL16" i="110"/>
  <c r="AM16" i="110" s="1"/>
  <c r="AL17" i="110"/>
  <c r="AM17" i="110" s="1"/>
  <c r="AL27" i="110"/>
  <c r="AM27" i="110" s="1"/>
  <c r="AL29" i="110"/>
  <c r="AM29" i="110" s="1"/>
  <c r="AL15" i="110"/>
  <c r="AM15" i="110" s="1"/>
  <c r="AL13" i="110"/>
  <c r="AM13" i="110" s="1"/>
  <c r="AJ20" i="110"/>
  <c r="AK20" i="110" s="1"/>
  <c r="AJ31" i="110"/>
  <c r="AK31" i="110" s="1"/>
  <c r="AJ29" i="110"/>
  <c r="AK29" i="110" s="1"/>
  <c r="AJ4" i="110"/>
  <c r="AK4" i="110" s="1"/>
  <c r="AJ18" i="110"/>
  <c r="AK18" i="110" s="1"/>
  <c r="AJ3" i="110"/>
  <c r="AK3" i="110" s="1"/>
  <c r="AJ12" i="110"/>
  <c r="AK12" i="110" s="1"/>
  <c r="AH5" i="109"/>
  <c r="AI5" i="109" s="1"/>
  <c r="AH9" i="109"/>
  <c r="AI9" i="109" s="1"/>
  <c r="AH13" i="109"/>
  <c r="AI13" i="109" s="1"/>
  <c r="AH17" i="109"/>
  <c r="AI17" i="109" s="1"/>
  <c r="AH21" i="109"/>
  <c r="AI21" i="109" s="1"/>
  <c r="AH25" i="109"/>
  <c r="AI25" i="109" s="1"/>
  <c r="AH29" i="109"/>
  <c r="AI29" i="109" s="1"/>
  <c r="AH33" i="109"/>
  <c r="AI33" i="109" s="1"/>
  <c r="AH37" i="109"/>
  <c r="AI37" i="109" s="1"/>
  <c r="AH41" i="109"/>
  <c r="AI41" i="109" s="1"/>
  <c r="AH45" i="109"/>
  <c r="AI45" i="109" s="1"/>
  <c r="AH49" i="109"/>
  <c r="AI49" i="109" s="1"/>
  <c r="AH53" i="109"/>
  <c r="AI53" i="109" s="1"/>
  <c r="AH58" i="109"/>
  <c r="AI58" i="109" s="1"/>
  <c r="AH61" i="109"/>
  <c r="AI61" i="109" s="1"/>
  <c r="AH65" i="109"/>
  <c r="AI65" i="109" s="1"/>
  <c r="AH69" i="109"/>
  <c r="AI69" i="109" s="1"/>
  <c r="AH73" i="109"/>
  <c r="AI73" i="109" s="1"/>
  <c r="AH77" i="109"/>
  <c r="AI77" i="109" s="1"/>
  <c r="AH83" i="109"/>
  <c r="AI83" i="109" s="1"/>
  <c r="AH85" i="109"/>
  <c r="AI85" i="109" s="1"/>
  <c r="AH88" i="109"/>
  <c r="AI88" i="109" s="1"/>
  <c r="AH93" i="109"/>
  <c r="AI93" i="109" s="1"/>
  <c r="AH92" i="109"/>
  <c r="AI92" i="109" s="1"/>
  <c r="AH6" i="109"/>
  <c r="AI6" i="109" s="1"/>
  <c r="AH10" i="109"/>
  <c r="AI10" i="109" s="1"/>
  <c r="AH14" i="109"/>
  <c r="AI14" i="109" s="1"/>
  <c r="AH18" i="109"/>
  <c r="AI18" i="109" s="1"/>
  <c r="AH22" i="109"/>
  <c r="AI22" i="109" s="1"/>
  <c r="AH26" i="109"/>
  <c r="AI26" i="109" s="1"/>
  <c r="AH30" i="109"/>
  <c r="AI30" i="109" s="1"/>
  <c r="AH34" i="109"/>
  <c r="AI34" i="109" s="1"/>
  <c r="AH38" i="109"/>
  <c r="AI38" i="109" s="1"/>
  <c r="AH42" i="109"/>
  <c r="AI42" i="109" s="1"/>
  <c r="AH46" i="109"/>
  <c r="AI46" i="109" s="1"/>
  <c r="AH50" i="109"/>
  <c r="AI50" i="109" s="1"/>
  <c r="AH54" i="109"/>
  <c r="AI54" i="109" s="1"/>
  <c r="AH57" i="109"/>
  <c r="AI57" i="109" s="1"/>
  <c r="AH62" i="109"/>
  <c r="AI62" i="109" s="1"/>
  <c r="AH66" i="109"/>
  <c r="AI66" i="109" s="1"/>
  <c r="AH71" i="109"/>
  <c r="AI71" i="109" s="1"/>
  <c r="AH74" i="109"/>
  <c r="AI74" i="109" s="1"/>
  <c r="AH78" i="109"/>
  <c r="AI78" i="109" s="1"/>
  <c r="AH81" i="109"/>
  <c r="AI81" i="109" s="1"/>
  <c r="AH87" i="109"/>
  <c r="AI87" i="109" s="1"/>
  <c r="AH89" i="109"/>
  <c r="AI89" i="109" s="1"/>
  <c r="AH94" i="109"/>
  <c r="AI94" i="109" s="1"/>
  <c r="AH8" i="109"/>
  <c r="AI8" i="109" s="1"/>
  <c r="AH40" i="109"/>
  <c r="AI40" i="109" s="1"/>
  <c r="AH52" i="109"/>
  <c r="AI52" i="109" s="1"/>
  <c r="AH64" i="109"/>
  <c r="AI64" i="109" s="1"/>
  <c r="AH70" i="109"/>
  <c r="AI70" i="109" s="1"/>
  <c r="AH80" i="109"/>
  <c r="AI80" i="109" s="1"/>
  <c r="AH90" i="109"/>
  <c r="AI90" i="109" s="1"/>
  <c r="AH3" i="109"/>
  <c r="AI3" i="109" s="1"/>
  <c r="AH7" i="109"/>
  <c r="AI7" i="109" s="1"/>
  <c r="AH11" i="109"/>
  <c r="AI11" i="109" s="1"/>
  <c r="AH15" i="109"/>
  <c r="AI15" i="109" s="1"/>
  <c r="AH19" i="109"/>
  <c r="AI19" i="109" s="1"/>
  <c r="AH23" i="109"/>
  <c r="AI23" i="109" s="1"/>
  <c r="AH27" i="109"/>
  <c r="AI27" i="109" s="1"/>
  <c r="AH31" i="109"/>
  <c r="AI31" i="109" s="1"/>
  <c r="AH35" i="109"/>
  <c r="AI35" i="109" s="1"/>
  <c r="AH39" i="109"/>
  <c r="AI39" i="109" s="1"/>
  <c r="AH43" i="109"/>
  <c r="AI43" i="109" s="1"/>
  <c r="AH47" i="109"/>
  <c r="AI47" i="109" s="1"/>
  <c r="AH51" i="109"/>
  <c r="AI51" i="109" s="1"/>
  <c r="AH55" i="109"/>
  <c r="AI55" i="109" s="1"/>
  <c r="AH59" i="109"/>
  <c r="AI59" i="109" s="1"/>
  <c r="AH63" i="109"/>
  <c r="AI63" i="109" s="1"/>
  <c r="AH67" i="109"/>
  <c r="AI67" i="109" s="1"/>
  <c r="AH72" i="109"/>
  <c r="AI72" i="109" s="1"/>
  <c r="AH75" i="109"/>
  <c r="AI75" i="109" s="1"/>
  <c r="AH79" i="109"/>
  <c r="AI79" i="109" s="1"/>
  <c r="AH82" i="109"/>
  <c r="AI82" i="109" s="1"/>
  <c r="AH86" i="109"/>
  <c r="AI86" i="109" s="1"/>
  <c r="AH91" i="109"/>
  <c r="AI91" i="109" s="1"/>
  <c r="AH2" i="109"/>
  <c r="AI2" i="109" s="1"/>
  <c r="AH56" i="109"/>
  <c r="AI56" i="109" s="1"/>
  <c r="AH4" i="109"/>
  <c r="AI4" i="109" s="1"/>
  <c r="AH12" i="109"/>
  <c r="AI12" i="109" s="1"/>
  <c r="AH16" i="109"/>
  <c r="AI16" i="109" s="1"/>
  <c r="AH20" i="109"/>
  <c r="AI20" i="109" s="1"/>
  <c r="AH24" i="109"/>
  <c r="AI24" i="109" s="1"/>
  <c r="AH28" i="109"/>
  <c r="AI28" i="109" s="1"/>
  <c r="AH32" i="109"/>
  <c r="AI32" i="109" s="1"/>
  <c r="AH36" i="109"/>
  <c r="AI36" i="109" s="1"/>
  <c r="AH44" i="109"/>
  <c r="AI44" i="109" s="1"/>
  <c r="AH48" i="109"/>
  <c r="AI48" i="109" s="1"/>
  <c r="AH60" i="109"/>
  <c r="AI60" i="109" s="1"/>
  <c r="AH68" i="109"/>
  <c r="AI68" i="109" s="1"/>
  <c r="AH76" i="109"/>
  <c r="AI76" i="109" s="1"/>
  <c r="AH84" i="109"/>
  <c r="AI84" i="109" s="1"/>
  <c r="AJ34" i="110"/>
  <c r="AK13" i="110"/>
  <c r="AL34" i="110"/>
  <c r="AG95" i="109"/>
  <c r="AF95" i="109"/>
  <c r="AJ11" i="109" s="1"/>
  <c r="AK11" i="109" s="1"/>
  <c r="AI5" i="100"/>
  <c r="AI7" i="100"/>
  <c r="AI95" i="109" l="1"/>
  <c r="AJ52" i="109"/>
  <c r="AK52" i="109" s="1"/>
  <c r="AJ94" i="109"/>
  <c r="AK94" i="109" s="1"/>
  <c r="AJ6" i="109"/>
  <c r="AK6" i="109" s="1"/>
  <c r="AJ85" i="109"/>
  <c r="AK85" i="109" s="1"/>
  <c r="AJ21" i="109"/>
  <c r="AK21" i="109" s="1"/>
  <c r="AJ46" i="109"/>
  <c r="AK46" i="109" s="1"/>
  <c r="AJ63" i="109"/>
  <c r="AK63" i="109" s="1"/>
  <c r="AJ45" i="109"/>
  <c r="AK45" i="109" s="1"/>
  <c r="AJ41" i="109"/>
  <c r="AK41" i="109" s="1"/>
  <c r="AJ51" i="109"/>
  <c r="AK51" i="109" s="1"/>
  <c r="AJ26" i="109"/>
  <c r="AK26" i="109" s="1"/>
  <c r="AJ84" i="109"/>
  <c r="AK84" i="109" s="1"/>
  <c r="AJ77" i="109"/>
  <c r="AK77" i="109" s="1"/>
  <c r="AJ36" i="109"/>
  <c r="AK36" i="109" s="1"/>
  <c r="AJ38" i="109"/>
  <c r="AK38" i="109" s="1"/>
  <c r="AJ13" i="109"/>
  <c r="AK13" i="109" s="1"/>
  <c r="AJ54" i="109"/>
  <c r="AK54" i="109" s="1"/>
  <c r="AJ14" i="109"/>
  <c r="AK14" i="109" s="1"/>
  <c r="AJ28" i="109"/>
  <c r="AK28" i="109" s="1"/>
  <c r="AJ53" i="109"/>
  <c r="AK53" i="109" s="1"/>
  <c r="AJ56" i="109"/>
  <c r="AK56" i="109" s="1"/>
  <c r="AJ90" i="109"/>
  <c r="AK90" i="109" s="1"/>
  <c r="AJ87" i="109"/>
  <c r="AK87" i="109" s="1"/>
  <c r="AJ91" i="109"/>
  <c r="AK91" i="109" s="1"/>
  <c r="AJ30" i="109"/>
  <c r="AK30" i="109" s="1"/>
  <c r="AJ74" i="109"/>
  <c r="AK74" i="109" s="1"/>
  <c r="AJ80" i="109"/>
  <c r="AK80" i="109" s="1"/>
  <c r="AJ68" i="109"/>
  <c r="AK68" i="109" s="1"/>
  <c r="AJ88" i="109"/>
  <c r="AK88" i="109" s="1"/>
  <c r="AJ73" i="109"/>
  <c r="AK73" i="109" s="1"/>
  <c r="AM34" i="110"/>
  <c r="AK34" i="110"/>
  <c r="AI4" i="100"/>
  <c r="AH12" i="100"/>
  <c r="AH95" i="109"/>
  <c r="AJ58" i="109"/>
  <c r="AK58" i="109" s="1"/>
  <c r="AJ24" i="109"/>
  <c r="AK24" i="109" s="1"/>
  <c r="AJ61" i="109"/>
  <c r="AK61" i="109" s="1"/>
  <c r="AJ18" i="109"/>
  <c r="AK18" i="109" s="1"/>
  <c r="AJ78" i="109"/>
  <c r="AK78" i="109" s="1"/>
  <c r="AJ42" i="109"/>
  <c r="AK42" i="109" s="1"/>
  <c r="AJ49" i="109"/>
  <c r="AK49" i="109" s="1"/>
  <c r="AJ59" i="109"/>
  <c r="AK59" i="109" s="1"/>
  <c r="AJ66" i="109"/>
  <c r="AK66" i="109" s="1"/>
  <c r="AJ60" i="109"/>
  <c r="AK60" i="109" s="1"/>
  <c r="AJ2" i="109"/>
  <c r="AK2" i="109" s="1"/>
  <c r="AJ79" i="109"/>
  <c r="AK79" i="109" s="1"/>
  <c r="AJ65" i="109"/>
  <c r="AK65" i="109" s="1"/>
  <c r="AJ3" i="109"/>
  <c r="AK3" i="109" s="1"/>
  <c r="AJ93" i="109"/>
  <c r="AK93" i="109" s="1"/>
  <c r="AJ48" i="109"/>
  <c r="AK48" i="109" s="1"/>
  <c r="AJ47" i="109"/>
  <c r="AK47" i="109" s="1"/>
  <c r="AJ62" i="109"/>
  <c r="AK62" i="109" s="1"/>
  <c r="AJ92" i="109"/>
  <c r="AK92" i="109" s="1"/>
  <c r="AJ67" i="109"/>
  <c r="AK67" i="109" s="1"/>
  <c r="AJ89" i="109"/>
  <c r="AK89" i="109" s="1"/>
  <c r="AJ81" i="109"/>
  <c r="AK81" i="109" s="1"/>
  <c r="AJ40" i="109"/>
  <c r="AK40" i="109" s="1"/>
  <c r="AJ27" i="109"/>
  <c r="AK27" i="109" s="1"/>
  <c r="AJ8" i="109"/>
  <c r="AK8" i="109" s="1"/>
  <c r="AJ16" i="109"/>
  <c r="AK16" i="109" s="1"/>
  <c r="AJ39" i="109"/>
  <c r="AK39" i="109" s="1"/>
  <c r="AJ43" i="109"/>
  <c r="AK43" i="109" s="1"/>
  <c r="AJ19" i="109"/>
  <c r="AK19" i="109" s="1"/>
  <c r="AJ33" i="109"/>
  <c r="AK33" i="109" s="1"/>
  <c r="AJ20" i="109"/>
  <c r="AK20" i="109" s="1"/>
  <c r="AJ25" i="109"/>
  <c r="AK25" i="109" s="1"/>
  <c r="AJ69" i="109"/>
  <c r="AK69" i="109" s="1"/>
  <c r="AJ22" i="109"/>
  <c r="AK22" i="109" s="1"/>
  <c r="AJ34" i="109"/>
  <c r="AK34" i="109" s="1"/>
  <c r="AJ82" i="109"/>
  <c r="AK82" i="109" s="1"/>
  <c r="AJ9" i="109"/>
  <c r="AK9" i="109" s="1"/>
  <c r="AJ23" i="109"/>
  <c r="AK23" i="109" s="1"/>
  <c r="AJ31" i="109"/>
  <c r="AK31" i="109" s="1"/>
  <c r="AJ5" i="109"/>
  <c r="AK5" i="109" s="1"/>
  <c r="AJ57" i="109"/>
  <c r="AK57" i="109" s="1"/>
  <c r="AJ75" i="109"/>
  <c r="AK75" i="109" s="1"/>
  <c r="AJ12" i="109"/>
  <c r="AK12" i="109" s="1"/>
  <c r="AJ35" i="109"/>
  <c r="AK35" i="109" s="1"/>
  <c r="AJ83" i="109"/>
  <c r="AK83" i="109" s="1"/>
  <c r="AJ70" i="109"/>
  <c r="AK70" i="109" s="1"/>
  <c r="AJ44" i="109"/>
  <c r="AK44" i="109" s="1"/>
  <c r="AJ72" i="109"/>
  <c r="AK72" i="109" s="1"/>
  <c r="AJ50" i="109"/>
  <c r="AK50" i="109" s="1"/>
  <c r="AJ32" i="109"/>
  <c r="AK32" i="109" s="1"/>
  <c r="AJ76" i="109"/>
  <c r="AK76" i="109" s="1"/>
  <c r="AJ71" i="109"/>
  <c r="AK71" i="109" s="1"/>
  <c r="AJ55" i="109"/>
  <c r="AK55" i="109" s="1"/>
  <c r="AJ86" i="109"/>
  <c r="AK86" i="109" s="1"/>
  <c r="AJ64" i="109"/>
  <c r="AK64" i="109" s="1"/>
  <c r="AJ7" i="109"/>
  <c r="AK7" i="109" s="1"/>
  <c r="AJ17" i="109"/>
  <c r="AK17" i="109" s="1"/>
  <c r="AJ10" i="109"/>
  <c r="AK10" i="109" s="1"/>
  <c r="AL6" i="109"/>
  <c r="AM6" i="109" s="1"/>
  <c r="AL10" i="109"/>
  <c r="AM10" i="109" s="1"/>
  <c r="AL14" i="109"/>
  <c r="AM14" i="109" s="1"/>
  <c r="AL18" i="109"/>
  <c r="AM18" i="109" s="1"/>
  <c r="AL22" i="109"/>
  <c r="AM22" i="109" s="1"/>
  <c r="AL26" i="109"/>
  <c r="AM26" i="109" s="1"/>
  <c r="AL30" i="109"/>
  <c r="AM30" i="109" s="1"/>
  <c r="AL34" i="109"/>
  <c r="AM34" i="109" s="1"/>
  <c r="AL38" i="109"/>
  <c r="AM38" i="109" s="1"/>
  <c r="AL42" i="109"/>
  <c r="AM42" i="109" s="1"/>
  <c r="AL46" i="109"/>
  <c r="AM46" i="109" s="1"/>
  <c r="AL50" i="109"/>
  <c r="AM50" i="109" s="1"/>
  <c r="AL54" i="109"/>
  <c r="AM54" i="109" s="1"/>
  <c r="AL57" i="109"/>
  <c r="AM57" i="109" s="1"/>
  <c r="AL62" i="109"/>
  <c r="AM62" i="109" s="1"/>
  <c r="AL66" i="109"/>
  <c r="AM66" i="109" s="1"/>
  <c r="AL78" i="109"/>
  <c r="AM78" i="109" s="1"/>
  <c r="AL88" i="109"/>
  <c r="AM88" i="109" s="1"/>
  <c r="AL73" i="109"/>
  <c r="AM73" i="109" s="1"/>
  <c r="AL58" i="109"/>
  <c r="AM58" i="109" s="1"/>
  <c r="AL41" i="109"/>
  <c r="AM41" i="109" s="1"/>
  <c r="AL25" i="109"/>
  <c r="AM25" i="109" s="1"/>
  <c r="AL9" i="109"/>
  <c r="AM9" i="109" s="1"/>
  <c r="AL92" i="109"/>
  <c r="AM92" i="109" s="1"/>
  <c r="AL60" i="109"/>
  <c r="AM60" i="109" s="1"/>
  <c r="AL44" i="109"/>
  <c r="AM44" i="109" s="1"/>
  <c r="AL28" i="109"/>
  <c r="AM28" i="109" s="1"/>
  <c r="AL12" i="109"/>
  <c r="AM12" i="109" s="1"/>
  <c r="AL71" i="109"/>
  <c r="AM71" i="109" s="1"/>
  <c r="AL64" i="109"/>
  <c r="AM64" i="109" s="1"/>
  <c r="AL79" i="109"/>
  <c r="AM79" i="109" s="1"/>
  <c r="AL63" i="109"/>
  <c r="AM63" i="109" s="1"/>
  <c r="AL47" i="109"/>
  <c r="AM47" i="109" s="1"/>
  <c r="AL31" i="109"/>
  <c r="AM31" i="109" s="1"/>
  <c r="AL15" i="109"/>
  <c r="AM15" i="109" s="1"/>
  <c r="AL87" i="109"/>
  <c r="AM87" i="109" s="1"/>
  <c r="AL85" i="109"/>
  <c r="AM85" i="109" s="1"/>
  <c r="AL69" i="109"/>
  <c r="AM69" i="109" s="1"/>
  <c r="AL53" i="109"/>
  <c r="AM53" i="109" s="1"/>
  <c r="AL37" i="109"/>
  <c r="AM37" i="109" s="1"/>
  <c r="AL21" i="109"/>
  <c r="AM21" i="109" s="1"/>
  <c r="AL5" i="109"/>
  <c r="AM5" i="109" s="1"/>
  <c r="AL84" i="109"/>
  <c r="AM84" i="109" s="1"/>
  <c r="AL56" i="109"/>
  <c r="AM56" i="109" s="1"/>
  <c r="AL40" i="109"/>
  <c r="AM40" i="109" s="1"/>
  <c r="AL24" i="109"/>
  <c r="AM24" i="109" s="1"/>
  <c r="AL8" i="109"/>
  <c r="AM8" i="109" s="1"/>
  <c r="AL90" i="109"/>
  <c r="AM90" i="109" s="1"/>
  <c r="AL91" i="109"/>
  <c r="AM91" i="109" s="1"/>
  <c r="AL75" i="109"/>
  <c r="AM75" i="109" s="1"/>
  <c r="AL59" i="109"/>
  <c r="AM59" i="109" s="1"/>
  <c r="AL43" i="109"/>
  <c r="AM43" i="109" s="1"/>
  <c r="AL27" i="109"/>
  <c r="AM27" i="109" s="1"/>
  <c r="AL11" i="109"/>
  <c r="AM11" i="109" s="1"/>
  <c r="AL74" i="109"/>
  <c r="AM74" i="109" s="1"/>
  <c r="AL83" i="109"/>
  <c r="AM83" i="109" s="1"/>
  <c r="AL65" i="109"/>
  <c r="AM65" i="109" s="1"/>
  <c r="AL49" i="109"/>
  <c r="AM49" i="109" s="1"/>
  <c r="AL33" i="109"/>
  <c r="AM33" i="109" s="1"/>
  <c r="AL17" i="109"/>
  <c r="AM17" i="109" s="1"/>
  <c r="AL94" i="109"/>
  <c r="AM94" i="109" s="1"/>
  <c r="AL76" i="109"/>
  <c r="AM76" i="109" s="1"/>
  <c r="AL52" i="109"/>
  <c r="AM52" i="109" s="1"/>
  <c r="AL36" i="109"/>
  <c r="AM36" i="109" s="1"/>
  <c r="AL20" i="109"/>
  <c r="AM20" i="109" s="1"/>
  <c r="AL4" i="109"/>
  <c r="AM4" i="109" s="1"/>
  <c r="AL80" i="109"/>
  <c r="AM80" i="109" s="1"/>
  <c r="AL86" i="109"/>
  <c r="AM86" i="109" s="1"/>
  <c r="AL72" i="109"/>
  <c r="AM72" i="109" s="1"/>
  <c r="AL55" i="109"/>
  <c r="AM55" i="109" s="1"/>
  <c r="AL39" i="109"/>
  <c r="AM39" i="109" s="1"/>
  <c r="AL23" i="109"/>
  <c r="AM23" i="109" s="1"/>
  <c r="AL7" i="109"/>
  <c r="AM7" i="109" s="1"/>
  <c r="AL93" i="109"/>
  <c r="AM93" i="109" s="1"/>
  <c r="AL77" i="109"/>
  <c r="AM77" i="109" s="1"/>
  <c r="AL61" i="109"/>
  <c r="AM61" i="109" s="1"/>
  <c r="AL45" i="109"/>
  <c r="AM45" i="109" s="1"/>
  <c r="AL29" i="109"/>
  <c r="AM29" i="109" s="1"/>
  <c r="AL13" i="109"/>
  <c r="AM13" i="109" s="1"/>
  <c r="AL81" i="109"/>
  <c r="AM81" i="109" s="1"/>
  <c r="AL68" i="109"/>
  <c r="AM68" i="109" s="1"/>
  <c r="AL48" i="109"/>
  <c r="AM48" i="109" s="1"/>
  <c r="AL32" i="109"/>
  <c r="AM32" i="109" s="1"/>
  <c r="AL16" i="109"/>
  <c r="AM16" i="109" s="1"/>
  <c r="AL89" i="109"/>
  <c r="AM89" i="109" s="1"/>
  <c r="AL70" i="109"/>
  <c r="AM70" i="109" s="1"/>
  <c r="AL82" i="109"/>
  <c r="AM82" i="109" s="1"/>
  <c r="AL67" i="109"/>
  <c r="AM67" i="109" s="1"/>
  <c r="AL51" i="109"/>
  <c r="AM51" i="109" s="1"/>
  <c r="AL35" i="109"/>
  <c r="AM35" i="109" s="1"/>
  <c r="AL19" i="109"/>
  <c r="AM19" i="109" s="1"/>
  <c r="AL3" i="109"/>
  <c r="AM3" i="109" s="1"/>
  <c r="AL2" i="109"/>
  <c r="AM2" i="109" s="1"/>
  <c r="AJ29" i="109"/>
  <c r="AK29" i="109" s="1"/>
  <c r="AJ37" i="109"/>
  <c r="AK37" i="109" s="1"/>
  <c r="AJ15" i="109"/>
  <c r="AK15" i="109" s="1"/>
  <c r="AJ4" i="109"/>
  <c r="AK4" i="109" s="1"/>
  <c r="AJ95" i="109"/>
  <c r="AF2" i="108"/>
  <c r="AF4" i="108"/>
  <c r="AF5" i="108"/>
  <c r="AF7" i="108"/>
  <c r="AF6" i="108"/>
  <c r="AF8" i="108"/>
  <c r="AF13" i="108"/>
  <c r="AF3" i="108"/>
  <c r="AF9" i="108"/>
  <c r="AF16" i="108"/>
  <c r="AF14" i="108"/>
  <c r="AF10" i="108"/>
  <c r="AF23" i="108"/>
  <c r="AF12" i="108"/>
  <c r="AF15" i="108"/>
  <c r="AF17" i="108"/>
  <c r="AF75" i="108"/>
  <c r="AF30" i="108"/>
  <c r="AF25" i="108"/>
  <c r="AF24" i="108"/>
  <c r="AF19" i="108"/>
  <c r="AF21" i="108"/>
  <c r="AF45" i="108"/>
  <c r="AF27" i="108"/>
  <c r="AF22" i="108"/>
  <c r="AF31" i="108"/>
  <c r="AF41" i="108"/>
  <c r="AF29" i="108"/>
  <c r="AF143" i="108"/>
  <c r="AF37" i="108"/>
  <c r="AF72" i="108"/>
  <c r="AF61" i="108"/>
  <c r="AF64" i="108"/>
  <c r="AF96" i="108"/>
  <c r="AF43" i="108"/>
  <c r="AF63" i="108"/>
  <c r="AF52" i="108"/>
  <c r="AF32" i="108"/>
  <c r="AF26" i="108"/>
  <c r="AF18" i="108"/>
  <c r="AF28" i="108"/>
  <c r="AF71" i="108"/>
  <c r="AF33" i="108"/>
  <c r="AF60" i="108"/>
  <c r="AF69" i="108"/>
  <c r="AF87" i="108"/>
  <c r="AF49" i="108"/>
  <c r="AF51" i="108"/>
  <c r="AF58" i="108"/>
  <c r="AF53" i="108"/>
  <c r="AF124" i="108"/>
  <c r="AF81" i="108"/>
  <c r="AF149" i="108"/>
  <c r="AF76" i="108"/>
  <c r="AF80" i="108"/>
  <c r="AF88" i="108"/>
  <c r="AF95" i="108"/>
  <c r="AF20" i="108"/>
  <c r="AF70" i="108"/>
  <c r="AF97" i="108"/>
  <c r="AF145" i="108"/>
  <c r="AF56" i="108"/>
  <c r="AF47" i="108"/>
  <c r="AF109" i="108"/>
  <c r="AF40" i="108"/>
  <c r="AF132" i="108"/>
  <c r="AF83" i="108"/>
  <c r="AF36" i="108"/>
  <c r="AF91" i="108"/>
  <c r="AF89" i="108"/>
  <c r="AF48" i="108"/>
  <c r="AF39" i="108"/>
  <c r="AF44" i="108"/>
  <c r="AF67" i="108"/>
  <c r="AF108" i="108"/>
  <c r="AF162" i="108"/>
  <c r="AF90" i="108"/>
  <c r="AF112" i="108"/>
  <c r="AF54" i="108"/>
  <c r="AF68" i="108"/>
  <c r="AF84" i="108"/>
  <c r="AF42" i="108"/>
  <c r="AF11" i="108"/>
  <c r="AF114" i="108"/>
  <c r="AF126" i="108"/>
  <c r="AF150" i="108"/>
  <c r="AF116" i="108"/>
  <c r="AF46" i="108"/>
  <c r="AF130" i="108"/>
  <c r="AF147" i="108"/>
  <c r="AF35" i="108"/>
  <c r="AF34" i="108"/>
  <c r="AF82" i="108"/>
  <c r="AF102" i="108"/>
  <c r="AF134" i="108"/>
  <c r="AF110" i="108"/>
  <c r="AF104" i="108"/>
  <c r="AF121" i="108"/>
  <c r="AF92" i="108"/>
  <c r="AF111" i="108"/>
  <c r="AF117" i="108"/>
  <c r="AF66" i="108"/>
  <c r="AF59" i="108"/>
  <c r="AF127" i="108"/>
  <c r="AF106" i="108"/>
  <c r="AF74" i="108"/>
  <c r="AF105" i="108"/>
  <c r="AF140" i="108"/>
  <c r="AF119" i="108"/>
  <c r="AF157" i="108"/>
  <c r="AF146" i="108"/>
  <c r="AF153" i="108"/>
  <c r="AF136" i="108"/>
  <c r="AF85" i="108"/>
  <c r="AF135" i="108"/>
  <c r="AF141" i="108"/>
  <c r="AF144" i="108"/>
  <c r="AF62" i="108"/>
  <c r="AF57" i="108"/>
  <c r="AF50" i="108"/>
  <c r="AF133" i="108"/>
  <c r="AF128" i="108"/>
  <c r="AF78" i="108"/>
  <c r="AF159" i="108"/>
  <c r="AF73" i="108"/>
  <c r="AF55" i="108"/>
  <c r="AF156" i="108"/>
  <c r="AF107" i="108"/>
  <c r="AF166" i="108"/>
  <c r="AF169" i="108"/>
  <c r="AF138" i="108"/>
  <c r="AF77" i="108"/>
  <c r="AF142" i="108"/>
  <c r="AF94" i="108"/>
  <c r="AF98" i="108"/>
  <c r="AF160" i="108"/>
  <c r="AF163" i="108"/>
  <c r="AF176" i="108"/>
  <c r="AF125" i="108"/>
  <c r="AF99" i="108"/>
  <c r="AF38" i="108"/>
  <c r="AF155" i="108"/>
  <c r="AF65" i="108"/>
  <c r="AF167" i="108"/>
  <c r="AF100" i="108"/>
  <c r="AF122" i="108"/>
  <c r="AF161" i="108"/>
  <c r="AF118" i="108"/>
  <c r="AF139" i="108"/>
  <c r="AF120" i="108"/>
  <c r="AF101" i="108"/>
  <c r="AF158" i="108"/>
  <c r="AF165" i="108"/>
  <c r="AF152" i="108"/>
  <c r="AF170" i="108"/>
  <c r="AF148" i="108"/>
  <c r="AF137" i="108"/>
  <c r="AF123" i="108"/>
  <c r="AF151" i="108"/>
  <c r="AF172" i="108"/>
  <c r="AF173" i="108"/>
  <c r="AF154" i="108"/>
  <c r="AF177" i="108"/>
  <c r="AF129" i="108"/>
  <c r="AF79" i="108"/>
  <c r="AF175" i="108"/>
  <c r="AF131" i="108"/>
  <c r="AF171" i="108"/>
  <c r="AF113" i="108"/>
  <c r="AF178" i="108"/>
  <c r="AF86" i="108"/>
  <c r="AF93" i="108"/>
  <c r="AF164" i="108"/>
  <c r="AF115" i="108"/>
  <c r="AF168" i="108"/>
  <c r="AF103" i="108"/>
  <c r="AF174" i="108"/>
  <c r="AL95" i="109" l="1"/>
  <c r="AM95" i="109"/>
  <c r="AK95" i="109"/>
  <c r="AF179" i="108"/>
  <c r="AG179" i="108"/>
  <c r="AI5" i="94"/>
  <c r="AI4" i="94"/>
  <c r="AI24" i="94"/>
  <c r="AI15" i="94"/>
  <c r="AI6" i="94"/>
  <c r="AI14" i="94"/>
  <c r="AI19" i="94"/>
  <c r="AI9" i="94"/>
  <c r="AI3" i="94"/>
  <c r="AI13" i="94"/>
  <c r="AI7" i="94"/>
  <c r="AI21" i="94"/>
  <c r="AI39" i="94"/>
  <c r="AI16" i="94"/>
  <c r="AI23" i="94"/>
  <c r="AI47" i="94"/>
  <c r="AI8" i="94"/>
  <c r="AI17" i="94"/>
  <c r="AI10" i="94"/>
  <c r="AI32" i="94"/>
  <c r="AI11" i="94"/>
  <c r="AI33" i="94"/>
  <c r="AI26" i="94"/>
  <c r="AI29" i="94"/>
  <c r="AI41" i="94"/>
  <c r="AI30" i="94"/>
  <c r="AI42" i="94"/>
  <c r="AI18" i="94"/>
  <c r="AI35" i="94"/>
  <c r="AI67" i="94"/>
  <c r="AI28" i="94"/>
  <c r="AI38" i="94"/>
  <c r="AI12" i="94"/>
  <c r="AI53" i="94"/>
  <c r="AI56" i="94"/>
  <c r="AI54" i="94"/>
  <c r="AI40" i="94"/>
  <c r="AI48" i="94"/>
  <c r="AI45" i="94"/>
  <c r="AI51" i="94"/>
  <c r="AI37" i="94"/>
  <c r="AI20" i="94"/>
  <c r="AI36" i="94"/>
  <c r="AI43" i="94"/>
  <c r="AI46" i="94"/>
  <c r="AI22" i="94"/>
  <c r="AI57" i="94"/>
  <c r="AI27" i="94"/>
  <c r="AI52" i="94"/>
  <c r="AI44" i="94"/>
  <c r="AI60" i="94"/>
  <c r="AI34" i="94"/>
  <c r="AI49" i="94"/>
  <c r="AI85" i="94"/>
  <c r="AI74" i="94"/>
  <c r="AI66" i="94"/>
  <c r="AI79" i="94"/>
  <c r="AI58" i="94"/>
  <c r="AI55" i="94"/>
  <c r="AI25" i="94"/>
  <c r="AI72" i="94"/>
  <c r="AI62" i="94"/>
  <c r="AI50" i="94"/>
  <c r="AI75" i="94"/>
  <c r="AI76" i="94"/>
  <c r="AI71" i="94"/>
  <c r="AI31" i="94"/>
  <c r="AI80" i="94"/>
  <c r="AI73" i="94"/>
  <c r="AI83" i="94"/>
  <c r="AI65" i="94"/>
  <c r="AI59" i="94"/>
  <c r="AI90" i="94"/>
  <c r="AI82" i="94"/>
  <c r="AI63" i="94"/>
  <c r="AI78" i="94"/>
  <c r="AI70" i="94"/>
  <c r="AI61" i="94"/>
  <c r="AI84" i="94"/>
  <c r="AI87" i="94"/>
  <c r="AI68" i="94"/>
  <c r="AI86" i="94"/>
  <c r="AI88" i="94"/>
  <c r="AI77" i="94"/>
  <c r="AI64" i="94"/>
  <c r="AI69" i="94"/>
  <c r="AI89" i="94"/>
  <c r="AI81" i="94"/>
  <c r="AI91" i="94"/>
  <c r="AH4" i="97"/>
  <c r="AI3" i="97"/>
  <c r="AI2" i="103"/>
  <c r="AI6" i="103" s="1"/>
  <c r="AI3" i="103"/>
  <c r="AI4" i="103"/>
  <c r="AI5" i="103"/>
  <c r="AH7" i="98"/>
  <c r="AI2" i="98"/>
  <c r="AI4" i="98"/>
  <c r="AI5" i="98"/>
  <c r="AI6" i="98"/>
  <c r="AI2" i="97" l="1"/>
  <c r="AI4" i="97" s="1"/>
  <c r="AH6" i="103"/>
  <c r="AI3" i="98"/>
  <c r="AI7" i="98" s="1"/>
  <c r="AH92" i="94"/>
  <c r="AI2" i="94"/>
  <c r="AI92" i="94" s="1"/>
  <c r="AI3" i="99"/>
  <c r="AI5" i="99"/>
  <c r="AI4" i="99"/>
  <c r="AI8" i="99"/>
  <c r="AI7" i="99"/>
  <c r="AI21" i="99"/>
  <c r="AI6" i="99"/>
  <c r="AI51" i="99"/>
  <c r="AI29" i="99"/>
  <c r="AI17" i="99"/>
  <c r="AI15" i="99"/>
  <c r="AI9" i="99"/>
  <c r="AI33" i="99"/>
  <c r="AI13" i="99"/>
  <c r="AI26" i="99"/>
  <c r="AI24" i="99"/>
  <c r="AI76" i="99"/>
  <c r="AI23" i="99"/>
  <c r="AI48" i="99"/>
  <c r="AI60" i="99"/>
  <c r="AI55" i="99"/>
  <c r="AI36" i="99"/>
  <c r="AI49" i="99"/>
  <c r="AI12" i="99"/>
  <c r="AI22" i="99"/>
  <c r="AI40" i="99"/>
  <c r="AI58" i="99"/>
  <c r="AI41" i="99"/>
  <c r="AI38" i="99"/>
  <c r="AI45" i="99"/>
  <c r="AI68" i="99"/>
  <c r="AI30" i="99"/>
  <c r="AI43" i="99"/>
  <c r="AI39" i="99"/>
  <c r="AI92" i="99"/>
  <c r="AI67" i="99"/>
  <c r="AI69" i="99"/>
  <c r="AI35" i="99"/>
  <c r="AI78" i="99"/>
  <c r="AI64" i="99"/>
  <c r="AI65" i="99"/>
  <c r="AI53" i="99"/>
  <c r="AI84" i="99"/>
  <c r="AI10" i="99"/>
  <c r="AI27" i="99"/>
  <c r="AI96" i="99"/>
  <c r="AI61" i="99"/>
  <c r="AI25" i="99"/>
  <c r="AI104" i="99"/>
  <c r="AI86" i="99"/>
  <c r="AI66" i="99"/>
  <c r="AI79" i="99"/>
  <c r="AI62" i="99"/>
  <c r="AI77" i="99"/>
  <c r="AI50" i="99"/>
  <c r="AI75" i="99"/>
  <c r="AI71" i="99"/>
  <c r="AI90" i="99"/>
  <c r="AI16" i="99"/>
  <c r="AI34" i="99"/>
  <c r="AI56" i="99"/>
  <c r="AI18" i="99"/>
  <c r="AI32" i="99"/>
  <c r="AI20" i="99"/>
  <c r="AI57" i="99"/>
  <c r="AI44" i="99"/>
  <c r="AI89" i="99"/>
  <c r="AI85" i="99"/>
  <c r="AI82" i="99"/>
  <c r="AI52" i="99"/>
  <c r="AI14" i="99"/>
  <c r="AI74" i="99"/>
  <c r="AI63" i="99"/>
  <c r="AI54" i="99"/>
  <c r="AI81" i="99"/>
  <c r="AI42" i="99"/>
  <c r="AI59" i="99"/>
  <c r="AI88" i="99"/>
  <c r="AI31" i="99"/>
  <c r="AI93" i="99"/>
  <c r="AI95" i="99"/>
  <c r="AI100" i="99"/>
  <c r="AI73" i="99"/>
  <c r="AI37" i="99"/>
  <c r="AI72" i="99"/>
  <c r="AI105" i="99"/>
  <c r="AI103" i="99"/>
  <c r="AI19" i="99"/>
  <c r="AI83" i="99"/>
  <c r="AI11" i="99"/>
  <c r="AI47" i="99"/>
  <c r="AI80" i="99"/>
  <c r="AI97" i="99"/>
  <c r="AI94" i="99"/>
  <c r="AI91" i="99"/>
  <c r="AI46" i="99"/>
  <c r="AI101" i="99"/>
  <c r="AI99" i="99"/>
  <c r="AI70" i="99"/>
  <c r="AI98" i="99"/>
  <c r="AI87" i="99"/>
  <c r="AI102" i="99"/>
  <c r="AH106" i="99" l="1"/>
  <c r="AI2" i="99"/>
  <c r="AI106" i="99" s="1"/>
  <c r="AL12" i="100" l="1"/>
  <c r="AM5" i="100"/>
  <c r="AM7" i="100"/>
  <c r="AF4" i="100"/>
  <c r="AF5" i="100"/>
  <c r="AF7" i="100"/>
  <c r="AF12" i="100" l="1"/>
  <c r="AM4" i="100"/>
  <c r="AF2" i="104"/>
  <c r="AF5" i="104"/>
  <c r="AF2" i="105"/>
  <c r="AF9" i="105"/>
  <c r="AI2" i="106"/>
  <c r="AI15" i="106" s="1"/>
  <c r="AF2" i="106"/>
  <c r="AI3" i="107"/>
  <c r="AI5" i="107"/>
  <c r="AI4" i="107"/>
  <c r="AI9" i="107"/>
  <c r="AI7" i="107"/>
  <c r="AI12" i="107"/>
  <c r="AI8" i="107"/>
  <c r="AI14" i="107"/>
  <c r="AI6" i="107"/>
  <c r="AI10" i="107"/>
  <c r="AI11" i="107"/>
  <c r="AI13" i="107"/>
  <c r="AI16" i="107"/>
  <c r="AI15" i="107"/>
  <c r="AF2" i="107"/>
  <c r="AF3" i="107"/>
  <c r="AF5" i="107"/>
  <c r="AF4" i="107"/>
  <c r="AF9" i="107"/>
  <c r="AF7" i="107"/>
  <c r="AF12" i="107"/>
  <c r="AF8" i="107"/>
  <c r="AF14" i="107"/>
  <c r="AF6" i="107"/>
  <c r="AF10" i="107"/>
  <c r="AF11" i="107"/>
  <c r="AF13" i="107"/>
  <c r="AF16" i="107"/>
  <c r="AF15" i="107"/>
  <c r="AI4" i="7"/>
  <c r="AI7" i="7"/>
  <c r="AI5" i="7"/>
  <c r="AI6" i="7"/>
  <c r="AI9" i="7"/>
  <c r="AI3" i="7"/>
  <c r="AI13" i="7"/>
  <c r="AI15" i="7"/>
  <c r="AI14" i="7"/>
  <c r="AI17" i="7"/>
  <c r="AI11" i="7"/>
  <c r="AI23" i="7"/>
  <c r="AI8" i="7"/>
  <c r="AI16" i="7"/>
  <c r="AI18" i="7"/>
  <c r="AI31" i="7"/>
  <c r="AI48" i="7"/>
  <c r="AI27" i="7"/>
  <c r="AI30" i="7"/>
  <c r="AI32" i="7"/>
  <c r="AI20" i="7"/>
  <c r="AI21" i="7"/>
  <c r="AI26" i="7"/>
  <c r="AI35" i="7"/>
  <c r="AI19" i="7"/>
  <c r="AI29" i="7"/>
  <c r="AI25" i="7"/>
  <c r="AI57" i="7"/>
  <c r="AI24" i="7"/>
  <c r="AI33" i="7"/>
  <c r="AI34" i="7"/>
  <c r="AI43" i="7"/>
  <c r="AI22" i="7"/>
  <c r="AI38" i="7"/>
  <c r="AI28" i="7"/>
  <c r="AI40" i="7"/>
  <c r="AI41" i="7"/>
  <c r="AI45" i="7"/>
  <c r="AI46" i="7"/>
  <c r="AI36" i="7"/>
  <c r="AI47" i="7"/>
  <c r="AI49" i="7"/>
  <c r="AI51" i="7"/>
  <c r="AI2" i="7"/>
  <c r="AI53" i="7"/>
  <c r="AI55" i="7"/>
  <c r="AI37" i="7"/>
  <c r="AI50" i="7"/>
  <c r="AI44" i="7"/>
  <c r="AI56" i="7"/>
  <c r="AI12" i="7"/>
  <c r="AI58" i="7"/>
  <c r="AI52" i="7"/>
  <c r="AI39" i="7"/>
  <c r="AI42" i="7"/>
  <c r="AI54" i="7"/>
  <c r="AF4" i="7"/>
  <c r="AF10" i="7"/>
  <c r="AF7" i="7"/>
  <c r="AF5" i="7"/>
  <c r="AF6" i="7"/>
  <c r="AF9" i="7"/>
  <c r="AF3" i="7"/>
  <c r="AF13" i="7"/>
  <c r="AF15" i="7"/>
  <c r="AF14" i="7"/>
  <c r="AF17" i="7"/>
  <c r="AF11" i="7"/>
  <c r="AF23" i="7"/>
  <c r="AF8" i="7"/>
  <c r="AF16" i="7"/>
  <c r="AF18" i="7"/>
  <c r="AF31" i="7"/>
  <c r="AF48" i="7"/>
  <c r="AF27" i="7"/>
  <c r="AF30" i="7"/>
  <c r="AF32" i="7"/>
  <c r="AF20" i="7"/>
  <c r="AF21" i="7"/>
  <c r="AF26" i="7"/>
  <c r="AF35" i="7"/>
  <c r="AF19" i="7"/>
  <c r="AF29" i="7"/>
  <c r="AF25" i="7"/>
  <c r="AF57" i="7"/>
  <c r="AF24" i="7"/>
  <c r="AF33" i="7"/>
  <c r="AF34" i="7"/>
  <c r="AF43" i="7"/>
  <c r="AF22" i="7"/>
  <c r="AF38" i="7"/>
  <c r="AF28" i="7"/>
  <c r="AF40" i="7"/>
  <c r="AF41" i="7"/>
  <c r="AF45" i="7"/>
  <c r="AF46" i="7"/>
  <c r="AF36" i="7"/>
  <c r="AF47" i="7"/>
  <c r="AF49" i="7"/>
  <c r="AF51" i="7"/>
  <c r="AF2" i="7"/>
  <c r="AF53" i="7"/>
  <c r="AF55" i="7"/>
  <c r="AF37" i="7"/>
  <c r="AF50" i="7"/>
  <c r="AF44" i="7"/>
  <c r="AF56" i="7"/>
  <c r="AF12" i="7"/>
  <c r="AF58" i="7"/>
  <c r="AF52" i="7"/>
  <c r="AF39" i="7"/>
  <c r="AF42" i="7"/>
  <c r="AF54" i="7"/>
  <c r="AJ3" i="100" l="1"/>
  <c r="AK3" i="100" s="1"/>
  <c r="AJ11" i="100"/>
  <c r="AK11" i="100" s="1"/>
  <c r="AJ10" i="100"/>
  <c r="AK10" i="100" s="1"/>
  <c r="AJ2" i="100"/>
  <c r="AJ9" i="100"/>
  <c r="AK9" i="100" s="1"/>
  <c r="AJ8" i="100"/>
  <c r="AK8" i="100" s="1"/>
  <c r="AJ6" i="100"/>
  <c r="AK6" i="100" s="1"/>
  <c r="AJ5" i="100"/>
  <c r="AK5" i="100" s="1"/>
  <c r="AJ7" i="100"/>
  <c r="AK7" i="100" s="1"/>
  <c r="AJ4" i="100"/>
  <c r="AK4" i="100" s="1"/>
  <c r="AF6" i="104"/>
  <c r="AF12" i="105"/>
  <c r="AJ2" i="105" s="1"/>
  <c r="AF15" i="106"/>
  <c r="AJ2" i="106" s="1"/>
  <c r="AL15" i="106"/>
  <c r="AF17" i="107"/>
  <c r="AJ11" i="107" s="1"/>
  <c r="AK11" i="107" s="1"/>
  <c r="AG17" i="107"/>
  <c r="AH17" i="107"/>
  <c r="AI2" i="107"/>
  <c r="AI17" i="107" s="1"/>
  <c r="AF59" i="7"/>
  <c r="AJ54" i="7" s="1"/>
  <c r="AK54" i="7" s="1"/>
  <c r="AH59" i="7"/>
  <c r="AI10" i="7"/>
  <c r="AI59" i="7" s="1"/>
  <c r="AG59" i="7"/>
  <c r="AK2" i="100" l="1"/>
  <c r="AJ12" i="100"/>
  <c r="AJ3" i="104"/>
  <c r="AK3" i="104" s="1"/>
  <c r="AJ4" i="104"/>
  <c r="AK4" i="104" s="1"/>
  <c r="AJ2" i="104"/>
  <c r="AJ5" i="104"/>
  <c r="AK5" i="104" s="1"/>
  <c r="AK2" i="105"/>
  <c r="AJ5" i="105"/>
  <c r="AK5" i="105" s="1"/>
  <c r="AJ6" i="105"/>
  <c r="AK6" i="105" s="1"/>
  <c r="AJ11" i="105"/>
  <c r="AK11" i="105" s="1"/>
  <c r="AJ4" i="105"/>
  <c r="AK4" i="105" s="1"/>
  <c r="AJ7" i="105"/>
  <c r="AK7" i="105" s="1"/>
  <c r="AJ3" i="105"/>
  <c r="AK3" i="105" s="1"/>
  <c r="AJ10" i="105"/>
  <c r="AK10" i="105" s="1"/>
  <c r="AJ8" i="105"/>
  <c r="AK8" i="105" s="1"/>
  <c r="AJ9" i="105"/>
  <c r="AK9" i="105" s="1"/>
  <c r="AJ6" i="7"/>
  <c r="AK6" i="7" s="1"/>
  <c r="AJ36" i="7"/>
  <c r="AK36" i="7" s="1"/>
  <c r="AJ31" i="7"/>
  <c r="AK31" i="7" s="1"/>
  <c r="AJ50" i="7"/>
  <c r="AK50" i="7" s="1"/>
  <c r="AJ35" i="7"/>
  <c r="AK35" i="7" s="1"/>
  <c r="AJ10" i="7"/>
  <c r="AJ43" i="7"/>
  <c r="AK43" i="7" s="1"/>
  <c r="AK2" i="106"/>
  <c r="AJ7" i="106"/>
  <c r="AK7" i="106" s="1"/>
  <c r="AJ11" i="106"/>
  <c r="AK11" i="106" s="1"/>
  <c r="AJ9" i="106"/>
  <c r="AK9" i="106" s="1"/>
  <c r="AJ8" i="106"/>
  <c r="AK8" i="106" s="1"/>
  <c r="AJ5" i="106"/>
  <c r="AK5" i="106" s="1"/>
  <c r="AJ6" i="106"/>
  <c r="AK6" i="106" s="1"/>
  <c r="AJ10" i="106"/>
  <c r="AK10" i="106" s="1"/>
  <c r="AJ12" i="106"/>
  <c r="AK12" i="106" s="1"/>
  <c r="AJ3" i="106"/>
  <c r="AK3" i="106" s="1"/>
  <c r="AJ13" i="106"/>
  <c r="AK13" i="106" s="1"/>
  <c r="AJ14" i="106"/>
  <c r="AK14" i="106" s="1"/>
  <c r="AJ4" i="106"/>
  <c r="AK4" i="106" s="1"/>
  <c r="AJ14" i="107"/>
  <c r="AK14" i="107" s="1"/>
  <c r="AJ3" i="107"/>
  <c r="AK3" i="107" s="1"/>
  <c r="AJ6" i="107"/>
  <c r="AK6" i="107" s="1"/>
  <c r="AJ5" i="107"/>
  <c r="AK5" i="107" s="1"/>
  <c r="AJ10" i="107"/>
  <c r="AK10" i="107" s="1"/>
  <c r="AJ8" i="107"/>
  <c r="AK8" i="107" s="1"/>
  <c r="AJ2" i="107"/>
  <c r="AK2" i="107" s="1"/>
  <c r="AL2" i="107"/>
  <c r="AL15" i="107"/>
  <c r="AM15" i="107" s="1"/>
  <c r="AL16" i="107"/>
  <c r="AM16" i="107" s="1"/>
  <c r="AL14" i="107"/>
  <c r="AM14" i="107" s="1"/>
  <c r="AL13" i="107"/>
  <c r="AM13" i="107" s="1"/>
  <c r="AL12" i="107"/>
  <c r="AM12" i="107" s="1"/>
  <c r="AL11" i="107"/>
  <c r="AM11" i="107" s="1"/>
  <c r="AL10" i="107"/>
  <c r="AM10" i="107" s="1"/>
  <c r="AL9" i="107"/>
  <c r="AM9" i="107" s="1"/>
  <c r="AL8" i="107"/>
  <c r="AM8" i="107" s="1"/>
  <c r="AL7" i="107"/>
  <c r="AM7" i="107" s="1"/>
  <c r="AL6" i="107"/>
  <c r="AM6" i="107" s="1"/>
  <c r="AL5" i="107"/>
  <c r="AM5" i="107" s="1"/>
  <c r="AL4" i="107"/>
  <c r="AM4" i="107" s="1"/>
  <c r="AL3" i="107"/>
  <c r="AM3" i="107" s="1"/>
  <c r="AJ9" i="107"/>
  <c r="AK9" i="107" s="1"/>
  <c r="AJ13" i="107"/>
  <c r="AK13" i="107" s="1"/>
  <c r="AJ7" i="107"/>
  <c r="AK7" i="107" s="1"/>
  <c r="AJ16" i="107"/>
  <c r="AK16" i="107" s="1"/>
  <c r="AJ12" i="107"/>
  <c r="AK12" i="107" s="1"/>
  <c r="AJ15" i="107"/>
  <c r="AK15" i="107" s="1"/>
  <c r="AJ4" i="107"/>
  <c r="AK4" i="107" s="1"/>
  <c r="AL58" i="7"/>
  <c r="AM58" i="7" s="1"/>
  <c r="AL42" i="7"/>
  <c r="AM42" i="7" s="1"/>
  <c r="AL26" i="7"/>
  <c r="AM26" i="7" s="1"/>
  <c r="AL10" i="7"/>
  <c r="AM10" i="7" s="1"/>
  <c r="AL49" i="7"/>
  <c r="AM49" i="7" s="1"/>
  <c r="AL33" i="7"/>
  <c r="AM33" i="7" s="1"/>
  <c r="AL17" i="7"/>
  <c r="AM17" i="7" s="1"/>
  <c r="AL56" i="7"/>
  <c r="AM56" i="7" s="1"/>
  <c r="AL40" i="7"/>
  <c r="AM40" i="7" s="1"/>
  <c r="AL24" i="7"/>
  <c r="AM24" i="7" s="1"/>
  <c r="AL8" i="7"/>
  <c r="AM8" i="7" s="1"/>
  <c r="AL51" i="7"/>
  <c r="AM51" i="7" s="1"/>
  <c r="AL35" i="7"/>
  <c r="AM35" i="7" s="1"/>
  <c r="AL19" i="7"/>
  <c r="AM19" i="7" s="1"/>
  <c r="AL3" i="7"/>
  <c r="AM3" i="7" s="1"/>
  <c r="AL54" i="7"/>
  <c r="AM54" i="7" s="1"/>
  <c r="AL38" i="7"/>
  <c r="AM38" i="7" s="1"/>
  <c r="AL22" i="7"/>
  <c r="AM22" i="7" s="1"/>
  <c r="AL6" i="7"/>
  <c r="AM6" i="7" s="1"/>
  <c r="AL45" i="7"/>
  <c r="AM45" i="7" s="1"/>
  <c r="AL29" i="7"/>
  <c r="AM29" i="7" s="1"/>
  <c r="AL13" i="7"/>
  <c r="AM13" i="7" s="1"/>
  <c r="AL52" i="7"/>
  <c r="AM52" i="7" s="1"/>
  <c r="AL36" i="7"/>
  <c r="AM36" i="7" s="1"/>
  <c r="AL20" i="7"/>
  <c r="AM20" i="7" s="1"/>
  <c r="AL4" i="7"/>
  <c r="AM4" i="7" s="1"/>
  <c r="AL47" i="7"/>
  <c r="AM47" i="7" s="1"/>
  <c r="AL31" i="7"/>
  <c r="AM31" i="7" s="1"/>
  <c r="AL15" i="7"/>
  <c r="AM15" i="7" s="1"/>
  <c r="AL50" i="7"/>
  <c r="AM50" i="7" s="1"/>
  <c r="AL34" i="7"/>
  <c r="AM34" i="7" s="1"/>
  <c r="AL18" i="7"/>
  <c r="AM18" i="7" s="1"/>
  <c r="AL57" i="7"/>
  <c r="AM57" i="7" s="1"/>
  <c r="AL41" i="7"/>
  <c r="AM41" i="7" s="1"/>
  <c r="AL25" i="7"/>
  <c r="AM25" i="7" s="1"/>
  <c r="AL9" i="7"/>
  <c r="AM9" i="7" s="1"/>
  <c r="AL48" i="7"/>
  <c r="AM48" i="7" s="1"/>
  <c r="AL32" i="7"/>
  <c r="AM32" i="7" s="1"/>
  <c r="AL16" i="7"/>
  <c r="AM16" i="7" s="1"/>
  <c r="AL2" i="7"/>
  <c r="AL43" i="7"/>
  <c r="AM43" i="7" s="1"/>
  <c r="AL27" i="7"/>
  <c r="AM27" i="7" s="1"/>
  <c r="AL11" i="7"/>
  <c r="AM11" i="7" s="1"/>
  <c r="AL46" i="7"/>
  <c r="AM46" i="7" s="1"/>
  <c r="AL30" i="7"/>
  <c r="AM30" i="7" s="1"/>
  <c r="AL14" i="7"/>
  <c r="AM14" i="7" s="1"/>
  <c r="AL53" i="7"/>
  <c r="AM53" i="7" s="1"/>
  <c r="AL37" i="7"/>
  <c r="AM37" i="7" s="1"/>
  <c r="AL21" i="7"/>
  <c r="AM21" i="7" s="1"/>
  <c r="AL5" i="7"/>
  <c r="AM5" i="7" s="1"/>
  <c r="AL44" i="7"/>
  <c r="AM44" i="7" s="1"/>
  <c r="AL28" i="7"/>
  <c r="AM28" i="7" s="1"/>
  <c r="AL12" i="7"/>
  <c r="AM12" i="7" s="1"/>
  <c r="AL55" i="7"/>
  <c r="AM55" i="7" s="1"/>
  <c r="AL39" i="7"/>
  <c r="AM39" i="7" s="1"/>
  <c r="AL23" i="7"/>
  <c r="AM23" i="7" s="1"/>
  <c r="AL7" i="7"/>
  <c r="AM7" i="7" s="1"/>
  <c r="AJ9" i="7"/>
  <c r="AK9" i="7" s="1"/>
  <c r="AJ8" i="7"/>
  <c r="AK8" i="7" s="1"/>
  <c r="AJ20" i="7"/>
  <c r="AK20" i="7" s="1"/>
  <c r="AJ24" i="7"/>
  <c r="AK24" i="7" s="1"/>
  <c r="AJ41" i="7"/>
  <c r="AK41" i="7" s="1"/>
  <c r="AJ53" i="7"/>
  <c r="AK53" i="7" s="1"/>
  <c r="AJ52" i="7"/>
  <c r="AK52" i="7" s="1"/>
  <c r="AJ17" i="7"/>
  <c r="AK17" i="7" s="1"/>
  <c r="AJ29" i="7"/>
  <c r="AK29" i="7" s="1"/>
  <c r="AJ49" i="7"/>
  <c r="AK49" i="7" s="1"/>
  <c r="AJ39" i="7"/>
  <c r="AK39" i="7" s="1"/>
  <c r="AJ16" i="7"/>
  <c r="AK16" i="7" s="1"/>
  <c r="AJ33" i="7"/>
  <c r="AK33" i="7" s="1"/>
  <c r="AJ55" i="7"/>
  <c r="AK55" i="7" s="1"/>
  <c r="AJ13" i="7"/>
  <c r="AK13" i="7" s="1"/>
  <c r="AJ18" i="7"/>
  <c r="AK18" i="7" s="1"/>
  <c r="AJ26" i="7"/>
  <c r="AK26" i="7" s="1"/>
  <c r="AJ34" i="7"/>
  <c r="AK34" i="7" s="1"/>
  <c r="AJ46" i="7"/>
  <c r="AK46" i="7" s="1"/>
  <c r="AJ37" i="7"/>
  <c r="AK37" i="7" s="1"/>
  <c r="AJ42" i="7"/>
  <c r="AK42" i="7" s="1"/>
  <c r="AJ15" i="7"/>
  <c r="AK15" i="7" s="1"/>
  <c r="AJ32" i="7"/>
  <c r="AK32" i="7" s="1"/>
  <c r="AJ40" i="7"/>
  <c r="AK40" i="7" s="1"/>
  <c r="AJ58" i="7"/>
  <c r="AK58" i="7" s="1"/>
  <c r="AJ14" i="7"/>
  <c r="AK14" i="7" s="1"/>
  <c r="AJ48" i="7"/>
  <c r="AK48" i="7" s="1"/>
  <c r="AJ19" i="7"/>
  <c r="AK19" i="7" s="1"/>
  <c r="AJ22" i="7"/>
  <c r="AK22" i="7" s="1"/>
  <c r="AJ47" i="7"/>
  <c r="AK47" i="7" s="1"/>
  <c r="AJ44" i="7"/>
  <c r="AK44" i="7" s="1"/>
  <c r="AJ7" i="7"/>
  <c r="AK7" i="7" s="1"/>
  <c r="AJ27" i="7"/>
  <c r="AK27" i="7" s="1"/>
  <c r="AJ38" i="7"/>
  <c r="AK38" i="7" s="1"/>
  <c r="AJ56" i="7"/>
  <c r="AK56" i="7" s="1"/>
  <c r="AJ3" i="7"/>
  <c r="AK3" i="7" s="1"/>
  <c r="AJ21" i="7"/>
  <c r="AK21" i="7" s="1"/>
  <c r="AJ45" i="7"/>
  <c r="AK45" i="7" s="1"/>
  <c r="AJ5" i="7"/>
  <c r="AK5" i="7" s="1"/>
  <c r="AJ11" i="7"/>
  <c r="AK11" i="7" s="1"/>
  <c r="AJ30" i="7"/>
  <c r="AK30" i="7" s="1"/>
  <c r="AJ25" i="7"/>
  <c r="AK25" i="7" s="1"/>
  <c r="AJ28" i="7"/>
  <c r="AK28" i="7" s="1"/>
  <c r="AJ51" i="7"/>
  <c r="AK51" i="7" s="1"/>
  <c r="AJ12" i="7"/>
  <c r="AK12" i="7" s="1"/>
  <c r="AJ4" i="7"/>
  <c r="AK4" i="7" s="1"/>
  <c r="AJ23" i="7"/>
  <c r="AK23" i="7" s="1"/>
  <c r="AJ57" i="7"/>
  <c r="AK57" i="7" s="1"/>
  <c r="AJ2" i="7"/>
  <c r="AK2" i="7" s="1"/>
  <c r="AM2" i="106"/>
  <c r="AM15" i="106" s="1"/>
  <c r="AL17" i="107"/>
  <c r="AM2" i="107"/>
  <c r="AJ17" i="107"/>
  <c r="AK10" i="7"/>
  <c r="AF5" i="103"/>
  <c r="AF4" i="103"/>
  <c r="AF3" i="103"/>
  <c r="AF2" i="103"/>
  <c r="AJ6" i="104" l="1"/>
  <c r="AK2" i="104"/>
  <c r="AK6" i="104" s="1"/>
  <c r="AK12" i="105"/>
  <c r="AJ12" i="105"/>
  <c r="AK17" i="107"/>
  <c r="AM17" i="107"/>
  <c r="AJ59" i="7"/>
  <c r="AK15" i="106"/>
  <c r="AJ15" i="106"/>
  <c r="AK59" i="7"/>
  <c r="AM2" i="7"/>
  <c r="AM59" i="7" s="1"/>
  <c r="AL59" i="7"/>
  <c r="AF6" i="103"/>
  <c r="AJ3" i="103" s="1"/>
  <c r="AG6" i="103"/>
  <c r="AH9" i="80"/>
  <c r="AI3" i="102"/>
  <c r="AI2" i="102"/>
  <c r="AI5" i="102"/>
  <c r="AH6" i="102"/>
  <c r="AI6" i="101"/>
  <c r="AI2" i="101"/>
  <c r="AI10" i="101"/>
  <c r="AI4" i="101"/>
  <c r="AI16" i="101"/>
  <c r="AI5" i="101"/>
  <c r="AI8" i="101"/>
  <c r="AI11" i="101"/>
  <c r="AI12" i="101"/>
  <c r="AI9" i="101"/>
  <c r="AI7" i="101"/>
  <c r="AI15" i="101"/>
  <c r="AI13" i="101"/>
  <c r="AF4" i="102"/>
  <c r="AF5" i="102"/>
  <c r="AF2" i="102"/>
  <c r="AF3" i="102"/>
  <c r="AF13" i="101"/>
  <c r="AF15" i="101"/>
  <c r="AF7" i="101"/>
  <c r="AF9" i="101"/>
  <c r="AF12" i="101"/>
  <c r="AF11" i="101"/>
  <c r="AF8" i="101"/>
  <c r="AF5" i="101"/>
  <c r="AF16" i="101"/>
  <c r="AF4" i="101"/>
  <c r="AF10" i="101"/>
  <c r="AF2" i="101"/>
  <c r="AF6" i="101"/>
  <c r="AF3" i="101"/>
  <c r="AJ2" i="103" l="1"/>
  <c r="AK2" i="103" s="1"/>
  <c r="AK3" i="103"/>
  <c r="AL2" i="103"/>
  <c r="AL5" i="103"/>
  <c r="AM5" i="103" s="1"/>
  <c r="AL4" i="103"/>
  <c r="AM4" i="103" s="1"/>
  <c r="AL3" i="103"/>
  <c r="AM3" i="103" s="1"/>
  <c r="AJ5" i="103"/>
  <c r="AK5" i="103" s="1"/>
  <c r="AJ4" i="103"/>
  <c r="AK4" i="103" s="1"/>
  <c r="AF17" i="101"/>
  <c r="AJ14" i="101" s="1"/>
  <c r="AK14" i="101" s="1"/>
  <c r="AI4" i="102"/>
  <c r="AG6" i="102"/>
  <c r="AM6" i="101"/>
  <c r="AM16" i="101"/>
  <c r="AM12" i="101"/>
  <c r="AM13" i="101"/>
  <c r="AM4" i="101"/>
  <c r="AM11" i="101"/>
  <c r="AM15" i="101"/>
  <c r="AM17" i="101" s="1"/>
  <c r="AM9" i="101"/>
  <c r="AM5" i="101"/>
  <c r="AM2" i="101"/>
  <c r="AF6" i="102"/>
  <c r="AJ4" i="102" s="1"/>
  <c r="AK4" i="102" s="1"/>
  <c r="AI6" i="102"/>
  <c r="AM7" i="101"/>
  <c r="AM10" i="101"/>
  <c r="AM8" i="101"/>
  <c r="AM3" i="101"/>
  <c r="AI3" i="101"/>
  <c r="AI17" i="101" s="1"/>
  <c r="AF6" i="76"/>
  <c r="AF3" i="76"/>
  <c r="AK6" i="103" l="1"/>
  <c r="AJ3" i="102"/>
  <c r="AK3" i="102" s="1"/>
  <c r="AJ2" i="102"/>
  <c r="AK2" i="102" s="1"/>
  <c r="AK6" i="102" s="1"/>
  <c r="AJ11" i="101"/>
  <c r="AK11" i="101" s="1"/>
  <c r="AJ8" i="101"/>
  <c r="AK8" i="101" s="1"/>
  <c r="AJ15" i="101"/>
  <c r="AK15" i="101" s="1"/>
  <c r="AM2" i="103"/>
  <c r="AM6" i="103" s="1"/>
  <c r="AL6" i="103"/>
  <c r="AJ6" i="103"/>
  <c r="AJ5" i="102"/>
  <c r="AK5" i="102" s="1"/>
  <c r="AL3" i="102"/>
  <c r="AM3" i="102" s="1"/>
  <c r="AL4" i="102"/>
  <c r="AM4" i="102" s="1"/>
  <c r="AL5" i="102"/>
  <c r="AM5" i="102" s="1"/>
  <c r="AL2" i="102"/>
  <c r="AM2" i="102" s="1"/>
  <c r="AJ3" i="101"/>
  <c r="AK3" i="101" s="1"/>
  <c r="AJ9" i="101"/>
  <c r="AK9" i="101" s="1"/>
  <c r="AJ13" i="101"/>
  <c r="AK13" i="101" s="1"/>
  <c r="AJ7" i="101"/>
  <c r="AK7" i="101" s="1"/>
  <c r="AJ5" i="101"/>
  <c r="AK5" i="101" s="1"/>
  <c r="AJ12" i="101"/>
  <c r="AK12" i="101" s="1"/>
  <c r="AJ16" i="101"/>
  <c r="AK16" i="101" s="1"/>
  <c r="AJ4" i="101"/>
  <c r="AJ10" i="101"/>
  <c r="AK10" i="101" s="1"/>
  <c r="AJ2" i="101"/>
  <c r="AK2" i="101" s="1"/>
  <c r="AJ6" i="101"/>
  <c r="AK4" i="101"/>
  <c r="AL6" i="102"/>
  <c r="AF68" i="99"/>
  <c r="AF76" i="99"/>
  <c r="AF21" i="99"/>
  <c r="AF35" i="99"/>
  <c r="AF75" i="99"/>
  <c r="AJ6" i="102" l="1"/>
  <c r="AM6" i="102"/>
  <c r="AK17" i="101"/>
  <c r="AJ17" i="101"/>
  <c r="AK6" i="101"/>
  <c r="AF2" i="99"/>
  <c r="AF3" i="99"/>
  <c r="AF5" i="99"/>
  <c r="AF4" i="99"/>
  <c r="AF8" i="99"/>
  <c r="AF7" i="99"/>
  <c r="AF6" i="99"/>
  <c r="AF51" i="99"/>
  <c r="AF29" i="99"/>
  <c r="AF17" i="99"/>
  <c r="AF15" i="99"/>
  <c r="AF9" i="99"/>
  <c r="AF33" i="99"/>
  <c r="AF13" i="99"/>
  <c r="AF26" i="99"/>
  <c r="AF24" i="99"/>
  <c r="AF23" i="99"/>
  <c r="AF48" i="99"/>
  <c r="AF60" i="99"/>
  <c r="AF55" i="99"/>
  <c r="AF36" i="99"/>
  <c r="AF49" i="99"/>
  <c r="AF12" i="99"/>
  <c r="AF22" i="99"/>
  <c r="AF40" i="99"/>
  <c r="AF58" i="99"/>
  <c r="AF41" i="99"/>
  <c r="AF38" i="99"/>
  <c r="AF45" i="99"/>
  <c r="AF30" i="99"/>
  <c r="AF43" i="99"/>
  <c r="AF39" i="99"/>
  <c r="AF92" i="99"/>
  <c r="AF67" i="99"/>
  <c r="AF69" i="99"/>
  <c r="AF78" i="99"/>
  <c r="AF64" i="99"/>
  <c r="AF65" i="99"/>
  <c r="AF53" i="99"/>
  <c r="AF84" i="99"/>
  <c r="AF10" i="99"/>
  <c r="AF27" i="99"/>
  <c r="AF96" i="99"/>
  <c r="AF61" i="99"/>
  <c r="AF25" i="99"/>
  <c r="AF104" i="99"/>
  <c r="AF86" i="99"/>
  <c r="AF66" i="99"/>
  <c r="AF79" i="99"/>
  <c r="AF62" i="99"/>
  <c r="AF77" i="99"/>
  <c r="AF50" i="99"/>
  <c r="AF71" i="99"/>
  <c r="AF90" i="99"/>
  <c r="AF16" i="99"/>
  <c r="AF34" i="99"/>
  <c r="AF56" i="99"/>
  <c r="AF18" i="99"/>
  <c r="AF32" i="99"/>
  <c r="AF20" i="99"/>
  <c r="AF57" i="99"/>
  <c r="AF44" i="99"/>
  <c r="AF89" i="99"/>
  <c r="AF85" i="99"/>
  <c r="AF82" i="99"/>
  <c r="AF52" i="99"/>
  <c r="AF14" i="99"/>
  <c r="AF74" i="99"/>
  <c r="AF63" i="99"/>
  <c r="AF54" i="99"/>
  <c r="AF81" i="99"/>
  <c r="AF42" i="99"/>
  <c r="AF59" i="99"/>
  <c r="AF88" i="99"/>
  <c r="AF31" i="99"/>
  <c r="AF93" i="99"/>
  <c r="AF95" i="99"/>
  <c r="AF100" i="99"/>
  <c r="AF73" i="99"/>
  <c r="AF37" i="99"/>
  <c r="AF72" i="99"/>
  <c r="AF105" i="99"/>
  <c r="AF103" i="99"/>
  <c r="AF19" i="99"/>
  <c r="AF83" i="99"/>
  <c r="AF11" i="99"/>
  <c r="AF47" i="99"/>
  <c r="AF80" i="99"/>
  <c r="AF97" i="99"/>
  <c r="AF94" i="99"/>
  <c r="AF91" i="99"/>
  <c r="AF46" i="99"/>
  <c r="AF101" i="99"/>
  <c r="AF99" i="99"/>
  <c r="AF70" i="99"/>
  <c r="AF98" i="99"/>
  <c r="AF87" i="99"/>
  <c r="AF102" i="99"/>
  <c r="AF3" i="98"/>
  <c r="AF2" i="98"/>
  <c r="AF4" i="98"/>
  <c r="AF5" i="98"/>
  <c r="AF6" i="98"/>
  <c r="AM3" i="97"/>
  <c r="AF2" i="97"/>
  <c r="AF3" i="97"/>
  <c r="AK3" i="97" s="1"/>
  <c r="AF2" i="94"/>
  <c r="AF5" i="94"/>
  <c r="AF4" i="94"/>
  <c r="AF24" i="94"/>
  <c r="AF15" i="94"/>
  <c r="AF6" i="94"/>
  <c r="AF14" i="94"/>
  <c r="AF19" i="94"/>
  <c r="AF9" i="94"/>
  <c r="AF3" i="94"/>
  <c r="AF13" i="94"/>
  <c r="AF7" i="94"/>
  <c r="AF21" i="94"/>
  <c r="AF39" i="94"/>
  <c r="AF16" i="94"/>
  <c r="AF23" i="94"/>
  <c r="AF47" i="94"/>
  <c r="AF8" i="94"/>
  <c r="AF17" i="94"/>
  <c r="AF10" i="94"/>
  <c r="AF32" i="94"/>
  <c r="AF11" i="94"/>
  <c r="AF33" i="94"/>
  <c r="AF26" i="94"/>
  <c r="AF29" i="94"/>
  <c r="AF41" i="94"/>
  <c r="AF30" i="94"/>
  <c r="AF42" i="94"/>
  <c r="AF18" i="94"/>
  <c r="AF35" i="94"/>
  <c r="AF67" i="94"/>
  <c r="AF28" i="94"/>
  <c r="AF38" i="94"/>
  <c r="AF12" i="94"/>
  <c r="AF53" i="94"/>
  <c r="AF56" i="94"/>
  <c r="AF54" i="94"/>
  <c r="AF40" i="94"/>
  <c r="AF48" i="94"/>
  <c r="AF45" i="94"/>
  <c r="AF51" i="94"/>
  <c r="AF37" i="94"/>
  <c r="AF20" i="94"/>
  <c r="AF36" i="94"/>
  <c r="AF43" i="94"/>
  <c r="AF46" i="94"/>
  <c r="AF22" i="94"/>
  <c r="AF57" i="94"/>
  <c r="AF27" i="94"/>
  <c r="AF52" i="94"/>
  <c r="AF44" i="94"/>
  <c r="AF60" i="94"/>
  <c r="AF34" i="94"/>
  <c r="AF49" i="94"/>
  <c r="AF85" i="94"/>
  <c r="AF74" i="94"/>
  <c r="AF66" i="94"/>
  <c r="AF79" i="94"/>
  <c r="AF58" i="94"/>
  <c r="AF55" i="94"/>
  <c r="AF25" i="94"/>
  <c r="AF72" i="94"/>
  <c r="AF62" i="94"/>
  <c r="AF50" i="94"/>
  <c r="AF75" i="94"/>
  <c r="AF76" i="94"/>
  <c r="AF71" i="94"/>
  <c r="AF31" i="94"/>
  <c r="AF80" i="94"/>
  <c r="AF73" i="94"/>
  <c r="AF83" i="94"/>
  <c r="AF65" i="94"/>
  <c r="AF59" i="94"/>
  <c r="AF90" i="94"/>
  <c r="AF82" i="94"/>
  <c r="AF63" i="94"/>
  <c r="AF78" i="94"/>
  <c r="AF70" i="94"/>
  <c r="AF61" i="94"/>
  <c r="AF84" i="94"/>
  <c r="AF87" i="94"/>
  <c r="AF68" i="94"/>
  <c r="AF86" i="94"/>
  <c r="AF88" i="94"/>
  <c r="AF77" i="94"/>
  <c r="AF64" i="94"/>
  <c r="AF69" i="94"/>
  <c r="AF89" i="94"/>
  <c r="AF81" i="94"/>
  <c r="AF91" i="94"/>
  <c r="AF4" i="97" l="1"/>
  <c r="AJ4" i="97"/>
  <c r="AK2" i="97"/>
  <c r="AK4" i="97" s="1"/>
  <c r="AL4" i="97"/>
  <c r="AM2" i="97"/>
  <c r="AM4" i="97" s="1"/>
  <c r="AG4" i="97"/>
  <c r="AF7" i="98"/>
  <c r="AJ6" i="98" s="1"/>
  <c r="AK6" i="98" s="1"/>
  <c r="AG7" i="98"/>
  <c r="AG92" i="94"/>
  <c r="AF92" i="94"/>
  <c r="AJ2" i="94" s="1"/>
  <c r="AF106" i="99"/>
  <c r="AJ28" i="99" s="1"/>
  <c r="AK28" i="99" s="1"/>
  <c r="AG106" i="99"/>
  <c r="AL28" i="99" s="1"/>
  <c r="AM28" i="99" s="1"/>
  <c r="AA80" i="32"/>
  <c r="AH8" i="30"/>
  <c r="AJ5" i="98" l="1"/>
  <c r="AK5" i="98" s="1"/>
  <c r="AJ2" i="98"/>
  <c r="AK2" i="98" s="1"/>
  <c r="AL6" i="98"/>
  <c r="AM6" i="98" s="1"/>
  <c r="AL2" i="98"/>
  <c r="AM2" i="98" s="1"/>
  <c r="AL5" i="98"/>
  <c r="AM5" i="98" s="1"/>
  <c r="AL4" i="98"/>
  <c r="AM4" i="98" s="1"/>
  <c r="AL3" i="98"/>
  <c r="AJ3" i="98"/>
  <c r="AK3" i="98" s="1"/>
  <c r="AJ4" i="98"/>
  <c r="AK4" i="98" s="1"/>
  <c r="AH43" i="32"/>
  <c r="AH78" i="32"/>
  <c r="AH56" i="32"/>
  <c r="AH75" i="32"/>
  <c r="AH26" i="32"/>
  <c r="AH48" i="32"/>
  <c r="AH41" i="32"/>
  <c r="AH36" i="32"/>
  <c r="AH10" i="32"/>
  <c r="AH33" i="32"/>
  <c r="AH15" i="32"/>
  <c r="AH5" i="32"/>
  <c r="AH24" i="32"/>
  <c r="AH40" i="32"/>
  <c r="AH27" i="32"/>
  <c r="AH4" i="32"/>
  <c r="AH76" i="32"/>
  <c r="AH50" i="32"/>
  <c r="AH53" i="32"/>
  <c r="AH2" i="32"/>
  <c r="AH55" i="32"/>
  <c r="AH45" i="32"/>
  <c r="AH71" i="32"/>
  <c r="AH70" i="32"/>
  <c r="AH60" i="32"/>
  <c r="AH22" i="32"/>
  <c r="AH44" i="32"/>
  <c r="AH47" i="32"/>
  <c r="AH68" i="32"/>
  <c r="AH11" i="32"/>
  <c r="AH39" i="32"/>
  <c r="AH73" i="32"/>
  <c r="AH30" i="32"/>
  <c r="AH67" i="32"/>
  <c r="AH57" i="32"/>
  <c r="AH46" i="32"/>
  <c r="AH14" i="32"/>
  <c r="AH16" i="32"/>
  <c r="AH37" i="32"/>
  <c r="AH34" i="32"/>
  <c r="AH59" i="32"/>
  <c r="AH52" i="32"/>
  <c r="AH77" i="32"/>
  <c r="AH31" i="32"/>
  <c r="AH58" i="32"/>
  <c r="AH74" i="32"/>
  <c r="AH35" i="32"/>
  <c r="AH21" i="32"/>
  <c r="AH61" i="32"/>
  <c r="AH7" i="32"/>
  <c r="AH29" i="32"/>
  <c r="AH72" i="32"/>
  <c r="AH63" i="32"/>
  <c r="AH69" i="32"/>
  <c r="AH62" i="32"/>
  <c r="AH64" i="32"/>
  <c r="AH38" i="32"/>
  <c r="AH42" i="32"/>
  <c r="AH25" i="32"/>
  <c r="AH19" i="32"/>
  <c r="AH9" i="32"/>
  <c r="AH51" i="32"/>
  <c r="AH13" i="32"/>
  <c r="AH3" i="32"/>
  <c r="AH23" i="32"/>
  <c r="AH8" i="32"/>
  <c r="AH54" i="32"/>
  <c r="AH79" i="32"/>
  <c r="AH6" i="32"/>
  <c r="AH12" i="32"/>
  <c r="AH17" i="32"/>
  <c r="AH49" i="32"/>
  <c r="AH28" i="32"/>
  <c r="AH20" i="32"/>
  <c r="AH65" i="32"/>
  <c r="AH66" i="32"/>
  <c r="AH32" i="32"/>
  <c r="AH18" i="32"/>
  <c r="AL3" i="99"/>
  <c r="AM3" i="99" s="1"/>
  <c r="AL7" i="99"/>
  <c r="AM7" i="99" s="1"/>
  <c r="AL11" i="99"/>
  <c r="AM11" i="99" s="1"/>
  <c r="AL15" i="99"/>
  <c r="AM15" i="99" s="1"/>
  <c r="AL19" i="99"/>
  <c r="AM19" i="99" s="1"/>
  <c r="AL23" i="99"/>
  <c r="AM23" i="99" s="1"/>
  <c r="AL27" i="99"/>
  <c r="AM27" i="99" s="1"/>
  <c r="AL32" i="99"/>
  <c r="AM32" i="99" s="1"/>
  <c r="AL36" i="99"/>
  <c r="AM36" i="99" s="1"/>
  <c r="AL40" i="99"/>
  <c r="AM40" i="99" s="1"/>
  <c r="AL44" i="99"/>
  <c r="AM44" i="99" s="1"/>
  <c r="AL48" i="99"/>
  <c r="AM48" i="99" s="1"/>
  <c r="AL52" i="99"/>
  <c r="AM52" i="99" s="1"/>
  <c r="AL56" i="99"/>
  <c r="AM56" i="99" s="1"/>
  <c r="AL60" i="99"/>
  <c r="AM60" i="99" s="1"/>
  <c r="AL64" i="99"/>
  <c r="AM64" i="99" s="1"/>
  <c r="AL68" i="99"/>
  <c r="AM68" i="99" s="1"/>
  <c r="AL72" i="99"/>
  <c r="AM72" i="99" s="1"/>
  <c r="AL75" i="99"/>
  <c r="AM75" i="99" s="1"/>
  <c r="AL80" i="99"/>
  <c r="AM80" i="99" s="1"/>
  <c r="AL84" i="99"/>
  <c r="AM84" i="99" s="1"/>
  <c r="AL90" i="99"/>
  <c r="AM90" i="99" s="1"/>
  <c r="AL93" i="99"/>
  <c r="AM93" i="99" s="1"/>
  <c r="AL95" i="99"/>
  <c r="AM95" i="99" s="1"/>
  <c r="AL99" i="99"/>
  <c r="AM99" i="99" s="1"/>
  <c r="AL104" i="99"/>
  <c r="AM104" i="99" s="1"/>
  <c r="AL5" i="99"/>
  <c r="AM5" i="99" s="1"/>
  <c r="AL9" i="99"/>
  <c r="AM9" i="99" s="1"/>
  <c r="AL13" i="99"/>
  <c r="AM13" i="99" s="1"/>
  <c r="AL17" i="99"/>
  <c r="AM17" i="99" s="1"/>
  <c r="AL21" i="99"/>
  <c r="AM21" i="99" s="1"/>
  <c r="AL30" i="99"/>
  <c r="AM30" i="99" s="1"/>
  <c r="AL34" i="99"/>
  <c r="AM34" i="99" s="1"/>
  <c r="AL4" i="99"/>
  <c r="AM4" i="99" s="1"/>
  <c r="AL8" i="99"/>
  <c r="AM8" i="99" s="1"/>
  <c r="AL12" i="99"/>
  <c r="AM12" i="99" s="1"/>
  <c r="AL16" i="99"/>
  <c r="AM16" i="99" s="1"/>
  <c r="AL20" i="99"/>
  <c r="AM20" i="99" s="1"/>
  <c r="AL24" i="99"/>
  <c r="AM24" i="99" s="1"/>
  <c r="AL29" i="99"/>
  <c r="AM29" i="99" s="1"/>
  <c r="AL33" i="99"/>
  <c r="AM33" i="99" s="1"/>
  <c r="AL37" i="99"/>
  <c r="AM37" i="99" s="1"/>
  <c r="AL41" i="99"/>
  <c r="AM41" i="99" s="1"/>
  <c r="AL45" i="99"/>
  <c r="AM45" i="99" s="1"/>
  <c r="AL49" i="99"/>
  <c r="AM49" i="99" s="1"/>
  <c r="AL53" i="99"/>
  <c r="AM53" i="99" s="1"/>
  <c r="AL57" i="99"/>
  <c r="AM57" i="99" s="1"/>
  <c r="AL61" i="99"/>
  <c r="AM61" i="99" s="1"/>
  <c r="AL65" i="99"/>
  <c r="AM65" i="99" s="1"/>
  <c r="AL69" i="99"/>
  <c r="AM69" i="99" s="1"/>
  <c r="AL73" i="99"/>
  <c r="AM73" i="99" s="1"/>
  <c r="AL77" i="99"/>
  <c r="AM77" i="99" s="1"/>
  <c r="AL81" i="99"/>
  <c r="AM81" i="99" s="1"/>
  <c r="AL85" i="99"/>
  <c r="AM85" i="99" s="1"/>
  <c r="AL89" i="99"/>
  <c r="AM89" i="99" s="1"/>
  <c r="AL94" i="99"/>
  <c r="AM94" i="99" s="1"/>
  <c r="AL97" i="99"/>
  <c r="AM97" i="99" s="1"/>
  <c r="AL98" i="99"/>
  <c r="AM98" i="99" s="1"/>
  <c r="AL105" i="99"/>
  <c r="AM105" i="99" s="1"/>
  <c r="AL18" i="99"/>
  <c r="AM18" i="99" s="1"/>
  <c r="AL31" i="99"/>
  <c r="AM31" i="99" s="1"/>
  <c r="AL42" i="99"/>
  <c r="AM42" i="99" s="1"/>
  <c r="AL50" i="99"/>
  <c r="AM50" i="99" s="1"/>
  <c r="AL58" i="99"/>
  <c r="AM58" i="99" s="1"/>
  <c r="AL66" i="99"/>
  <c r="AM66" i="99" s="1"/>
  <c r="AL74" i="99"/>
  <c r="AM74" i="99" s="1"/>
  <c r="AL82" i="99"/>
  <c r="AM82" i="99" s="1"/>
  <c r="AL88" i="99"/>
  <c r="AM88" i="99" s="1"/>
  <c r="AL100" i="99"/>
  <c r="AM100" i="99" s="1"/>
  <c r="AL2" i="99"/>
  <c r="AL26" i="99"/>
  <c r="AM26" i="99" s="1"/>
  <c r="AL39" i="99"/>
  <c r="AM39" i="99" s="1"/>
  <c r="AL55" i="99"/>
  <c r="AM55" i="99" s="1"/>
  <c r="AL71" i="99"/>
  <c r="AM71" i="99" s="1"/>
  <c r="AL87" i="99"/>
  <c r="AM87" i="99" s="1"/>
  <c r="AL102" i="99"/>
  <c r="AM102" i="99" s="1"/>
  <c r="AL6" i="99"/>
  <c r="AM6" i="99" s="1"/>
  <c r="AL22" i="99"/>
  <c r="AM22" i="99" s="1"/>
  <c r="AL35" i="99"/>
  <c r="AM35" i="99" s="1"/>
  <c r="AL43" i="99"/>
  <c r="AM43" i="99" s="1"/>
  <c r="AL51" i="99"/>
  <c r="AM51" i="99" s="1"/>
  <c r="AL59" i="99"/>
  <c r="AM59" i="99" s="1"/>
  <c r="AL67" i="99"/>
  <c r="AM67" i="99" s="1"/>
  <c r="AL76" i="99"/>
  <c r="AM76" i="99" s="1"/>
  <c r="AL83" i="99"/>
  <c r="AM83" i="99" s="1"/>
  <c r="AL92" i="99"/>
  <c r="AM92" i="99" s="1"/>
  <c r="AL101" i="99"/>
  <c r="AM101" i="99" s="1"/>
  <c r="AL10" i="99"/>
  <c r="AM10" i="99" s="1"/>
  <c r="AL25" i="99"/>
  <c r="AM25" i="99" s="1"/>
  <c r="AL38" i="99"/>
  <c r="AM38" i="99" s="1"/>
  <c r="AL46" i="99"/>
  <c r="AM46" i="99" s="1"/>
  <c r="AL54" i="99"/>
  <c r="AM54" i="99" s="1"/>
  <c r="AL62" i="99"/>
  <c r="AM62" i="99" s="1"/>
  <c r="AL70" i="99"/>
  <c r="AM70" i="99" s="1"/>
  <c r="AL78" i="99"/>
  <c r="AM78" i="99" s="1"/>
  <c r="AL86" i="99"/>
  <c r="AM86" i="99" s="1"/>
  <c r="AL91" i="99"/>
  <c r="AM91" i="99" s="1"/>
  <c r="AL103" i="99"/>
  <c r="AM103" i="99" s="1"/>
  <c r="AL14" i="99"/>
  <c r="AM14" i="99" s="1"/>
  <c r="AL47" i="99"/>
  <c r="AM47" i="99" s="1"/>
  <c r="AL63" i="99"/>
  <c r="AM63" i="99" s="1"/>
  <c r="AL79" i="99"/>
  <c r="AM79" i="99" s="1"/>
  <c r="AL96" i="99"/>
  <c r="AM96" i="99" s="1"/>
  <c r="AJ4" i="99"/>
  <c r="AK4" i="99" s="1"/>
  <c r="AJ8" i="99"/>
  <c r="AK8" i="99" s="1"/>
  <c r="AJ12" i="99"/>
  <c r="AK12" i="99" s="1"/>
  <c r="AJ16" i="99"/>
  <c r="AK16" i="99" s="1"/>
  <c r="AJ20" i="99"/>
  <c r="AK20" i="99" s="1"/>
  <c r="AJ24" i="99"/>
  <c r="AK24" i="99" s="1"/>
  <c r="AJ29" i="99"/>
  <c r="AK29" i="99" s="1"/>
  <c r="AJ33" i="99"/>
  <c r="AK33" i="99" s="1"/>
  <c r="AJ37" i="99"/>
  <c r="AK37" i="99" s="1"/>
  <c r="AJ41" i="99"/>
  <c r="AK41" i="99" s="1"/>
  <c r="AJ45" i="99"/>
  <c r="AK45" i="99" s="1"/>
  <c r="AJ49" i="99"/>
  <c r="AK49" i="99" s="1"/>
  <c r="AJ53" i="99"/>
  <c r="AK53" i="99" s="1"/>
  <c r="AJ57" i="99"/>
  <c r="AK57" i="99" s="1"/>
  <c r="AJ61" i="99"/>
  <c r="AK61" i="99" s="1"/>
  <c r="AJ65" i="99"/>
  <c r="AK65" i="99" s="1"/>
  <c r="AJ69" i="99"/>
  <c r="AK69" i="99" s="1"/>
  <c r="AJ73" i="99"/>
  <c r="AK73" i="99" s="1"/>
  <c r="AJ77" i="99"/>
  <c r="AK77" i="99" s="1"/>
  <c r="AJ81" i="99"/>
  <c r="AK81" i="99" s="1"/>
  <c r="AJ85" i="99"/>
  <c r="AK85" i="99" s="1"/>
  <c r="AJ89" i="99"/>
  <c r="AK89" i="99" s="1"/>
  <c r="AJ94" i="99"/>
  <c r="AK94" i="99" s="1"/>
  <c r="AJ97" i="99"/>
  <c r="AK97" i="99" s="1"/>
  <c r="AJ98" i="99"/>
  <c r="AK98" i="99" s="1"/>
  <c r="AJ105" i="99"/>
  <c r="AK105" i="99" s="1"/>
  <c r="AJ5" i="99"/>
  <c r="AK5" i="99" s="1"/>
  <c r="AJ9" i="99"/>
  <c r="AK9" i="99" s="1"/>
  <c r="AJ13" i="99"/>
  <c r="AK13" i="99" s="1"/>
  <c r="AJ17" i="99"/>
  <c r="AK17" i="99" s="1"/>
  <c r="AJ21" i="99"/>
  <c r="AK21" i="99" s="1"/>
  <c r="AJ25" i="99"/>
  <c r="AK25" i="99" s="1"/>
  <c r="AJ30" i="99"/>
  <c r="AK30" i="99" s="1"/>
  <c r="AJ34" i="99"/>
  <c r="AK34" i="99" s="1"/>
  <c r="AJ38" i="99"/>
  <c r="AK38" i="99" s="1"/>
  <c r="AJ42" i="99"/>
  <c r="AK42" i="99" s="1"/>
  <c r="AJ46" i="99"/>
  <c r="AK46" i="99" s="1"/>
  <c r="AJ50" i="99"/>
  <c r="AK50" i="99" s="1"/>
  <c r="AJ54" i="99"/>
  <c r="AK54" i="99" s="1"/>
  <c r="AJ58" i="99"/>
  <c r="AK58" i="99" s="1"/>
  <c r="AJ62" i="99"/>
  <c r="AK62" i="99" s="1"/>
  <c r="AJ66" i="99"/>
  <c r="AK66" i="99" s="1"/>
  <c r="AJ70" i="99"/>
  <c r="AK70" i="99" s="1"/>
  <c r="AJ74" i="99"/>
  <c r="AK74" i="99" s="1"/>
  <c r="AJ78" i="99"/>
  <c r="AK78" i="99" s="1"/>
  <c r="AJ82" i="99"/>
  <c r="AK82" i="99" s="1"/>
  <c r="AJ86" i="99"/>
  <c r="AK86" i="99" s="1"/>
  <c r="AJ88" i="99"/>
  <c r="AK88" i="99" s="1"/>
  <c r="AJ91" i="99"/>
  <c r="AK91" i="99" s="1"/>
  <c r="AJ100" i="99"/>
  <c r="AK100" i="99" s="1"/>
  <c r="AJ103" i="99"/>
  <c r="AK103" i="99" s="1"/>
  <c r="AJ2" i="99"/>
  <c r="AJ10" i="99"/>
  <c r="AK10" i="99" s="1"/>
  <c r="AJ18" i="99"/>
  <c r="AK18" i="99" s="1"/>
  <c r="AJ26" i="99"/>
  <c r="AK26" i="99" s="1"/>
  <c r="AJ35" i="99"/>
  <c r="AK35" i="99" s="1"/>
  <c r="AJ43" i="99"/>
  <c r="AK43" i="99" s="1"/>
  <c r="AJ51" i="99"/>
  <c r="AK51" i="99" s="1"/>
  <c r="AJ59" i="99"/>
  <c r="AK59" i="99" s="1"/>
  <c r="AJ67" i="99"/>
  <c r="AK67" i="99" s="1"/>
  <c r="AJ76" i="99"/>
  <c r="AK76" i="99" s="1"/>
  <c r="AJ83" i="99"/>
  <c r="AK83" i="99" s="1"/>
  <c r="AJ92" i="99"/>
  <c r="AK92" i="99" s="1"/>
  <c r="AJ101" i="99"/>
  <c r="AK101" i="99" s="1"/>
  <c r="AJ68" i="99"/>
  <c r="AK68" i="99" s="1"/>
  <c r="AJ84" i="99"/>
  <c r="AK84" i="99" s="1"/>
  <c r="AJ99" i="99"/>
  <c r="AK99" i="99" s="1"/>
  <c r="AJ15" i="99"/>
  <c r="AK15" i="99" s="1"/>
  <c r="AJ32" i="99"/>
  <c r="AK32" i="99" s="1"/>
  <c r="AJ48" i="99"/>
  <c r="AK48" i="99" s="1"/>
  <c r="AJ72" i="99"/>
  <c r="AK72" i="99" s="1"/>
  <c r="AJ80" i="99"/>
  <c r="AK80" i="99" s="1"/>
  <c r="AJ95" i="99"/>
  <c r="AK95" i="99" s="1"/>
  <c r="AJ3" i="99"/>
  <c r="AK3" i="99" s="1"/>
  <c r="AJ11" i="99"/>
  <c r="AK11" i="99" s="1"/>
  <c r="AJ19" i="99"/>
  <c r="AK19" i="99" s="1"/>
  <c r="AJ27" i="99"/>
  <c r="AK27" i="99" s="1"/>
  <c r="AJ36" i="99"/>
  <c r="AK36" i="99" s="1"/>
  <c r="AJ44" i="99"/>
  <c r="AK44" i="99" s="1"/>
  <c r="AJ52" i="99"/>
  <c r="AK52" i="99" s="1"/>
  <c r="AJ60" i="99"/>
  <c r="AK60" i="99" s="1"/>
  <c r="AJ75" i="99"/>
  <c r="AK75" i="99" s="1"/>
  <c r="AJ93" i="99"/>
  <c r="AK93" i="99" s="1"/>
  <c r="AJ56" i="99"/>
  <c r="AK56" i="99" s="1"/>
  <c r="AJ6" i="99"/>
  <c r="AK6" i="99" s="1"/>
  <c r="AJ14" i="99"/>
  <c r="AK14" i="99" s="1"/>
  <c r="AJ22" i="99"/>
  <c r="AK22" i="99" s="1"/>
  <c r="AJ31" i="99"/>
  <c r="AK31" i="99" s="1"/>
  <c r="AJ39" i="99"/>
  <c r="AK39" i="99" s="1"/>
  <c r="AJ47" i="99"/>
  <c r="AK47" i="99" s="1"/>
  <c r="AJ55" i="99"/>
  <c r="AK55" i="99" s="1"/>
  <c r="AJ63" i="99"/>
  <c r="AK63" i="99" s="1"/>
  <c r="AJ71" i="99"/>
  <c r="AK71" i="99" s="1"/>
  <c r="AJ79" i="99"/>
  <c r="AK79" i="99" s="1"/>
  <c r="AJ87" i="99"/>
  <c r="AK87" i="99" s="1"/>
  <c r="AJ96" i="99"/>
  <c r="AK96" i="99" s="1"/>
  <c r="AJ102" i="99"/>
  <c r="AK102" i="99" s="1"/>
  <c r="AJ7" i="99"/>
  <c r="AK7" i="99" s="1"/>
  <c r="AJ23" i="99"/>
  <c r="AK23" i="99" s="1"/>
  <c r="AJ40" i="99"/>
  <c r="AK40" i="99" s="1"/>
  <c r="AJ64" i="99"/>
  <c r="AK64" i="99" s="1"/>
  <c r="AJ90" i="99"/>
  <c r="AK90" i="99" s="1"/>
  <c r="AJ104" i="99"/>
  <c r="AK104" i="99" s="1"/>
  <c r="AK2" i="94"/>
  <c r="AJ15" i="94"/>
  <c r="AK15" i="94" s="1"/>
  <c r="AJ21" i="94"/>
  <c r="AK21" i="94" s="1"/>
  <c r="AJ32" i="94"/>
  <c r="AK32" i="94" s="1"/>
  <c r="AJ18" i="94"/>
  <c r="AK18" i="94" s="1"/>
  <c r="AJ54" i="94"/>
  <c r="AK54" i="94" s="1"/>
  <c r="AJ43" i="94"/>
  <c r="AK43" i="94" s="1"/>
  <c r="AJ34" i="94"/>
  <c r="AK34" i="94" s="1"/>
  <c r="AJ25" i="94"/>
  <c r="AK25" i="94" s="1"/>
  <c r="AJ80" i="94"/>
  <c r="AK80" i="94" s="1"/>
  <c r="AJ78" i="94"/>
  <c r="AK78" i="94" s="1"/>
  <c r="AJ81" i="94"/>
  <c r="AK81" i="94" s="1"/>
  <c r="AJ6" i="94"/>
  <c r="AK6" i="94" s="1"/>
  <c r="AJ39" i="94"/>
  <c r="AK39" i="94" s="1"/>
  <c r="AJ11" i="94"/>
  <c r="AK11" i="94" s="1"/>
  <c r="AJ35" i="94"/>
  <c r="AK35" i="94" s="1"/>
  <c r="AJ40" i="94"/>
  <c r="AK40" i="94" s="1"/>
  <c r="AJ46" i="94"/>
  <c r="AK46" i="94" s="1"/>
  <c r="AJ49" i="94"/>
  <c r="AK49" i="94" s="1"/>
  <c r="AJ72" i="94"/>
  <c r="AK72" i="94" s="1"/>
  <c r="AJ73" i="94"/>
  <c r="AK73" i="94" s="1"/>
  <c r="AJ70" i="94"/>
  <c r="AK70" i="94" s="1"/>
  <c r="AJ64" i="94"/>
  <c r="AK64" i="94" s="1"/>
  <c r="AJ61" i="94"/>
  <c r="AK61" i="94" s="1"/>
  <c r="AL91" i="94"/>
  <c r="AM91" i="94" s="1"/>
  <c r="AL75" i="94"/>
  <c r="AM75" i="94" s="1"/>
  <c r="AL59" i="94"/>
  <c r="AM59" i="94" s="1"/>
  <c r="AL43" i="94"/>
  <c r="AM43" i="94" s="1"/>
  <c r="AL27" i="94"/>
  <c r="AM27" i="94" s="1"/>
  <c r="AL11" i="94"/>
  <c r="AM11" i="94" s="1"/>
  <c r="AL86" i="94"/>
  <c r="AM86" i="94" s="1"/>
  <c r="AL70" i="94"/>
  <c r="AM70" i="94" s="1"/>
  <c r="AL54" i="94"/>
  <c r="AM54" i="94" s="1"/>
  <c r="AL38" i="94"/>
  <c r="AM38" i="94" s="1"/>
  <c r="AL6" i="94"/>
  <c r="AM6" i="94" s="1"/>
  <c r="AL77" i="94"/>
  <c r="AM77" i="94" s="1"/>
  <c r="AL61" i="94"/>
  <c r="AM61" i="94" s="1"/>
  <c r="AL45" i="94"/>
  <c r="AM45" i="94" s="1"/>
  <c r="AL29" i="94"/>
  <c r="AM29" i="94" s="1"/>
  <c r="AL13" i="94"/>
  <c r="AM13" i="94" s="1"/>
  <c r="AL72" i="94"/>
  <c r="AM72" i="94" s="1"/>
  <c r="AL24" i="94"/>
  <c r="AM24" i="94" s="1"/>
  <c r="AL87" i="94"/>
  <c r="AM87" i="94" s="1"/>
  <c r="AL71" i="94"/>
  <c r="AM71" i="94" s="1"/>
  <c r="AL55" i="94"/>
  <c r="AM55" i="94" s="1"/>
  <c r="AL39" i="94"/>
  <c r="AM39" i="94" s="1"/>
  <c r="AL23" i="94"/>
  <c r="AM23" i="94" s="1"/>
  <c r="AL7" i="94"/>
  <c r="AM7" i="94" s="1"/>
  <c r="AL82" i="94"/>
  <c r="AM82" i="94" s="1"/>
  <c r="AL66" i="94"/>
  <c r="AM66" i="94" s="1"/>
  <c r="AL50" i="94"/>
  <c r="AM50" i="94" s="1"/>
  <c r="AL34" i="94"/>
  <c r="AM34" i="94" s="1"/>
  <c r="AL18" i="94"/>
  <c r="AM18" i="94" s="1"/>
  <c r="AL89" i="94"/>
  <c r="AM89" i="94" s="1"/>
  <c r="AL73" i="94"/>
  <c r="AM73" i="94" s="1"/>
  <c r="AL57" i="94"/>
  <c r="AM57" i="94" s="1"/>
  <c r="AL41" i="94"/>
  <c r="AM41" i="94" s="1"/>
  <c r="AL25" i="94"/>
  <c r="AM25" i="94" s="1"/>
  <c r="AL9" i="94"/>
  <c r="AM9" i="94" s="1"/>
  <c r="AL84" i="94"/>
  <c r="AM84" i="94" s="1"/>
  <c r="AL68" i="94"/>
  <c r="AM68" i="94" s="1"/>
  <c r="AL52" i="94"/>
  <c r="AM52" i="94" s="1"/>
  <c r="AL36" i="94"/>
  <c r="AM36" i="94" s="1"/>
  <c r="AL20" i="94"/>
  <c r="AM20" i="94" s="1"/>
  <c r="AL4" i="94"/>
  <c r="AM4" i="94" s="1"/>
  <c r="AL14" i="94"/>
  <c r="AM14" i="94" s="1"/>
  <c r="AL80" i="94"/>
  <c r="AM80" i="94" s="1"/>
  <c r="AL48" i="94"/>
  <c r="AM48" i="94" s="1"/>
  <c r="AL16" i="94"/>
  <c r="AM16" i="94" s="1"/>
  <c r="AL83" i="94"/>
  <c r="AM83" i="94" s="1"/>
  <c r="AL67" i="94"/>
  <c r="AM67" i="94" s="1"/>
  <c r="AL51" i="94"/>
  <c r="AM51" i="94" s="1"/>
  <c r="AL35" i="94"/>
  <c r="AM35" i="94" s="1"/>
  <c r="AL19" i="94"/>
  <c r="AM19" i="94" s="1"/>
  <c r="AL3" i="94"/>
  <c r="AM3" i="94" s="1"/>
  <c r="AL78" i="94"/>
  <c r="AM78" i="94" s="1"/>
  <c r="AL62" i="94"/>
  <c r="AM62" i="94" s="1"/>
  <c r="AL46" i="94"/>
  <c r="AM46" i="94" s="1"/>
  <c r="AL30" i="94"/>
  <c r="AM30" i="94" s="1"/>
  <c r="AL85" i="94"/>
  <c r="AM85" i="94" s="1"/>
  <c r="AL69" i="94"/>
  <c r="AM69" i="94" s="1"/>
  <c r="AL53" i="94"/>
  <c r="AM53" i="94" s="1"/>
  <c r="AL37" i="94"/>
  <c r="AM37" i="94" s="1"/>
  <c r="AL21" i="94"/>
  <c r="AM21" i="94" s="1"/>
  <c r="AL5" i="94"/>
  <c r="AM5" i="94" s="1"/>
  <c r="AL64" i="94"/>
  <c r="AM64" i="94" s="1"/>
  <c r="AL32" i="94"/>
  <c r="AM32" i="94" s="1"/>
  <c r="AL79" i="94"/>
  <c r="AM79" i="94" s="1"/>
  <c r="AL63" i="94"/>
  <c r="AM63" i="94" s="1"/>
  <c r="AL47" i="94"/>
  <c r="AM47" i="94" s="1"/>
  <c r="AL31" i="94"/>
  <c r="AM31" i="94" s="1"/>
  <c r="AL15" i="94"/>
  <c r="AM15" i="94" s="1"/>
  <c r="AL90" i="94"/>
  <c r="AM90" i="94" s="1"/>
  <c r="AL74" i="94"/>
  <c r="AM74" i="94" s="1"/>
  <c r="AL58" i="94"/>
  <c r="AM58" i="94" s="1"/>
  <c r="AL42" i="94"/>
  <c r="AM42" i="94" s="1"/>
  <c r="AL26" i="94"/>
  <c r="AM26" i="94" s="1"/>
  <c r="AL10" i="94"/>
  <c r="AM10" i="94" s="1"/>
  <c r="AL81" i="94"/>
  <c r="AM81" i="94" s="1"/>
  <c r="AL65" i="94"/>
  <c r="AM65" i="94" s="1"/>
  <c r="AL49" i="94"/>
  <c r="AM49" i="94" s="1"/>
  <c r="AL33" i="94"/>
  <c r="AM33" i="94" s="1"/>
  <c r="AL17" i="94"/>
  <c r="AM17" i="94" s="1"/>
  <c r="AL2" i="94"/>
  <c r="AL76" i="94"/>
  <c r="AM76" i="94" s="1"/>
  <c r="AL60" i="94"/>
  <c r="AM60" i="94" s="1"/>
  <c r="AL44" i="94"/>
  <c r="AM44" i="94" s="1"/>
  <c r="AL28" i="94"/>
  <c r="AM28" i="94" s="1"/>
  <c r="AL12" i="94"/>
  <c r="AM12" i="94" s="1"/>
  <c r="AL22" i="94"/>
  <c r="AM22" i="94" s="1"/>
  <c r="AL88" i="94"/>
  <c r="AM88" i="94" s="1"/>
  <c r="AL56" i="94"/>
  <c r="AM56" i="94" s="1"/>
  <c r="AL40" i="94"/>
  <c r="AM40" i="94" s="1"/>
  <c r="AL8" i="94"/>
  <c r="AM8" i="94" s="1"/>
  <c r="AJ4" i="94"/>
  <c r="AK4" i="94" s="1"/>
  <c r="AJ13" i="94"/>
  <c r="AK13" i="94" s="1"/>
  <c r="AJ17" i="94"/>
  <c r="AK17" i="94" s="1"/>
  <c r="AJ30" i="94"/>
  <c r="AK30" i="94" s="1"/>
  <c r="AJ53" i="94"/>
  <c r="AK53" i="94" s="1"/>
  <c r="AJ20" i="94"/>
  <c r="AK20" i="94" s="1"/>
  <c r="AJ44" i="94"/>
  <c r="AK44" i="94" s="1"/>
  <c r="AJ58" i="94"/>
  <c r="AK58" i="94" s="1"/>
  <c r="AJ71" i="94"/>
  <c r="AK71" i="94" s="1"/>
  <c r="AJ82" i="94"/>
  <c r="AK82" i="94" s="1"/>
  <c r="AJ24" i="94"/>
  <c r="AK24" i="94" s="1"/>
  <c r="AJ7" i="94"/>
  <c r="AK7" i="94" s="1"/>
  <c r="AJ10" i="94"/>
  <c r="AK10" i="94" s="1"/>
  <c r="AJ42" i="94"/>
  <c r="AK42" i="94" s="1"/>
  <c r="AJ56" i="94"/>
  <c r="AK56" i="94" s="1"/>
  <c r="AJ36" i="94"/>
  <c r="AK36" i="94" s="1"/>
  <c r="AJ60" i="94"/>
  <c r="AK60" i="94" s="1"/>
  <c r="AJ55" i="94"/>
  <c r="AK55" i="94" s="1"/>
  <c r="AJ31" i="94"/>
  <c r="AK31" i="94" s="1"/>
  <c r="AJ63" i="94"/>
  <c r="AK63" i="94" s="1"/>
  <c r="AJ88" i="94"/>
  <c r="AK88" i="94" s="1"/>
  <c r="AJ77" i="94"/>
  <c r="AK77" i="94" s="1"/>
  <c r="AJ9" i="94"/>
  <c r="AK9" i="94" s="1"/>
  <c r="AJ47" i="94"/>
  <c r="AK47" i="94" s="1"/>
  <c r="AJ29" i="94"/>
  <c r="AK29" i="94" s="1"/>
  <c r="AJ38" i="94"/>
  <c r="AK38" i="94" s="1"/>
  <c r="AJ51" i="94"/>
  <c r="AK51" i="94" s="1"/>
  <c r="AJ27" i="94"/>
  <c r="AK27" i="94" s="1"/>
  <c r="AJ66" i="94"/>
  <c r="AK66" i="94" s="1"/>
  <c r="AJ75" i="94"/>
  <c r="AK75" i="94" s="1"/>
  <c r="AJ59" i="94"/>
  <c r="AK59" i="94" s="1"/>
  <c r="AJ87" i="94"/>
  <c r="AK87" i="94" s="1"/>
  <c r="AJ5" i="94"/>
  <c r="AK5" i="94" s="1"/>
  <c r="AJ3" i="94"/>
  <c r="AK3" i="94" s="1"/>
  <c r="AJ8" i="94"/>
  <c r="AK8" i="94" s="1"/>
  <c r="AJ41" i="94"/>
  <c r="AK41" i="94" s="1"/>
  <c r="AJ12" i="94"/>
  <c r="AK12" i="94" s="1"/>
  <c r="AJ37" i="94"/>
  <c r="AK37" i="94" s="1"/>
  <c r="AJ52" i="94"/>
  <c r="AK52" i="94" s="1"/>
  <c r="AJ79" i="94"/>
  <c r="AK79" i="94" s="1"/>
  <c r="AJ76" i="94"/>
  <c r="AK76" i="94" s="1"/>
  <c r="AJ90" i="94"/>
  <c r="AK90" i="94" s="1"/>
  <c r="AJ68" i="94"/>
  <c r="AK68" i="94" s="1"/>
  <c r="AJ91" i="94"/>
  <c r="AK91" i="94" s="1"/>
  <c r="AJ69" i="94"/>
  <c r="AK69" i="94" s="1"/>
  <c r="AJ14" i="94"/>
  <c r="AK14" i="94" s="1"/>
  <c r="AJ16" i="94"/>
  <c r="AK16" i="94" s="1"/>
  <c r="AJ33" i="94"/>
  <c r="AK33" i="94" s="1"/>
  <c r="AJ67" i="94"/>
  <c r="AK67" i="94" s="1"/>
  <c r="AJ48" i="94"/>
  <c r="AK48" i="94" s="1"/>
  <c r="AJ22" i="94"/>
  <c r="AK22" i="94" s="1"/>
  <c r="AJ85" i="94"/>
  <c r="AK85" i="94" s="1"/>
  <c r="AJ62" i="94"/>
  <c r="AK62" i="94" s="1"/>
  <c r="AJ83" i="94"/>
  <c r="AK83" i="94" s="1"/>
  <c r="AJ86" i="94"/>
  <c r="AK86" i="94" s="1"/>
  <c r="AJ19" i="94"/>
  <c r="AK19" i="94" s="1"/>
  <c r="AJ23" i="94"/>
  <c r="AK23" i="94" s="1"/>
  <c r="AJ26" i="94"/>
  <c r="AK26" i="94" s="1"/>
  <c r="AJ28" i="94"/>
  <c r="AK28" i="94" s="1"/>
  <c r="AJ45" i="94"/>
  <c r="AK45" i="94" s="1"/>
  <c r="AJ57" i="94"/>
  <c r="AK57" i="94" s="1"/>
  <c r="AJ74" i="94"/>
  <c r="AK74" i="94" s="1"/>
  <c r="AJ50" i="94"/>
  <c r="AK50" i="94" s="1"/>
  <c r="AJ65" i="94"/>
  <c r="AK65" i="94" s="1"/>
  <c r="AJ84" i="94"/>
  <c r="AK84" i="94" s="1"/>
  <c r="AJ89" i="94"/>
  <c r="AK89" i="94" s="1"/>
  <c r="AJ7" i="98"/>
  <c r="AK7" i="98"/>
  <c r="AL7" i="98"/>
  <c r="AM3" i="98"/>
  <c r="AM7" i="98" s="1"/>
  <c r="AH101" i="29"/>
  <c r="AF2" i="93"/>
  <c r="AJ106" i="99" l="1"/>
  <c r="AK2" i="99"/>
  <c r="AK106" i="99" s="1"/>
  <c r="AM2" i="99"/>
  <c r="AM106" i="99" s="1"/>
  <c r="AL106" i="99"/>
  <c r="AJ92" i="94"/>
  <c r="AL92" i="94"/>
  <c r="AM2" i="94"/>
  <c r="AM92" i="94" s="1"/>
  <c r="AK92" i="94"/>
  <c r="AF2" i="30"/>
  <c r="AI2" i="30"/>
  <c r="AI16" i="62" l="1"/>
  <c r="AF16" i="62"/>
  <c r="AF7" i="62"/>
  <c r="AM7" i="62"/>
  <c r="AH26" i="62" l="1"/>
  <c r="AI7" i="62"/>
  <c r="AM16" i="62"/>
  <c r="AI2" i="92"/>
  <c r="AI3" i="92"/>
  <c r="AI5" i="92"/>
  <c r="AI4" i="92"/>
  <c r="AI6" i="92"/>
  <c r="AI8" i="92"/>
  <c r="AI12" i="92"/>
  <c r="AI11" i="92"/>
  <c r="AI9" i="92"/>
  <c r="AI16" i="92"/>
  <c r="AI18" i="92"/>
  <c r="AI13" i="92"/>
  <c r="AI17" i="92"/>
  <c r="AI15" i="92"/>
  <c r="AI10" i="92"/>
  <c r="AI14" i="92"/>
  <c r="AI19" i="92"/>
  <c r="AM2" i="92"/>
  <c r="AM3" i="92"/>
  <c r="AM5" i="92"/>
  <c r="AM4" i="92"/>
  <c r="AM6" i="92"/>
  <c r="AM8" i="92"/>
  <c r="AM12" i="92"/>
  <c r="AM11" i="92"/>
  <c r="AM9" i="92"/>
  <c r="AM16" i="92"/>
  <c r="AM18" i="92"/>
  <c r="AM13" i="92"/>
  <c r="AM17" i="92"/>
  <c r="AM15" i="92"/>
  <c r="AM10" i="92"/>
  <c r="AM14" i="92"/>
  <c r="AM19" i="92"/>
  <c r="AF2" i="92"/>
  <c r="AF3" i="92"/>
  <c r="AF5" i="92"/>
  <c r="AF4" i="92"/>
  <c r="AF6" i="92"/>
  <c r="AF7" i="92"/>
  <c r="AF8" i="92"/>
  <c r="AF12" i="92"/>
  <c r="AF11" i="92"/>
  <c r="AF9" i="92"/>
  <c r="AF16" i="92"/>
  <c r="AF18" i="92"/>
  <c r="AF13" i="92"/>
  <c r="AF17" i="92"/>
  <c r="AF15" i="92"/>
  <c r="AF10" i="92"/>
  <c r="AF14" i="92"/>
  <c r="AF19" i="92"/>
  <c r="AF20" i="92" l="1"/>
  <c r="AJ13" i="92" s="1"/>
  <c r="AK13" i="92" s="1"/>
  <c r="AI20" i="92"/>
  <c r="AM7" i="92"/>
  <c r="AM20" i="92" s="1"/>
  <c r="AI7" i="92"/>
  <c r="AI3" i="90"/>
  <c r="AI4" i="90"/>
  <c r="AI5" i="90"/>
  <c r="AI6" i="90"/>
  <c r="AI7" i="90"/>
  <c r="AI8" i="90"/>
  <c r="AF2" i="90"/>
  <c r="AF3" i="90"/>
  <c r="AF4" i="90"/>
  <c r="AF5" i="90"/>
  <c r="AF6" i="90"/>
  <c r="AF7" i="90"/>
  <c r="AF8" i="90"/>
  <c r="AI3" i="88"/>
  <c r="AI5" i="88"/>
  <c r="AI6" i="88"/>
  <c r="AL8" i="88"/>
  <c r="AM3" i="88"/>
  <c r="AM5" i="88"/>
  <c r="AM6" i="88"/>
  <c r="AF2" i="88"/>
  <c r="AF3" i="88"/>
  <c r="AF5" i="88"/>
  <c r="AF6" i="88"/>
  <c r="AI2" i="84"/>
  <c r="AI3" i="84"/>
  <c r="AI4" i="84"/>
  <c r="AI7" i="84"/>
  <c r="AI10" i="84"/>
  <c r="AI24" i="84"/>
  <c r="AI6" i="84"/>
  <c r="AI18" i="84"/>
  <c r="AI14" i="84"/>
  <c r="AI11" i="84"/>
  <c r="AI15" i="84"/>
  <c r="AI8" i="84"/>
  <c r="AI16" i="84"/>
  <c r="AI12" i="84"/>
  <c r="AI22" i="84"/>
  <c r="AI21" i="84"/>
  <c r="AI17" i="84"/>
  <c r="AI23" i="84"/>
  <c r="AI5" i="84"/>
  <c r="AM2" i="84"/>
  <c r="AM3" i="84"/>
  <c r="AM4" i="84"/>
  <c r="AM7" i="84"/>
  <c r="AM10" i="84"/>
  <c r="AM24" i="84"/>
  <c r="AM6" i="84"/>
  <c r="AM18" i="84"/>
  <c r="AM14" i="84"/>
  <c r="AM11" i="84"/>
  <c r="AM15" i="84"/>
  <c r="AM8" i="84"/>
  <c r="AM16" i="84"/>
  <c r="AM12" i="84"/>
  <c r="AM22" i="84"/>
  <c r="AM21" i="84"/>
  <c r="AM17" i="84"/>
  <c r="AM23" i="84"/>
  <c r="AM5" i="84"/>
  <c r="AF2" i="84"/>
  <c r="AF3" i="84"/>
  <c r="AF13" i="84"/>
  <c r="AF4" i="84"/>
  <c r="AF7" i="84"/>
  <c r="AF10" i="84"/>
  <c r="AF24" i="84"/>
  <c r="AF6" i="84"/>
  <c r="AF18" i="84"/>
  <c r="AF14" i="84"/>
  <c r="AF11" i="84"/>
  <c r="AF15" i="84"/>
  <c r="AF8" i="84"/>
  <c r="AF16" i="84"/>
  <c r="AF12" i="84"/>
  <c r="AF22" i="84"/>
  <c r="AF21" i="84"/>
  <c r="AF17" i="84"/>
  <c r="AF23" i="84"/>
  <c r="AF5" i="84"/>
  <c r="AI5" i="91"/>
  <c r="AI3" i="91"/>
  <c r="AI12" i="91"/>
  <c r="AI11" i="91"/>
  <c r="AI10" i="91"/>
  <c r="AI4" i="91"/>
  <c r="AI17" i="91"/>
  <c r="AI8" i="91"/>
  <c r="AI16" i="91"/>
  <c r="AI14" i="91"/>
  <c r="AI6" i="91"/>
  <c r="AI18" i="91"/>
  <c r="AI20" i="91"/>
  <c r="AI13" i="91"/>
  <c r="AI15" i="91"/>
  <c r="AI19" i="91"/>
  <c r="AF2" i="91"/>
  <c r="AF5" i="91"/>
  <c r="AF3" i="91"/>
  <c r="AF12" i="91"/>
  <c r="AF11" i="91"/>
  <c r="AF10" i="91"/>
  <c r="AF4" i="91"/>
  <c r="AF17" i="91"/>
  <c r="AF8" i="91"/>
  <c r="AF16" i="91"/>
  <c r="AF14" i="91"/>
  <c r="AF6" i="91"/>
  <c r="AF18" i="91"/>
  <c r="AF20" i="91"/>
  <c r="AF13" i="91"/>
  <c r="AF15" i="91"/>
  <c r="AF19" i="91"/>
  <c r="AJ5" i="92" l="1"/>
  <c r="AK5" i="92" s="1"/>
  <c r="AJ16" i="92"/>
  <c r="AK16" i="92" s="1"/>
  <c r="AJ7" i="92"/>
  <c r="AK7" i="92" s="1"/>
  <c r="AJ10" i="92"/>
  <c r="AK10" i="92" s="1"/>
  <c r="AJ17" i="92"/>
  <c r="AK17" i="92" s="1"/>
  <c r="AJ12" i="92"/>
  <c r="AK12" i="92" s="1"/>
  <c r="AI2" i="88"/>
  <c r="AI8" i="88" s="1"/>
  <c r="AH8" i="88"/>
  <c r="AF8" i="88"/>
  <c r="AJ6" i="88" s="1"/>
  <c r="AK6" i="88" s="1"/>
  <c r="AJ6" i="92"/>
  <c r="AK6" i="92" s="1"/>
  <c r="AJ2" i="92"/>
  <c r="AJ11" i="92"/>
  <c r="AK11" i="92" s="1"/>
  <c r="AJ14" i="92"/>
  <c r="AK14" i="92" s="1"/>
  <c r="AJ3" i="92"/>
  <c r="AK3" i="92" s="1"/>
  <c r="AJ9" i="92"/>
  <c r="AK9" i="92" s="1"/>
  <c r="AJ19" i="92"/>
  <c r="AK19" i="92" s="1"/>
  <c r="AJ8" i="92"/>
  <c r="AK8" i="92" s="1"/>
  <c r="AJ15" i="92"/>
  <c r="AK15" i="92" s="1"/>
  <c r="AJ4" i="92"/>
  <c r="AK4" i="92" s="1"/>
  <c r="AJ18" i="92"/>
  <c r="AK18" i="92" s="1"/>
  <c r="AF26" i="84"/>
  <c r="AJ9" i="84" s="1"/>
  <c r="AK9" i="84" s="1"/>
  <c r="AG21" i="91"/>
  <c r="AF21" i="91"/>
  <c r="AJ4" i="91" s="1"/>
  <c r="AK4" i="91" s="1"/>
  <c r="AM2" i="88"/>
  <c r="AM8" i="88" s="1"/>
  <c r="AG9" i="90"/>
  <c r="AH9" i="90"/>
  <c r="AI2" i="90"/>
  <c r="AI9" i="90" s="1"/>
  <c r="AF9" i="90"/>
  <c r="AJ5" i="90" s="1"/>
  <c r="AK5" i="90" s="1"/>
  <c r="AI13" i="84"/>
  <c r="AI26" i="84" s="1"/>
  <c r="AI2" i="91"/>
  <c r="AI21" i="91" s="1"/>
  <c r="AM13" i="84"/>
  <c r="AM26" i="84" s="1"/>
  <c r="AI2" i="89"/>
  <c r="AI3" i="89"/>
  <c r="AI7" i="89"/>
  <c r="AI31" i="89"/>
  <c r="AI11" i="89"/>
  <c r="AI6" i="89"/>
  <c r="AI8" i="89"/>
  <c r="AI24" i="89"/>
  <c r="AI5" i="89"/>
  <c r="AI4" i="89"/>
  <c r="AI19" i="89"/>
  <c r="AI12" i="89"/>
  <c r="AI13" i="89"/>
  <c r="AI23" i="89"/>
  <c r="AI17" i="89"/>
  <c r="AI32" i="89"/>
  <c r="AI25" i="89"/>
  <c r="AI27" i="89"/>
  <c r="AI16" i="89"/>
  <c r="AI10" i="89"/>
  <c r="AI9" i="89"/>
  <c r="AI18" i="89"/>
  <c r="AI22" i="89"/>
  <c r="AI15" i="89"/>
  <c r="AI29" i="89"/>
  <c r="AI28" i="89"/>
  <c r="AI21" i="89"/>
  <c r="AI26" i="89"/>
  <c r="AI20" i="89"/>
  <c r="AI14" i="89"/>
  <c r="AI30" i="89"/>
  <c r="AF2" i="89"/>
  <c r="AF3" i="89"/>
  <c r="AF7" i="89"/>
  <c r="AF31" i="89"/>
  <c r="AF11" i="89"/>
  <c r="AF6" i="89"/>
  <c r="AF8" i="89"/>
  <c r="AF24" i="89"/>
  <c r="AF5" i="89"/>
  <c r="AF4" i="89"/>
  <c r="AF19" i="89"/>
  <c r="AF12" i="89"/>
  <c r="AF13" i="89"/>
  <c r="AF23" i="89"/>
  <c r="AF17" i="89"/>
  <c r="AF32" i="89"/>
  <c r="AF25" i="89"/>
  <c r="AF27" i="89"/>
  <c r="AF16" i="89"/>
  <c r="AF10" i="89"/>
  <c r="AF9" i="89"/>
  <c r="AF18" i="89"/>
  <c r="AF22" i="89"/>
  <c r="AF15" i="89"/>
  <c r="AF29" i="89"/>
  <c r="AF28" i="89"/>
  <c r="AF21" i="89"/>
  <c r="AF26" i="89"/>
  <c r="AF20" i="89"/>
  <c r="AF14" i="89"/>
  <c r="AF30" i="89"/>
  <c r="AI5" i="86"/>
  <c r="AI6" i="86"/>
  <c r="AI3" i="86"/>
  <c r="AI8" i="86"/>
  <c r="AI2" i="86"/>
  <c r="AI11" i="86"/>
  <c r="AI10" i="86"/>
  <c r="AI7" i="86"/>
  <c r="AI15" i="86"/>
  <c r="AI16" i="86"/>
  <c r="AI14" i="86"/>
  <c r="AF5" i="86"/>
  <c r="AF6" i="86"/>
  <c r="AF3" i="86"/>
  <c r="AF8" i="86"/>
  <c r="AF2" i="86"/>
  <c r="AF11" i="86"/>
  <c r="AF10" i="86"/>
  <c r="AF7" i="86"/>
  <c r="AF15" i="86"/>
  <c r="AF16" i="86"/>
  <c r="AF14" i="86"/>
  <c r="AI25" i="85"/>
  <c r="AI3" i="85"/>
  <c r="AI5" i="85"/>
  <c r="AI6" i="85"/>
  <c r="AI10" i="85"/>
  <c r="AI8" i="85"/>
  <c r="AI9" i="85"/>
  <c r="AI14" i="85"/>
  <c r="AI12" i="85"/>
  <c r="AI11" i="85"/>
  <c r="AI13" i="85"/>
  <c r="AI16" i="85"/>
  <c r="AI15" i="85"/>
  <c r="AI21" i="85"/>
  <c r="AI20" i="85"/>
  <c r="AI17" i="85"/>
  <c r="AI23" i="85"/>
  <c r="AI19" i="85"/>
  <c r="AI24" i="85"/>
  <c r="AI27" i="85"/>
  <c r="AI30" i="85"/>
  <c r="AI26" i="85"/>
  <c r="AI28" i="85"/>
  <c r="AI29" i="85"/>
  <c r="AI22" i="85"/>
  <c r="AM3" i="85"/>
  <c r="AM4" i="85"/>
  <c r="AM5" i="85"/>
  <c r="AM6" i="85"/>
  <c r="AM10" i="85"/>
  <c r="AM8" i="85"/>
  <c r="AM9" i="85"/>
  <c r="AM14" i="85"/>
  <c r="AM12" i="85"/>
  <c r="AM11" i="85"/>
  <c r="AM13" i="85"/>
  <c r="AM16" i="85"/>
  <c r="AM15" i="85"/>
  <c r="AM21" i="85"/>
  <c r="AM20" i="85"/>
  <c r="AM17" i="85"/>
  <c r="AM23" i="85"/>
  <c r="AM19" i="85"/>
  <c r="AM24" i="85"/>
  <c r="AM27" i="85"/>
  <c r="AM30" i="85"/>
  <c r="AM26" i="85"/>
  <c r="AM28" i="85"/>
  <c r="AM29" i="85"/>
  <c r="AM22" i="85"/>
  <c r="AF25" i="85"/>
  <c r="AF2" i="85"/>
  <c r="AF3" i="85"/>
  <c r="AF4" i="85"/>
  <c r="AF5" i="85"/>
  <c r="AF6" i="85"/>
  <c r="AF10" i="85"/>
  <c r="AF8" i="85"/>
  <c r="AF9" i="85"/>
  <c r="AF14" i="85"/>
  <c r="AF12" i="85"/>
  <c r="AF11" i="85"/>
  <c r="AF13" i="85"/>
  <c r="AF16" i="85"/>
  <c r="AF15" i="85"/>
  <c r="AF21" i="85"/>
  <c r="AF20" i="85"/>
  <c r="AF17" i="85"/>
  <c r="AF23" i="85"/>
  <c r="AF19" i="85"/>
  <c r="AF24" i="85"/>
  <c r="AF27" i="85"/>
  <c r="AF30" i="85"/>
  <c r="AF26" i="85"/>
  <c r="AF28" i="85"/>
  <c r="AF29" i="85"/>
  <c r="AF22" i="85"/>
  <c r="AJ3" i="88" l="1"/>
  <c r="AK3" i="88" s="1"/>
  <c r="AJ4" i="88"/>
  <c r="AK4" i="88" s="1"/>
  <c r="AJ7" i="88"/>
  <c r="AK7" i="88" s="1"/>
  <c r="AJ5" i="88"/>
  <c r="AK5" i="88" s="1"/>
  <c r="AJ2" i="88"/>
  <c r="AJ19" i="84"/>
  <c r="AK19" i="84" s="1"/>
  <c r="AJ20" i="84"/>
  <c r="AK20" i="84" s="1"/>
  <c r="AJ25" i="84"/>
  <c r="AK25" i="84" s="1"/>
  <c r="AJ11" i="84"/>
  <c r="AK11" i="84" s="1"/>
  <c r="AJ14" i="91"/>
  <c r="AK14" i="91" s="1"/>
  <c r="AJ10" i="91"/>
  <c r="AK10" i="91" s="1"/>
  <c r="AJ17" i="91"/>
  <c r="AK17" i="91" s="1"/>
  <c r="AJ19" i="91"/>
  <c r="AK19" i="91" s="1"/>
  <c r="AL2" i="90"/>
  <c r="AL7" i="90"/>
  <c r="AM7" i="90" s="1"/>
  <c r="AL5" i="90"/>
  <c r="AM5" i="90" s="1"/>
  <c r="AL3" i="90"/>
  <c r="AM3" i="90" s="1"/>
  <c r="AL8" i="90"/>
  <c r="AM8" i="90" s="1"/>
  <c r="AL6" i="90"/>
  <c r="AM6" i="90" s="1"/>
  <c r="AL4" i="90"/>
  <c r="AM4" i="90" s="1"/>
  <c r="AJ7" i="90"/>
  <c r="AK7" i="90" s="1"/>
  <c r="AJ8" i="90"/>
  <c r="AK8" i="90" s="1"/>
  <c r="AJ2" i="90"/>
  <c r="AJ6" i="90"/>
  <c r="AK6" i="90" s="1"/>
  <c r="AJ3" i="90"/>
  <c r="AK3" i="90" s="1"/>
  <c r="AJ4" i="90"/>
  <c r="AK4" i="90" s="1"/>
  <c r="AF17" i="86"/>
  <c r="AJ7" i="86" s="1"/>
  <c r="AK7" i="86" s="1"/>
  <c r="AI17" i="86"/>
  <c r="AJ13" i="84"/>
  <c r="AK13" i="84" s="1"/>
  <c r="AJ22" i="84"/>
  <c r="AK22" i="84" s="1"/>
  <c r="AJ23" i="84"/>
  <c r="AK23" i="84" s="1"/>
  <c r="AJ6" i="84"/>
  <c r="AK6" i="84" s="1"/>
  <c r="AJ20" i="92"/>
  <c r="AK2" i="92"/>
  <c r="AK20" i="92"/>
  <c r="AJ6" i="91"/>
  <c r="AK6" i="91" s="1"/>
  <c r="AJ5" i="91"/>
  <c r="AK5" i="91" s="1"/>
  <c r="AJ2" i="91"/>
  <c r="AJ20" i="91"/>
  <c r="AK20" i="91" s="1"/>
  <c r="AJ15" i="91"/>
  <c r="AK15" i="91" s="1"/>
  <c r="AJ16" i="91"/>
  <c r="AK16" i="91" s="1"/>
  <c r="AJ11" i="91"/>
  <c r="AK11" i="91" s="1"/>
  <c r="AJ7" i="91"/>
  <c r="AK7" i="91" s="1"/>
  <c r="AJ9" i="91"/>
  <c r="AK9" i="91" s="1"/>
  <c r="AL2" i="91"/>
  <c r="AM2" i="91" s="1"/>
  <c r="AL13" i="91"/>
  <c r="AM13" i="91" s="1"/>
  <c r="AL10" i="91"/>
  <c r="AM10" i="91" s="1"/>
  <c r="AL19" i="91"/>
  <c r="AM19" i="91" s="1"/>
  <c r="AL17" i="91"/>
  <c r="AM17" i="91" s="1"/>
  <c r="AL6" i="91"/>
  <c r="AM6" i="91" s="1"/>
  <c r="AL18" i="91"/>
  <c r="AM18" i="91" s="1"/>
  <c r="AL15" i="91"/>
  <c r="AM15" i="91" s="1"/>
  <c r="AL7" i="91"/>
  <c r="AM7" i="91" s="1"/>
  <c r="AL11" i="91"/>
  <c r="AM11" i="91" s="1"/>
  <c r="AL3" i="91"/>
  <c r="AM3" i="91" s="1"/>
  <c r="AL8" i="91"/>
  <c r="AM8" i="91" s="1"/>
  <c r="AL5" i="91"/>
  <c r="AM5" i="91" s="1"/>
  <c r="AL9" i="91"/>
  <c r="AM9" i="91" s="1"/>
  <c r="AL20" i="91"/>
  <c r="AM20" i="91" s="1"/>
  <c r="AL14" i="91"/>
  <c r="AM14" i="91" s="1"/>
  <c r="AL4" i="91"/>
  <c r="AM4" i="91" s="1"/>
  <c r="AL12" i="91"/>
  <c r="AL16" i="91"/>
  <c r="AM16" i="91" s="1"/>
  <c r="AJ12" i="91"/>
  <c r="AK12" i="91" s="1"/>
  <c r="AJ8" i="91"/>
  <c r="AK8" i="91" s="1"/>
  <c r="AJ3" i="91"/>
  <c r="AK3" i="91" s="1"/>
  <c r="AJ18" i="91"/>
  <c r="AK18" i="91" s="1"/>
  <c r="AJ13" i="91"/>
  <c r="AK13" i="91" s="1"/>
  <c r="AJ18" i="84"/>
  <c r="AK18" i="84" s="1"/>
  <c r="AJ21" i="84"/>
  <c r="AJ10" i="84"/>
  <c r="AK10" i="84" s="1"/>
  <c r="AJ16" i="84"/>
  <c r="AK16" i="84" s="1"/>
  <c r="AJ2" i="84"/>
  <c r="AK2" i="84" s="1"/>
  <c r="AJ24" i="84"/>
  <c r="AK24" i="84" s="1"/>
  <c r="AJ12" i="84"/>
  <c r="AK12" i="84" s="1"/>
  <c r="AJ4" i="84"/>
  <c r="AK4" i="84" s="1"/>
  <c r="AJ15" i="84"/>
  <c r="AK15" i="84" s="1"/>
  <c r="AJ5" i="84"/>
  <c r="AK5" i="84" s="1"/>
  <c r="AJ7" i="84"/>
  <c r="AK7" i="84" s="1"/>
  <c r="AJ8" i="84"/>
  <c r="AK8" i="84" s="1"/>
  <c r="AJ3" i="84"/>
  <c r="AK3" i="84" s="1"/>
  <c r="AJ14" i="84"/>
  <c r="AK14" i="84" s="1"/>
  <c r="AJ17" i="84"/>
  <c r="AK17" i="84" s="1"/>
  <c r="AF31" i="85"/>
  <c r="AI2" i="85"/>
  <c r="AH31" i="85"/>
  <c r="AM2" i="85"/>
  <c r="AL31" i="85"/>
  <c r="AM12" i="91"/>
  <c r="AI33" i="89"/>
  <c r="AF33" i="89"/>
  <c r="AJ26" i="89" s="1"/>
  <c r="AK26" i="89" s="1"/>
  <c r="AG33" i="89"/>
  <c r="AH33" i="89"/>
  <c r="AL9" i="90"/>
  <c r="AM2" i="90"/>
  <c r="AM9" i="90" s="1"/>
  <c r="AM14" i="86"/>
  <c r="AM10" i="86"/>
  <c r="AM3" i="86"/>
  <c r="AM16" i="86"/>
  <c r="AM11" i="86"/>
  <c r="AM6" i="86"/>
  <c r="AM15" i="86"/>
  <c r="AM2" i="86"/>
  <c r="AM7" i="86"/>
  <c r="AM8" i="86"/>
  <c r="AK2" i="91"/>
  <c r="AM25" i="85"/>
  <c r="AI4" i="85"/>
  <c r="AI10" i="73"/>
  <c r="AI15" i="73"/>
  <c r="AI13" i="73"/>
  <c r="AI20" i="73"/>
  <c r="AI18" i="73"/>
  <c r="AI16" i="73"/>
  <c r="AI22" i="73"/>
  <c r="AI21" i="73"/>
  <c r="AI23" i="73"/>
  <c r="AI26" i="73"/>
  <c r="AI25" i="73"/>
  <c r="AF10" i="73"/>
  <c r="AF13" i="73"/>
  <c r="AF18" i="73"/>
  <c r="AF20" i="73"/>
  <c r="AF15" i="73"/>
  <c r="AF17" i="73"/>
  <c r="AF16" i="73"/>
  <c r="AF22" i="73"/>
  <c r="AF21" i="73"/>
  <c r="AF23" i="73"/>
  <c r="AF26" i="73"/>
  <c r="AF25" i="73"/>
  <c r="AI17" i="73"/>
  <c r="AI4" i="87"/>
  <c r="AI3" i="87"/>
  <c r="AI5" i="87"/>
  <c r="AI14" i="87"/>
  <c r="AI6" i="87"/>
  <c r="AI12" i="87"/>
  <c r="AI7" i="87"/>
  <c r="AI13" i="87"/>
  <c r="AI10" i="87"/>
  <c r="AI8" i="87"/>
  <c r="AI9" i="87"/>
  <c r="AI11" i="87"/>
  <c r="AM4" i="87"/>
  <c r="AM3" i="87"/>
  <c r="AM5" i="87"/>
  <c r="AM14" i="87"/>
  <c r="AM6" i="87"/>
  <c r="AM12" i="87"/>
  <c r="AM7" i="87"/>
  <c r="AM13" i="87"/>
  <c r="AM10" i="87"/>
  <c r="AM8" i="87"/>
  <c r="AM9" i="87"/>
  <c r="AM11" i="87"/>
  <c r="AF2" i="87"/>
  <c r="AF4" i="87"/>
  <c r="AF3" i="87"/>
  <c r="AF5" i="87"/>
  <c r="AF14" i="87"/>
  <c r="AF6" i="87"/>
  <c r="AF12" i="87"/>
  <c r="AF7" i="87"/>
  <c r="AF13" i="87"/>
  <c r="AF10" i="87"/>
  <c r="AF8" i="87"/>
  <c r="AF9" i="87"/>
  <c r="AF11" i="87"/>
  <c r="AJ18" i="85" l="1"/>
  <c r="AK18" i="85" s="1"/>
  <c r="AJ7" i="85"/>
  <c r="AK7" i="85" s="1"/>
  <c r="AJ4" i="85"/>
  <c r="AK4" i="85" s="1"/>
  <c r="AJ11" i="85"/>
  <c r="AK11" i="85" s="1"/>
  <c r="AJ19" i="85"/>
  <c r="AK19" i="85" s="1"/>
  <c r="AJ14" i="85"/>
  <c r="AK14" i="85" s="1"/>
  <c r="AJ27" i="85"/>
  <c r="AK27" i="85" s="1"/>
  <c r="AJ10" i="85"/>
  <c r="AK10" i="85" s="1"/>
  <c r="AJ15" i="85"/>
  <c r="AK15" i="85" s="1"/>
  <c r="AJ30" i="85"/>
  <c r="AK30" i="85" s="1"/>
  <c r="AJ26" i="85"/>
  <c r="AK26" i="85" s="1"/>
  <c r="AJ9" i="85"/>
  <c r="AK9" i="85" s="1"/>
  <c r="AJ20" i="85"/>
  <c r="AK20" i="85" s="1"/>
  <c r="AJ28" i="85"/>
  <c r="AK28" i="85" s="1"/>
  <c r="AJ2" i="85"/>
  <c r="AK2" i="85" s="1"/>
  <c r="AJ8" i="85"/>
  <c r="AK8" i="85" s="1"/>
  <c r="AJ21" i="85"/>
  <c r="AK21" i="85" s="1"/>
  <c r="AJ25" i="85"/>
  <c r="AJ6" i="85"/>
  <c r="AK6" i="85" s="1"/>
  <c r="AJ16" i="85"/>
  <c r="AK16" i="85" s="1"/>
  <c r="AJ3" i="85"/>
  <c r="AK3" i="85" s="1"/>
  <c r="AJ12" i="85"/>
  <c r="AK12" i="85" s="1"/>
  <c r="AJ23" i="85"/>
  <c r="AK23" i="85" s="1"/>
  <c r="AJ22" i="85"/>
  <c r="AK22" i="85" s="1"/>
  <c r="AJ29" i="85"/>
  <c r="AK29" i="85" s="1"/>
  <c r="AJ5" i="85"/>
  <c r="AK5" i="85" s="1"/>
  <c r="AJ13" i="85"/>
  <c r="AK13" i="85" s="1"/>
  <c r="AJ24" i="85"/>
  <c r="AK24" i="85" s="1"/>
  <c r="AJ17" i="85"/>
  <c r="AK17" i="85" s="1"/>
  <c r="AJ8" i="88"/>
  <c r="AK2" i="88"/>
  <c r="AK8" i="88" s="1"/>
  <c r="AK21" i="91"/>
  <c r="AJ21" i="91"/>
  <c r="AK2" i="90"/>
  <c r="AK9" i="90" s="1"/>
  <c r="AJ9" i="90"/>
  <c r="AJ5" i="89"/>
  <c r="AK5" i="89" s="1"/>
  <c r="AJ25" i="89"/>
  <c r="AK25" i="89" s="1"/>
  <c r="AJ29" i="89"/>
  <c r="AK29" i="89" s="1"/>
  <c r="AJ6" i="89"/>
  <c r="AK6" i="89" s="1"/>
  <c r="AJ23" i="89"/>
  <c r="AK23" i="89" s="1"/>
  <c r="AJ18" i="89"/>
  <c r="AK18" i="89" s="1"/>
  <c r="AJ14" i="89"/>
  <c r="AK14" i="89" s="1"/>
  <c r="AJ8" i="89"/>
  <c r="AK8" i="89" s="1"/>
  <c r="AJ17" i="89"/>
  <c r="AK17" i="89" s="1"/>
  <c r="AJ22" i="89"/>
  <c r="AK22" i="89" s="1"/>
  <c r="AJ30" i="89"/>
  <c r="AK30" i="89" s="1"/>
  <c r="AJ24" i="89"/>
  <c r="AK24" i="89" s="1"/>
  <c r="AJ32" i="89"/>
  <c r="AK32" i="89" s="1"/>
  <c r="AJ15" i="89"/>
  <c r="AK15" i="89" s="1"/>
  <c r="AJ2" i="89"/>
  <c r="AL26" i="89"/>
  <c r="AM26" i="89" s="1"/>
  <c r="AL32" i="89"/>
  <c r="AM32" i="89" s="1"/>
  <c r="AL24" i="89"/>
  <c r="AM24" i="89" s="1"/>
  <c r="AL2" i="89"/>
  <c r="AL4" i="89"/>
  <c r="AM4" i="89" s="1"/>
  <c r="AL10" i="89"/>
  <c r="AM10" i="89" s="1"/>
  <c r="AL6" i="89"/>
  <c r="AM6" i="89" s="1"/>
  <c r="AL27" i="89"/>
  <c r="AM27" i="89" s="1"/>
  <c r="AL30" i="89"/>
  <c r="AM30" i="89" s="1"/>
  <c r="AL25" i="89"/>
  <c r="AM25" i="89" s="1"/>
  <c r="AL11" i="89"/>
  <c r="AM11" i="89" s="1"/>
  <c r="AL20" i="89"/>
  <c r="AM20" i="89" s="1"/>
  <c r="AL29" i="89"/>
  <c r="AM29" i="89" s="1"/>
  <c r="AL15" i="89"/>
  <c r="AM15" i="89" s="1"/>
  <c r="AL3" i="89"/>
  <c r="AM3" i="89" s="1"/>
  <c r="AL28" i="89"/>
  <c r="AM28" i="89" s="1"/>
  <c r="AL17" i="89"/>
  <c r="AM17" i="89" s="1"/>
  <c r="AL9" i="89"/>
  <c r="AM9" i="89" s="1"/>
  <c r="AL22" i="89"/>
  <c r="AM22" i="89" s="1"/>
  <c r="AL13" i="89"/>
  <c r="AM13" i="89" s="1"/>
  <c r="AL21" i="89"/>
  <c r="AM21" i="89" s="1"/>
  <c r="AL19" i="89"/>
  <c r="AM19" i="89" s="1"/>
  <c r="AL7" i="89"/>
  <c r="AM7" i="89" s="1"/>
  <c r="AL5" i="89"/>
  <c r="AM5" i="89" s="1"/>
  <c r="AL8" i="89"/>
  <c r="AM8" i="89" s="1"/>
  <c r="AL18" i="89"/>
  <c r="AM18" i="89" s="1"/>
  <c r="AL14" i="89"/>
  <c r="AM14" i="89" s="1"/>
  <c r="AL31" i="89"/>
  <c r="AM31" i="89" s="1"/>
  <c r="AL23" i="89"/>
  <c r="AM23" i="89" s="1"/>
  <c r="AL16" i="89"/>
  <c r="AM16" i="89" s="1"/>
  <c r="AL12" i="89"/>
  <c r="AM12" i="89" s="1"/>
  <c r="AJ11" i="89"/>
  <c r="AK11" i="89" s="1"/>
  <c r="AJ13" i="89"/>
  <c r="AK13" i="89" s="1"/>
  <c r="AJ9" i="89"/>
  <c r="AK9" i="89" s="1"/>
  <c r="AJ20" i="89"/>
  <c r="AK20" i="89" s="1"/>
  <c r="AJ3" i="89"/>
  <c r="AK3" i="89" s="1"/>
  <c r="AJ4" i="89"/>
  <c r="AK4" i="89" s="1"/>
  <c r="AJ27" i="89"/>
  <c r="AK27" i="89" s="1"/>
  <c r="AJ28" i="89"/>
  <c r="AK28" i="89" s="1"/>
  <c r="AJ7" i="89"/>
  <c r="AK7" i="89" s="1"/>
  <c r="AJ19" i="89"/>
  <c r="AK19" i="89" s="1"/>
  <c r="AJ16" i="89"/>
  <c r="AK16" i="89" s="1"/>
  <c r="AJ21" i="89"/>
  <c r="AK21" i="89" s="1"/>
  <c r="AJ31" i="89"/>
  <c r="AK31" i="89" s="1"/>
  <c r="AJ12" i="89"/>
  <c r="AK12" i="89" s="1"/>
  <c r="AJ10" i="89"/>
  <c r="AK10" i="89" s="1"/>
  <c r="AJ13" i="86"/>
  <c r="AK13" i="86" s="1"/>
  <c r="AJ12" i="86"/>
  <c r="AK12" i="86" s="1"/>
  <c r="AJ9" i="86"/>
  <c r="AK9" i="86" s="1"/>
  <c r="AJ4" i="86"/>
  <c r="AK4" i="86" s="1"/>
  <c r="AJ5" i="86"/>
  <c r="AK5" i="86" s="1"/>
  <c r="AJ6" i="86"/>
  <c r="AK6" i="86" s="1"/>
  <c r="AJ3" i="86"/>
  <c r="AK3" i="86" s="1"/>
  <c r="AJ2" i="86"/>
  <c r="AK2" i="86" s="1"/>
  <c r="AJ11" i="86"/>
  <c r="AK11" i="86" s="1"/>
  <c r="AJ10" i="86"/>
  <c r="AK10" i="86" s="1"/>
  <c r="AJ8" i="86"/>
  <c r="AK8" i="86" s="1"/>
  <c r="AJ15" i="86"/>
  <c r="AK15" i="86" s="1"/>
  <c r="AJ16" i="86"/>
  <c r="AJ14" i="86"/>
  <c r="AK14" i="86" s="1"/>
  <c r="AF17" i="87"/>
  <c r="AJ13" i="87" s="1"/>
  <c r="AK13" i="87" s="1"/>
  <c r="AL21" i="91"/>
  <c r="AM21" i="91"/>
  <c r="AJ26" i="84"/>
  <c r="AK21" i="84"/>
  <c r="AK26" i="84" s="1"/>
  <c r="AI31" i="85"/>
  <c r="AM31" i="85"/>
  <c r="AJ31" i="85"/>
  <c r="AM5" i="86"/>
  <c r="AM17" i="86" s="1"/>
  <c r="AK25" i="85"/>
  <c r="AH27" i="73"/>
  <c r="AI2" i="87"/>
  <c r="AI17" i="87" s="1"/>
  <c r="AI3" i="83"/>
  <c r="AI13" i="83"/>
  <c r="AI10" i="83"/>
  <c r="AI15" i="83"/>
  <c r="AI21" i="83"/>
  <c r="AI23" i="83"/>
  <c r="AI24" i="83"/>
  <c r="AI19" i="83"/>
  <c r="AI8" i="83"/>
  <c r="AI4" i="83"/>
  <c r="AI9" i="83"/>
  <c r="AI14" i="83"/>
  <c r="AI26" i="83"/>
  <c r="AI20" i="83"/>
  <c r="AI27" i="83"/>
  <c r="AI16" i="83"/>
  <c r="AM3" i="83"/>
  <c r="AM13" i="83"/>
  <c r="AM10" i="83"/>
  <c r="AM15" i="83"/>
  <c r="AM21" i="83"/>
  <c r="AM23" i="83"/>
  <c r="AM24" i="83"/>
  <c r="AM19" i="83"/>
  <c r="AM8" i="83"/>
  <c r="AM4" i="83"/>
  <c r="AM9" i="83"/>
  <c r="AM14" i="83"/>
  <c r="AM26" i="83"/>
  <c r="AM20" i="83"/>
  <c r="AM27" i="83"/>
  <c r="AM16" i="83"/>
  <c r="AF3" i="83"/>
  <c r="AF13" i="83"/>
  <c r="AF10" i="83"/>
  <c r="AF15" i="83"/>
  <c r="AF21" i="83"/>
  <c r="AF23" i="83"/>
  <c r="AF24" i="83"/>
  <c r="AF19" i="83"/>
  <c r="AF2" i="83"/>
  <c r="AF8" i="83"/>
  <c r="AF4" i="83"/>
  <c r="AF9" i="83"/>
  <c r="AF14" i="83"/>
  <c r="AF26" i="83"/>
  <c r="AF20" i="83"/>
  <c r="AF27" i="83"/>
  <c r="AF16" i="83"/>
  <c r="AI9" i="81"/>
  <c r="AI10" i="81"/>
  <c r="AF10" i="81"/>
  <c r="AF9" i="81"/>
  <c r="AL33" i="89" l="1"/>
  <c r="AM2" i="89"/>
  <c r="AM33" i="89" s="1"/>
  <c r="AK2" i="89"/>
  <c r="AK33" i="89" s="1"/>
  <c r="AJ33" i="89"/>
  <c r="AJ17" i="86"/>
  <c r="AK16" i="86"/>
  <c r="AK17" i="86" s="1"/>
  <c r="AF28" i="83"/>
  <c r="AI2" i="83"/>
  <c r="AI28" i="83" s="1"/>
  <c r="AH28" i="83"/>
  <c r="AJ6" i="87"/>
  <c r="AK6" i="87" s="1"/>
  <c r="AJ3" i="87"/>
  <c r="AJ8" i="87"/>
  <c r="AK8" i="87" s="1"/>
  <c r="AJ7" i="87"/>
  <c r="AK7" i="87" s="1"/>
  <c r="AJ2" i="87"/>
  <c r="AK2" i="87" s="1"/>
  <c r="AJ16" i="87"/>
  <c r="AK16" i="87" s="1"/>
  <c r="AJ15" i="87"/>
  <c r="AK15" i="87" s="1"/>
  <c r="AJ4" i="87"/>
  <c r="AK4" i="87" s="1"/>
  <c r="AJ10" i="87"/>
  <c r="AK10" i="87" s="1"/>
  <c r="AJ12" i="87"/>
  <c r="AK12" i="87" s="1"/>
  <c r="AJ5" i="87"/>
  <c r="AK5" i="87" s="1"/>
  <c r="AJ9" i="87"/>
  <c r="AK9" i="87" s="1"/>
  <c r="AJ14" i="87"/>
  <c r="AK14" i="87" s="1"/>
  <c r="AJ11" i="87"/>
  <c r="AK11" i="87" s="1"/>
  <c r="AK31" i="85"/>
  <c r="AM2" i="87"/>
  <c r="AM17" i="87" s="1"/>
  <c r="AM10" i="81"/>
  <c r="AM9" i="81"/>
  <c r="AI17" i="23"/>
  <c r="AF17" i="23"/>
  <c r="AJ14" i="83" l="1"/>
  <c r="AK14" i="83" s="1"/>
  <c r="AJ5" i="83"/>
  <c r="AK5" i="83" s="1"/>
  <c r="AJ13" i="83"/>
  <c r="AK13" i="83" s="1"/>
  <c r="AJ8" i="83"/>
  <c r="AK8" i="83" s="1"/>
  <c r="AJ16" i="83"/>
  <c r="AK16" i="83" s="1"/>
  <c r="AJ24" i="83"/>
  <c r="AK24" i="83" s="1"/>
  <c r="AJ20" i="83"/>
  <c r="AK20" i="83" s="1"/>
  <c r="AJ19" i="83"/>
  <c r="AK19" i="83" s="1"/>
  <c r="AJ27" i="83"/>
  <c r="AK27" i="83" s="1"/>
  <c r="AJ21" i="83"/>
  <c r="AK21" i="83" s="1"/>
  <c r="AJ23" i="83"/>
  <c r="AK23" i="83" s="1"/>
  <c r="AJ26" i="83"/>
  <c r="AK26" i="83" s="1"/>
  <c r="AJ10" i="83"/>
  <c r="AK10" i="83" s="1"/>
  <c r="AJ4" i="83"/>
  <c r="AK4" i="83" s="1"/>
  <c r="AJ15" i="83"/>
  <c r="AK15" i="83" s="1"/>
  <c r="AJ9" i="83"/>
  <c r="AK9" i="83" s="1"/>
  <c r="AJ22" i="83"/>
  <c r="AK22" i="83" s="1"/>
  <c r="AJ18" i="83"/>
  <c r="AK18" i="83" s="1"/>
  <c r="AJ17" i="83"/>
  <c r="AK17" i="83" s="1"/>
  <c r="AJ25" i="83"/>
  <c r="AK25" i="83" s="1"/>
  <c r="AJ7" i="83"/>
  <c r="AK7" i="83" s="1"/>
  <c r="AJ12" i="83"/>
  <c r="AK12" i="83" s="1"/>
  <c r="AJ6" i="83"/>
  <c r="AK6" i="83" s="1"/>
  <c r="AJ11" i="83"/>
  <c r="AK11" i="83" s="1"/>
  <c r="AJ3" i="83"/>
  <c r="AK3" i="83" s="1"/>
  <c r="AJ2" i="83"/>
  <c r="AM2" i="83"/>
  <c r="AM28" i="83" s="1"/>
  <c r="AL28" i="83"/>
  <c r="AJ17" i="87"/>
  <c r="AK3" i="87"/>
  <c r="AK17" i="87" s="1"/>
  <c r="AM17" i="23"/>
  <c r="AI3" i="18"/>
  <c r="AF3" i="18"/>
  <c r="AM3" i="18"/>
  <c r="AI14" i="77"/>
  <c r="AI48" i="77"/>
  <c r="AI5" i="77"/>
  <c r="AI41" i="77"/>
  <c r="AI31" i="77"/>
  <c r="AI21" i="77"/>
  <c r="AI52" i="77"/>
  <c r="AI30" i="77"/>
  <c r="AI36" i="77"/>
  <c r="AI44" i="77"/>
  <c r="AI25" i="77"/>
  <c r="AI23" i="77"/>
  <c r="AI22" i="77"/>
  <c r="AI24" i="77"/>
  <c r="AF24" i="77"/>
  <c r="AF22" i="77"/>
  <c r="AF23" i="77"/>
  <c r="AF25" i="77"/>
  <c r="AM25" i="77"/>
  <c r="AF44" i="77"/>
  <c r="AM44" i="77"/>
  <c r="AF36" i="77"/>
  <c r="AF30" i="77"/>
  <c r="AM30" i="77"/>
  <c r="AF20" i="77"/>
  <c r="AI20" i="77"/>
  <c r="AF52" i="77"/>
  <c r="AM52" i="77"/>
  <c r="AF21" i="77"/>
  <c r="AM21" i="77"/>
  <c r="AF31" i="77"/>
  <c r="AF41" i="77"/>
  <c r="AM41" i="77"/>
  <c r="AF47" i="77"/>
  <c r="AM47" i="77"/>
  <c r="AI47" i="77"/>
  <c r="AF5" i="77"/>
  <c r="AF48" i="77"/>
  <c r="AM48" i="77"/>
  <c r="AF14" i="77"/>
  <c r="AJ28" i="83" l="1"/>
  <c r="AK2" i="83"/>
  <c r="AK28" i="83" s="1"/>
  <c r="AH83" i="77"/>
  <c r="AH70" i="18"/>
  <c r="AM22" i="77"/>
  <c r="AM36" i="77"/>
  <c r="AM5" i="77"/>
  <c r="AM24" i="77"/>
  <c r="AM20" i="77"/>
  <c r="AM14" i="77"/>
  <c r="AM23" i="77"/>
  <c r="AM31" i="77"/>
  <c r="AI28" i="58"/>
  <c r="AF28" i="58"/>
  <c r="AM28" i="58" l="1"/>
  <c r="AI12" i="63" l="1"/>
  <c r="AI11" i="63"/>
  <c r="AI8" i="63"/>
  <c r="AI13" i="63"/>
  <c r="AI25" i="63"/>
  <c r="AI14" i="63"/>
  <c r="AI17" i="63"/>
  <c r="AI24" i="63"/>
  <c r="AI22" i="63"/>
  <c r="AI10" i="63"/>
  <c r="AI18" i="63"/>
  <c r="AI27" i="63"/>
  <c r="AF27" i="63"/>
  <c r="AF18" i="63"/>
  <c r="AF10" i="63"/>
  <c r="AF22" i="63"/>
  <c r="AF24" i="63"/>
  <c r="AF17" i="63"/>
  <c r="AF14" i="63"/>
  <c r="AF25" i="63"/>
  <c r="AF13" i="63"/>
  <c r="AF8" i="63"/>
  <c r="AF11" i="63"/>
  <c r="AF12" i="63"/>
  <c r="AH29" i="63" l="1"/>
  <c r="AI12" i="55" l="1"/>
  <c r="AI15" i="55"/>
  <c r="AI11" i="55"/>
  <c r="AI17" i="55"/>
  <c r="AI13" i="55"/>
  <c r="AF13" i="55"/>
  <c r="AF17" i="55"/>
  <c r="AF12" i="55"/>
  <c r="AF14" i="55"/>
  <c r="AI14" i="55"/>
  <c r="AF15" i="55"/>
  <c r="AF11" i="55"/>
  <c r="AH19" i="55" l="1"/>
  <c r="AI27" i="28"/>
  <c r="AF27" i="28"/>
  <c r="AM27" i="28" l="1"/>
  <c r="AI4" i="35"/>
  <c r="AI7" i="35"/>
  <c r="AI10" i="35"/>
  <c r="AI31" i="35"/>
  <c r="AF2" i="35"/>
  <c r="AF6" i="35"/>
  <c r="AF17" i="35"/>
  <c r="AF31" i="35"/>
  <c r="AM6" i="35"/>
  <c r="AM17" i="35"/>
  <c r="AI2" i="35"/>
  <c r="AI6" i="35"/>
  <c r="AI17" i="35"/>
  <c r="AF4" i="35"/>
  <c r="AF7" i="35"/>
  <c r="AF10" i="35"/>
  <c r="AI9" i="37"/>
  <c r="AI5" i="37"/>
  <c r="AI28" i="37"/>
  <c r="AI16" i="37"/>
  <c r="AM9" i="37"/>
  <c r="AM5" i="37"/>
  <c r="AM28" i="37"/>
  <c r="AF6" i="37"/>
  <c r="AF2" i="37"/>
  <c r="AF31" i="37"/>
  <c r="AF9" i="37"/>
  <c r="AF16" i="37"/>
  <c r="AF5" i="37"/>
  <c r="AF28" i="37"/>
  <c r="AH53" i="35" l="1"/>
  <c r="AM31" i="35"/>
  <c r="AM4" i="35"/>
  <c r="AM10" i="35"/>
  <c r="AM7" i="35"/>
  <c r="AM16" i="37"/>
  <c r="AM2" i="35" l="1"/>
  <c r="AI32" i="46"/>
  <c r="AI40" i="46"/>
  <c r="AI55" i="46"/>
  <c r="AI61" i="46"/>
  <c r="AI79" i="46"/>
  <c r="AI29" i="46"/>
  <c r="AI57" i="46"/>
  <c r="AI24" i="46"/>
  <c r="AI94" i="46"/>
  <c r="AI91" i="46"/>
  <c r="AI2" i="46"/>
  <c r="AI149" i="46"/>
  <c r="AI31" i="46"/>
  <c r="AI33" i="46"/>
  <c r="AI20" i="46"/>
  <c r="AI93" i="46"/>
  <c r="AF93" i="46"/>
  <c r="AM93" i="46"/>
  <c r="AF33" i="46"/>
  <c r="AF20" i="46"/>
  <c r="AF91" i="46"/>
  <c r="AF2" i="46"/>
  <c r="AF149" i="46"/>
  <c r="AF31" i="46"/>
  <c r="AM91" i="46"/>
  <c r="AM2" i="46"/>
  <c r="AM31" i="46"/>
  <c r="AF24" i="46"/>
  <c r="AF94" i="46"/>
  <c r="AF57" i="46"/>
  <c r="AF29" i="46"/>
  <c r="AM29" i="46"/>
  <c r="AF101" i="46"/>
  <c r="AF55" i="46"/>
  <c r="AF61" i="46"/>
  <c r="AF79" i="46"/>
  <c r="AM101" i="46"/>
  <c r="AM55" i="46"/>
  <c r="AM61" i="46"/>
  <c r="AM79" i="46"/>
  <c r="AI101" i="46"/>
  <c r="AF40" i="46"/>
  <c r="AM40" i="46"/>
  <c r="AF32" i="46"/>
  <c r="AM32" i="46"/>
  <c r="AI2" i="82"/>
  <c r="AI3" i="82"/>
  <c r="AI25" i="82"/>
  <c r="AI12" i="82"/>
  <c r="AI15" i="82"/>
  <c r="AI16" i="82"/>
  <c r="AI11" i="82"/>
  <c r="AI18" i="82"/>
  <c r="AI27" i="82"/>
  <c r="AI10" i="82"/>
  <c r="AI17" i="82"/>
  <c r="AI30" i="82"/>
  <c r="AI13" i="82"/>
  <c r="AI31" i="82"/>
  <c r="AI20" i="82"/>
  <c r="AI22" i="82"/>
  <c r="AI29" i="82"/>
  <c r="AI19" i="82"/>
  <c r="AI4" i="82"/>
  <c r="AI6" i="82"/>
  <c r="AI23" i="82"/>
  <c r="AI8" i="82"/>
  <c r="AI26" i="82"/>
  <c r="AI24" i="82"/>
  <c r="AI28" i="82"/>
  <c r="AI21" i="82"/>
  <c r="AI9" i="82"/>
  <c r="AI32" i="82"/>
  <c r="AI33" i="82"/>
  <c r="AI7" i="82"/>
  <c r="AI5" i="82"/>
  <c r="AM24" i="82"/>
  <c r="AF29" i="82"/>
  <c r="AF19" i="82"/>
  <c r="AF15" i="82"/>
  <c r="AF11" i="82"/>
  <c r="AF23" i="82"/>
  <c r="AF25" i="82"/>
  <c r="AF18" i="82"/>
  <c r="AF10" i="82"/>
  <c r="AF17" i="82"/>
  <c r="AF7" i="82"/>
  <c r="AF9" i="82"/>
  <c r="AF24" i="82"/>
  <c r="AF28" i="82"/>
  <c r="AF2" i="82"/>
  <c r="AF30" i="82"/>
  <c r="AF16" i="82"/>
  <c r="AF6" i="82"/>
  <c r="AF33" i="82"/>
  <c r="AF8" i="82"/>
  <c r="AF26" i="82"/>
  <c r="AF21" i="82"/>
  <c r="AF27" i="82"/>
  <c r="AF12" i="82"/>
  <c r="AF14" i="82"/>
  <c r="AF5" i="82"/>
  <c r="AF3" i="82"/>
  <c r="AF32" i="82"/>
  <c r="AF31" i="82"/>
  <c r="AF20" i="82"/>
  <c r="AF22" i="82"/>
  <c r="AF13" i="82"/>
  <c r="AF4" i="82"/>
  <c r="AF34" i="82" l="1"/>
  <c r="AJ4" i="82" s="1"/>
  <c r="AM6" i="82"/>
  <c r="AM31" i="82"/>
  <c r="AM14" i="82"/>
  <c r="AM26" i="82"/>
  <c r="AM13" i="82"/>
  <c r="AM16" i="82"/>
  <c r="AM7" i="82"/>
  <c r="AM32" i="82"/>
  <c r="AM10" i="82"/>
  <c r="AM29" i="82"/>
  <c r="AM21" i="82"/>
  <c r="AM8" i="82"/>
  <c r="AM22" i="82"/>
  <c r="AM30" i="82"/>
  <c r="AM15" i="82"/>
  <c r="AM4" i="82"/>
  <c r="AM3" i="82"/>
  <c r="AM27" i="82"/>
  <c r="AM9" i="82"/>
  <c r="AM18" i="82"/>
  <c r="AM33" i="82"/>
  <c r="AM20" i="46"/>
  <c r="AM24" i="46"/>
  <c r="AM149" i="46"/>
  <c r="AM94" i="46"/>
  <c r="AM57" i="46"/>
  <c r="AM33" i="46"/>
  <c r="AM20" i="82"/>
  <c r="AM28" i="82"/>
  <c r="AM25" i="82"/>
  <c r="AM17" i="82"/>
  <c r="AM23" i="82"/>
  <c r="AM19" i="82"/>
  <c r="AM12" i="82"/>
  <c r="AM11" i="82"/>
  <c r="AI14" i="82"/>
  <c r="AI34" i="82" s="1"/>
  <c r="AM2" i="82"/>
  <c r="AJ18" i="82" l="1"/>
  <c r="AK18" i="82" s="1"/>
  <c r="AJ31" i="82"/>
  <c r="AK31" i="82" s="1"/>
  <c r="AJ28" i="82"/>
  <c r="AK28" i="82" s="1"/>
  <c r="AJ20" i="82"/>
  <c r="AK20" i="82" s="1"/>
  <c r="AJ2" i="82"/>
  <c r="AK2" i="82" s="1"/>
  <c r="AJ33" i="82"/>
  <c r="AK33" i="82" s="1"/>
  <c r="AJ9" i="82"/>
  <c r="AK9" i="82" s="1"/>
  <c r="AJ24" i="82"/>
  <c r="AK24" i="82" s="1"/>
  <c r="AJ29" i="82"/>
  <c r="AK29" i="82" s="1"/>
  <c r="AJ25" i="82"/>
  <c r="AK25" i="82" s="1"/>
  <c r="AJ22" i="82"/>
  <c r="AK22" i="82" s="1"/>
  <c r="AJ32" i="82"/>
  <c r="AK32" i="82" s="1"/>
  <c r="AJ16" i="82"/>
  <c r="AK16" i="82" s="1"/>
  <c r="AJ6" i="82"/>
  <c r="AK6" i="82" s="1"/>
  <c r="AJ27" i="82"/>
  <c r="AK27" i="82" s="1"/>
  <c r="AJ30" i="82"/>
  <c r="AK30" i="82" s="1"/>
  <c r="AJ11" i="82"/>
  <c r="AK11" i="82" s="1"/>
  <c r="AJ23" i="82"/>
  <c r="AJ21" i="82"/>
  <c r="AK21" i="82" s="1"/>
  <c r="AJ7" i="82"/>
  <c r="AK7" i="82" s="1"/>
  <c r="AJ3" i="82"/>
  <c r="AK3" i="82" s="1"/>
  <c r="AJ15" i="82"/>
  <c r="AK15" i="82" s="1"/>
  <c r="AJ8" i="82"/>
  <c r="AK8" i="82" s="1"/>
  <c r="AJ13" i="82"/>
  <c r="AK13" i="82" s="1"/>
  <c r="AJ14" i="82"/>
  <c r="AK14" i="82" s="1"/>
  <c r="AJ26" i="82"/>
  <c r="AK26" i="82" s="1"/>
  <c r="AJ17" i="82"/>
  <c r="AK17" i="82" s="1"/>
  <c r="AJ5" i="82"/>
  <c r="AK5" i="82" s="1"/>
  <c r="AJ19" i="82"/>
  <c r="AK19" i="82" s="1"/>
  <c r="AJ12" i="82"/>
  <c r="AK12" i="82" s="1"/>
  <c r="AJ10" i="82"/>
  <c r="AK10" i="82" s="1"/>
  <c r="AK4" i="82"/>
  <c r="AM5" i="82"/>
  <c r="AM34" i="82" s="1"/>
  <c r="AI2" i="81"/>
  <c r="AI13" i="81" s="1"/>
  <c r="AI3" i="81"/>
  <c r="AI7" i="81"/>
  <c r="AI8" i="81"/>
  <c r="AF2" i="81"/>
  <c r="AF3" i="81"/>
  <c r="AF7" i="81"/>
  <c r="AF8" i="81"/>
  <c r="AF13" i="81" l="1"/>
  <c r="AJ34" i="82"/>
  <c r="AK23" i="82"/>
  <c r="AK34" i="82" s="1"/>
  <c r="AM8" i="81"/>
  <c r="AM7" i="81"/>
  <c r="AM3" i="81"/>
  <c r="AI3" i="80"/>
  <c r="AI5" i="80"/>
  <c r="AI6" i="80"/>
  <c r="AI7" i="80"/>
  <c r="AI8" i="80"/>
  <c r="AI21" i="14"/>
  <c r="AI36" i="14"/>
  <c r="AI25" i="14"/>
  <c r="AI7" i="14"/>
  <c r="AI32" i="14"/>
  <c r="AI43" i="14"/>
  <c r="AI33" i="14"/>
  <c r="AI37" i="14"/>
  <c r="AF21" i="14"/>
  <c r="AF36" i="14"/>
  <c r="AF25" i="14"/>
  <c r="AF35" i="14"/>
  <c r="AF32" i="14"/>
  <c r="AF31" i="14"/>
  <c r="AF43" i="14"/>
  <c r="AF33" i="14"/>
  <c r="AF37" i="14"/>
  <c r="AM36" i="14"/>
  <c r="AM35" i="14"/>
  <c r="AM31" i="14"/>
  <c r="AI31" i="14"/>
  <c r="AI35" i="14"/>
  <c r="AF7" i="14"/>
  <c r="AJ12" i="81" l="1"/>
  <c r="AK12" i="81" s="1"/>
  <c r="AJ11" i="81"/>
  <c r="AK11" i="81" s="1"/>
  <c r="AJ5" i="81"/>
  <c r="AK5" i="81" s="1"/>
  <c r="AJ4" i="81"/>
  <c r="AK4" i="81" s="1"/>
  <c r="AJ6" i="81"/>
  <c r="AK6" i="81" s="1"/>
  <c r="AJ9" i="81"/>
  <c r="AK9" i="81" s="1"/>
  <c r="AJ10" i="81"/>
  <c r="AK10" i="81" s="1"/>
  <c r="AJ2" i="81"/>
  <c r="AJ3" i="81"/>
  <c r="AK3" i="81" s="1"/>
  <c r="AJ8" i="81"/>
  <c r="AK8" i="81" s="1"/>
  <c r="AJ7" i="81"/>
  <c r="AK7" i="81" s="1"/>
  <c r="AM2" i="81"/>
  <c r="AM13" i="81" s="1"/>
  <c r="AI2" i="80"/>
  <c r="AI9" i="80" s="1"/>
  <c r="AM37" i="14"/>
  <c r="AM25" i="14"/>
  <c r="AM7" i="14"/>
  <c r="AM33" i="14"/>
  <c r="AM32" i="14"/>
  <c r="AM21" i="14"/>
  <c r="AM43" i="14"/>
  <c r="AJ13" i="81" l="1"/>
  <c r="AK2" i="81"/>
  <c r="AK13" i="81" s="1"/>
  <c r="AI11" i="33"/>
  <c r="AF2" i="80"/>
  <c r="AF3" i="80"/>
  <c r="AF5" i="80"/>
  <c r="AF6" i="80"/>
  <c r="AF7" i="80"/>
  <c r="AF8" i="80"/>
  <c r="AG9" i="80" l="1"/>
  <c r="AL4" i="80" s="1"/>
  <c r="AM4" i="80" s="1"/>
  <c r="AF9" i="80"/>
  <c r="AJ5" i="80" l="1"/>
  <c r="AK5" i="80" s="1"/>
  <c r="AJ4" i="80"/>
  <c r="AK4" i="80" s="1"/>
  <c r="AJ7" i="80"/>
  <c r="AK7" i="80" s="1"/>
  <c r="AJ3" i="80"/>
  <c r="AK3" i="80" s="1"/>
  <c r="AJ6" i="80"/>
  <c r="AK6" i="80" s="1"/>
  <c r="AJ8" i="80"/>
  <c r="AK8" i="80" s="1"/>
  <c r="AL8" i="80"/>
  <c r="AM8" i="80" s="1"/>
  <c r="AL2" i="80"/>
  <c r="AM2" i="80" s="1"/>
  <c r="AL3" i="80"/>
  <c r="AM3" i="80" s="1"/>
  <c r="AL5" i="80"/>
  <c r="AM5" i="80" s="1"/>
  <c r="AL7" i="80"/>
  <c r="AM7" i="80" s="1"/>
  <c r="AL6" i="80"/>
  <c r="AM6" i="80" s="1"/>
  <c r="AJ2" i="80"/>
  <c r="AJ9" i="80" l="1"/>
  <c r="AM9" i="80"/>
  <c r="AK2" i="80"/>
  <c r="AK9" i="80" s="1"/>
  <c r="AL9" i="80"/>
  <c r="AH172" i="79"/>
  <c r="AF71" i="79"/>
  <c r="AI71" i="79"/>
  <c r="AI3" i="79"/>
  <c r="AI4" i="79"/>
  <c r="AI22" i="79"/>
  <c r="AI13" i="79"/>
  <c r="AI18" i="79"/>
  <c r="AI26" i="79"/>
  <c r="AI7" i="79"/>
  <c r="AI61" i="79"/>
  <c r="AI30" i="79"/>
  <c r="AI76" i="79"/>
  <c r="AI16" i="79"/>
  <c r="AI86" i="79"/>
  <c r="AI127" i="79"/>
  <c r="AI28" i="79"/>
  <c r="AI73" i="79"/>
  <c r="AI116" i="79"/>
  <c r="AI6" i="79"/>
  <c r="AI168" i="79"/>
  <c r="AI105" i="79"/>
  <c r="AI103" i="79"/>
  <c r="AI59" i="79"/>
  <c r="AI113" i="79"/>
  <c r="AI91" i="79"/>
  <c r="AI70" i="79"/>
  <c r="AI107" i="79"/>
  <c r="AI69" i="79"/>
  <c r="AI36" i="79"/>
  <c r="AI97" i="79"/>
  <c r="AI132" i="79"/>
  <c r="AI144" i="79"/>
  <c r="AI119" i="79"/>
  <c r="AI122" i="79"/>
  <c r="AI161" i="79"/>
  <c r="AI129" i="79"/>
  <c r="AI106" i="79"/>
  <c r="AI148" i="79"/>
  <c r="AI37" i="79"/>
  <c r="AI78" i="79"/>
  <c r="AI155" i="79"/>
  <c r="AI9" i="79"/>
  <c r="AI11" i="79"/>
  <c r="AI5" i="79"/>
  <c r="AI15" i="79"/>
  <c r="AI14" i="79"/>
  <c r="AI12" i="79"/>
  <c r="AI17" i="79"/>
  <c r="AI10" i="79"/>
  <c r="AI27" i="79"/>
  <c r="AI21" i="79"/>
  <c r="AI42" i="79"/>
  <c r="AI24" i="79"/>
  <c r="AI20" i="79"/>
  <c r="AI19" i="79"/>
  <c r="AI33" i="79"/>
  <c r="AI43" i="79"/>
  <c r="AI32" i="79"/>
  <c r="AI55" i="79"/>
  <c r="AI162" i="79"/>
  <c r="AI68" i="79"/>
  <c r="AI53" i="79"/>
  <c r="AI34" i="79"/>
  <c r="AI47" i="79"/>
  <c r="AI35" i="79"/>
  <c r="AI52" i="79"/>
  <c r="AI58" i="79"/>
  <c r="AI56" i="79"/>
  <c r="AI44" i="79"/>
  <c r="AI63" i="79"/>
  <c r="AI49" i="79"/>
  <c r="AI46" i="79"/>
  <c r="AI38" i="79"/>
  <c r="AI84" i="79"/>
  <c r="AI29" i="79"/>
  <c r="AI8" i="79"/>
  <c r="AI66" i="79"/>
  <c r="AI48" i="79"/>
  <c r="AI83" i="79"/>
  <c r="AI62" i="79"/>
  <c r="AI57" i="79"/>
  <c r="AI51" i="79"/>
  <c r="AI67" i="79"/>
  <c r="AI167" i="79"/>
  <c r="AI85" i="79"/>
  <c r="AI23" i="79"/>
  <c r="AI93" i="79"/>
  <c r="AI60" i="79"/>
  <c r="AI39" i="79"/>
  <c r="AI54" i="79"/>
  <c r="AI81" i="79"/>
  <c r="AI133" i="79"/>
  <c r="AI45" i="79"/>
  <c r="AI109" i="79"/>
  <c r="AI94" i="79"/>
  <c r="AI110" i="79"/>
  <c r="AI75" i="79"/>
  <c r="AI80" i="79"/>
  <c r="AI87" i="79"/>
  <c r="AI156" i="79"/>
  <c r="AI131" i="79"/>
  <c r="AI77" i="79"/>
  <c r="AI117" i="79"/>
  <c r="AI134" i="79"/>
  <c r="AI25" i="79"/>
  <c r="AI136" i="79"/>
  <c r="AI82" i="79"/>
  <c r="AI41" i="79"/>
  <c r="AI98" i="79"/>
  <c r="AI96" i="79"/>
  <c r="AI120" i="79"/>
  <c r="AI149" i="79"/>
  <c r="AI100" i="79"/>
  <c r="AI31" i="79"/>
  <c r="AI125" i="79"/>
  <c r="AI88" i="79"/>
  <c r="AI112" i="79"/>
  <c r="AI126" i="79"/>
  <c r="AI142" i="79"/>
  <c r="AI101" i="79"/>
  <c r="AI90" i="79"/>
  <c r="AI135" i="79"/>
  <c r="AI152" i="79"/>
  <c r="AI74" i="79"/>
  <c r="AI150" i="79"/>
  <c r="AI123" i="79"/>
  <c r="AI124" i="79"/>
  <c r="AI64" i="79"/>
  <c r="AI95" i="79"/>
  <c r="AI128" i="79"/>
  <c r="AI147" i="79"/>
  <c r="AI65" i="79"/>
  <c r="AI99" i="79"/>
  <c r="AI153" i="79"/>
  <c r="AI72" i="79"/>
  <c r="AI143" i="79"/>
  <c r="AI104" i="79"/>
  <c r="AI158" i="79"/>
  <c r="AI118" i="79"/>
  <c r="AI169" i="79"/>
  <c r="AI108" i="79"/>
  <c r="AI151" i="79"/>
  <c r="AI40" i="79"/>
  <c r="AI102" i="79"/>
  <c r="AI137" i="79"/>
  <c r="AI164" i="79"/>
  <c r="AI79" i="79"/>
  <c r="AI92" i="79"/>
  <c r="AI154" i="79"/>
  <c r="AI89" i="79"/>
  <c r="AI139" i="79"/>
  <c r="AI160" i="79"/>
  <c r="AI146" i="79"/>
  <c r="AI138" i="79"/>
  <c r="AI111" i="79"/>
  <c r="AI171" i="79"/>
  <c r="AI145" i="79"/>
  <c r="AI163" i="79"/>
  <c r="AI166" i="79"/>
  <c r="AI141" i="79"/>
  <c r="AI140" i="79"/>
  <c r="AI115" i="79"/>
  <c r="AI165" i="79"/>
  <c r="AI130" i="79"/>
  <c r="AI159" i="79"/>
  <c r="AI157" i="79"/>
  <c r="AI121" i="79"/>
  <c r="AI114" i="79"/>
  <c r="AI50" i="79"/>
  <c r="AI170" i="79"/>
  <c r="AI2" i="79"/>
  <c r="AF3" i="79"/>
  <c r="AF4" i="79"/>
  <c r="AF9" i="79"/>
  <c r="AF11" i="79"/>
  <c r="AF5" i="79"/>
  <c r="AF22" i="79"/>
  <c r="AF15" i="79"/>
  <c r="AF14" i="79"/>
  <c r="AF13" i="79"/>
  <c r="AF12" i="79"/>
  <c r="AF18" i="79"/>
  <c r="AF17" i="79"/>
  <c r="AF26" i="79"/>
  <c r="AF10" i="79"/>
  <c r="AF27" i="79"/>
  <c r="AF7" i="79"/>
  <c r="AF61" i="79"/>
  <c r="AF21" i="79"/>
  <c r="AF42" i="79"/>
  <c r="AF24" i="79"/>
  <c r="AF30" i="79"/>
  <c r="AF20" i="79"/>
  <c r="AF19" i="79"/>
  <c r="AF33" i="79"/>
  <c r="AF76" i="79"/>
  <c r="AF43" i="79"/>
  <c r="AF16" i="79"/>
  <c r="AF32" i="79"/>
  <c r="AF55" i="79"/>
  <c r="AF162" i="79"/>
  <c r="AF68" i="79"/>
  <c r="AF53" i="79"/>
  <c r="AF34" i="79"/>
  <c r="AF47" i="79"/>
  <c r="AF35" i="79"/>
  <c r="AF86" i="79"/>
  <c r="AF52" i="79"/>
  <c r="AF58" i="79"/>
  <c r="AF56" i="79"/>
  <c r="AF44" i="79"/>
  <c r="AF63" i="79"/>
  <c r="AF127" i="79"/>
  <c r="AF49" i="79"/>
  <c r="AF46" i="79"/>
  <c r="AF38" i="79"/>
  <c r="AF84" i="79"/>
  <c r="AF28" i="79"/>
  <c r="AF29" i="79"/>
  <c r="AF8" i="79"/>
  <c r="AF66" i="79"/>
  <c r="AF48" i="79"/>
  <c r="AF73" i="79"/>
  <c r="AF83" i="79"/>
  <c r="AF62" i="79"/>
  <c r="AF57" i="79"/>
  <c r="AF51" i="79"/>
  <c r="AF67" i="79"/>
  <c r="AF116" i="79"/>
  <c r="AF167" i="79"/>
  <c r="AF85" i="79"/>
  <c r="AF23" i="79"/>
  <c r="AF93" i="79"/>
  <c r="AF6" i="79"/>
  <c r="AF60" i="79"/>
  <c r="AF39" i="79"/>
  <c r="AF54" i="79"/>
  <c r="AF81" i="79"/>
  <c r="AF168" i="79"/>
  <c r="AF133" i="79"/>
  <c r="AF45" i="79"/>
  <c r="AF109" i="79"/>
  <c r="AF94" i="79"/>
  <c r="AF110" i="79"/>
  <c r="AF105" i="79"/>
  <c r="AF75" i="79"/>
  <c r="AF80" i="79"/>
  <c r="AF87" i="79"/>
  <c r="AF156" i="79"/>
  <c r="AF103" i="79"/>
  <c r="AF131" i="79"/>
  <c r="AF77" i="79"/>
  <c r="AF117" i="79"/>
  <c r="AF59" i="79"/>
  <c r="AF134" i="79"/>
  <c r="AF25" i="79"/>
  <c r="AF136" i="79"/>
  <c r="AF82" i="79"/>
  <c r="AF41" i="79"/>
  <c r="AF113" i="79"/>
  <c r="AF98" i="79"/>
  <c r="AF96" i="79"/>
  <c r="AF120" i="79"/>
  <c r="AF91" i="79"/>
  <c r="AF149" i="79"/>
  <c r="AF100" i="79"/>
  <c r="AF31" i="79"/>
  <c r="AF70" i="79"/>
  <c r="AF125" i="79"/>
  <c r="AF88" i="79"/>
  <c r="AF112" i="79"/>
  <c r="AF126" i="79"/>
  <c r="AF142" i="79"/>
  <c r="AF107" i="79"/>
  <c r="AF101" i="79"/>
  <c r="AF90" i="79"/>
  <c r="AF135" i="79"/>
  <c r="AF69" i="79"/>
  <c r="AF152" i="79"/>
  <c r="AF74" i="79"/>
  <c r="AF150" i="79"/>
  <c r="AF36" i="79"/>
  <c r="AF123" i="79"/>
  <c r="AF124" i="79"/>
  <c r="AF64" i="79"/>
  <c r="AF95" i="79"/>
  <c r="AF97" i="79"/>
  <c r="AF128" i="79"/>
  <c r="AF147" i="79"/>
  <c r="AF65" i="79"/>
  <c r="AF99" i="79"/>
  <c r="AF132" i="79"/>
  <c r="AF153" i="79"/>
  <c r="AF72" i="79"/>
  <c r="AF143" i="79"/>
  <c r="AF104" i="79"/>
  <c r="AF144" i="79"/>
  <c r="AF158" i="79"/>
  <c r="AF118" i="79"/>
  <c r="AF169" i="79"/>
  <c r="AF108" i="79"/>
  <c r="AF119" i="79"/>
  <c r="AF151" i="79"/>
  <c r="AF40" i="79"/>
  <c r="AF102" i="79"/>
  <c r="AF122" i="79"/>
  <c r="AF137" i="79"/>
  <c r="AF164" i="79"/>
  <c r="AF161" i="79"/>
  <c r="AF79" i="79"/>
  <c r="AF92" i="79"/>
  <c r="AF129" i="79"/>
  <c r="AF154" i="79"/>
  <c r="AF89" i="79"/>
  <c r="AF139" i="79"/>
  <c r="AF160" i="79"/>
  <c r="AF106" i="79"/>
  <c r="AF146" i="79"/>
  <c r="AF138" i="79"/>
  <c r="AF111" i="79"/>
  <c r="AF171" i="79"/>
  <c r="AF148" i="79"/>
  <c r="AF145" i="79"/>
  <c r="AF163" i="79"/>
  <c r="AF166" i="79"/>
  <c r="AF141" i="79"/>
  <c r="AF140" i="79"/>
  <c r="AF37" i="79"/>
  <c r="AF115" i="79"/>
  <c r="AF165" i="79"/>
  <c r="AF130" i="79"/>
  <c r="AF159" i="79"/>
  <c r="AF78" i="79"/>
  <c r="AF157" i="79"/>
  <c r="AF121" i="79"/>
  <c r="AF114" i="79"/>
  <c r="AF50" i="79"/>
  <c r="AF170" i="79"/>
  <c r="AF155" i="79"/>
  <c r="AF2" i="79"/>
  <c r="AI2" i="78"/>
  <c r="AI3" i="78"/>
  <c r="AI5" i="78"/>
  <c r="AI8" i="78"/>
  <c r="AI13" i="78"/>
  <c r="AI15" i="78"/>
  <c r="AI7" i="78"/>
  <c r="AI6" i="78"/>
  <c r="AI42" i="78"/>
  <c r="AI16" i="78"/>
  <c r="AI95" i="78"/>
  <c r="AI22" i="78"/>
  <c r="AI14" i="78"/>
  <c r="AI17" i="78"/>
  <c r="AI24" i="78"/>
  <c r="AI23" i="78"/>
  <c r="AI11" i="78"/>
  <c r="AI10" i="78"/>
  <c r="AI9" i="78"/>
  <c r="AI26" i="78"/>
  <c r="AI12" i="78"/>
  <c r="AI101" i="78"/>
  <c r="AI32" i="78"/>
  <c r="AI39" i="78"/>
  <c r="AI18" i="78"/>
  <c r="AI45" i="78"/>
  <c r="AI4" i="78"/>
  <c r="AI28" i="78"/>
  <c r="AI48" i="78"/>
  <c r="AI31" i="78"/>
  <c r="AI44" i="78"/>
  <c r="AI21" i="78"/>
  <c r="AI40" i="78"/>
  <c r="AI20" i="78"/>
  <c r="AI53" i="78"/>
  <c r="AI155" i="78"/>
  <c r="AI81" i="78"/>
  <c r="AI76" i="78"/>
  <c r="AI25" i="78"/>
  <c r="AI37" i="78"/>
  <c r="AI41" i="78"/>
  <c r="AI47" i="78"/>
  <c r="AI46" i="78"/>
  <c r="AI109" i="78"/>
  <c r="AI57" i="78"/>
  <c r="AI58" i="78"/>
  <c r="AI51" i="78"/>
  <c r="AI56" i="78"/>
  <c r="AI50" i="78"/>
  <c r="AI107" i="78"/>
  <c r="AI73" i="78"/>
  <c r="AI29" i="78"/>
  <c r="AI60" i="78"/>
  <c r="AI68" i="78"/>
  <c r="AI19" i="78"/>
  <c r="AI59" i="78"/>
  <c r="AI77" i="78"/>
  <c r="AI49" i="78"/>
  <c r="AI94" i="78"/>
  <c r="AI138" i="78"/>
  <c r="AI84" i="78"/>
  <c r="AI55" i="78"/>
  <c r="AI166" i="78"/>
  <c r="AI36" i="78"/>
  <c r="AI162" i="78"/>
  <c r="AI90" i="78"/>
  <c r="AI74" i="78"/>
  <c r="AI159" i="78"/>
  <c r="AI65" i="78"/>
  <c r="AI54" i="78"/>
  <c r="AI93" i="78"/>
  <c r="AI85" i="78"/>
  <c r="AI71" i="78"/>
  <c r="AI30" i="78"/>
  <c r="AI83" i="78"/>
  <c r="AI87" i="78"/>
  <c r="AI121" i="78"/>
  <c r="AI105" i="78"/>
  <c r="AI165" i="78"/>
  <c r="AI125" i="78"/>
  <c r="AI79" i="78"/>
  <c r="AI96" i="78"/>
  <c r="AI64" i="78"/>
  <c r="AI67" i="78"/>
  <c r="AI117" i="78"/>
  <c r="AI91" i="78"/>
  <c r="AI75" i="78"/>
  <c r="AI33" i="78"/>
  <c r="AI97" i="78"/>
  <c r="AI86" i="78"/>
  <c r="AI140" i="78"/>
  <c r="AI43" i="78"/>
  <c r="AI52" i="78"/>
  <c r="AI104" i="78"/>
  <c r="AI103" i="78"/>
  <c r="AI114" i="78"/>
  <c r="AI112" i="78"/>
  <c r="AI176" i="78"/>
  <c r="AI27" i="78"/>
  <c r="AI123" i="78"/>
  <c r="AI146" i="78"/>
  <c r="AI88" i="78"/>
  <c r="AI102" i="78"/>
  <c r="AI141" i="78"/>
  <c r="AI116" i="78"/>
  <c r="AI82" i="78"/>
  <c r="AI142" i="78"/>
  <c r="AI169" i="78"/>
  <c r="AI124" i="78"/>
  <c r="AI110" i="78"/>
  <c r="AI153" i="78"/>
  <c r="AI127" i="78"/>
  <c r="AI92" i="78"/>
  <c r="AI167" i="78"/>
  <c r="AI154" i="78"/>
  <c r="AI113" i="78"/>
  <c r="AI147" i="78"/>
  <c r="AI98" i="78"/>
  <c r="AI35" i="78"/>
  <c r="AI80" i="78"/>
  <c r="AI119" i="78"/>
  <c r="AI172" i="78"/>
  <c r="AI72" i="78"/>
  <c r="AI129" i="78"/>
  <c r="AI122" i="78"/>
  <c r="AI152" i="78"/>
  <c r="AI62" i="78"/>
  <c r="AI161" i="78"/>
  <c r="AI128" i="78"/>
  <c r="AI145" i="78"/>
  <c r="AI99" i="78"/>
  <c r="AI126" i="78"/>
  <c r="AI151" i="78"/>
  <c r="AI157" i="78"/>
  <c r="AI163" i="78"/>
  <c r="AI179" i="78"/>
  <c r="AI115" i="78"/>
  <c r="AI160" i="78"/>
  <c r="AI137" i="78"/>
  <c r="AI108" i="78"/>
  <c r="AI132" i="78"/>
  <c r="AI69" i="78"/>
  <c r="AI149" i="78"/>
  <c r="AI148" i="78"/>
  <c r="AI143" i="78"/>
  <c r="AI139" i="78"/>
  <c r="AI133" i="78"/>
  <c r="AI66" i="78"/>
  <c r="AI120" i="78"/>
  <c r="AI89" i="78"/>
  <c r="AI156" i="78"/>
  <c r="AI131" i="78"/>
  <c r="AI78" i="78"/>
  <c r="AI177" i="78"/>
  <c r="AI136" i="78"/>
  <c r="AI173" i="78"/>
  <c r="AI70" i="78"/>
  <c r="AI61" i="78"/>
  <c r="AI134" i="78"/>
  <c r="AI118" i="78"/>
  <c r="AI34" i="78"/>
  <c r="AI158" i="78"/>
  <c r="AI150" i="78"/>
  <c r="AI164" i="78"/>
  <c r="AI178" i="78"/>
  <c r="AI100" i="78"/>
  <c r="AI175" i="78"/>
  <c r="AI111" i="78"/>
  <c r="AI144" i="78"/>
  <c r="AI168" i="78"/>
  <c r="AI63" i="78"/>
  <c r="AI174" i="78"/>
  <c r="AI130" i="78"/>
  <c r="AI170" i="78"/>
  <c r="AI106" i="78"/>
  <c r="AI135" i="78"/>
  <c r="AI38" i="78"/>
  <c r="AI171" i="78"/>
  <c r="AF2" i="78"/>
  <c r="AF3" i="78"/>
  <c r="AF5" i="78"/>
  <c r="AF8" i="78"/>
  <c r="AF13" i="78"/>
  <c r="AF15" i="78"/>
  <c r="AF7" i="78"/>
  <c r="AF6" i="78"/>
  <c r="AF42" i="78"/>
  <c r="AF16" i="78"/>
  <c r="AF95" i="78"/>
  <c r="AF22" i="78"/>
  <c r="AF14" i="78"/>
  <c r="AF17" i="78"/>
  <c r="AF24" i="78"/>
  <c r="AF23" i="78"/>
  <c r="AF11" i="78"/>
  <c r="AF10" i="78"/>
  <c r="AF9" i="78"/>
  <c r="AF26" i="78"/>
  <c r="AF12" i="78"/>
  <c r="AF101" i="78"/>
  <c r="AF32" i="78"/>
  <c r="AF39" i="78"/>
  <c r="AF18" i="78"/>
  <c r="AF45" i="78"/>
  <c r="AF4" i="78"/>
  <c r="AF28" i="78"/>
  <c r="AF48" i="78"/>
  <c r="AF31" i="78"/>
  <c r="AF44" i="78"/>
  <c r="AF21" i="78"/>
  <c r="AF40" i="78"/>
  <c r="AF20" i="78"/>
  <c r="AF53" i="78"/>
  <c r="AF155" i="78"/>
  <c r="AF81" i="78"/>
  <c r="AF76" i="78"/>
  <c r="AF25" i="78"/>
  <c r="AF37" i="78"/>
  <c r="AF41" i="78"/>
  <c r="AF47" i="78"/>
  <c r="AF46" i="78"/>
  <c r="AF109" i="78"/>
  <c r="AF57" i="78"/>
  <c r="AF58" i="78"/>
  <c r="AF51" i="78"/>
  <c r="AF56" i="78"/>
  <c r="AF50" i="78"/>
  <c r="AF107" i="78"/>
  <c r="AF73" i="78"/>
  <c r="AF29" i="78"/>
  <c r="AF60" i="78"/>
  <c r="AF68" i="78"/>
  <c r="AF19" i="78"/>
  <c r="AF59" i="78"/>
  <c r="AF77" i="78"/>
  <c r="AF49" i="78"/>
  <c r="AF94" i="78"/>
  <c r="AF138" i="78"/>
  <c r="AF84" i="78"/>
  <c r="AF55" i="78"/>
  <c r="AF166" i="78"/>
  <c r="AF36" i="78"/>
  <c r="AF162" i="78"/>
  <c r="AF90" i="78"/>
  <c r="AF74" i="78"/>
  <c r="AF159" i="78"/>
  <c r="AF65" i="78"/>
  <c r="AF54" i="78"/>
  <c r="AF93" i="78"/>
  <c r="AF85" i="78"/>
  <c r="AF71" i="78"/>
  <c r="AF30" i="78"/>
  <c r="AF83" i="78"/>
  <c r="AF87" i="78"/>
  <c r="AF121" i="78"/>
  <c r="AF105" i="78"/>
  <c r="AF165" i="78"/>
  <c r="AF125" i="78"/>
  <c r="AF79" i="78"/>
  <c r="AF96" i="78"/>
  <c r="AF64" i="78"/>
  <c r="AF67" i="78"/>
  <c r="AF117" i="78"/>
  <c r="AF91" i="78"/>
  <c r="AF75" i="78"/>
  <c r="AF33" i="78"/>
  <c r="AF97" i="78"/>
  <c r="AF86" i="78"/>
  <c r="AF140" i="78"/>
  <c r="AF43" i="78"/>
  <c r="AF52" i="78"/>
  <c r="AF104" i="78"/>
  <c r="AF103" i="78"/>
  <c r="AF114" i="78"/>
  <c r="AF112" i="78"/>
  <c r="AF176" i="78"/>
  <c r="AF27" i="78"/>
  <c r="AF123" i="78"/>
  <c r="AF146" i="78"/>
  <c r="AF88" i="78"/>
  <c r="AF102" i="78"/>
  <c r="AF141" i="78"/>
  <c r="AF116" i="78"/>
  <c r="AF82" i="78"/>
  <c r="AF142" i="78"/>
  <c r="AF169" i="78"/>
  <c r="AF124" i="78"/>
  <c r="AF110" i="78"/>
  <c r="AF153" i="78"/>
  <c r="AF127" i="78"/>
  <c r="AF92" i="78"/>
  <c r="AF167" i="78"/>
  <c r="AF154" i="78"/>
  <c r="AF113" i="78"/>
  <c r="AF147" i="78"/>
  <c r="AF98" i="78"/>
  <c r="AF35" i="78"/>
  <c r="AF80" i="78"/>
  <c r="AF119" i="78"/>
  <c r="AF172" i="78"/>
  <c r="AF72" i="78"/>
  <c r="AF129" i="78"/>
  <c r="AF122" i="78"/>
  <c r="AF152" i="78"/>
  <c r="AF62" i="78"/>
  <c r="AF161" i="78"/>
  <c r="AF128" i="78"/>
  <c r="AF145" i="78"/>
  <c r="AF99" i="78"/>
  <c r="AF126" i="78"/>
  <c r="AF151" i="78"/>
  <c r="AF157" i="78"/>
  <c r="AF163" i="78"/>
  <c r="AF179" i="78"/>
  <c r="AF115" i="78"/>
  <c r="AF160" i="78"/>
  <c r="AF137" i="78"/>
  <c r="AF108" i="78"/>
  <c r="AF132" i="78"/>
  <c r="AF69" i="78"/>
  <c r="AF149" i="78"/>
  <c r="AF148" i="78"/>
  <c r="AF143" i="78"/>
  <c r="AF139" i="78"/>
  <c r="AF133" i="78"/>
  <c r="AF66" i="78"/>
  <c r="AF120" i="78"/>
  <c r="AF89" i="78"/>
  <c r="AF156" i="78"/>
  <c r="AF131" i="78"/>
  <c r="AF78" i="78"/>
  <c r="AF177" i="78"/>
  <c r="AF136" i="78"/>
  <c r="AF173" i="78"/>
  <c r="AF70" i="78"/>
  <c r="AF61" i="78"/>
  <c r="AF134" i="78"/>
  <c r="AF118" i="78"/>
  <c r="AF34" i="78"/>
  <c r="AF158" i="78"/>
  <c r="AF150" i="78"/>
  <c r="AF164" i="78"/>
  <c r="AF178" i="78"/>
  <c r="AF100" i="78"/>
  <c r="AF175" i="78"/>
  <c r="AF111" i="78"/>
  <c r="AF144" i="78"/>
  <c r="AF168" i="78"/>
  <c r="AF63" i="78"/>
  <c r="AF174" i="78"/>
  <c r="AF130" i="78"/>
  <c r="AF170" i="78"/>
  <c r="AF106" i="78"/>
  <c r="AF135" i="78"/>
  <c r="AF38" i="78"/>
  <c r="AF171" i="78"/>
  <c r="AI2" i="77"/>
  <c r="AI3" i="77"/>
  <c r="AI7" i="77"/>
  <c r="AI6" i="77"/>
  <c r="AI4" i="77"/>
  <c r="AI9" i="77"/>
  <c r="AI10" i="77"/>
  <c r="AI12" i="77"/>
  <c r="AI11" i="77"/>
  <c r="AI13" i="77"/>
  <c r="AI17" i="77"/>
  <c r="AI19" i="77"/>
  <c r="AI15" i="77"/>
  <c r="AI16" i="77"/>
  <c r="AI56" i="77"/>
  <c r="AI28" i="77"/>
  <c r="AI27" i="77"/>
  <c r="AI80" i="77"/>
  <c r="AI39" i="77"/>
  <c r="AI26" i="77"/>
  <c r="AI43" i="77"/>
  <c r="AI32" i="77"/>
  <c r="AI33" i="77"/>
  <c r="AI29" i="77"/>
  <c r="AI45" i="77"/>
  <c r="AI79" i="77"/>
  <c r="AI55" i="77"/>
  <c r="AI51" i="77"/>
  <c r="AI42" i="77"/>
  <c r="AI62" i="77"/>
  <c r="AI53" i="77"/>
  <c r="AI50" i="77"/>
  <c r="AI40" i="77"/>
  <c r="AI70" i="77"/>
  <c r="AI63" i="77"/>
  <c r="AI38" i="77"/>
  <c r="AI37" i="77"/>
  <c r="AI34" i="77"/>
  <c r="AI54" i="77"/>
  <c r="AI58" i="77"/>
  <c r="AI59" i="77"/>
  <c r="AI76" i="77"/>
  <c r="AI65" i="77"/>
  <c r="AI66" i="77"/>
  <c r="AI68" i="77"/>
  <c r="AI69" i="77"/>
  <c r="AI64" i="77"/>
  <c r="AI46" i="77"/>
  <c r="AI74" i="77"/>
  <c r="AI78" i="77"/>
  <c r="AI57" i="77"/>
  <c r="AI61" i="77"/>
  <c r="AI71" i="77"/>
  <c r="AI82" i="77"/>
  <c r="AI60" i="77"/>
  <c r="AI49" i="77"/>
  <c r="AI35" i="77"/>
  <c r="AI18" i="77"/>
  <c r="AI67" i="77"/>
  <c r="AI72" i="77"/>
  <c r="AI77" i="77"/>
  <c r="AI75" i="77"/>
  <c r="AI73" i="77"/>
  <c r="AI81" i="77"/>
  <c r="AF2" i="77"/>
  <c r="AF3" i="77"/>
  <c r="AF7" i="77"/>
  <c r="AF6" i="77"/>
  <c r="AF4" i="77"/>
  <c r="AF9" i="77"/>
  <c r="AF10" i="77"/>
  <c r="AF8" i="77"/>
  <c r="AF12" i="77"/>
  <c r="AF11" i="77"/>
  <c r="AF13" i="77"/>
  <c r="AF17" i="77"/>
  <c r="AF19" i="77"/>
  <c r="AF15" i="77"/>
  <c r="AF16" i="77"/>
  <c r="AF56" i="77"/>
  <c r="AF28" i="77"/>
  <c r="AF27" i="77"/>
  <c r="AF80" i="77"/>
  <c r="AF39" i="77"/>
  <c r="AF26" i="77"/>
  <c r="AF43" i="77"/>
  <c r="AF32" i="77"/>
  <c r="AF33" i="77"/>
  <c r="AF29" i="77"/>
  <c r="AF45" i="77"/>
  <c r="AF79" i="77"/>
  <c r="AF55" i="77"/>
  <c r="AF51" i="77"/>
  <c r="AF42" i="77"/>
  <c r="AF62" i="77"/>
  <c r="AF53" i="77"/>
  <c r="AF50" i="77"/>
  <c r="AF40" i="77"/>
  <c r="AF70" i="77"/>
  <c r="AF63" i="77"/>
  <c r="AF38" i="77"/>
  <c r="AF37" i="77"/>
  <c r="AF34" i="77"/>
  <c r="AF54" i="77"/>
  <c r="AF58" i="77"/>
  <c r="AF59" i="77"/>
  <c r="AF76" i="77"/>
  <c r="AF65" i="77"/>
  <c r="AF66" i="77"/>
  <c r="AF68" i="77"/>
  <c r="AF69" i="77"/>
  <c r="AF64" i="77"/>
  <c r="AF46" i="77"/>
  <c r="AF74" i="77"/>
  <c r="AF78" i="77"/>
  <c r="AF57" i="77"/>
  <c r="AF61" i="77"/>
  <c r="AF71" i="77"/>
  <c r="AF82" i="77"/>
  <c r="AF60" i="77"/>
  <c r="AF49" i="77"/>
  <c r="AF35" i="77"/>
  <c r="AF18" i="77"/>
  <c r="AF67" i="77"/>
  <c r="AF72" i="77"/>
  <c r="AF77" i="77"/>
  <c r="AF75" i="77"/>
  <c r="AF73" i="77"/>
  <c r="AF81" i="77"/>
  <c r="AF83" i="77" l="1"/>
  <c r="AJ78" i="77" s="1"/>
  <c r="AK78" i="77" s="1"/>
  <c r="AF172" i="79"/>
  <c r="AJ50" i="79" s="1"/>
  <c r="AK50" i="79" s="1"/>
  <c r="AI172" i="79"/>
  <c r="AG172" i="79"/>
  <c r="AM73" i="77"/>
  <c r="AM67" i="77"/>
  <c r="AM49" i="77"/>
  <c r="AM60" i="77"/>
  <c r="AM61" i="77"/>
  <c r="AM78" i="77"/>
  <c r="AM64" i="77"/>
  <c r="AM66" i="77"/>
  <c r="AM63" i="77"/>
  <c r="AM53" i="77"/>
  <c r="AM45" i="77"/>
  <c r="AM32" i="77"/>
  <c r="AM39" i="77"/>
  <c r="AM56" i="77"/>
  <c r="AM17" i="77"/>
  <c r="AM6" i="77"/>
  <c r="AM75" i="77"/>
  <c r="AM18" i="77"/>
  <c r="AM57" i="77"/>
  <c r="AM74" i="77"/>
  <c r="AM69" i="77"/>
  <c r="AM65" i="77"/>
  <c r="AM34" i="77"/>
  <c r="AM70" i="77"/>
  <c r="AM51" i="77"/>
  <c r="AM43" i="77"/>
  <c r="AM80" i="77"/>
  <c r="AM16" i="77"/>
  <c r="AM13" i="77"/>
  <c r="AM10" i="77"/>
  <c r="AM7" i="77"/>
  <c r="AM81" i="77"/>
  <c r="AM77" i="77"/>
  <c r="AM35" i="77"/>
  <c r="AM82" i="77"/>
  <c r="AM46" i="77"/>
  <c r="AM76" i="77"/>
  <c r="AM58" i="77"/>
  <c r="AM37" i="77"/>
  <c r="AM40" i="77"/>
  <c r="AM62" i="77"/>
  <c r="AM55" i="77"/>
  <c r="AM29" i="77"/>
  <c r="AM27" i="77"/>
  <c r="AM15" i="77"/>
  <c r="AM11" i="77"/>
  <c r="AM9" i="77"/>
  <c r="AM3" i="77"/>
  <c r="AM72" i="77"/>
  <c r="AM71" i="77"/>
  <c r="AM68" i="77"/>
  <c r="AM59" i="77"/>
  <c r="AM54" i="77"/>
  <c r="AM38" i="77"/>
  <c r="AM50" i="77"/>
  <c r="AM42" i="77"/>
  <c r="AM79" i="77"/>
  <c r="AM33" i="77"/>
  <c r="AM26" i="77"/>
  <c r="AM28" i="77"/>
  <c r="AM19" i="77"/>
  <c r="AM12" i="77"/>
  <c r="AM4" i="77"/>
  <c r="AM8" i="77"/>
  <c r="AI8" i="77"/>
  <c r="AI83" i="77" s="1"/>
  <c r="AI180" i="78"/>
  <c r="AF180" i="78"/>
  <c r="AJ163" i="78" s="1"/>
  <c r="AK163" i="78" s="1"/>
  <c r="AG180" i="78"/>
  <c r="AH180" i="78"/>
  <c r="AJ8" i="77" l="1"/>
  <c r="AK8" i="77" s="1"/>
  <c r="AJ33" i="77"/>
  <c r="AK33" i="77" s="1"/>
  <c r="AJ54" i="77"/>
  <c r="AK54" i="77" s="1"/>
  <c r="AJ60" i="77"/>
  <c r="AK60" i="77" s="1"/>
  <c r="AJ2" i="77"/>
  <c r="AJ28" i="77"/>
  <c r="AK28" i="77" s="1"/>
  <c r="AJ50" i="77"/>
  <c r="AK50" i="77" s="1"/>
  <c r="AJ46" i="77"/>
  <c r="AK46" i="77" s="1"/>
  <c r="AJ9" i="77"/>
  <c r="AK9" i="77" s="1"/>
  <c r="AJ43" i="77"/>
  <c r="AK43" i="77" s="1"/>
  <c r="AJ37" i="77"/>
  <c r="AK37" i="77" s="1"/>
  <c r="AJ71" i="77"/>
  <c r="AK71" i="77" s="1"/>
  <c r="AJ75" i="77"/>
  <c r="AK75" i="77" s="1"/>
  <c r="AJ16" i="77"/>
  <c r="AK16" i="77" s="1"/>
  <c r="AJ62" i="77"/>
  <c r="AK62" i="77" s="1"/>
  <c r="AJ69" i="77"/>
  <c r="AK69" i="77" s="1"/>
  <c r="AJ17" i="77"/>
  <c r="AK17" i="77" s="1"/>
  <c r="AJ55" i="77"/>
  <c r="AK55" i="77" s="1"/>
  <c r="AJ65" i="77"/>
  <c r="AK65" i="77" s="1"/>
  <c r="AJ67" i="77"/>
  <c r="AK67" i="77" s="1"/>
  <c r="AJ4" i="77"/>
  <c r="AK4" i="77" s="1"/>
  <c r="AJ26" i="77"/>
  <c r="AK26" i="77" s="1"/>
  <c r="AJ38" i="77"/>
  <c r="AK38" i="77" s="1"/>
  <c r="AJ61" i="77"/>
  <c r="AK61" i="77" s="1"/>
  <c r="AJ11" i="77"/>
  <c r="AK11" i="77" s="1"/>
  <c r="AJ45" i="77"/>
  <c r="AK45" i="77" s="1"/>
  <c r="AJ59" i="77"/>
  <c r="AK59" i="77" s="1"/>
  <c r="AJ35" i="77"/>
  <c r="AK35" i="77" s="1"/>
  <c r="AJ7" i="77"/>
  <c r="AK7" i="77" s="1"/>
  <c r="AJ80" i="77"/>
  <c r="AK80" i="77" s="1"/>
  <c r="AJ70" i="77"/>
  <c r="AK70" i="77" s="1"/>
  <c r="AJ23" i="77"/>
  <c r="AK23" i="77" s="1"/>
  <c r="AJ52" i="77"/>
  <c r="AK52" i="77" s="1"/>
  <c r="AJ47" i="77"/>
  <c r="AK47" i="77" s="1"/>
  <c r="AJ25" i="77"/>
  <c r="AK25" i="77" s="1"/>
  <c r="AJ41" i="77"/>
  <c r="AK41" i="77" s="1"/>
  <c r="AJ22" i="77"/>
  <c r="AK22" i="77" s="1"/>
  <c r="AJ30" i="77"/>
  <c r="AK30" i="77" s="1"/>
  <c r="AJ5" i="77"/>
  <c r="AK5" i="77" s="1"/>
  <c r="AJ20" i="77"/>
  <c r="AK20" i="77" s="1"/>
  <c r="AJ14" i="77"/>
  <c r="AK14" i="77" s="1"/>
  <c r="AJ44" i="77"/>
  <c r="AK44" i="77" s="1"/>
  <c r="AJ31" i="77"/>
  <c r="AK31" i="77" s="1"/>
  <c r="AJ21" i="77"/>
  <c r="AK21" i="77" s="1"/>
  <c r="AJ24" i="77"/>
  <c r="AK24" i="77" s="1"/>
  <c r="AJ48" i="77"/>
  <c r="AK48" i="77" s="1"/>
  <c r="AJ36" i="77"/>
  <c r="AK36" i="77" s="1"/>
  <c r="AJ56" i="77"/>
  <c r="AK56" i="77" s="1"/>
  <c r="AJ53" i="77"/>
  <c r="AK53" i="77" s="1"/>
  <c r="AJ64" i="77"/>
  <c r="AK64" i="77" s="1"/>
  <c r="AJ73" i="77"/>
  <c r="AK73" i="77" s="1"/>
  <c r="AJ12" i="77"/>
  <c r="AK12" i="77" s="1"/>
  <c r="AJ29" i="77"/>
  <c r="AK29" i="77" s="1"/>
  <c r="AJ58" i="77"/>
  <c r="AK58" i="77" s="1"/>
  <c r="AJ49" i="77"/>
  <c r="AK49" i="77" s="1"/>
  <c r="AJ15" i="77"/>
  <c r="AK15" i="77" s="1"/>
  <c r="AJ42" i="77"/>
  <c r="AK42" i="77" s="1"/>
  <c r="AJ68" i="77"/>
  <c r="AK68" i="77" s="1"/>
  <c r="AJ77" i="77"/>
  <c r="AK77" i="77" s="1"/>
  <c r="AJ10" i="77"/>
  <c r="AK10" i="77" s="1"/>
  <c r="AJ32" i="77"/>
  <c r="AK32" i="77" s="1"/>
  <c r="AJ34" i="77"/>
  <c r="AK34" i="77" s="1"/>
  <c r="AJ18" i="77"/>
  <c r="AK18" i="77" s="1"/>
  <c r="AJ6" i="77"/>
  <c r="AK6" i="77" s="1"/>
  <c r="AJ39" i="77"/>
  <c r="AK39" i="77" s="1"/>
  <c r="AJ63" i="77"/>
  <c r="AK63" i="77" s="1"/>
  <c r="AJ57" i="77"/>
  <c r="AK57" i="77" s="1"/>
  <c r="AJ72" i="77"/>
  <c r="AK72" i="77" s="1"/>
  <c r="AJ19" i="77"/>
  <c r="AK19" i="77" s="1"/>
  <c r="AJ51" i="77"/>
  <c r="AK51" i="77" s="1"/>
  <c r="AJ66" i="77"/>
  <c r="AK66" i="77" s="1"/>
  <c r="AJ3" i="77"/>
  <c r="AK3" i="77" s="1"/>
  <c r="AJ27" i="77"/>
  <c r="AK27" i="77" s="1"/>
  <c r="AJ40" i="77"/>
  <c r="AK40" i="77" s="1"/>
  <c r="AJ74" i="77"/>
  <c r="AK74" i="77" s="1"/>
  <c r="AJ82" i="77"/>
  <c r="AK82" i="77" s="1"/>
  <c r="AJ13" i="77"/>
  <c r="AK13" i="77" s="1"/>
  <c r="AJ79" i="77"/>
  <c r="AK79" i="77" s="1"/>
  <c r="AJ76" i="77"/>
  <c r="AK76" i="77" s="1"/>
  <c r="AJ81" i="77"/>
  <c r="AK81" i="77" s="1"/>
  <c r="AL167" i="79"/>
  <c r="AM167" i="79" s="1"/>
  <c r="AL153" i="79"/>
  <c r="AM153" i="79" s="1"/>
  <c r="AL139" i="79"/>
  <c r="AM139" i="79" s="1"/>
  <c r="AL117" i="79"/>
  <c r="AM117" i="79" s="1"/>
  <c r="AL103" i="79"/>
  <c r="AM103" i="79" s="1"/>
  <c r="AL89" i="79"/>
  <c r="AM89" i="79" s="1"/>
  <c r="AL73" i="79"/>
  <c r="AM73" i="79" s="1"/>
  <c r="AL57" i="79"/>
  <c r="AM57" i="79" s="1"/>
  <c r="AL41" i="79"/>
  <c r="AM41" i="79" s="1"/>
  <c r="AL25" i="79"/>
  <c r="AM25" i="79" s="1"/>
  <c r="AL9" i="79"/>
  <c r="AM9" i="79" s="1"/>
  <c r="AL162" i="79"/>
  <c r="AM162" i="79" s="1"/>
  <c r="AL149" i="79"/>
  <c r="AM149" i="79" s="1"/>
  <c r="AL132" i="79"/>
  <c r="AM132" i="79" s="1"/>
  <c r="AL122" i="79"/>
  <c r="AM122" i="79" s="1"/>
  <c r="AL100" i="79"/>
  <c r="AM100" i="79" s="1"/>
  <c r="AL84" i="79"/>
  <c r="AM84" i="79" s="1"/>
  <c r="AL69" i="79"/>
  <c r="AM69" i="79" s="1"/>
  <c r="AL52" i="79"/>
  <c r="AM52" i="79" s="1"/>
  <c r="AL36" i="79"/>
  <c r="AM36" i="79" s="1"/>
  <c r="AL20" i="79"/>
  <c r="AM20" i="79" s="1"/>
  <c r="AL4" i="79"/>
  <c r="AM4" i="79" s="1"/>
  <c r="AL160" i="79"/>
  <c r="AM160" i="79" s="1"/>
  <c r="AL145" i="79"/>
  <c r="AM145" i="79" s="1"/>
  <c r="AL126" i="79"/>
  <c r="AM126" i="79" s="1"/>
  <c r="AL111" i="79"/>
  <c r="AM111" i="79" s="1"/>
  <c r="AL95" i="79"/>
  <c r="AM95" i="79" s="1"/>
  <c r="AL79" i="79"/>
  <c r="AM79" i="79" s="1"/>
  <c r="AL63" i="79"/>
  <c r="AM63" i="79" s="1"/>
  <c r="AL47" i="79"/>
  <c r="AM47" i="79" s="1"/>
  <c r="AL31" i="79"/>
  <c r="AM31" i="79" s="1"/>
  <c r="AL15" i="79"/>
  <c r="AM15" i="79" s="1"/>
  <c r="AL170" i="79"/>
  <c r="AM170" i="79" s="1"/>
  <c r="AL155" i="79"/>
  <c r="AM155" i="79" s="1"/>
  <c r="AL137" i="79"/>
  <c r="AM137" i="79" s="1"/>
  <c r="AL120" i="79"/>
  <c r="AM120" i="79" s="1"/>
  <c r="AL106" i="79"/>
  <c r="AM106" i="79" s="1"/>
  <c r="AL90" i="79"/>
  <c r="AM90" i="79" s="1"/>
  <c r="AL74" i="79"/>
  <c r="AM74" i="79" s="1"/>
  <c r="AL58" i="79"/>
  <c r="AM58" i="79" s="1"/>
  <c r="AL42" i="79"/>
  <c r="AM42" i="79" s="1"/>
  <c r="AL26" i="79"/>
  <c r="AM26" i="79" s="1"/>
  <c r="AL10" i="79"/>
  <c r="AM10" i="79" s="1"/>
  <c r="AL169" i="79"/>
  <c r="AM169" i="79" s="1"/>
  <c r="AL148" i="79"/>
  <c r="AM148" i="79" s="1"/>
  <c r="AL134" i="79"/>
  <c r="AM134" i="79" s="1"/>
  <c r="AL121" i="79"/>
  <c r="AM121" i="79" s="1"/>
  <c r="AL101" i="79"/>
  <c r="AM101" i="79" s="1"/>
  <c r="AL85" i="79"/>
  <c r="AM85" i="79" s="1"/>
  <c r="AL68" i="79"/>
  <c r="AM68" i="79" s="1"/>
  <c r="AL53" i="79"/>
  <c r="AM53" i="79" s="1"/>
  <c r="AL37" i="79"/>
  <c r="AM37" i="79" s="1"/>
  <c r="AL21" i="79"/>
  <c r="AM21" i="79" s="1"/>
  <c r="AL5" i="79"/>
  <c r="AM5" i="79" s="1"/>
  <c r="AL159" i="79"/>
  <c r="AM159" i="79" s="1"/>
  <c r="AL147" i="79"/>
  <c r="AM147" i="79" s="1"/>
  <c r="AL128" i="79"/>
  <c r="AM128" i="79" s="1"/>
  <c r="AL112" i="79"/>
  <c r="AM112" i="79" s="1"/>
  <c r="AL96" i="79"/>
  <c r="AM96" i="79" s="1"/>
  <c r="AL80" i="79"/>
  <c r="AM80" i="79" s="1"/>
  <c r="AL64" i="79"/>
  <c r="AM64" i="79" s="1"/>
  <c r="AL48" i="79"/>
  <c r="AM48" i="79" s="1"/>
  <c r="AL32" i="79"/>
  <c r="AM32" i="79" s="1"/>
  <c r="AL16" i="79"/>
  <c r="AM16" i="79" s="1"/>
  <c r="AL171" i="79"/>
  <c r="AM171" i="79" s="1"/>
  <c r="AL156" i="79"/>
  <c r="AM156" i="79" s="1"/>
  <c r="AL136" i="79"/>
  <c r="AM136" i="79" s="1"/>
  <c r="AL124" i="79"/>
  <c r="AM124" i="79" s="1"/>
  <c r="AL108" i="79"/>
  <c r="AM108" i="79" s="1"/>
  <c r="AL91" i="79"/>
  <c r="AM91" i="79" s="1"/>
  <c r="AL75" i="79"/>
  <c r="AM75" i="79" s="1"/>
  <c r="AL59" i="79"/>
  <c r="AM59" i="79" s="1"/>
  <c r="AL43" i="79"/>
  <c r="AM43" i="79" s="1"/>
  <c r="AL27" i="79"/>
  <c r="AM27" i="79" s="1"/>
  <c r="AL11" i="79"/>
  <c r="AM11" i="79" s="1"/>
  <c r="AL165" i="79"/>
  <c r="AM165" i="79" s="1"/>
  <c r="AL152" i="79"/>
  <c r="AM152" i="79" s="1"/>
  <c r="AL135" i="79"/>
  <c r="AM135" i="79" s="1"/>
  <c r="AL119" i="79"/>
  <c r="AM119" i="79" s="1"/>
  <c r="AL102" i="79"/>
  <c r="AM102" i="79" s="1"/>
  <c r="AL86" i="79"/>
  <c r="AM86" i="79" s="1"/>
  <c r="AL70" i="79"/>
  <c r="AM70" i="79" s="1"/>
  <c r="AL54" i="79"/>
  <c r="AM54" i="79" s="1"/>
  <c r="AL38" i="79"/>
  <c r="AM38" i="79" s="1"/>
  <c r="AL22" i="79"/>
  <c r="AM22" i="79" s="1"/>
  <c r="AL6" i="79"/>
  <c r="AM6" i="79" s="1"/>
  <c r="AL164" i="79"/>
  <c r="AM164" i="79" s="1"/>
  <c r="AL144" i="79"/>
  <c r="AM144" i="79" s="1"/>
  <c r="AL129" i="79"/>
  <c r="AM129" i="79" s="1"/>
  <c r="AL113" i="79"/>
  <c r="AM113" i="79" s="1"/>
  <c r="AL97" i="79"/>
  <c r="AM97" i="79" s="1"/>
  <c r="AL81" i="79"/>
  <c r="AM81" i="79" s="1"/>
  <c r="AL65" i="79"/>
  <c r="AM65" i="79" s="1"/>
  <c r="AL49" i="79"/>
  <c r="AM49" i="79" s="1"/>
  <c r="AL33" i="79"/>
  <c r="AM33" i="79" s="1"/>
  <c r="AL17" i="79"/>
  <c r="AM17" i="79" s="1"/>
  <c r="AL2" i="79"/>
  <c r="AL154" i="79"/>
  <c r="AM154" i="79" s="1"/>
  <c r="AL140" i="79"/>
  <c r="AM140" i="79" s="1"/>
  <c r="AL123" i="79"/>
  <c r="AM123" i="79" s="1"/>
  <c r="AL107" i="79"/>
  <c r="AM107" i="79" s="1"/>
  <c r="AL92" i="79"/>
  <c r="AM92" i="79" s="1"/>
  <c r="AL76" i="79"/>
  <c r="AM76" i="79" s="1"/>
  <c r="AL60" i="79"/>
  <c r="AM60" i="79" s="1"/>
  <c r="AL44" i="79"/>
  <c r="AM44" i="79" s="1"/>
  <c r="AL28" i="79"/>
  <c r="AM28" i="79" s="1"/>
  <c r="AL12" i="79"/>
  <c r="AM12" i="79" s="1"/>
  <c r="AL168" i="79"/>
  <c r="AM168" i="79" s="1"/>
  <c r="AL151" i="79"/>
  <c r="AM151" i="79" s="1"/>
  <c r="AL133" i="79"/>
  <c r="AM133" i="79" s="1"/>
  <c r="AL118" i="79"/>
  <c r="AM118" i="79" s="1"/>
  <c r="AL104" i="79"/>
  <c r="AM104" i="79" s="1"/>
  <c r="AL87" i="79"/>
  <c r="AM87" i="79" s="1"/>
  <c r="AL71" i="79"/>
  <c r="AM71" i="79" s="1"/>
  <c r="AL55" i="79"/>
  <c r="AM55" i="79" s="1"/>
  <c r="AL39" i="79"/>
  <c r="AM39" i="79" s="1"/>
  <c r="AL23" i="79"/>
  <c r="AM23" i="79" s="1"/>
  <c r="AL7" i="79"/>
  <c r="AM7" i="79" s="1"/>
  <c r="AL163" i="79"/>
  <c r="AM163" i="79" s="1"/>
  <c r="AL146" i="79"/>
  <c r="AM146" i="79" s="1"/>
  <c r="AL130" i="79"/>
  <c r="AM130" i="79" s="1"/>
  <c r="AL114" i="79"/>
  <c r="AM114" i="79" s="1"/>
  <c r="AL98" i="79"/>
  <c r="AM98" i="79" s="1"/>
  <c r="AL82" i="79"/>
  <c r="AM82" i="79" s="1"/>
  <c r="AL66" i="79"/>
  <c r="AM66" i="79" s="1"/>
  <c r="AL50" i="79"/>
  <c r="AM50" i="79" s="1"/>
  <c r="AL34" i="79"/>
  <c r="AM34" i="79" s="1"/>
  <c r="AL18" i="79"/>
  <c r="AM18" i="79" s="1"/>
  <c r="AL157" i="79"/>
  <c r="AM157" i="79" s="1"/>
  <c r="AL141" i="79"/>
  <c r="AM141" i="79" s="1"/>
  <c r="AL125" i="79"/>
  <c r="AM125" i="79" s="1"/>
  <c r="AL109" i="79"/>
  <c r="AM109" i="79" s="1"/>
  <c r="AL93" i="79"/>
  <c r="AM93" i="79" s="1"/>
  <c r="AL77" i="79"/>
  <c r="AM77" i="79" s="1"/>
  <c r="AL61" i="79"/>
  <c r="AM61" i="79" s="1"/>
  <c r="AL45" i="79"/>
  <c r="AM45" i="79" s="1"/>
  <c r="AL29" i="79"/>
  <c r="AM29" i="79" s="1"/>
  <c r="AL13" i="79"/>
  <c r="AM13" i="79" s="1"/>
  <c r="AL166" i="79"/>
  <c r="AM166" i="79" s="1"/>
  <c r="AL150" i="79"/>
  <c r="AM150" i="79" s="1"/>
  <c r="AL138" i="79"/>
  <c r="AM138" i="79" s="1"/>
  <c r="AL116" i="79"/>
  <c r="AM116" i="79" s="1"/>
  <c r="AL105" i="79"/>
  <c r="AM105" i="79" s="1"/>
  <c r="AL88" i="79"/>
  <c r="AM88" i="79" s="1"/>
  <c r="AL72" i="79"/>
  <c r="AM72" i="79" s="1"/>
  <c r="AL56" i="79"/>
  <c r="AM56" i="79" s="1"/>
  <c r="AL40" i="79"/>
  <c r="AM40" i="79" s="1"/>
  <c r="AL24" i="79"/>
  <c r="AM24" i="79" s="1"/>
  <c r="AL8" i="79"/>
  <c r="AM8" i="79" s="1"/>
  <c r="AL161" i="79"/>
  <c r="AM161" i="79" s="1"/>
  <c r="AL143" i="79"/>
  <c r="AM143" i="79" s="1"/>
  <c r="AL131" i="79"/>
  <c r="AM131" i="79" s="1"/>
  <c r="AL115" i="79"/>
  <c r="AM115" i="79" s="1"/>
  <c r="AL99" i="79"/>
  <c r="AM99" i="79" s="1"/>
  <c r="AL83" i="79"/>
  <c r="AM83" i="79" s="1"/>
  <c r="AL67" i="79"/>
  <c r="AM67" i="79" s="1"/>
  <c r="AL51" i="79"/>
  <c r="AM51" i="79" s="1"/>
  <c r="AL35" i="79"/>
  <c r="AM35" i="79" s="1"/>
  <c r="AL19" i="79"/>
  <c r="AM19" i="79" s="1"/>
  <c r="AL3" i="79"/>
  <c r="AM3" i="79" s="1"/>
  <c r="AL158" i="79"/>
  <c r="AM158" i="79" s="1"/>
  <c r="AL142" i="79"/>
  <c r="AM142" i="79" s="1"/>
  <c r="AL127" i="79"/>
  <c r="AM127" i="79" s="1"/>
  <c r="AL110" i="79"/>
  <c r="AM110" i="79" s="1"/>
  <c r="AL94" i="79"/>
  <c r="AM94" i="79" s="1"/>
  <c r="AL78" i="79"/>
  <c r="AM78" i="79" s="1"/>
  <c r="AL62" i="79"/>
  <c r="AM62" i="79" s="1"/>
  <c r="AL46" i="79"/>
  <c r="AM46" i="79" s="1"/>
  <c r="AL30" i="79"/>
  <c r="AM30" i="79" s="1"/>
  <c r="AL14" i="79"/>
  <c r="AM14" i="79" s="1"/>
  <c r="AJ18" i="79"/>
  <c r="AK18" i="79" s="1"/>
  <c r="AJ16" i="79"/>
  <c r="AK16" i="79" s="1"/>
  <c r="AJ56" i="79"/>
  <c r="AK56" i="79" s="1"/>
  <c r="AJ57" i="79"/>
  <c r="AK57" i="79" s="1"/>
  <c r="AJ109" i="79"/>
  <c r="AK109" i="79" s="1"/>
  <c r="AJ82" i="79"/>
  <c r="AK82" i="79" s="1"/>
  <c r="AJ107" i="79"/>
  <c r="AK107" i="79" s="1"/>
  <c r="AJ65" i="79"/>
  <c r="AK65" i="79" s="1"/>
  <c r="AJ122" i="79"/>
  <c r="AK122" i="79" s="1"/>
  <c r="AJ148" i="79"/>
  <c r="AK148" i="79" s="1"/>
  <c r="AJ170" i="79"/>
  <c r="AK170" i="79" s="1"/>
  <c r="AJ14" i="79"/>
  <c r="AK14" i="79" s="1"/>
  <c r="AJ33" i="79"/>
  <c r="AK33" i="79" s="1"/>
  <c r="AJ44" i="79"/>
  <c r="AK44" i="79" s="1"/>
  <c r="AJ51" i="79"/>
  <c r="AK51" i="79" s="1"/>
  <c r="AJ94" i="79"/>
  <c r="AK94" i="79" s="1"/>
  <c r="AJ41" i="79"/>
  <c r="AK41" i="79" s="1"/>
  <c r="AJ101" i="79"/>
  <c r="AK101" i="79" s="1"/>
  <c r="AJ99" i="79"/>
  <c r="AK99" i="79" s="1"/>
  <c r="AJ137" i="79"/>
  <c r="AK137" i="79" s="1"/>
  <c r="AJ145" i="79"/>
  <c r="AK145" i="79" s="1"/>
  <c r="AJ13" i="79"/>
  <c r="AK13" i="79" s="1"/>
  <c r="AJ76" i="79"/>
  <c r="AK76" i="79" s="1"/>
  <c r="AJ63" i="79"/>
  <c r="AK63" i="79" s="1"/>
  <c r="AJ67" i="79"/>
  <c r="AK67" i="79" s="1"/>
  <c r="AJ110" i="79"/>
  <c r="AK110" i="79" s="1"/>
  <c r="AJ113" i="79"/>
  <c r="AK113" i="79" s="1"/>
  <c r="AJ90" i="79"/>
  <c r="AK90" i="79" s="1"/>
  <c r="AJ132" i="79"/>
  <c r="AK132" i="79" s="1"/>
  <c r="AJ164" i="79"/>
  <c r="AK164" i="79" s="1"/>
  <c r="AJ163" i="79"/>
  <c r="AK163" i="79" s="1"/>
  <c r="AJ2" i="79"/>
  <c r="AK2" i="79" s="1"/>
  <c r="AJ10" i="79"/>
  <c r="AK10" i="79" s="1"/>
  <c r="AJ162" i="79"/>
  <c r="AK162" i="79" s="1"/>
  <c r="AJ84" i="79"/>
  <c r="AK84" i="79" s="1"/>
  <c r="AJ93" i="79"/>
  <c r="AK93" i="79" s="1"/>
  <c r="AJ156" i="79"/>
  <c r="AK156" i="79" s="1"/>
  <c r="AJ149" i="79"/>
  <c r="AK149" i="79" s="1"/>
  <c r="AJ150" i="79"/>
  <c r="AK150" i="79" s="1"/>
  <c r="AJ144" i="79"/>
  <c r="AK144" i="79" s="1"/>
  <c r="AJ154" i="79"/>
  <c r="AK154" i="79" s="1"/>
  <c r="AJ27" i="79"/>
  <c r="AK27" i="79" s="1"/>
  <c r="AJ49" i="79"/>
  <c r="AK49" i="79" s="1"/>
  <c r="AJ167" i="79"/>
  <c r="AK167" i="79" s="1"/>
  <c r="AJ75" i="79"/>
  <c r="AK75" i="79" s="1"/>
  <c r="AJ96" i="79"/>
  <c r="AK96" i="79" s="1"/>
  <c r="AJ69" i="79"/>
  <c r="AK69" i="79" s="1"/>
  <c r="AJ72" i="79"/>
  <c r="AK72" i="79" s="1"/>
  <c r="AJ79" i="79"/>
  <c r="AK79" i="79" s="1"/>
  <c r="AJ141" i="79"/>
  <c r="AK141" i="79" s="1"/>
  <c r="AJ71" i="79"/>
  <c r="AK71" i="79" s="1"/>
  <c r="AJ17" i="79"/>
  <c r="AK17" i="79" s="1"/>
  <c r="AJ32" i="79"/>
  <c r="AK32" i="79" s="1"/>
  <c r="AJ46" i="79"/>
  <c r="AK46" i="79" s="1"/>
  <c r="AJ85" i="79"/>
  <c r="AK85" i="79" s="1"/>
  <c r="AJ80" i="79"/>
  <c r="AK80" i="79" s="1"/>
  <c r="AJ120" i="79"/>
  <c r="AK120" i="79" s="1"/>
  <c r="AJ152" i="79"/>
  <c r="AK152" i="79" s="1"/>
  <c r="AJ143" i="79"/>
  <c r="AK143" i="79" s="1"/>
  <c r="AJ92" i="79"/>
  <c r="AK92" i="79" s="1"/>
  <c r="AJ140" i="79"/>
  <c r="AK140" i="79" s="1"/>
  <c r="AJ155" i="79"/>
  <c r="AK155" i="79" s="1"/>
  <c r="AJ26" i="79"/>
  <c r="AK26" i="79" s="1"/>
  <c r="AJ55" i="79"/>
  <c r="AK55" i="79" s="1"/>
  <c r="AJ38" i="79"/>
  <c r="AK38" i="79" s="1"/>
  <c r="AJ23" i="79"/>
  <c r="AK23" i="79" s="1"/>
  <c r="AJ87" i="79"/>
  <c r="AK87" i="79" s="1"/>
  <c r="AJ91" i="79"/>
  <c r="AK91" i="79" s="1"/>
  <c r="AJ74" i="79"/>
  <c r="AK74" i="79" s="1"/>
  <c r="AJ104" i="79"/>
  <c r="AK104" i="79" s="1"/>
  <c r="AJ129" i="79"/>
  <c r="AK129" i="79" s="1"/>
  <c r="AJ37" i="79"/>
  <c r="AK37" i="79" s="1"/>
  <c r="AJ4" i="79"/>
  <c r="AK4" i="79" s="1"/>
  <c r="AJ21" i="79"/>
  <c r="AK21" i="79" s="1"/>
  <c r="AJ47" i="79"/>
  <c r="AK47" i="79" s="1"/>
  <c r="AJ66" i="79"/>
  <c r="AK66" i="79" s="1"/>
  <c r="AJ54" i="79"/>
  <c r="AK54" i="79" s="1"/>
  <c r="AJ117" i="79"/>
  <c r="AK117" i="79" s="1"/>
  <c r="AJ125" i="79"/>
  <c r="AK125" i="79" s="1"/>
  <c r="AJ64" i="79"/>
  <c r="AK64" i="79" s="1"/>
  <c r="AJ108" i="79"/>
  <c r="AK108" i="79" s="1"/>
  <c r="AJ106" i="79"/>
  <c r="AK106" i="79" s="1"/>
  <c r="AJ115" i="79"/>
  <c r="AK115" i="79" s="1"/>
  <c r="AJ9" i="79"/>
  <c r="AK9" i="79" s="1"/>
  <c r="AJ42" i="79"/>
  <c r="AK42" i="79" s="1"/>
  <c r="AJ68" i="79"/>
  <c r="AK68" i="79" s="1"/>
  <c r="AJ28" i="79"/>
  <c r="AK28" i="79" s="1"/>
  <c r="AJ6" i="79"/>
  <c r="AK6" i="79" s="1"/>
  <c r="AJ103" i="79"/>
  <c r="AK103" i="79" s="1"/>
  <c r="AJ100" i="79"/>
  <c r="AK100" i="79" s="1"/>
  <c r="AJ36" i="79"/>
  <c r="AK36" i="79" s="1"/>
  <c r="AJ158" i="79"/>
  <c r="AK158" i="79" s="1"/>
  <c r="AJ89" i="79"/>
  <c r="AK89" i="79" s="1"/>
  <c r="AJ165" i="79"/>
  <c r="AK165" i="79" s="1"/>
  <c r="AJ7" i="79"/>
  <c r="AK7" i="79" s="1"/>
  <c r="AJ53" i="79"/>
  <c r="AK53" i="79" s="1"/>
  <c r="AJ29" i="79"/>
  <c r="AK29" i="79" s="1"/>
  <c r="AJ60" i="79"/>
  <c r="AK60" i="79" s="1"/>
  <c r="AJ131" i="79"/>
  <c r="AK131" i="79" s="1"/>
  <c r="AJ31" i="79"/>
  <c r="AK31" i="79" s="1"/>
  <c r="AJ123" i="79"/>
  <c r="AK123" i="79" s="1"/>
  <c r="AJ118" i="79"/>
  <c r="AK118" i="79" s="1"/>
  <c r="AJ139" i="79"/>
  <c r="AK139" i="79" s="1"/>
  <c r="AJ130" i="79"/>
  <c r="AK130" i="79" s="1"/>
  <c r="AJ3" i="79"/>
  <c r="AK3" i="79" s="1"/>
  <c r="AJ61" i="79"/>
  <c r="AK61" i="79" s="1"/>
  <c r="AJ34" i="79"/>
  <c r="AK34" i="79" s="1"/>
  <c r="AJ8" i="79"/>
  <c r="AK8" i="79" s="1"/>
  <c r="AJ39" i="79"/>
  <c r="AK39" i="79" s="1"/>
  <c r="AJ77" i="79"/>
  <c r="AK77" i="79" s="1"/>
  <c r="AJ70" i="79"/>
  <c r="AK70" i="79" s="1"/>
  <c r="AJ124" i="79"/>
  <c r="AK124" i="79" s="1"/>
  <c r="AJ169" i="79"/>
  <c r="AK169" i="79" s="1"/>
  <c r="AJ160" i="79"/>
  <c r="AK160" i="79" s="1"/>
  <c r="AJ159" i="79"/>
  <c r="AK159" i="79" s="1"/>
  <c r="AJ22" i="79"/>
  <c r="AK22" i="79" s="1"/>
  <c r="AJ20" i="79"/>
  <c r="AK20" i="79" s="1"/>
  <c r="AJ58" i="79"/>
  <c r="AK58" i="79" s="1"/>
  <c r="AJ62" i="79"/>
  <c r="AK62" i="79" s="1"/>
  <c r="AJ45" i="79"/>
  <c r="AK45" i="79" s="1"/>
  <c r="AJ136" i="79"/>
  <c r="AK136" i="79" s="1"/>
  <c r="AJ142" i="79"/>
  <c r="AK142" i="79" s="1"/>
  <c r="AJ147" i="79"/>
  <c r="AK147" i="79" s="1"/>
  <c r="AJ102" i="79"/>
  <c r="AK102" i="79" s="1"/>
  <c r="AJ171" i="79"/>
  <c r="AK171" i="79" s="1"/>
  <c r="AJ78" i="79"/>
  <c r="AK78" i="79" s="1"/>
  <c r="AJ15" i="79"/>
  <c r="AK15" i="79" s="1"/>
  <c r="AJ19" i="79"/>
  <c r="AK19" i="79" s="1"/>
  <c r="AJ35" i="79"/>
  <c r="AK35" i="79" s="1"/>
  <c r="AJ48" i="79"/>
  <c r="AK48" i="79" s="1"/>
  <c r="AJ81" i="79"/>
  <c r="AK81" i="79" s="1"/>
  <c r="AJ59" i="79"/>
  <c r="AK59" i="79" s="1"/>
  <c r="AJ88" i="79"/>
  <c r="AK88" i="79" s="1"/>
  <c r="AJ95" i="79"/>
  <c r="AK95" i="79" s="1"/>
  <c r="AJ119" i="79"/>
  <c r="AK119" i="79" s="1"/>
  <c r="AJ146" i="79"/>
  <c r="AK146" i="79" s="1"/>
  <c r="AJ157" i="79"/>
  <c r="AK157" i="79" s="1"/>
  <c r="AJ11" i="79"/>
  <c r="AK11" i="79" s="1"/>
  <c r="AJ24" i="79"/>
  <c r="AK24" i="79" s="1"/>
  <c r="AJ86" i="79"/>
  <c r="AK86" i="79" s="1"/>
  <c r="AJ73" i="79"/>
  <c r="AK73" i="79" s="1"/>
  <c r="AJ168" i="79"/>
  <c r="AK168" i="79" s="1"/>
  <c r="AJ134" i="79"/>
  <c r="AK134" i="79" s="1"/>
  <c r="AJ112" i="79"/>
  <c r="AK112" i="79" s="1"/>
  <c r="AJ97" i="79"/>
  <c r="AK97" i="79" s="1"/>
  <c r="AJ151" i="79"/>
  <c r="AK151" i="79" s="1"/>
  <c r="AJ138" i="79"/>
  <c r="AK138" i="79" s="1"/>
  <c r="AJ121" i="79"/>
  <c r="AK121" i="79" s="1"/>
  <c r="AJ5" i="79"/>
  <c r="AK5" i="79" s="1"/>
  <c r="AJ30" i="79"/>
  <c r="AK30" i="79" s="1"/>
  <c r="AJ52" i="79"/>
  <c r="AK52" i="79" s="1"/>
  <c r="AJ83" i="79"/>
  <c r="AK83" i="79" s="1"/>
  <c r="AJ133" i="79"/>
  <c r="AK133" i="79" s="1"/>
  <c r="AJ25" i="79"/>
  <c r="AK25" i="79" s="1"/>
  <c r="AJ126" i="79"/>
  <c r="AK126" i="79" s="1"/>
  <c r="AJ128" i="79"/>
  <c r="AK128" i="79" s="1"/>
  <c r="AJ40" i="79"/>
  <c r="AK40" i="79" s="1"/>
  <c r="AJ111" i="79"/>
  <c r="AK111" i="79" s="1"/>
  <c r="AJ114" i="79"/>
  <c r="AK114" i="79" s="1"/>
  <c r="AJ12" i="79"/>
  <c r="AK12" i="79" s="1"/>
  <c r="AJ43" i="79"/>
  <c r="AK43" i="79" s="1"/>
  <c r="AJ127" i="79"/>
  <c r="AK127" i="79" s="1"/>
  <c r="AJ116" i="79"/>
  <c r="AK116" i="79" s="1"/>
  <c r="AJ105" i="79"/>
  <c r="AK105" i="79" s="1"/>
  <c r="AJ98" i="79"/>
  <c r="AK98" i="79" s="1"/>
  <c r="AJ135" i="79"/>
  <c r="AK135" i="79" s="1"/>
  <c r="AJ153" i="79"/>
  <c r="AK153" i="79" s="1"/>
  <c r="AJ161" i="79"/>
  <c r="AK161" i="79" s="1"/>
  <c r="AJ166" i="79"/>
  <c r="AK166" i="79" s="1"/>
  <c r="AJ7" i="78"/>
  <c r="AK7" i="78" s="1"/>
  <c r="AJ24" i="78"/>
  <c r="AK24" i="78" s="1"/>
  <c r="AJ32" i="78"/>
  <c r="AK32" i="78" s="1"/>
  <c r="AJ53" i="78"/>
  <c r="AK53" i="78" s="1"/>
  <c r="AJ73" i="78"/>
  <c r="AK73" i="78" s="1"/>
  <c r="AJ74" i="78"/>
  <c r="AK74" i="78" s="1"/>
  <c r="AJ64" i="78"/>
  <c r="AK64" i="78" s="1"/>
  <c r="AJ27" i="78"/>
  <c r="AK27" i="78" s="1"/>
  <c r="AJ154" i="78"/>
  <c r="AK154" i="78" s="1"/>
  <c r="AJ99" i="78"/>
  <c r="AK99" i="78" s="1"/>
  <c r="AL179" i="78"/>
  <c r="AM179" i="78" s="1"/>
  <c r="AL165" i="78"/>
  <c r="AM165" i="78" s="1"/>
  <c r="AL146" i="78"/>
  <c r="AM146" i="78" s="1"/>
  <c r="AL128" i="78"/>
  <c r="AM128" i="78" s="1"/>
  <c r="AL115" i="78"/>
  <c r="AM115" i="78" s="1"/>
  <c r="AL99" i="78"/>
  <c r="AM99" i="78" s="1"/>
  <c r="AL83" i="78"/>
  <c r="AM83" i="78" s="1"/>
  <c r="AL67" i="78"/>
  <c r="AM67" i="78" s="1"/>
  <c r="AL51" i="78"/>
  <c r="AM51" i="78" s="1"/>
  <c r="AL35" i="78"/>
  <c r="AM35" i="78" s="1"/>
  <c r="AL19" i="78"/>
  <c r="AM19" i="78" s="1"/>
  <c r="AL3" i="78"/>
  <c r="AM3" i="78" s="1"/>
  <c r="AL166" i="78"/>
  <c r="AM166" i="78" s="1"/>
  <c r="AL150" i="78"/>
  <c r="AM150" i="78" s="1"/>
  <c r="AL136" i="78"/>
  <c r="AM136" i="78" s="1"/>
  <c r="AL118" i="78"/>
  <c r="AM118" i="78" s="1"/>
  <c r="AL103" i="78"/>
  <c r="AM103" i="78" s="1"/>
  <c r="AL86" i="78"/>
  <c r="AM86" i="78" s="1"/>
  <c r="AL70" i="78"/>
  <c r="AM70" i="78" s="1"/>
  <c r="AL54" i="78"/>
  <c r="AM54" i="78" s="1"/>
  <c r="AL38" i="78"/>
  <c r="AM38" i="78" s="1"/>
  <c r="AL22" i="78"/>
  <c r="AM22" i="78" s="1"/>
  <c r="AL6" i="78"/>
  <c r="AM6" i="78" s="1"/>
  <c r="AL163" i="78"/>
  <c r="AM163" i="78" s="1"/>
  <c r="AL148" i="78"/>
  <c r="AM148" i="78" s="1"/>
  <c r="AL133" i="78"/>
  <c r="AM133" i="78" s="1"/>
  <c r="AL117" i="78"/>
  <c r="AM117" i="78" s="1"/>
  <c r="AL85" i="78"/>
  <c r="AM85" i="78" s="1"/>
  <c r="AL69" i="78"/>
  <c r="AM69" i="78" s="1"/>
  <c r="AL53" i="78"/>
  <c r="AM53" i="78" s="1"/>
  <c r="AL37" i="78"/>
  <c r="AM37" i="78" s="1"/>
  <c r="AL21" i="78"/>
  <c r="AM21" i="78" s="1"/>
  <c r="AL5" i="78"/>
  <c r="AM5" i="78" s="1"/>
  <c r="AL168" i="78"/>
  <c r="AM168" i="78" s="1"/>
  <c r="AL153" i="78"/>
  <c r="AM153" i="78" s="1"/>
  <c r="AL104" i="78"/>
  <c r="AM104" i="78" s="1"/>
  <c r="AL56" i="78"/>
  <c r="AM56" i="78" s="1"/>
  <c r="AL8" i="78"/>
  <c r="AM8" i="78" s="1"/>
  <c r="AL177" i="78"/>
  <c r="AM177" i="78" s="1"/>
  <c r="AL159" i="78"/>
  <c r="AM159" i="78" s="1"/>
  <c r="AL143" i="78"/>
  <c r="AM143" i="78" s="1"/>
  <c r="AL127" i="78"/>
  <c r="AM127" i="78" s="1"/>
  <c r="AL108" i="78"/>
  <c r="AM108" i="78" s="1"/>
  <c r="AL95" i="78"/>
  <c r="AM95" i="78" s="1"/>
  <c r="AL79" i="78"/>
  <c r="AM79" i="78" s="1"/>
  <c r="AL63" i="78"/>
  <c r="AM63" i="78" s="1"/>
  <c r="AL47" i="78"/>
  <c r="AM47" i="78" s="1"/>
  <c r="AL31" i="78"/>
  <c r="AM31" i="78" s="1"/>
  <c r="AL15" i="78"/>
  <c r="AM15" i="78" s="1"/>
  <c r="AL176" i="78"/>
  <c r="AM176" i="78" s="1"/>
  <c r="AL161" i="78"/>
  <c r="AM161" i="78" s="1"/>
  <c r="AL147" i="78"/>
  <c r="AM147" i="78" s="1"/>
  <c r="AL130" i="78"/>
  <c r="AM130" i="78" s="1"/>
  <c r="AL113" i="78"/>
  <c r="AM113" i="78" s="1"/>
  <c r="AL98" i="78"/>
  <c r="AM98" i="78" s="1"/>
  <c r="AL82" i="78"/>
  <c r="AM82" i="78" s="1"/>
  <c r="AL66" i="78"/>
  <c r="AM66" i="78" s="1"/>
  <c r="AL50" i="78"/>
  <c r="AM50" i="78" s="1"/>
  <c r="AL34" i="78"/>
  <c r="AM34" i="78" s="1"/>
  <c r="AL18" i="78"/>
  <c r="AM18" i="78" s="1"/>
  <c r="AL178" i="78"/>
  <c r="AM178" i="78" s="1"/>
  <c r="AL160" i="78"/>
  <c r="AM160" i="78" s="1"/>
  <c r="AL145" i="78"/>
  <c r="AM145" i="78" s="1"/>
  <c r="AL132" i="78"/>
  <c r="AM132" i="78" s="1"/>
  <c r="AL114" i="78"/>
  <c r="AM114" i="78" s="1"/>
  <c r="AL97" i="78"/>
  <c r="AM97" i="78" s="1"/>
  <c r="AL81" i="78"/>
  <c r="AM81" i="78" s="1"/>
  <c r="AL65" i="78"/>
  <c r="AM65" i="78" s="1"/>
  <c r="AL49" i="78"/>
  <c r="AM49" i="78" s="1"/>
  <c r="AL33" i="78"/>
  <c r="AM33" i="78" s="1"/>
  <c r="AL17" i="78"/>
  <c r="AM17" i="78" s="1"/>
  <c r="AL2" i="78"/>
  <c r="AL162" i="78"/>
  <c r="AM162" i="78" s="1"/>
  <c r="AL149" i="78"/>
  <c r="AM149" i="78" s="1"/>
  <c r="AL131" i="78"/>
  <c r="AM131" i="78" s="1"/>
  <c r="AL116" i="78"/>
  <c r="AM116" i="78" s="1"/>
  <c r="AL100" i="78"/>
  <c r="AM100" i="78" s="1"/>
  <c r="AL84" i="78"/>
  <c r="AM84" i="78" s="1"/>
  <c r="AL68" i="78"/>
  <c r="AM68" i="78" s="1"/>
  <c r="AL52" i="78"/>
  <c r="AM52" i="78" s="1"/>
  <c r="AL36" i="78"/>
  <c r="AM36" i="78" s="1"/>
  <c r="AL20" i="78"/>
  <c r="AM20" i="78" s="1"/>
  <c r="AL4" i="78"/>
  <c r="AM4" i="78" s="1"/>
  <c r="AL111" i="78"/>
  <c r="AM111" i="78" s="1"/>
  <c r="AL144" i="78"/>
  <c r="AM144" i="78" s="1"/>
  <c r="AL112" i="78"/>
  <c r="AM112" i="78" s="1"/>
  <c r="AL80" i="78"/>
  <c r="AM80" i="78" s="1"/>
  <c r="AL64" i="78"/>
  <c r="AM64" i="78" s="1"/>
  <c r="AL32" i="78"/>
  <c r="AM32" i="78" s="1"/>
  <c r="AL16" i="78"/>
  <c r="AM16" i="78" s="1"/>
  <c r="AL171" i="78"/>
  <c r="AM171" i="78" s="1"/>
  <c r="AL155" i="78"/>
  <c r="AM155" i="78" s="1"/>
  <c r="AL140" i="78"/>
  <c r="AM140" i="78" s="1"/>
  <c r="AL122" i="78"/>
  <c r="AM122" i="78" s="1"/>
  <c r="AL107" i="78"/>
  <c r="AM107" i="78" s="1"/>
  <c r="AL91" i="78"/>
  <c r="AM91" i="78" s="1"/>
  <c r="AL75" i="78"/>
  <c r="AM75" i="78" s="1"/>
  <c r="AL59" i="78"/>
  <c r="AM59" i="78" s="1"/>
  <c r="AL43" i="78"/>
  <c r="AM43" i="78" s="1"/>
  <c r="AL27" i="78"/>
  <c r="AM27" i="78" s="1"/>
  <c r="AL11" i="78"/>
  <c r="AM11" i="78" s="1"/>
  <c r="AL173" i="78"/>
  <c r="AM173" i="78" s="1"/>
  <c r="AL158" i="78"/>
  <c r="AM158" i="78" s="1"/>
  <c r="AL141" i="78"/>
  <c r="AM141" i="78" s="1"/>
  <c r="AL126" i="78"/>
  <c r="AM126" i="78" s="1"/>
  <c r="AL109" i="78"/>
  <c r="AM109" i="78" s="1"/>
  <c r="AL94" i="78"/>
  <c r="AM94" i="78" s="1"/>
  <c r="AL78" i="78"/>
  <c r="AM78" i="78" s="1"/>
  <c r="AL62" i="78"/>
  <c r="AM62" i="78" s="1"/>
  <c r="AL46" i="78"/>
  <c r="AM46" i="78" s="1"/>
  <c r="AL30" i="78"/>
  <c r="AM30" i="78" s="1"/>
  <c r="AL14" i="78"/>
  <c r="AM14" i="78" s="1"/>
  <c r="AL172" i="78"/>
  <c r="AM172" i="78" s="1"/>
  <c r="AL156" i="78"/>
  <c r="AM156" i="78" s="1"/>
  <c r="AL142" i="78"/>
  <c r="AM142" i="78" s="1"/>
  <c r="AL125" i="78"/>
  <c r="AM125" i="78" s="1"/>
  <c r="AL93" i="78"/>
  <c r="AM93" i="78" s="1"/>
  <c r="AL77" i="78"/>
  <c r="AM77" i="78" s="1"/>
  <c r="AL61" i="78"/>
  <c r="AM61" i="78" s="1"/>
  <c r="AL45" i="78"/>
  <c r="AM45" i="78" s="1"/>
  <c r="AL29" i="78"/>
  <c r="AM29" i="78" s="1"/>
  <c r="AL13" i="78"/>
  <c r="AM13" i="78" s="1"/>
  <c r="AL175" i="78"/>
  <c r="AM175" i="78" s="1"/>
  <c r="AL164" i="78"/>
  <c r="AM164" i="78" s="1"/>
  <c r="AL129" i="78"/>
  <c r="AM129" i="78" s="1"/>
  <c r="AL96" i="78"/>
  <c r="AM96" i="78" s="1"/>
  <c r="AL48" i="78"/>
  <c r="AM48" i="78" s="1"/>
  <c r="AL167" i="78"/>
  <c r="AM167" i="78" s="1"/>
  <c r="AL151" i="78"/>
  <c r="AM151" i="78" s="1"/>
  <c r="AL135" i="78"/>
  <c r="AM135" i="78" s="1"/>
  <c r="AL119" i="78"/>
  <c r="AM119" i="78" s="1"/>
  <c r="AL102" i="78"/>
  <c r="AM102" i="78" s="1"/>
  <c r="AL87" i="78"/>
  <c r="AM87" i="78" s="1"/>
  <c r="AL71" i="78"/>
  <c r="AM71" i="78" s="1"/>
  <c r="AL55" i="78"/>
  <c r="AM55" i="78" s="1"/>
  <c r="AL39" i="78"/>
  <c r="AM39" i="78" s="1"/>
  <c r="AL23" i="78"/>
  <c r="AM23" i="78" s="1"/>
  <c r="AL7" i="78"/>
  <c r="AM7" i="78" s="1"/>
  <c r="AL170" i="78"/>
  <c r="AM170" i="78" s="1"/>
  <c r="AL154" i="78"/>
  <c r="AM154" i="78" s="1"/>
  <c r="AL139" i="78"/>
  <c r="AM139" i="78" s="1"/>
  <c r="AL123" i="78"/>
  <c r="AM123" i="78" s="1"/>
  <c r="AL106" i="78"/>
  <c r="AM106" i="78" s="1"/>
  <c r="AL89" i="78"/>
  <c r="AM89" i="78" s="1"/>
  <c r="AL74" i="78"/>
  <c r="AM74" i="78" s="1"/>
  <c r="AL58" i="78"/>
  <c r="AM58" i="78" s="1"/>
  <c r="AL42" i="78"/>
  <c r="AM42" i="78" s="1"/>
  <c r="AL26" i="78"/>
  <c r="AM26" i="78" s="1"/>
  <c r="AL10" i="78"/>
  <c r="AM10" i="78" s="1"/>
  <c r="AL169" i="78"/>
  <c r="AM169" i="78" s="1"/>
  <c r="AL152" i="78"/>
  <c r="AM152" i="78" s="1"/>
  <c r="AL137" i="78"/>
  <c r="AM137" i="78" s="1"/>
  <c r="AL120" i="78"/>
  <c r="AM120" i="78" s="1"/>
  <c r="AL105" i="78"/>
  <c r="AM105" i="78" s="1"/>
  <c r="AL90" i="78"/>
  <c r="AM90" i="78" s="1"/>
  <c r="AL72" i="78"/>
  <c r="AM72" i="78" s="1"/>
  <c r="AL57" i="78"/>
  <c r="AM57" i="78" s="1"/>
  <c r="AL41" i="78"/>
  <c r="AM41" i="78" s="1"/>
  <c r="AL25" i="78"/>
  <c r="AM25" i="78" s="1"/>
  <c r="AL9" i="78"/>
  <c r="AM9" i="78" s="1"/>
  <c r="AL174" i="78"/>
  <c r="AM174" i="78" s="1"/>
  <c r="AL157" i="78"/>
  <c r="AM157" i="78" s="1"/>
  <c r="AL138" i="78"/>
  <c r="AM138" i="78" s="1"/>
  <c r="AL124" i="78"/>
  <c r="AM124" i="78" s="1"/>
  <c r="AL110" i="78"/>
  <c r="AM110" i="78" s="1"/>
  <c r="AL92" i="78"/>
  <c r="AM92" i="78" s="1"/>
  <c r="AL76" i="78"/>
  <c r="AM76" i="78" s="1"/>
  <c r="AL60" i="78"/>
  <c r="AM60" i="78" s="1"/>
  <c r="AL44" i="78"/>
  <c r="AM44" i="78" s="1"/>
  <c r="AL28" i="78"/>
  <c r="AM28" i="78" s="1"/>
  <c r="AL12" i="78"/>
  <c r="AM12" i="78" s="1"/>
  <c r="AL101" i="78"/>
  <c r="AM101" i="78" s="1"/>
  <c r="AL134" i="78"/>
  <c r="AM134" i="78" s="1"/>
  <c r="AL121" i="78"/>
  <c r="AM121" i="78" s="1"/>
  <c r="AL88" i="78"/>
  <c r="AM88" i="78" s="1"/>
  <c r="AL73" i="78"/>
  <c r="AM73" i="78" s="1"/>
  <c r="AL40" i="78"/>
  <c r="AM40" i="78" s="1"/>
  <c r="AL24" i="78"/>
  <c r="AM24" i="78" s="1"/>
  <c r="AJ25" i="78"/>
  <c r="AK25" i="78" s="1"/>
  <c r="AJ19" i="78"/>
  <c r="AK19" i="78" s="1"/>
  <c r="AJ93" i="78"/>
  <c r="AK93" i="78" s="1"/>
  <c r="AJ75" i="78"/>
  <c r="AK75" i="78" s="1"/>
  <c r="AJ102" i="78"/>
  <c r="AK102" i="78" s="1"/>
  <c r="AJ35" i="78"/>
  <c r="AK35" i="78" s="1"/>
  <c r="AJ158" i="78"/>
  <c r="AK158" i="78" s="1"/>
  <c r="AJ177" i="78"/>
  <c r="AK177" i="78" s="1"/>
  <c r="AJ139" i="78"/>
  <c r="AK139" i="78" s="1"/>
  <c r="AJ160" i="78"/>
  <c r="AK160" i="78" s="1"/>
  <c r="AJ145" i="78"/>
  <c r="AK145" i="78" s="1"/>
  <c r="AJ172" i="78"/>
  <c r="AK172" i="78" s="1"/>
  <c r="AJ167" i="78"/>
  <c r="AK167" i="78" s="1"/>
  <c r="AJ82" i="78"/>
  <c r="AK82" i="78" s="1"/>
  <c r="AJ176" i="78"/>
  <c r="AK176" i="78" s="1"/>
  <c r="AJ86" i="78"/>
  <c r="AK86" i="78" s="1"/>
  <c r="AJ96" i="78"/>
  <c r="AK96" i="78" s="1"/>
  <c r="AJ30" i="78"/>
  <c r="AK30" i="78" s="1"/>
  <c r="AJ90" i="78"/>
  <c r="AK90" i="78" s="1"/>
  <c r="AJ49" i="78"/>
  <c r="AK49" i="78" s="1"/>
  <c r="AJ107" i="78"/>
  <c r="AK107" i="78" s="1"/>
  <c r="AJ47" i="78"/>
  <c r="AK47" i="78" s="1"/>
  <c r="AJ20" i="78"/>
  <c r="AK20" i="78" s="1"/>
  <c r="AJ45" i="78"/>
  <c r="AK45" i="78" s="1"/>
  <c r="AJ10" i="78"/>
  <c r="AK10" i="78" s="1"/>
  <c r="AJ16" i="78"/>
  <c r="AK16" i="78" s="1"/>
  <c r="AJ3" i="78"/>
  <c r="AK3" i="78" s="1"/>
  <c r="AJ130" i="78"/>
  <c r="AK130" i="78" s="1"/>
  <c r="AJ178" i="78"/>
  <c r="AK178" i="78" s="1"/>
  <c r="AJ70" i="78"/>
  <c r="AK70" i="78" s="1"/>
  <c r="AJ120" i="78"/>
  <c r="AK120" i="78" s="1"/>
  <c r="AJ132" i="78"/>
  <c r="AK132" i="78" s="1"/>
  <c r="AJ151" i="78"/>
  <c r="AK151" i="78" s="1"/>
  <c r="AJ122" i="78"/>
  <c r="AK122" i="78" s="1"/>
  <c r="AJ147" i="78"/>
  <c r="AK147" i="78" s="1"/>
  <c r="AJ124" i="78"/>
  <c r="AK124" i="78" s="1"/>
  <c r="AJ146" i="78"/>
  <c r="AK146" i="78" s="1"/>
  <c r="AJ52" i="78"/>
  <c r="AK52" i="78" s="1"/>
  <c r="AJ117" i="78"/>
  <c r="AK117" i="78" s="1"/>
  <c r="AJ121" i="78"/>
  <c r="AK121" i="78" s="1"/>
  <c r="AJ65" i="78"/>
  <c r="AK65" i="78" s="1"/>
  <c r="AJ84" i="78"/>
  <c r="AK84" i="78" s="1"/>
  <c r="AJ60" i="78"/>
  <c r="AK60" i="78" s="1"/>
  <c r="AJ57" i="78"/>
  <c r="AK57" i="78" s="1"/>
  <c r="AJ81" i="78"/>
  <c r="AK81" i="78" s="1"/>
  <c r="AJ48" i="78"/>
  <c r="AK48" i="78" s="1"/>
  <c r="AJ12" i="78"/>
  <c r="AK12" i="78" s="1"/>
  <c r="AJ14" i="78"/>
  <c r="AK14" i="78" s="1"/>
  <c r="AJ13" i="78"/>
  <c r="AK13" i="78" s="1"/>
  <c r="AJ135" i="78"/>
  <c r="AK135" i="78" s="1"/>
  <c r="AJ111" i="78"/>
  <c r="AK111" i="78" s="1"/>
  <c r="AJ118" i="78"/>
  <c r="AK118" i="78" s="1"/>
  <c r="AJ131" i="78"/>
  <c r="AK131" i="78" s="1"/>
  <c r="AJ148" i="78"/>
  <c r="AK148" i="78" s="1"/>
  <c r="AJ179" i="78"/>
  <c r="AK179" i="78" s="1"/>
  <c r="AJ161" i="78"/>
  <c r="AK161" i="78" s="1"/>
  <c r="AJ80" i="78"/>
  <c r="AK80" i="78" s="1"/>
  <c r="AJ127" i="78"/>
  <c r="AK127" i="78" s="1"/>
  <c r="AJ141" i="78"/>
  <c r="AK141" i="78" s="1"/>
  <c r="AJ114" i="78"/>
  <c r="AK114" i="78" s="1"/>
  <c r="AJ33" i="78"/>
  <c r="AK33" i="78" s="1"/>
  <c r="AJ125" i="78"/>
  <c r="AK125" i="78" s="1"/>
  <c r="AJ85" i="78"/>
  <c r="AK85" i="78" s="1"/>
  <c r="AJ36" i="78"/>
  <c r="AK36" i="78" s="1"/>
  <c r="AJ59" i="78"/>
  <c r="AK59" i="78" s="1"/>
  <c r="AJ56" i="78"/>
  <c r="AK56" i="78" s="1"/>
  <c r="AJ37" i="78"/>
  <c r="AK37" i="78" s="1"/>
  <c r="AJ21" i="78"/>
  <c r="AK21" i="78" s="1"/>
  <c r="AJ39" i="78"/>
  <c r="AK39" i="78" s="1"/>
  <c r="AJ23" i="78"/>
  <c r="AK23" i="78" s="1"/>
  <c r="AJ6" i="78"/>
  <c r="AK6" i="78" s="1"/>
  <c r="AJ106" i="78"/>
  <c r="AK106" i="78" s="1"/>
  <c r="AJ175" i="78"/>
  <c r="AK175" i="78" s="1"/>
  <c r="AJ134" i="78"/>
  <c r="AK134" i="78" s="1"/>
  <c r="AJ156" i="78"/>
  <c r="AK156" i="78" s="1"/>
  <c r="AJ171" i="78"/>
  <c r="AK171" i="78" s="1"/>
  <c r="AJ168" i="78"/>
  <c r="AK168" i="78" s="1"/>
  <c r="AJ61" i="78"/>
  <c r="AK61" i="78" s="1"/>
  <c r="AJ89" i="78"/>
  <c r="AK89" i="78" s="1"/>
  <c r="AJ69" i="78"/>
  <c r="AK69" i="78" s="1"/>
  <c r="AJ157" i="78"/>
  <c r="AK157" i="78" s="1"/>
  <c r="AJ152" i="78"/>
  <c r="AK152" i="78" s="1"/>
  <c r="AJ98" i="78"/>
  <c r="AK98" i="78" s="1"/>
  <c r="AJ110" i="78"/>
  <c r="AK110" i="78" s="1"/>
  <c r="AJ88" i="78"/>
  <c r="AK88" i="78" s="1"/>
  <c r="AJ104" i="78"/>
  <c r="AK104" i="78" s="1"/>
  <c r="AJ91" i="78"/>
  <c r="AK91" i="78" s="1"/>
  <c r="AJ105" i="78"/>
  <c r="AK105" i="78" s="1"/>
  <c r="AJ54" i="78"/>
  <c r="AK54" i="78" s="1"/>
  <c r="AJ55" i="78"/>
  <c r="AK55" i="78" s="1"/>
  <c r="AJ68" i="78"/>
  <c r="AK68" i="78" s="1"/>
  <c r="AJ58" i="78"/>
  <c r="AK58" i="78" s="1"/>
  <c r="AJ76" i="78"/>
  <c r="AK76" i="78" s="1"/>
  <c r="AJ31" i="78"/>
  <c r="AK31" i="78" s="1"/>
  <c r="AJ101" i="78"/>
  <c r="AK101" i="78" s="1"/>
  <c r="AJ17" i="78"/>
  <c r="AK17" i="78" s="1"/>
  <c r="AJ15" i="78"/>
  <c r="AK15" i="78" s="1"/>
  <c r="AJ38" i="78"/>
  <c r="AK38" i="78" s="1"/>
  <c r="AJ144" i="78"/>
  <c r="AK144" i="78" s="1"/>
  <c r="AJ34" i="78"/>
  <c r="AK34" i="78" s="1"/>
  <c r="AJ78" i="78"/>
  <c r="AK78" i="78" s="1"/>
  <c r="AJ143" i="78"/>
  <c r="AK143" i="78" s="1"/>
  <c r="AJ115" i="78"/>
  <c r="AK115" i="78" s="1"/>
  <c r="AJ128" i="78"/>
  <c r="AK128" i="78" s="1"/>
  <c r="AJ119" i="78"/>
  <c r="AK119" i="78" s="1"/>
  <c r="AJ92" i="78"/>
  <c r="AK92" i="78" s="1"/>
  <c r="AJ116" i="78"/>
  <c r="AK116" i="78" s="1"/>
  <c r="AJ112" i="78"/>
  <c r="AK112" i="78" s="1"/>
  <c r="AJ97" i="78"/>
  <c r="AK97" i="78" s="1"/>
  <c r="AJ79" i="78"/>
  <c r="AK79" i="78" s="1"/>
  <c r="AJ71" i="78"/>
  <c r="AK71" i="78" s="1"/>
  <c r="AJ162" i="78"/>
  <c r="AK162" i="78" s="1"/>
  <c r="AJ77" i="78"/>
  <c r="AK77" i="78" s="1"/>
  <c r="AJ50" i="78"/>
  <c r="AK50" i="78" s="1"/>
  <c r="AJ41" i="78"/>
  <c r="AK41" i="78" s="1"/>
  <c r="AJ40" i="78"/>
  <c r="AK40" i="78" s="1"/>
  <c r="AJ18" i="78"/>
  <c r="AK18" i="78" s="1"/>
  <c r="AJ11" i="78"/>
  <c r="AK11" i="78" s="1"/>
  <c r="AJ42" i="78"/>
  <c r="AK42" i="78" s="1"/>
  <c r="AJ2" i="78"/>
  <c r="AJ174" i="78"/>
  <c r="AK174" i="78" s="1"/>
  <c r="AJ164" i="78"/>
  <c r="AK164" i="78" s="1"/>
  <c r="AJ173" i="78"/>
  <c r="AK173" i="78" s="1"/>
  <c r="AJ66" i="78"/>
  <c r="AK66" i="78" s="1"/>
  <c r="AJ108" i="78"/>
  <c r="AK108" i="78" s="1"/>
  <c r="AJ126" i="78"/>
  <c r="AK126" i="78" s="1"/>
  <c r="AJ129" i="78"/>
  <c r="AK129" i="78" s="1"/>
  <c r="AJ113" i="78"/>
  <c r="AK113" i="78" s="1"/>
  <c r="AJ169" i="78"/>
  <c r="AK169" i="78" s="1"/>
  <c r="AJ123" i="78"/>
  <c r="AK123" i="78" s="1"/>
  <c r="AJ43" i="78"/>
  <c r="AK43" i="78" s="1"/>
  <c r="AJ67" i="78"/>
  <c r="AK67" i="78" s="1"/>
  <c r="AJ87" i="78"/>
  <c r="AK87" i="78" s="1"/>
  <c r="AJ159" i="78"/>
  <c r="AK159" i="78" s="1"/>
  <c r="AJ138" i="78"/>
  <c r="AK138" i="78" s="1"/>
  <c r="AJ29" i="78"/>
  <c r="AK29" i="78" s="1"/>
  <c r="AJ109" i="78"/>
  <c r="AK109" i="78" s="1"/>
  <c r="AJ155" i="78"/>
  <c r="AK155" i="78" s="1"/>
  <c r="AJ28" i="78"/>
  <c r="AK28" i="78" s="1"/>
  <c r="AJ26" i="78"/>
  <c r="AK26" i="78" s="1"/>
  <c r="AJ22" i="78"/>
  <c r="AK22" i="78" s="1"/>
  <c r="AJ8" i="78"/>
  <c r="AK8" i="78" s="1"/>
  <c r="AJ63" i="78"/>
  <c r="AK63" i="78" s="1"/>
  <c r="AJ150" i="78"/>
  <c r="AK150" i="78" s="1"/>
  <c r="AJ136" i="78"/>
  <c r="AK136" i="78" s="1"/>
  <c r="AJ133" i="78"/>
  <c r="AK133" i="78" s="1"/>
  <c r="AJ170" i="78"/>
  <c r="AK170" i="78" s="1"/>
  <c r="AJ100" i="78"/>
  <c r="AK100" i="78" s="1"/>
  <c r="AJ5" i="78"/>
  <c r="AK5" i="78" s="1"/>
  <c r="AJ95" i="78"/>
  <c r="AK95" i="78" s="1"/>
  <c r="AJ9" i="78"/>
  <c r="AK9" i="78" s="1"/>
  <c r="AJ4" i="78"/>
  <c r="AK4" i="78" s="1"/>
  <c r="AJ46" i="78"/>
  <c r="AK46" i="78" s="1"/>
  <c r="AJ94" i="78"/>
  <c r="AK94" i="78" s="1"/>
  <c r="AJ83" i="78"/>
  <c r="AK83" i="78" s="1"/>
  <c r="AJ140" i="78"/>
  <c r="AK140" i="78" s="1"/>
  <c r="AJ142" i="78"/>
  <c r="AK142" i="78" s="1"/>
  <c r="AJ72" i="78"/>
  <c r="AK72" i="78" s="1"/>
  <c r="AJ137" i="78"/>
  <c r="AK137" i="78" s="1"/>
  <c r="AJ44" i="78"/>
  <c r="AK44" i="78" s="1"/>
  <c r="AJ51" i="78"/>
  <c r="AK51" i="78" s="1"/>
  <c r="AJ166" i="78"/>
  <c r="AK166" i="78" s="1"/>
  <c r="AJ165" i="78"/>
  <c r="AK165" i="78" s="1"/>
  <c r="AJ103" i="78"/>
  <c r="AK103" i="78" s="1"/>
  <c r="AJ153" i="78"/>
  <c r="AK153" i="78" s="1"/>
  <c r="AJ62" i="78"/>
  <c r="AK62" i="78" s="1"/>
  <c r="AJ149" i="78"/>
  <c r="AK149" i="78" s="1"/>
  <c r="AM2" i="77"/>
  <c r="AM83" i="77" s="1"/>
  <c r="AL83" i="77"/>
  <c r="AK2" i="77"/>
  <c r="AK83" i="77" s="1"/>
  <c r="AJ83" i="77"/>
  <c r="AJ172" i="79"/>
  <c r="AK172" i="79"/>
  <c r="AL172" i="79"/>
  <c r="AM2" i="79"/>
  <c r="AM172" i="79" s="1"/>
  <c r="AF4" i="76"/>
  <c r="AF9" i="76"/>
  <c r="AF8" i="76"/>
  <c r="AF10" i="76"/>
  <c r="AF15" i="76"/>
  <c r="AF12" i="76"/>
  <c r="AF14" i="76"/>
  <c r="AF11" i="76"/>
  <c r="AF13" i="76"/>
  <c r="AF20" i="76"/>
  <c r="AF19" i="76"/>
  <c r="AF16" i="76"/>
  <c r="AF22" i="76"/>
  <c r="AF24" i="76"/>
  <c r="AF25" i="76"/>
  <c r="AF50" i="76"/>
  <c r="AF27" i="76"/>
  <c r="AF28" i="76"/>
  <c r="AF37" i="76"/>
  <c r="AF26" i="76"/>
  <c r="AF71" i="76"/>
  <c r="AF42" i="76"/>
  <c r="AF32" i="76"/>
  <c r="AF38" i="76"/>
  <c r="AF54" i="76"/>
  <c r="AF58" i="76"/>
  <c r="AF53" i="76"/>
  <c r="AF21" i="76"/>
  <c r="AF49" i="76"/>
  <c r="AF59" i="76"/>
  <c r="AF62" i="76"/>
  <c r="AF73" i="76"/>
  <c r="AF63" i="76"/>
  <c r="AF45" i="76"/>
  <c r="AF61" i="76"/>
  <c r="AF55" i="76"/>
  <c r="AF39" i="76"/>
  <c r="AF48" i="76"/>
  <c r="AF23" i="76"/>
  <c r="AF52" i="76"/>
  <c r="AF78" i="76"/>
  <c r="AF36" i="76"/>
  <c r="AF41" i="76"/>
  <c r="AF72" i="76"/>
  <c r="AF65" i="76"/>
  <c r="AF51" i="76"/>
  <c r="AF7" i="76"/>
  <c r="AF76" i="76"/>
  <c r="AF67" i="76"/>
  <c r="AF81" i="76"/>
  <c r="AF80" i="76"/>
  <c r="AF69" i="76"/>
  <c r="AF68" i="76"/>
  <c r="AF66" i="76"/>
  <c r="AF2" i="76"/>
  <c r="AF74" i="76"/>
  <c r="AI3" i="75"/>
  <c r="AI4" i="75"/>
  <c r="AI5" i="75"/>
  <c r="AI8" i="75"/>
  <c r="AI12" i="75"/>
  <c r="AI16" i="75"/>
  <c r="AI6" i="75"/>
  <c r="AI17" i="75"/>
  <c r="AI19" i="75"/>
  <c r="AI10" i="75"/>
  <c r="AI11" i="75"/>
  <c r="AI7" i="75"/>
  <c r="AI24" i="75"/>
  <c r="AI13" i="75"/>
  <c r="AI29" i="75"/>
  <c r="AI22" i="75"/>
  <c r="AI21" i="75"/>
  <c r="AI20" i="75"/>
  <c r="AI9" i="75"/>
  <c r="AI28" i="75"/>
  <c r="AI32" i="75"/>
  <c r="AI33" i="75"/>
  <c r="AI42" i="75"/>
  <c r="AI35" i="75"/>
  <c r="AI26" i="75"/>
  <c r="AI15" i="75"/>
  <c r="AI18" i="75"/>
  <c r="AI25" i="75"/>
  <c r="AI34" i="75"/>
  <c r="AI23" i="75"/>
  <c r="AI36" i="75"/>
  <c r="AI70" i="75"/>
  <c r="AI39" i="75"/>
  <c r="AI38" i="75"/>
  <c r="AI48" i="75"/>
  <c r="AI47" i="75"/>
  <c r="AI50" i="75"/>
  <c r="AI54" i="75"/>
  <c r="AI46" i="75"/>
  <c r="AI52" i="75"/>
  <c r="AI59" i="75"/>
  <c r="AI14" i="75"/>
  <c r="AI45" i="75"/>
  <c r="AI41" i="75"/>
  <c r="AI55" i="75"/>
  <c r="AI60" i="75"/>
  <c r="AI40" i="75"/>
  <c r="AI57" i="75"/>
  <c r="AI49" i="75"/>
  <c r="AI51" i="75"/>
  <c r="AI30" i="75"/>
  <c r="AI37" i="75"/>
  <c r="AI62" i="75"/>
  <c r="AI53" i="75"/>
  <c r="AI43" i="75"/>
  <c r="AI64" i="75"/>
  <c r="AI61" i="75"/>
  <c r="AI58" i="75"/>
  <c r="AI56" i="75"/>
  <c r="AI27" i="75"/>
  <c r="AI44" i="75"/>
  <c r="AI31" i="75"/>
  <c r="AI68" i="75"/>
  <c r="AI65" i="75"/>
  <c r="AI66" i="75"/>
  <c r="AI67" i="75"/>
  <c r="AI72" i="75"/>
  <c r="AI71" i="75"/>
  <c r="AI69" i="75"/>
  <c r="AF2" i="75"/>
  <c r="AF3" i="75"/>
  <c r="AF4" i="75"/>
  <c r="AF5" i="75"/>
  <c r="AF8" i="75"/>
  <c r="AF12" i="75"/>
  <c r="AF16" i="75"/>
  <c r="AF6" i="75"/>
  <c r="AF17" i="75"/>
  <c r="AF19" i="75"/>
  <c r="AF10" i="75"/>
  <c r="AF11" i="75"/>
  <c r="AF7" i="75"/>
  <c r="AF24" i="75"/>
  <c r="AF13" i="75"/>
  <c r="AF29" i="75"/>
  <c r="AF22" i="75"/>
  <c r="AF21" i="75"/>
  <c r="AF20" i="75"/>
  <c r="AF9" i="75"/>
  <c r="AF28" i="75"/>
  <c r="AF32" i="75"/>
  <c r="AF33" i="75"/>
  <c r="AF42" i="75"/>
  <c r="AF35" i="75"/>
  <c r="AF26" i="75"/>
  <c r="AF15" i="75"/>
  <c r="AF18" i="75"/>
  <c r="AF25" i="75"/>
  <c r="AF34" i="75"/>
  <c r="AF23" i="75"/>
  <c r="AF36" i="75"/>
  <c r="AF70" i="75"/>
  <c r="AF39" i="75"/>
  <c r="AF38" i="75"/>
  <c r="AF48" i="75"/>
  <c r="AF47" i="75"/>
  <c r="AF50" i="75"/>
  <c r="AF54" i="75"/>
  <c r="AF46" i="75"/>
  <c r="AF52" i="75"/>
  <c r="AF59" i="75"/>
  <c r="AF14" i="75"/>
  <c r="AF45" i="75"/>
  <c r="AF41" i="75"/>
  <c r="AF55" i="75"/>
  <c r="AF60" i="75"/>
  <c r="AF40" i="75"/>
  <c r="AF57" i="75"/>
  <c r="AF49" i="75"/>
  <c r="AF51" i="75"/>
  <c r="AF30" i="75"/>
  <c r="AF37" i="75"/>
  <c r="AF62" i="75"/>
  <c r="AF53" i="75"/>
  <c r="AF43" i="75"/>
  <c r="AF64" i="75"/>
  <c r="AF61" i="75"/>
  <c r="AF58" i="75"/>
  <c r="AF56" i="75"/>
  <c r="AF27" i="75"/>
  <c r="AF44" i="75"/>
  <c r="AF31" i="75"/>
  <c r="AF68" i="75"/>
  <c r="AF65" i="75"/>
  <c r="AF66" i="75"/>
  <c r="AF67" i="75"/>
  <c r="AF72" i="75"/>
  <c r="AF71" i="75"/>
  <c r="AF69" i="75"/>
  <c r="AI12" i="72"/>
  <c r="AI9" i="72"/>
  <c r="AI23" i="72"/>
  <c r="AI18" i="72"/>
  <c r="AI24" i="72"/>
  <c r="AI14" i="72"/>
  <c r="AI13" i="72"/>
  <c r="AI17" i="72"/>
  <c r="AI22" i="72"/>
  <c r="AI26" i="72"/>
  <c r="AI36" i="72"/>
  <c r="AI31" i="72"/>
  <c r="AI39" i="72"/>
  <c r="AI5" i="72"/>
  <c r="AF5" i="72"/>
  <c r="AM5" i="72"/>
  <c r="AI3" i="74"/>
  <c r="AI4" i="74"/>
  <c r="AI2" i="74"/>
  <c r="AI5" i="74"/>
  <c r="AI6" i="74"/>
  <c r="AI10" i="74"/>
  <c r="AI7" i="74"/>
  <c r="AI11" i="74"/>
  <c r="AI8" i="74"/>
  <c r="AI15" i="74"/>
  <c r="AI9" i="74"/>
  <c r="AI18" i="74"/>
  <c r="AI16" i="74"/>
  <c r="AI14" i="74"/>
  <c r="AI13" i="74"/>
  <c r="AI12" i="74"/>
  <c r="AI24" i="74"/>
  <c r="AI20" i="74"/>
  <c r="AI22" i="74"/>
  <c r="AI26" i="74"/>
  <c r="AI23" i="74"/>
  <c r="AI25" i="74"/>
  <c r="AF3" i="74"/>
  <c r="AF4" i="74"/>
  <c r="AF2" i="74"/>
  <c r="AF5" i="74"/>
  <c r="AF6" i="74"/>
  <c r="AF10" i="74"/>
  <c r="AF7" i="74"/>
  <c r="AF11" i="74"/>
  <c r="AF8" i="74"/>
  <c r="AF15" i="74"/>
  <c r="AF9" i="74"/>
  <c r="AF16" i="74"/>
  <c r="AF14" i="74"/>
  <c r="AF13" i="74"/>
  <c r="AF12" i="74"/>
  <c r="AF24" i="74"/>
  <c r="AF20" i="74"/>
  <c r="AF22" i="74"/>
  <c r="AF26" i="74"/>
  <c r="AF23" i="74"/>
  <c r="AF25" i="74"/>
  <c r="AI2" i="73"/>
  <c r="AI4" i="73"/>
  <c r="AI3" i="73"/>
  <c r="AI6" i="73"/>
  <c r="AI7" i="73"/>
  <c r="AI5" i="73"/>
  <c r="AI9" i="73"/>
  <c r="AI8" i="73"/>
  <c r="AI14" i="73"/>
  <c r="AI11" i="73"/>
  <c r="AI12" i="73"/>
  <c r="AI19" i="73"/>
  <c r="AI24" i="73"/>
  <c r="AF2" i="73"/>
  <c r="AF4" i="73"/>
  <c r="AF3" i="73"/>
  <c r="AF6" i="73"/>
  <c r="AF7" i="73"/>
  <c r="AF5" i="73"/>
  <c r="AF9" i="73"/>
  <c r="AF8" i="73"/>
  <c r="AF14" i="73"/>
  <c r="AF11" i="73"/>
  <c r="AF12" i="73"/>
  <c r="AF19" i="73"/>
  <c r="AF24" i="73"/>
  <c r="AI2" i="72"/>
  <c r="AI4" i="72"/>
  <c r="AI3" i="72"/>
  <c r="AI6" i="72"/>
  <c r="AI11" i="72"/>
  <c r="AI19" i="72"/>
  <c r="AI7" i="72"/>
  <c r="AI8" i="72"/>
  <c r="AI25" i="72"/>
  <c r="AI16" i="72"/>
  <c r="AI10" i="72"/>
  <c r="AI21" i="72"/>
  <c r="AI34" i="72"/>
  <c r="AI28" i="72"/>
  <c r="AI27" i="72"/>
  <c r="AI20" i="72"/>
  <c r="AI32" i="72"/>
  <c r="AI30" i="72"/>
  <c r="AI37" i="72"/>
  <c r="AI35" i="72"/>
  <c r="AI38" i="72"/>
  <c r="AF2" i="72"/>
  <c r="AF4" i="72"/>
  <c r="AF3" i="72"/>
  <c r="AF6" i="72"/>
  <c r="AF12" i="72"/>
  <c r="AF23" i="72"/>
  <c r="AF11" i="72"/>
  <c r="AF19" i="72"/>
  <c r="AF7" i="72"/>
  <c r="AF9" i="72"/>
  <c r="AF18" i="72"/>
  <c r="AF14" i="72"/>
  <c r="AF17" i="72"/>
  <c r="AF8" i="72"/>
  <c r="AF25" i="72"/>
  <c r="AF13" i="72"/>
  <c r="AF16" i="72"/>
  <c r="AF24" i="72"/>
  <c r="AF10" i="72"/>
  <c r="AF21" i="72"/>
  <c r="AF34" i="72"/>
  <c r="AF26" i="72"/>
  <c r="AF28" i="72"/>
  <c r="AF27" i="72"/>
  <c r="AF31" i="72"/>
  <c r="AF20" i="72"/>
  <c r="AF32" i="72"/>
  <c r="AF30" i="72"/>
  <c r="AF37" i="72"/>
  <c r="AF39" i="72"/>
  <c r="AF35" i="72"/>
  <c r="AF38" i="72"/>
  <c r="AF36" i="72"/>
  <c r="AF22" i="72"/>
  <c r="AI2" i="71"/>
  <c r="AI3" i="71"/>
  <c r="AI4" i="71"/>
  <c r="AI8" i="71"/>
  <c r="AI5" i="71"/>
  <c r="AI7" i="71"/>
  <c r="AI6" i="71"/>
  <c r="AI10" i="71"/>
  <c r="AI9" i="71"/>
  <c r="AI11" i="71"/>
  <c r="AI12" i="71"/>
  <c r="AI14" i="71"/>
  <c r="AI13" i="71"/>
  <c r="AF2" i="71"/>
  <c r="AF3" i="71"/>
  <c r="AF4" i="71"/>
  <c r="AF8" i="71"/>
  <c r="AF5" i="71"/>
  <c r="AF7" i="71"/>
  <c r="AF6" i="71"/>
  <c r="AF10" i="71"/>
  <c r="AF9" i="71"/>
  <c r="AF11" i="71"/>
  <c r="AF12" i="71"/>
  <c r="AF14" i="71"/>
  <c r="AF13" i="71"/>
  <c r="AK2" i="78" l="1"/>
  <c r="AJ180" i="78"/>
  <c r="AK180" i="78"/>
  <c r="AM2" i="78"/>
  <c r="AL180" i="78"/>
  <c r="AM180" i="78"/>
  <c r="AF40" i="72"/>
  <c r="AI40" i="72"/>
  <c r="AF84" i="76"/>
  <c r="AG84" i="76"/>
  <c r="AI15" i="71"/>
  <c r="AF27" i="73"/>
  <c r="AJ3" i="73" s="1"/>
  <c r="AK3" i="73" s="1"/>
  <c r="AG27" i="73"/>
  <c r="AI27" i="73"/>
  <c r="AG27" i="74"/>
  <c r="AF27" i="74"/>
  <c r="AI27" i="74"/>
  <c r="AH27" i="74"/>
  <c r="AM20" i="72"/>
  <c r="AM8" i="72"/>
  <c r="AM4" i="72"/>
  <c r="AM7" i="72"/>
  <c r="AM31" i="72"/>
  <c r="AM17" i="72"/>
  <c r="AM12" i="72"/>
  <c r="AM19" i="72"/>
  <c r="AM30" i="72"/>
  <c r="AM34" i="72"/>
  <c r="AM21" i="72"/>
  <c r="AM16" i="72"/>
  <c r="AM13" i="72"/>
  <c r="AM6" i="72"/>
  <c r="AM35" i="72"/>
  <c r="AM32" i="72"/>
  <c r="AM28" i="72"/>
  <c r="AM3" i="72"/>
  <c r="AM37" i="72"/>
  <c r="AM36" i="72"/>
  <c r="AM27" i="72"/>
  <c r="AM10" i="72"/>
  <c r="AM14" i="72"/>
  <c r="AM18" i="72"/>
  <c r="AM2" i="72"/>
  <c r="AG15" i="71"/>
  <c r="AF15" i="71"/>
  <c r="AJ2" i="71" s="1"/>
  <c r="AH15" i="71"/>
  <c r="AH73" i="75"/>
  <c r="AI2" i="75"/>
  <c r="AI73" i="75" s="1"/>
  <c r="AF73" i="75"/>
  <c r="AG73" i="75"/>
  <c r="AL63" i="75" s="1"/>
  <c r="AM63" i="75" s="1"/>
  <c r="AM25" i="72"/>
  <c r="AM11" i="72"/>
  <c r="AM38" i="72"/>
  <c r="AM22" i="72"/>
  <c r="AM39" i="72"/>
  <c r="AM26" i="72"/>
  <c r="AM24" i="72"/>
  <c r="AM9" i="72"/>
  <c r="AM23" i="72"/>
  <c r="AI27" i="61"/>
  <c r="AI26" i="61"/>
  <c r="AI23" i="61"/>
  <c r="AF23" i="61"/>
  <c r="AF26" i="61"/>
  <c r="AF27" i="61"/>
  <c r="AL17" i="74" l="1"/>
  <c r="AM17" i="74" s="1"/>
  <c r="AL21" i="74"/>
  <c r="AM21" i="74" s="1"/>
  <c r="AL19" i="74"/>
  <c r="AM19" i="74" s="1"/>
  <c r="AJ18" i="74"/>
  <c r="AK18" i="74" s="1"/>
  <c r="AJ19" i="74"/>
  <c r="AK19" i="74" s="1"/>
  <c r="AJ17" i="74"/>
  <c r="AK17" i="74" s="1"/>
  <c r="AJ21" i="74"/>
  <c r="AK21" i="74" s="1"/>
  <c r="AM40" i="72"/>
  <c r="AJ72" i="75"/>
  <c r="AK72" i="75" s="1"/>
  <c r="AJ63" i="75"/>
  <c r="AK63" i="75" s="1"/>
  <c r="AJ8" i="74"/>
  <c r="AK8" i="74" s="1"/>
  <c r="AJ24" i="74"/>
  <c r="AK24" i="74" s="1"/>
  <c r="AJ4" i="74"/>
  <c r="AK4" i="74" s="1"/>
  <c r="AJ15" i="74"/>
  <c r="AK15" i="74" s="1"/>
  <c r="AJ20" i="74"/>
  <c r="AK20" i="74" s="1"/>
  <c r="AJ7" i="74"/>
  <c r="AK7" i="74" s="1"/>
  <c r="AJ13" i="74"/>
  <c r="AK13" i="74" s="1"/>
  <c r="AJ5" i="74"/>
  <c r="AK5" i="74" s="1"/>
  <c r="AJ12" i="74"/>
  <c r="AK12" i="74" s="1"/>
  <c r="AJ3" i="74"/>
  <c r="AK3" i="74" s="1"/>
  <c r="AL18" i="74"/>
  <c r="AM18" i="74" s="1"/>
  <c r="AL2" i="74"/>
  <c r="AM2" i="74" s="1"/>
  <c r="AL7" i="74"/>
  <c r="AM7" i="74" s="1"/>
  <c r="AL14" i="74"/>
  <c r="AM14" i="74" s="1"/>
  <c r="AL20" i="74"/>
  <c r="AM20" i="74" s="1"/>
  <c r="AL24" i="74"/>
  <c r="AM24" i="74" s="1"/>
  <c r="AL4" i="74"/>
  <c r="AM4" i="74" s="1"/>
  <c r="AL23" i="74"/>
  <c r="AM23" i="74" s="1"/>
  <c r="AL3" i="74"/>
  <c r="AM3" i="74" s="1"/>
  <c r="AL10" i="74"/>
  <c r="AM10" i="74" s="1"/>
  <c r="AL13" i="74"/>
  <c r="AM13" i="74" s="1"/>
  <c r="AL16" i="74"/>
  <c r="AM16" i="74" s="1"/>
  <c r="AL15" i="74"/>
  <c r="AM15" i="74" s="1"/>
  <c r="AL26" i="74"/>
  <c r="AM26" i="74" s="1"/>
  <c r="AL6" i="74"/>
  <c r="AM6" i="74" s="1"/>
  <c r="AL9" i="74"/>
  <c r="AM9" i="74" s="1"/>
  <c r="AL12" i="74"/>
  <c r="AM12" i="74" s="1"/>
  <c r="AL11" i="74"/>
  <c r="AM11" i="74" s="1"/>
  <c r="AL22" i="74"/>
  <c r="AM22" i="74" s="1"/>
  <c r="AL25" i="74"/>
  <c r="AM25" i="74" s="1"/>
  <c r="AL5" i="74"/>
  <c r="AM5" i="74" s="1"/>
  <c r="AL8" i="74"/>
  <c r="AM8" i="74" s="1"/>
  <c r="AJ6" i="74"/>
  <c r="AK6" i="74" s="1"/>
  <c r="AJ16" i="74"/>
  <c r="AK16" i="74" s="1"/>
  <c r="AJ23" i="74"/>
  <c r="AK23" i="74" s="1"/>
  <c r="AJ10" i="74"/>
  <c r="AK10" i="74" s="1"/>
  <c r="AJ14" i="74"/>
  <c r="AK14" i="74" s="1"/>
  <c r="AJ25" i="74"/>
  <c r="AK25" i="74" s="1"/>
  <c r="AJ2" i="74"/>
  <c r="AK2" i="74" s="1"/>
  <c r="AJ9" i="74"/>
  <c r="AK9" i="74" s="1"/>
  <c r="AJ22" i="74"/>
  <c r="AK22" i="74" s="1"/>
  <c r="AJ11" i="74"/>
  <c r="AK11" i="74" s="1"/>
  <c r="AJ26" i="74"/>
  <c r="AK26" i="74" s="1"/>
  <c r="AJ8" i="73"/>
  <c r="AK8" i="73" s="1"/>
  <c r="AJ14" i="73"/>
  <c r="AK14" i="73" s="1"/>
  <c r="AJ11" i="73"/>
  <c r="AK11" i="73" s="1"/>
  <c r="AJ19" i="73"/>
  <c r="AK19" i="73" s="1"/>
  <c r="AJ24" i="73"/>
  <c r="AK24" i="73" s="1"/>
  <c r="AJ25" i="73"/>
  <c r="AK25" i="73" s="1"/>
  <c r="AJ20" i="73"/>
  <c r="AK20" i="73" s="1"/>
  <c r="AJ16" i="73"/>
  <c r="AK16" i="73" s="1"/>
  <c r="AJ23" i="73"/>
  <c r="AK23" i="73" s="1"/>
  <c r="AJ13" i="73"/>
  <c r="AK13" i="73" s="1"/>
  <c r="AJ15" i="73"/>
  <c r="AK15" i="73" s="1"/>
  <c r="AJ22" i="73"/>
  <c r="AK22" i="73" s="1"/>
  <c r="AJ26" i="73"/>
  <c r="AK26" i="73" s="1"/>
  <c r="AJ18" i="73"/>
  <c r="AK18" i="73" s="1"/>
  <c r="AJ17" i="73"/>
  <c r="AK17" i="73" s="1"/>
  <c r="AJ21" i="73"/>
  <c r="AK21" i="73" s="1"/>
  <c r="AJ10" i="73"/>
  <c r="AK10" i="73" s="1"/>
  <c r="AJ2" i="73"/>
  <c r="AK2" i="73" s="1"/>
  <c r="AJ4" i="73"/>
  <c r="AK4" i="73" s="1"/>
  <c r="AJ9" i="73"/>
  <c r="AK9" i="73" s="1"/>
  <c r="AL10" i="73"/>
  <c r="AM10" i="73" s="1"/>
  <c r="AL17" i="73"/>
  <c r="AM17" i="73" s="1"/>
  <c r="AL24" i="73"/>
  <c r="AM24" i="73" s="1"/>
  <c r="AL19" i="73"/>
  <c r="AM19" i="73" s="1"/>
  <c r="AL22" i="73"/>
  <c r="AM22" i="73" s="1"/>
  <c r="AL6" i="73"/>
  <c r="AM6" i="73" s="1"/>
  <c r="AL13" i="73"/>
  <c r="AM13" i="73" s="1"/>
  <c r="AL20" i="73"/>
  <c r="AM20" i="73" s="1"/>
  <c r="AL4" i="73"/>
  <c r="AM4" i="73" s="1"/>
  <c r="AL15" i="73"/>
  <c r="AM15" i="73" s="1"/>
  <c r="AL25" i="73"/>
  <c r="AM25" i="73" s="1"/>
  <c r="AL2" i="73"/>
  <c r="AM2" i="73" s="1"/>
  <c r="AL18" i="73"/>
  <c r="AM18" i="73" s="1"/>
  <c r="AL9" i="73"/>
  <c r="AM9" i="73" s="1"/>
  <c r="AL16" i="73"/>
  <c r="AM16" i="73" s="1"/>
  <c r="AL11" i="73"/>
  <c r="AM11" i="73" s="1"/>
  <c r="AL14" i="73"/>
  <c r="AM14" i="73" s="1"/>
  <c r="AL21" i="73"/>
  <c r="AM21" i="73" s="1"/>
  <c r="AL5" i="73"/>
  <c r="AM5" i="73" s="1"/>
  <c r="AL12" i="73"/>
  <c r="AM12" i="73" s="1"/>
  <c r="AL23" i="73"/>
  <c r="AM23" i="73" s="1"/>
  <c r="AL7" i="73"/>
  <c r="AM7" i="73" s="1"/>
  <c r="AL26" i="73"/>
  <c r="AM26" i="73" s="1"/>
  <c r="AL8" i="73"/>
  <c r="AM8" i="73" s="1"/>
  <c r="AL3" i="73"/>
  <c r="AM3" i="73" s="1"/>
  <c r="AJ6" i="73"/>
  <c r="AK6" i="73" s="1"/>
  <c r="AJ7" i="73"/>
  <c r="AK7" i="73" s="1"/>
  <c r="AJ5" i="73"/>
  <c r="AK5" i="73" s="1"/>
  <c r="AJ12" i="73"/>
  <c r="AK12" i="73" s="1"/>
  <c r="AK2" i="71"/>
  <c r="AJ5" i="71"/>
  <c r="AK5" i="71" s="1"/>
  <c r="AJ7" i="71"/>
  <c r="AK7" i="71" s="1"/>
  <c r="AJ12" i="71"/>
  <c r="AK12" i="71" s="1"/>
  <c r="AJ6" i="71"/>
  <c r="AK6" i="71" s="1"/>
  <c r="AJ10" i="71"/>
  <c r="AK10" i="71" s="1"/>
  <c r="AJ9" i="71"/>
  <c r="AK9" i="71" s="1"/>
  <c r="AJ3" i="71"/>
  <c r="AK3" i="71" s="1"/>
  <c r="AJ11" i="71"/>
  <c r="AK11" i="71" s="1"/>
  <c r="AJ4" i="71"/>
  <c r="AK4" i="71" s="1"/>
  <c r="AJ13" i="71"/>
  <c r="AK13" i="71" s="1"/>
  <c r="AL14" i="71"/>
  <c r="AM14" i="71" s="1"/>
  <c r="AL6" i="71"/>
  <c r="AM6" i="71" s="1"/>
  <c r="AL7" i="71"/>
  <c r="AM7" i="71" s="1"/>
  <c r="AL5" i="71"/>
  <c r="AM5" i="71" s="1"/>
  <c r="AL10" i="71"/>
  <c r="AM10" i="71" s="1"/>
  <c r="AL4" i="71"/>
  <c r="AM4" i="71" s="1"/>
  <c r="AL3" i="71"/>
  <c r="AM3" i="71" s="1"/>
  <c r="AL8" i="71"/>
  <c r="AM8" i="71" s="1"/>
  <c r="AL2" i="71"/>
  <c r="AM2" i="71" s="1"/>
  <c r="AL13" i="71"/>
  <c r="AM13" i="71" s="1"/>
  <c r="AL12" i="71"/>
  <c r="AM12" i="71" s="1"/>
  <c r="AL11" i="71"/>
  <c r="AM11" i="71" s="1"/>
  <c r="AL9" i="71"/>
  <c r="AM9" i="71" s="1"/>
  <c r="AJ8" i="71"/>
  <c r="AK8" i="71" s="1"/>
  <c r="AJ14" i="71"/>
  <c r="AK14" i="71" s="1"/>
  <c r="AJ17" i="75"/>
  <c r="AK17" i="75" s="1"/>
  <c r="AJ22" i="75"/>
  <c r="AK22" i="75" s="1"/>
  <c r="AJ35" i="75"/>
  <c r="AK35" i="75" s="1"/>
  <c r="AJ70" i="75"/>
  <c r="AK70" i="75" s="1"/>
  <c r="AJ52" i="75"/>
  <c r="AK52" i="75" s="1"/>
  <c r="AJ57" i="75"/>
  <c r="AK57" i="75" s="1"/>
  <c r="AJ64" i="75"/>
  <c r="AK64" i="75" s="1"/>
  <c r="AJ65" i="75"/>
  <c r="AK65" i="75" s="1"/>
  <c r="AJ3" i="75"/>
  <c r="AK3" i="75" s="1"/>
  <c r="AJ19" i="75"/>
  <c r="AK19" i="75" s="1"/>
  <c r="AJ21" i="75"/>
  <c r="AK21" i="75" s="1"/>
  <c r="AJ26" i="75"/>
  <c r="AK26" i="75" s="1"/>
  <c r="AJ39" i="75"/>
  <c r="AK39" i="75" s="1"/>
  <c r="AJ59" i="75"/>
  <c r="AK59" i="75" s="1"/>
  <c r="AJ49" i="75"/>
  <c r="AK49" i="75" s="1"/>
  <c r="AJ61" i="75"/>
  <c r="AK61" i="75" s="1"/>
  <c r="AJ66" i="75"/>
  <c r="AK66" i="75" s="1"/>
  <c r="AJ4" i="75"/>
  <c r="AK4" i="75" s="1"/>
  <c r="AJ10" i="75"/>
  <c r="AK10" i="75" s="1"/>
  <c r="AJ20" i="75"/>
  <c r="AK20" i="75" s="1"/>
  <c r="AJ15" i="75"/>
  <c r="AK15" i="75" s="1"/>
  <c r="AJ38" i="75"/>
  <c r="AK38" i="75" s="1"/>
  <c r="AJ14" i="75"/>
  <c r="AK14" i="75" s="1"/>
  <c r="AJ51" i="75"/>
  <c r="AK51" i="75" s="1"/>
  <c r="AJ58" i="75"/>
  <c r="AK58" i="75" s="1"/>
  <c r="AJ67" i="75"/>
  <c r="AK67" i="75" s="1"/>
  <c r="AJ6" i="75"/>
  <c r="AK6" i="75" s="1"/>
  <c r="AJ29" i="75"/>
  <c r="AK29" i="75" s="1"/>
  <c r="AJ42" i="75"/>
  <c r="AK42" i="75" s="1"/>
  <c r="AJ36" i="75"/>
  <c r="AK36" i="75" s="1"/>
  <c r="AJ46" i="75"/>
  <c r="AK46" i="75" s="1"/>
  <c r="AJ40" i="75"/>
  <c r="AK40" i="75" s="1"/>
  <c r="AJ43" i="75"/>
  <c r="AK43" i="75" s="1"/>
  <c r="AJ68" i="75"/>
  <c r="AK68" i="75" s="1"/>
  <c r="AJ2" i="75"/>
  <c r="AL2" i="75"/>
  <c r="AL56" i="75"/>
  <c r="AM56" i="75" s="1"/>
  <c r="AL40" i="75"/>
  <c r="AM40" i="75" s="1"/>
  <c r="AL24" i="75"/>
  <c r="AM24" i="75" s="1"/>
  <c r="AL8" i="75"/>
  <c r="AM8" i="75" s="1"/>
  <c r="AL64" i="75"/>
  <c r="AM64" i="75" s="1"/>
  <c r="AL47" i="75"/>
  <c r="AM47" i="75" s="1"/>
  <c r="AL31" i="75"/>
  <c r="AM31" i="75" s="1"/>
  <c r="AL15" i="75"/>
  <c r="AM15" i="75" s="1"/>
  <c r="AL71" i="75"/>
  <c r="AM71" i="75" s="1"/>
  <c r="AL54" i="75"/>
  <c r="AM54" i="75" s="1"/>
  <c r="AL38" i="75"/>
  <c r="AM38" i="75" s="1"/>
  <c r="AL22" i="75"/>
  <c r="AM22" i="75" s="1"/>
  <c r="AL6" i="75"/>
  <c r="AM6" i="75" s="1"/>
  <c r="AL57" i="75"/>
  <c r="AM57" i="75" s="1"/>
  <c r="AL41" i="75"/>
  <c r="AM41" i="75" s="1"/>
  <c r="AL25" i="75"/>
  <c r="AM25" i="75" s="1"/>
  <c r="AL9" i="75"/>
  <c r="AM9" i="75" s="1"/>
  <c r="AL69" i="75"/>
  <c r="AM69" i="75" s="1"/>
  <c r="AL52" i="75"/>
  <c r="AM52" i="75" s="1"/>
  <c r="AL36" i="75"/>
  <c r="AM36" i="75" s="1"/>
  <c r="AL20" i="75"/>
  <c r="AM20" i="75" s="1"/>
  <c r="AL4" i="75"/>
  <c r="AM4" i="75" s="1"/>
  <c r="AL59" i="75"/>
  <c r="AM59" i="75" s="1"/>
  <c r="AL43" i="75"/>
  <c r="AM43" i="75" s="1"/>
  <c r="AL27" i="75"/>
  <c r="AM27" i="75" s="1"/>
  <c r="AL11" i="75"/>
  <c r="AM11" i="75" s="1"/>
  <c r="AL67" i="75"/>
  <c r="AM67" i="75" s="1"/>
  <c r="AL50" i="75"/>
  <c r="AM50" i="75" s="1"/>
  <c r="AL34" i="75"/>
  <c r="AM34" i="75" s="1"/>
  <c r="AL18" i="75"/>
  <c r="AM18" i="75" s="1"/>
  <c r="AL70" i="75"/>
  <c r="AM70" i="75" s="1"/>
  <c r="AL53" i="75"/>
  <c r="AM53" i="75" s="1"/>
  <c r="AL37" i="75"/>
  <c r="AM37" i="75" s="1"/>
  <c r="AL21" i="75"/>
  <c r="AM21" i="75" s="1"/>
  <c r="AL5" i="75"/>
  <c r="AM5" i="75" s="1"/>
  <c r="AL65" i="75"/>
  <c r="AM65" i="75" s="1"/>
  <c r="AL48" i="75"/>
  <c r="AM48" i="75" s="1"/>
  <c r="AL32" i="75"/>
  <c r="AM32" i="75" s="1"/>
  <c r="AL16" i="75"/>
  <c r="AM16" i="75" s="1"/>
  <c r="AL72" i="75"/>
  <c r="AM72" i="75" s="1"/>
  <c r="AL55" i="75"/>
  <c r="AM55" i="75" s="1"/>
  <c r="AL39" i="75"/>
  <c r="AM39" i="75" s="1"/>
  <c r="AL23" i="75"/>
  <c r="AM23" i="75" s="1"/>
  <c r="AL7" i="75"/>
  <c r="AM7" i="75" s="1"/>
  <c r="AL62" i="75"/>
  <c r="AM62" i="75" s="1"/>
  <c r="AL46" i="75"/>
  <c r="AM46" i="75" s="1"/>
  <c r="AL30" i="75"/>
  <c r="AM30" i="75" s="1"/>
  <c r="AL14" i="75"/>
  <c r="AM14" i="75" s="1"/>
  <c r="AL66" i="75"/>
  <c r="AM66" i="75" s="1"/>
  <c r="AL49" i="75"/>
  <c r="AM49" i="75" s="1"/>
  <c r="AL33" i="75"/>
  <c r="AM33" i="75" s="1"/>
  <c r="AL17" i="75"/>
  <c r="AM17" i="75" s="1"/>
  <c r="AL60" i="75"/>
  <c r="AM60" i="75" s="1"/>
  <c r="AL44" i="75"/>
  <c r="AM44" i="75" s="1"/>
  <c r="AL28" i="75"/>
  <c r="AM28" i="75" s="1"/>
  <c r="AL12" i="75"/>
  <c r="AM12" i="75" s="1"/>
  <c r="AL68" i="75"/>
  <c r="AM68" i="75" s="1"/>
  <c r="AL51" i="75"/>
  <c r="AM51" i="75" s="1"/>
  <c r="AL35" i="75"/>
  <c r="AM35" i="75" s="1"/>
  <c r="AL19" i="75"/>
  <c r="AM19" i="75" s="1"/>
  <c r="AL3" i="75"/>
  <c r="AM3" i="75" s="1"/>
  <c r="AL58" i="75"/>
  <c r="AM58" i="75" s="1"/>
  <c r="AL42" i="75"/>
  <c r="AM42" i="75" s="1"/>
  <c r="AL26" i="75"/>
  <c r="AM26" i="75" s="1"/>
  <c r="AL10" i="75"/>
  <c r="AM10" i="75" s="1"/>
  <c r="AL61" i="75"/>
  <c r="AM61" i="75" s="1"/>
  <c r="AL45" i="75"/>
  <c r="AM45" i="75" s="1"/>
  <c r="AL29" i="75"/>
  <c r="AM29" i="75" s="1"/>
  <c r="AL13" i="75"/>
  <c r="AM13" i="75" s="1"/>
  <c r="AJ8" i="75"/>
  <c r="AK8" i="75" s="1"/>
  <c r="AJ7" i="75"/>
  <c r="AK7" i="75" s="1"/>
  <c r="AJ28" i="75"/>
  <c r="AK28" i="75" s="1"/>
  <c r="AJ25" i="75"/>
  <c r="AK25" i="75" s="1"/>
  <c r="AJ47" i="75"/>
  <c r="AK47" i="75" s="1"/>
  <c r="AJ41" i="75"/>
  <c r="AK41" i="75" s="1"/>
  <c r="AJ37" i="75"/>
  <c r="AK37" i="75" s="1"/>
  <c r="AJ27" i="75"/>
  <c r="AK27" i="75" s="1"/>
  <c r="AJ71" i="75"/>
  <c r="AK71" i="75" s="1"/>
  <c r="AJ12" i="75"/>
  <c r="AK12" i="75" s="1"/>
  <c r="AJ24" i="75"/>
  <c r="AK24" i="75" s="1"/>
  <c r="AJ32" i="75"/>
  <c r="AK32" i="75" s="1"/>
  <c r="AJ34" i="75"/>
  <c r="AK34" i="75" s="1"/>
  <c r="AJ50" i="75"/>
  <c r="AK50" i="75" s="1"/>
  <c r="AJ55" i="75"/>
  <c r="AK55" i="75" s="1"/>
  <c r="AJ62" i="75"/>
  <c r="AK62" i="75" s="1"/>
  <c r="AJ44" i="75"/>
  <c r="AK44" i="75" s="1"/>
  <c r="AJ69" i="75"/>
  <c r="AK69" i="75" s="1"/>
  <c r="AJ16" i="75"/>
  <c r="AK16" i="75" s="1"/>
  <c r="AJ13" i="75"/>
  <c r="AK13" i="75" s="1"/>
  <c r="AJ33" i="75"/>
  <c r="AK33" i="75" s="1"/>
  <c r="AJ23" i="75"/>
  <c r="AK23" i="75" s="1"/>
  <c r="AJ54" i="75"/>
  <c r="AK54" i="75" s="1"/>
  <c r="AJ60" i="75"/>
  <c r="AK60" i="75" s="1"/>
  <c r="AJ53" i="75"/>
  <c r="AK53" i="75" s="1"/>
  <c r="AJ31" i="75"/>
  <c r="AK31" i="75" s="1"/>
  <c r="AJ5" i="75"/>
  <c r="AK5" i="75" s="1"/>
  <c r="AJ11" i="75"/>
  <c r="AK11" i="75" s="1"/>
  <c r="AJ9" i="75"/>
  <c r="AK9" i="75" s="1"/>
  <c r="AJ18" i="75"/>
  <c r="AK18" i="75" s="1"/>
  <c r="AJ48" i="75"/>
  <c r="AK48" i="75" s="1"/>
  <c r="AJ45" i="75"/>
  <c r="AK45" i="75" s="1"/>
  <c r="AJ30" i="75"/>
  <c r="AK30" i="75" s="1"/>
  <c r="AJ56" i="75"/>
  <c r="AK56" i="75" s="1"/>
  <c r="AJ29" i="72"/>
  <c r="AK29" i="72" s="1"/>
  <c r="AJ15" i="72"/>
  <c r="AK15" i="72" s="1"/>
  <c r="AJ33" i="72"/>
  <c r="AK33" i="72" s="1"/>
  <c r="AJ17" i="72"/>
  <c r="AK17" i="72" s="1"/>
  <c r="AJ37" i="72"/>
  <c r="AK37" i="72" s="1"/>
  <c r="AJ4" i="72"/>
  <c r="AK4" i="72" s="1"/>
  <c r="AJ8" i="72"/>
  <c r="AK8" i="72" s="1"/>
  <c r="AJ20" i="72"/>
  <c r="AK20" i="72" s="1"/>
  <c r="AJ3" i="72"/>
  <c r="AK3" i="72" s="1"/>
  <c r="AJ10" i="72"/>
  <c r="AK10" i="72" s="1"/>
  <c r="AJ6" i="72"/>
  <c r="AK6" i="72" s="1"/>
  <c r="AJ21" i="72"/>
  <c r="AK21" i="72" s="1"/>
  <c r="AJ2" i="72"/>
  <c r="AK2" i="72" s="1"/>
  <c r="AJ16" i="72"/>
  <c r="AK16" i="72" s="1"/>
  <c r="AJ36" i="72"/>
  <c r="AK36" i="72" s="1"/>
  <c r="AJ24" i="72"/>
  <c r="AK24" i="72" s="1"/>
  <c r="AJ39" i="72"/>
  <c r="AK39" i="72" s="1"/>
  <c r="AJ11" i="72"/>
  <c r="AK11" i="72" s="1"/>
  <c r="AJ28" i="72"/>
  <c r="AK28" i="72" s="1"/>
  <c r="AJ19" i="72"/>
  <c r="AK19" i="72" s="1"/>
  <c r="AJ27" i="72"/>
  <c r="AK27" i="72" s="1"/>
  <c r="AJ12" i="72"/>
  <c r="AK12" i="72" s="1"/>
  <c r="AJ34" i="72"/>
  <c r="AK34" i="72" s="1"/>
  <c r="AJ5" i="72"/>
  <c r="AK5" i="72" s="1"/>
  <c r="AJ23" i="72"/>
  <c r="AK23" i="72" s="1"/>
  <c r="AJ22" i="72"/>
  <c r="AK22" i="72" s="1"/>
  <c r="AJ18" i="72"/>
  <c r="AK18" i="72" s="1"/>
  <c r="AJ32" i="72"/>
  <c r="AK32" i="72" s="1"/>
  <c r="AJ14" i="72"/>
  <c r="AK14" i="72" s="1"/>
  <c r="AJ30" i="72"/>
  <c r="AJ7" i="72"/>
  <c r="AK7" i="72" s="1"/>
  <c r="AJ31" i="72"/>
  <c r="AK31" i="72" s="1"/>
  <c r="AJ9" i="72"/>
  <c r="AK9" i="72" s="1"/>
  <c r="AJ26" i="72"/>
  <c r="AK26" i="72" s="1"/>
  <c r="AJ25" i="72"/>
  <c r="AK25" i="72" s="1"/>
  <c r="AJ35" i="72"/>
  <c r="AK35" i="72" s="1"/>
  <c r="AJ13" i="72"/>
  <c r="AK13" i="72" s="1"/>
  <c r="AJ38" i="72"/>
  <c r="AK38" i="72" s="1"/>
  <c r="AL15" i="71"/>
  <c r="AM27" i="61"/>
  <c r="AM26" i="61"/>
  <c r="AM23" i="61"/>
  <c r="AI15" i="70"/>
  <c r="AI6" i="70"/>
  <c r="AI41" i="70"/>
  <c r="AI27" i="70"/>
  <c r="AI8" i="70"/>
  <c r="AI14" i="70"/>
  <c r="AI5" i="70"/>
  <c r="AI3" i="70"/>
  <c r="AI20" i="70"/>
  <c r="AI19" i="70"/>
  <c r="AI25" i="70"/>
  <c r="AI7" i="70"/>
  <c r="AI13" i="70"/>
  <c r="AI10" i="70"/>
  <c r="AI16" i="70"/>
  <c r="AI17" i="70"/>
  <c r="AI22" i="70"/>
  <c r="AI18" i="70"/>
  <c r="AI50" i="70"/>
  <c r="AI38" i="70"/>
  <c r="AI26" i="70"/>
  <c r="AI31" i="70"/>
  <c r="AI4" i="70"/>
  <c r="AI32" i="70"/>
  <c r="AI33" i="70"/>
  <c r="AI35" i="70"/>
  <c r="AI30" i="70"/>
  <c r="AI11" i="70"/>
  <c r="AI21" i="70"/>
  <c r="AI34" i="70"/>
  <c r="AI29" i="70"/>
  <c r="AI39" i="70"/>
  <c r="AI28" i="70"/>
  <c r="AI46" i="70"/>
  <c r="AI9" i="70"/>
  <c r="AI12" i="70"/>
  <c r="AI49" i="70"/>
  <c r="AI54" i="70"/>
  <c r="AI43" i="70"/>
  <c r="AI42" i="70"/>
  <c r="AI47" i="70"/>
  <c r="AI51" i="70"/>
  <c r="AI36" i="70"/>
  <c r="AI24" i="70"/>
  <c r="AI40" i="70"/>
  <c r="AI45" i="70"/>
  <c r="AI53" i="70"/>
  <c r="AI48" i="70"/>
  <c r="AI23" i="70"/>
  <c r="AI44" i="70"/>
  <c r="AI37" i="70"/>
  <c r="AI52" i="70"/>
  <c r="AM15" i="70"/>
  <c r="AM6" i="70"/>
  <c r="AM41" i="70"/>
  <c r="AM27" i="70"/>
  <c r="AM8" i="70"/>
  <c r="AM14" i="70"/>
  <c r="AM5" i="70"/>
  <c r="AM3" i="70"/>
  <c r="AM20" i="70"/>
  <c r="AM19" i="70"/>
  <c r="AM25" i="70"/>
  <c r="AM7" i="70"/>
  <c r="AM13" i="70"/>
  <c r="AM10" i="70"/>
  <c r="AM16" i="70"/>
  <c r="AM17" i="70"/>
  <c r="AM22" i="70"/>
  <c r="AM18" i="70"/>
  <c r="AM50" i="70"/>
  <c r="AM38" i="70"/>
  <c r="AM26" i="70"/>
  <c r="AM31" i="70"/>
  <c r="AM4" i="70"/>
  <c r="AM32" i="70"/>
  <c r="AM33" i="70"/>
  <c r="AM35" i="70"/>
  <c r="AM30" i="70"/>
  <c r="AM11" i="70"/>
  <c r="AM21" i="70"/>
  <c r="AM34" i="70"/>
  <c r="AM29" i="70"/>
  <c r="AM39" i="70"/>
  <c r="AM28" i="70"/>
  <c r="AM46" i="70"/>
  <c r="AM9" i="70"/>
  <c r="AM12" i="70"/>
  <c r="AM49" i="70"/>
  <c r="AM54" i="70"/>
  <c r="AM43" i="70"/>
  <c r="AM42" i="70"/>
  <c r="AM47" i="70"/>
  <c r="AM51" i="70"/>
  <c r="AM36" i="70"/>
  <c r="AM24" i="70"/>
  <c r="AM40" i="70"/>
  <c r="AM45" i="70"/>
  <c r="AM53" i="70"/>
  <c r="AM48" i="70"/>
  <c r="AM23" i="70"/>
  <c r="AM44" i="70"/>
  <c r="AM37" i="70"/>
  <c r="AM52" i="70"/>
  <c r="AF2" i="70"/>
  <c r="AF15" i="70"/>
  <c r="AF6" i="70"/>
  <c r="AF41" i="70"/>
  <c r="AF27" i="70"/>
  <c r="AF8" i="70"/>
  <c r="AF14" i="70"/>
  <c r="AF5" i="70"/>
  <c r="AF3" i="70"/>
  <c r="AF20" i="70"/>
  <c r="AF19" i="70"/>
  <c r="AF25" i="70"/>
  <c r="AF7" i="70"/>
  <c r="AF13" i="70"/>
  <c r="AF10" i="70"/>
  <c r="AF16" i="70"/>
  <c r="AF17" i="70"/>
  <c r="AF22" i="70"/>
  <c r="AF18" i="70"/>
  <c r="AF50" i="70"/>
  <c r="AF38" i="70"/>
  <c r="AF26" i="70"/>
  <c r="AF31" i="70"/>
  <c r="AF4" i="70"/>
  <c r="AF32" i="70"/>
  <c r="AF33" i="70"/>
  <c r="AF35" i="70"/>
  <c r="AF30" i="70"/>
  <c r="AF11" i="70"/>
  <c r="AF21" i="70"/>
  <c r="AF34" i="70"/>
  <c r="AF29" i="70"/>
  <c r="AF39" i="70"/>
  <c r="AF28" i="70"/>
  <c r="AF46" i="70"/>
  <c r="AF9" i="70"/>
  <c r="AF12" i="70"/>
  <c r="AF49" i="70"/>
  <c r="AF54" i="70"/>
  <c r="AF43" i="70"/>
  <c r="AF42" i="70"/>
  <c r="AF47" i="70"/>
  <c r="AF51" i="70"/>
  <c r="AF36" i="70"/>
  <c r="AF24" i="70"/>
  <c r="AF40" i="70"/>
  <c r="AF45" i="70"/>
  <c r="AF53" i="70"/>
  <c r="AF48" i="70"/>
  <c r="AF23" i="70"/>
  <c r="AF44" i="70"/>
  <c r="AF37" i="70"/>
  <c r="AF52" i="70"/>
  <c r="AF4" i="37"/>
  <c r="AI4" i="37"/>
  <c r="AM27" i="73" l="1"/>
  <c r="AM15" i="71"/>
  <c r="AL27" i="74"/>
  <c r="AJ27" i="74"/>
  <c r="AM27" i="74"/>
  <c r="AK27" i="74"/>
  <c r="AL27" i="73"/>
  <c r="AK27" i="73"/>
  <c r="AJ27" i="73"/>
  <c r="AJ15" i="71"/>
  <c r="AK15" i="71"/>
  <c r="AL73" i="75"/>
  <c r="AM2" i="75"/>
  <c r="AM73" i="75" s="1"/>
  <c r="AJ73" i="75"/>
  <c r="AK2" i="75"/>
  <c r="AK73" i="75" s="1"/>
  <c r="AJ40" i="72"/>
  <c r="AK30" i="72"/>
  <c r="AK40" i="72"/>
  <c r="AF55" i="70"/>
  <c r="AJ40" i="70" s="1"/>
  <c r="AK40" i="70" s="1"/>
  <c r="AM2" i="70"/>
  <c r="AM55" i="70" s="1"/>
  <c r="AI2" i="70"/>
  <c r="AI55" i="70" s="1"/>
  <c r="AM4" i="37"/>
  <c r="AI18" i="12"/>
  <c r="AI7" i="12"/>
  <c r="AF7" i="12"/>
  <c r="AF18" i="12"/>
  <c r="AJ2" i="70" l="1"/>
  <c r="AK2" i="70" s="1"/>
  <c r="AJ3" i="70"/>
  <c r="AK3" i="70" s="1"/>
  <c r="AJ10" i="70"/>
  <c r="AK10" i="70" s="1"/>
  <c r="AJ26" i="70"/>
  <c r="AK26" i="70" s="1"/>
  <c r="AJ21" i="70"/>
  <c r="AK21" i="70" s="1"/>
  <c r="AJ49" i="70"/>
  <c r="AK49" i="70" s="1"/>
  <c r="AJ23" i="70"/>
  <c r="AK23" i="70" s="1"/>
  <c r="AJ8" i="70"/>
  <c r="AK8" i="70" s="1"/>
  <c r="AJ18" i="70"/>
  <c r="AK18" i="70" s="1"/>
  <c r="AJ35" i="70"/>
  <c r="AK35" i="70" s="1"/>
  <c r="AJ46" i="70"/>
  <c r="AK46" i="70" s="1"/>
  <c r="AJ51" i="70"/>
  <c r="AK51" i="70" s="1"/>
  <c r="AJ44" i="70"/>
  <c r="AK44" i="70" s="1"/>
  <c r="AJ6" i="70"/>
  <c r="AK6" i="70" s="1"/>
  <c r="AJ17" i="70"/>
  <c r="AK17" i="70" s="1"/>
  <c r="AJ4" i="70"/>
  <c r="AK4" i="70" s="1"/>
  <c r="AJ29" i="70"/>
  <c r="AK29" i="70" s="1"/>
  <c r="AJ43" i="70"/>
  <c r="AK43" i="70" s="1"/>
  <c r="AJ53" i="70"/>
  <c r="AK53" i="70" s="1"/>
  <c r="AJ5" i="70"/>
  <c r="AJ13" i="70"/>
  <c r="AK13" i="70" s="1"/>
  <c r="AJ38" i="70"/>
  <c r="AK38" i="70" s="1"/>
  <c r="AJ11" i="70"/>
  <c r="AK11" i="70" s="1"/>
  <c r="AJ12" i="70"/>
  <c r="AK12" i="70" s="1"/>
  <c r="AJ24" i="70"/>
  <c r="AK24" i="70" s="1"/>
  <c r="AJ52" i="70"/>
  <c r="AK52" i="70" s="1"/>
  <c r="AJ27" i="70"/>
  <c r="AK27" i="70" s="1"/>
  <c r="AJ25" i="70"/>
  <c r="AK25" i="70" s="1"/>
  <c r="AJ22" i="70"/>
  <c r="AK22" i="70" s="1"/>
  <c r="AJ33" i="70"/>
  <c r="AK33" i="70" s="1"/>
  <c r="AJ28" i="70"/>
  <c r="AK28" i="70" s="1"/>
  <c r="AJ47" i="70"/>
  <c r="AK47" i="70" s="1"/>
  <c r="AJ15" i="70"/>
  <c r="AK15" i="70" s="1"/>
  <c r="AJ20" i="70"/>
  <c r="AK20" i="70" s="1"/>
  <c r="AJ16" i="70"/>
  <c r="AK16" i="70" s="1"/>
  <c r="AJ31" i="70"/>
  <c r="AK31" i="70" s="1"/>
  <c r="AJ34" i="70"/>
  <c r="AK34" i="70" s="1"/>
  <c r="AJ54" i="70"/>
  <c r="AK54" i="70" s="1"/>
  <c r="AJ45" i="70"/>
  <c r="AK45" i="70" s="1"/>
  <c r="AJ37" i="70"/>
  <c r="AK37" i="70" s="1"/>
  <c r="AJ14" i="70"/>
  <c r="AK14" i="70" s="1"/>
  <c r="AJ7" i="70"/>
  <c r="AK7" i="70" s="1"/>
  <c r="AJ50" i="70"/>
  <c r="AK50" i="70" s="1"/>
  <c r="AJ30" i="70"/>
  <c r="AK30" i="70" s="1"/>
  <c r="AJ9" i="70"/>
  <c r="AK9" i="70" s="1"/>
  <c r="AJ36" i="70"/>
  <c r="AK36" i="70" s="1"/>
  <c r="AJ41" i="70"/>
  <c r="AK41" i="70" s="1"/>
  <c r="AJ19" i="70"/>
  <c r="AK19" i="70" s="1"/>
  <c r="AJ32" i="70"/>
  <c r="AK32" i="70" s="1"/>
  <c r="AJ39" i="70"/>
  <c r="AK39" i="70" s="1"/>
  <c r="AJ42" i="70"/>
  <c r="AK42" i="70" s="1"/>
  <c r="AJ48" i="70"/>
  <c r="AK48" i="70" s="1"/>
  <c r="AH46" i="12"/>
  <c r="AI3" i="69"/>
  <c r="AI2" i="69"/>
  <c r="AI9" i="69"/>
  <c r="AI8" i="69"/>
  <c r="AI7" i="69"/>
  <c r="AI5" i="69"/>
  <c r="AI10" i="69"/>
  <c r="AI11" i="69"/>
  <c r="AI13" i="69"/>
  <c r="AI6" i="69"/>
  <c r="AF10" i="69"/>
  <c r="AF12" i="69"/>
  <c r="AF11" i="69"/>
  <c r="AF13" i="69"/>
  <c r="AF6" i="69"/>
  <c r="AI12" i="69"/>
  <c r="AI4" i="69"/>
  <c r="AH14" i="69"/>
  <c r="AF4" i="69"/>
  <c r="AF3" i="69"/>
  <c r="AF2" i="69"/>
  <c r="AF9" i="69"/>
  <c r="AF8" i="69"/>
  <c r="AF7" i="69"/>
  <c r="AF5" i="69"/>
  <c r="AJ55" i="70" l="1"/>
  <c r="AK5" i="70"/>
  <c r="AK55" i="70" s="1"/>
  <c r="AG14" i="69"/>
  <c r="AI14" i="69"/>
  <c r="AF14" i="69"/>
  <c r="AJ7" i="69" s="1"/>
  <c r="AK7" i="69" s="1"/>
  <c r="AF2" i="28"/>
  <c r="AI2" i="28"/>
  <c r="AL6" i="69" l="1"/>
  <c r="AM6" i="69" s="1"/>
  <c r="AL5" i="69"/>
  <c r="AM5" i="69" s="1"/>
  <c r="AL3" i="69"/>
  <c r="AM3" i="69" s="1"/>
  <c r="AL10" i="69"/>
  <c r="AM10" i="69" s="1"/>
  <c r="AL2" i="69"/>
  <c r="AM2" i="69" s="1"/>
  <c r="AL12" i="69"/>
  <c r="AM12" i="69" s="1"/>
  <c r="AL9" i="69"/>
  <c r="AM9" i="69" s="1"/>
  <c r="AL11" i="69"/>
  <c r="AM11" i="69" s="1"/>
  <c r="AL8" i="69"/>
  <c r="AM8" i="69" s="1"/>
  <c r="AL13" i="69"/>
  <c r="AM13" i="69" s="1"/>
  <c r="AL7" i="69"/>
  <c r="AM7" i="69" s="1"/>
  <c r="AL4" i="69"/>
  <c r="AJ13" i="69"/>
  <c r="AK13" i="69" s="1"/>
  <c r="AJ6" i="69"/>
  <c r="AK6" i="69" s="1"/>
  <c r="AJ5" i="69"/>
  <c r="AK5" i="69" s="1"/>
  <c r="AJ9" i="69"/>
  <c r="AK9" i="69" s="1"/>
  <c r="AJ4" i="69"/>
  <c r="AK4" i="69" s="1"/>
  <c r="AJ10" i="69"/>
  <c r="AK10" i="69" s="1"/>
  <c r="AJ2" i="69"/>
  <c r="AK2" i="69" s="1"/>
  <c r="AJ3" i="69"/>
  <c r="AK3" i="69" s="1"/>
  <c r="AJ8" i="69"/>
  <c r="AK8" i="69" s="1"/>
  <c r="AJ12" i="69"/>
  <c r="AK12" i="69" s="1"/>
  <c r="AJ11" i="69"/>
  <c r="AK11" i="69" s="1"/>
  <c r="AM4" i="69"/>
  <c r="AL14" i="69"/>
  <c r="AF14" i="59"/>
  <c r="AI14" i="59"/>
  <c r="AF20" i="59"/>
  <c r="AI20" i="59"/>
  <c r="AF11" i="59"/>
  <c r="AI11" i="59"/>
  <c r="AF15" i="59"/>
  <c r="AI15" i="59"/>
  <c r="AI14" i="18"/>
  <c r="AF14" i="18"/>
  <c r="AK14" i="69" l="1"/>
  <c r="AJ14" i="69"/>
  <c r="AM14" i="69"/>
  <c r="AM15" i="59"/>
  <c r="AM14" i="18"/>
  <c r="AM2" i="28"/>
  <c r="AM11" i="59"/>
  <c r="AM20" i="59"/>
  <c r="AM14" i="59"/>
  <c r="AH80" i="32" l="1"/>
  <c r="AI3" i="68"/>
  <c r="AI5" i="68"/>
  <c r="AI4" i="68"/>
  <c r="AM3" i="68"/>
  <c r="AM5" i="68"/>
  <c r="AM4" i="68"/>
  <c r="AF3" i="68"/>
  <c r="AF2" i="68"/>
  <c r="AF5" i="68"/>
  <c r="AF4" i="68"/>
  <c r="AI3" i="67"/>
  <c r="AI4" i="67"/>
  <c r="AI6" i="67"/>
  <c r="AI10" i="67"/>
  <c r="AI9" i="67"/>
  <c r="AI11" i="67"/>
  <c r="AI8" i="67"/>
  <c r="AI7" i="67"/>
  <c r="AI5" i="67"/>
  <c r="AF2" i="67"/>
  <c r="AF3" i="67"/>
  <c r="AF4" i="67"/>
  <c r="AF6" i="67"/>
  <c r="AF10" i="67"/>
  <c r="AF9" i="67"/>
  <c r="AF11" i="67"/>
  <c r="AF8" i="67"/>
  <c r="AF7" i="67"/>
  <c r="AF5" i="67"/>
  <c r="AI3" i="66"/>
  <c r="AI2" i="66"/>
  <c r="AI6" i="66"/>
  <c r="AI5" i="66"/>
  <c r="AI7" i="66"/>
  <c r="AI11" i="66"/>
  <c r="AI8" i="66"/>
  <c r="AI9" i="66"/>
  <c r="AI17" i="66"/>
  <c r="AI18" i="66"/>
  <c r="AI12" i="66"/>
  <c r="AI15" i="66"/>
  <c r="AI14" i="66"/>
  <c r="AI13" i="66"/>
  <c r="AI16" i="66"/>
  <c r="AI4" i="66"/>
  <c r="AI10" i="66"/>
  <c r="AI20" i="66"/>
  <c r="AI19" i="66"/>
  <c r="AF3" i="66"/>
  <c r="AF2" i="66"/>
  <c r="AF6" i="66"/>
  <c r="AF5" i="66"/>
  <c r="AF7" i="66"/>
  <c r="AF11" i="66"/>
  <c r="AF8" i="66"/>
  <c r="AF9" i="66"/>
  <c r="AF17" i="66"/>
  <c r="AF18" i="66"/>
  <c r="AF12" i="66"/>
  <c r="AF15" i="66"/>
  <c r="AF14" i="66"/>
  <c r="AF13" i="66"/>
  <c r="AF16" i="66"/>
  <c r="AF4" i="66"/>
  <c r="AF10" i="66"/>
  <c r="AF20" i="66"/>
  <c r="AF19" i="66"/>
  <c r="AI5" i="65"/>
  <c r="AI6" i="65"/>
  <c r="AI11" i="65"/>
  <c r="AI3" i="65"/>
  <c r="AI14" i="65"/>
  <c r="AI4" i="65"/>
  <c r="AI9" i="65"/>
  <c r="AI12" i="65"/>
  <c r="AI2" i="65"/>
  <c r="AI23" i="65"/>
  <c r="AI15" i="65"/>
  <c r="AI10" i="65"/>
  <c r="AI20" i="65"/>
  <c r="AI17" i="65"/>
  <c r="AI7" i="65"/>
  <c r="AI8" i="65"/>
  <c r="AI21" i="65"/>
  <c r="AI13" i="65"/>
  <c r="AI38" i="65"/>
  <c r="AI29" i="65"/>
  <c r="AI28" i="65"/>
  <c r="AI32" i="65"/>
  <c r="AI27" i="65"/>
  <c r="AI33" i="65"/>
  <c r="AI31" i="65"/>
  <c r="AI22" i="65"/>
  <c r="AI16" i="65"/>
  <c r="AI19" i="65"/>
  <c r="AI24" i="65"/>
  <c r="AI26" i="65"/>
  <c r="AI35" i="65"/>
  <c r="AI18" i="65"/>
  <c r="AI30" i="65"/>
  <c r="AI34" i="65"/>
  <c r="AI36" i="65"/>
  <c r="AI40" i="65"/>
  <c r="AI41" i="65"/>
  <c r="AI37" i="65"/>
  <c r="AI25" i="65"/>
  <c r="AI39" i="65"/>
  <c r="AF5" i="65"/>
  <c r="AF6" i="65"/>
  <c r="AF11" i="65"/>
  <c r="AF3" i="65"/>
  <c r="AF14" i="65"/>
  <c r="AF4" i="65"/>
  <c r="AF9" i="65"/>
  <c r="AF12" i="65"/>
  <c r="AF2" i="65"/>
  <c r="AF23" i="65"/>
  <c r="AF15" i="65"/>
  <c r="AF10" i="65"/>
  <c r="AF20" i="65"/>
  <c r="AF17" i="65"/>
  <c r="AF7" i="65"/>
  <c r="AF8" i="65"/>
  <c r="AF21" i="65"/>
  <c r="AF13" i="65"/>
  <c r="AF38" i="65"/>
  <c r="AF29" i="65"/>
  <c r="AF28" i="65"/>
  <c r="AF32" i="65"/>
  <c r="AF27" i="65"/>
  <c r="AF33" i="65"/>
  <c r="AF31" i="65"/>
  <c r="AF22" i="65"/>
  <c r="AF16" i="65"/>
  <c r="AF19" i="65"/>
  <c r="AF24" i="65"/>
  <c r="AF26" i="65"/>
  <c r="AF35" i="65"/>
  <c r="AF18" i="65"/>
  <c r="AF30" i="65"/>
  <c r="AF34" i="65"/>
  <c r="AF36" i="65"/>
  <c r="AF40" i="65"/>
  <c r="AF41" i="65"/>
  <c r="AF37" i="65"/>
  <c r="AF25" i="65"/>
  <c r="AF39" i="65"/>
  <c r="AI2" i="64"/>
  <c r="AI22" i="64"/>
  <c r="AI93" i="64"/>
  <c r="AI8" i="64"/>
  <c r="AI3" i="64"/>
  <c r="AI9" i="64"/>
  <c r="AI18" i="64"/>
  <c r="AI11" i="64"/>
  <c r="AI27" i="64"/>
  <c r="AI23" i="64"/>
  <c r="AI5" i="64"/>
  <c r="AI44" i="64"/>
  <c r="AI19" i="64"/>
  <c r="AI4" i="64"/>
  <c r="AI35" i="64"/>
  <c r="AI12" i="64"/>
  <c r="AI15" i="64"/>
  <c r="AI24" i="64"/>
  <c r="AI43" i="64"/>
  <c r="AI36" i="64"/>
  <c r="AI21" i="64"/>
  <c r="AI72" i="64"/>
  <c r="AI53" i="64"/>
  <c r="AI71" i="64"/>
  <c r="AI10" i="64"/>
  <c r="AI84" i="64"/>
  <c r="AI67" i="64"/>
  <c r="AI98" i="64"/>
  <c r="AI30" i="64"/>
  <c r="AI73" i="64"/>
  <c r="AI46" i="64"/>
  <c r="AI42" i="64"/>
  <c r="AI34" i="64"/>
  <c r="AI151" i="64"/>
  <c r="AI20" i="64"/>
  <c r="AI7" i="64"/>
  <c r="AI68" i="64"/>
  <c r="AI63" i="64"/>
  <c r="AI89" i="64"/>
  <c r="AI59" i="64"/>
  <c r="AI38" i="64"/>
  <c r="AI51" i="64"/>
  <c r="AI14" i="64"/>
  <c r="AI101" i="64"/>
  <c r="AI52" i="64"/>
  <c r="AI31" i="64"/>
  <c r="AI78" i="64"/>
  <c r="AI6" i="64"/>
  <c r="AI45" i="64"/>
  <c r="AI74" i="64"/>
  <c r="AI82" i="64"/>
  <c r="AI83" i="64"/>
  <c r="AI54" i="64"/>
  <c r="AI39" i="64"/>
  <c r="AI47" i="64"/>
  <c r="AI103" i="64"/>
  <c r="AI88" i="64"/>
  <c r="AI16" i="64"/>
  <c r="AI17" i="64"/>
  <c r="AI56" i="64"/>
  <c r="AI75" i="64"/>
  <c r="AI135" i="64"/>
  <c r="AI76" i="64"/>
  <c r="AI49" i="64"/>
  <c r="AI58" i="64"/>
  <c r="AI69" i="64"/>
  <c r="AI120" i="64"/>
  <c r="AI79" i="64"/>
  <c r="AI110" i="64"/>
  <c r="AI50" i="64"/>
  <c r="AI60" i="64"/>
  <c r="AI77" i="64"/>
  <c r="AI25" i="64"/>
  <c r="AI28" i="64"/>
  <c r="AI41" i="64"/>
  <c r="AI91" i="64"/>
  <c r="AI87" i="64"/>
  <c r="AI113" i="64"/>
  <c r="AI99" i="64"/>
  <c r="AI104" i="64"/>
  <c r="AI149" i="64"/>
  <c r="AI114" i="64"/>
  <c r="AI55" i="64"/>
  <c r="AI112" i="64"/>
  <c r="AI121" i="64"/>
  <c r="AI80" i="64"/>
  <c r="AI156" i="64"/>
  <c r="AI48" i="64"/>
  <c r="AI66" i="64"/>
  <c r="AI81" i="64"/>
  <c r="AI13" i="64"/>
  <c r="AI128" i="64"/>
  <c r="AI26" i="64"/>
  <c r="AI145" i="64"/>
  <c r="AI148" i="64"/>
  <c r="AI85" i="64"/>
  <c r="AI124" i="64"/>
  <c r="AI133" i="64"/>
  <c r="AI109" i="64"/>
  <c r="AI70" i="64"/>
  <c r="AI32" i="64"/>
  <c r="AI117" i="64"/>
  <c r="AI65" i="64"/>
  <c r="AI134" i="64"/>
  <c r="AI136" i="64"/>
  <c r="AI115" i="64"/>
  <c r="AI96" i="64"/>
  <c r="AI132" i="64"/>
  <c r="AI29" i="64"/>
  <c r="AI100" i="64"/>
  <c r="AI64" i="64"/>
  <c r="AI33" i="64"/>
  <c r="AI144" i="64"/>
  <c r="AI57" i="64"/>
  <c r="AI37" i="64"/>
  <c r="AI125" i="64"/>
  <c r="AI90" i="64"/>
  <c r="AI102" i="64"/>
  <c r="AI137" i="64"/>
  <c r="AI106" i="64"/>
  <c r="AI131" i="64"/>
  <c r="AI152" i="64"/>
  <c r="AI140" i="64"/>
  <c r="AI138" i="64"/>
  <c r="AI127" i="64"/>
  <c r="AI116" i="64"/>
  <c r="AI126" i="64"/>
  <c r="AI157" i="64"/>
  <c r="AI119" i="64"/>
  <c r="AI123" i="64"/>
  <c r="AI154" i="64"/>
  <c r="AI62" i="64"/>
  <c r="AI130" i="64"/>
  <c r="AI118" i="64"/>
  <c r="AI108" i="64"/>
  <c r="AI129" i="64"/>
  <c r="AI141" i="64"/>
  <c r="AI150" i="64"/>
  <c r="AI139" i="64"/>
  <c r="AI105" i="64"/>
  <c r="AI122" i="64"/>
  <c r="AI94" i="64"/>
  <c r="AI155" i="64"/>
  <c r="AI61" i="64"/>
  <c r="AI111" i="64"/>
  <c r="AI142" i="64"/>
  <c r="AI92" i="64"/>
  <c r="AI107" i="64"/>
  <c r="AI153" i="64"/>
  <c r="AI86" i="64"/>
  <c r="AI95" i="64"/>
  <c r="AI40" i="64"/>
  <c r="AI147" i="64"/>
  <c r="AI143" i="64"/>
  <c r="AI146" i="64"/>
  <c r="AM22" i="64"/>
  <c r="AM93" i="64"/>
  <c r="AM8" i="64"/>
  <c r="AM3" i="64"/>
  <c r="AM9" i="64"/>
  <c r="AM18" i="64"/>
  <c r="AM11" i="64"/>
  <c r="AM27" i="64"/>
  <c r="AM23" i="64"/>
  <c r="AM5" i="64"/>
  <c r="AM44" i="64"/>
  <c r="AM19" i="64"/>
  <c r="AM4" i="64"/>
  <c r="AM35" i="64"/>
  <c r="AM12" i="64"/>
  <c r="AM15" i="64"/>
  <c r="AM24" i="64"/>
  <c r="AM43" i="64"/>
  <c r="AM36" i="64"/>
  <c r="AM21" i="64"/>
  <c r="AM72" i="64"/>
  <c r="AM53" i="64"/>
  <c r="AM71" i="64"/>
  <c r="AM10" i="64"/>
  <c r="AM84" i="64"/>
  <c r="AM67" i="64"/>
  <c r="AM98" i="64"/>
  <c r="AM30" i="64"/>
  <c r="AM73" i="64"/>
  <c r="AM46" i="64"/>
  <c r="AM42" i="64"/>
  <c r="AM34" i="64"/>
  <c r="AM151" i="64"/>
  <c r="AM20" i="64"/>
  <c r="AM7" i="64"/>
  <c r="AM68" i="64"/>
  <c r="AM63" i="64"/>
  <c r="AM89" i="64"/>
  <c r="AM59" i="64"/>
  <c r="AM38" i="64"/>
  <c r="AM51" i="64"/>
  <c r="AM14" i="64"/>
  <c r="AM101" i="64"/>
  <c r="AM52" i="64"/>
  <c r="AM31" i="64"/>
  <c r="AM78" i="64"/>
  <c r="AM6" i="64"/>
  <c r="AM45" i="64"/>
  <c r="AM74" i="64"/>
  <c r="AM82" i="64"/>
  <c r="AM83" i="64"/>
  <c r="AM54" i="64"/>
  <c r="AM39" i="64"/>
  <c r="AM47" i="64"/>
  <c r="AM103" i="64"/>
  <c r="AM88" i="64"/>
  <c r="AM16" i="64"/>
  <c r="AM17" i="64"/>
  <c r="AM56" i="64"/>
  <c r="AM75" i="64"/>
  <c r="AM135" i="64"/>
  <c r="AM76" i="64"/>
  <c r="AM49" i="64"/>
  <c r="AM58" i="64"/>
  <c r="AM69" i="64"/>
  <c r="AM120" i="64"/>
  <c r="AM79" i="64"/>
  <c r="AM110" i="64"/>
  <c r="AM50" i="64"/>
  <c r="AM60" i="64"/>
  <c r="AM77" i="64"/>
  <c r="AM25" i="64"/>
  <c r="AM28" i="64"/>
  <c r="AM41" i="64"/>
  <c r="AM91" i="64"/>
  <c r="AM87" i="64"/>
  <c r="AM113" i="64"/>
  <c r="AM99" i="64"/>
  <c r="AM104" i="64"/>
  <c r="AM149" i="64"/>
  <c r="AM114" i="64"/>
  <c r="AM55" i="64"/>
  <c r="AM112" i="64"/>
  <c r="AM121" i="64"/>
  <c r="AM80" i="64"/>
  <c r="AM156" i="64"/>
  <c r="AM48" i="64"/>
  <c r="AM66" i="64"/>
  <c r="AM81" i="64"/>
  <c r="AM13" i="64"/>
  <c r="AM128" i="64"/>
  <c r="AM26" i="64"/>
  <c r="AM145" i="64"/>
  <c r="AM148" i="64"/>
  <c r="AM85" i="64"/>
  <c r="AM124" i="64"/>
  <c r="AM133" i="64"/>
  <c r="AM109" i="64"/>
  <c r="AM70" i="64"/>
  <c r="AM32" i="64"/>
  <c r="AM117" i="64"/>
  <c r="AM65" i="64"/>
  <c r="AM134" i="64"/>
  <c r="AM136" i="64"/>
  <c r="AM115" i="64"/>
  <c r="AM96" i="64"/>
  <c r="AM132" i="64"/>
  <c r="AM29" i="64"/>
  <c r="AM100" i="64"/>
  <c r="AM64" i="64"/>
  <c r="AM33" i="64"/>
  <c r="AM144" i="64"/>
  <c r="AM57" i="64"/>
  <c r="AM37" i="64"/>
  <c r="AM125" i="64"/>
  <c r="AM90" i="64"/>
  <c r="AM102" i="64"/>
  <c r="AM137" i="64"/>
  <c r="AM106" i="64"/>
  <c r="AM131" i="64"/>
  <c r="AM152" i="64"/>
  <c r="AM140" i="64"/>
  <c r="AM138" i="64"/>
  <c r="AM127" i="64"/>
  <c r="AM116" i="64"/>
  <c r="AM126" i="64"/>
  <c r="AM157" i="64"/>
  <c r="AM119" i="64"/>
  <c r="AM123" i="64"/>
  <c r="AM154" i="64"/>
  <c r="AM62" i="64"/>
  <c r="AM130" i="64"/>
  <c r="AM118" i="64"/>
  <c r="AM108" i="64"/>
  <c r="AM129" i="64"/>
  <c r="AM141" i="64"/>
  <c r="AM150" i="64"/>
  <c r="AM139" i="64"/>
  <c r="AM105" i="64"/>
  <c r="AM122" i="64"/>
  <c r="AM94" i="64"/>
  <c r="AM155" i="64"/>
  <c r="AM61" i="64"/>
  <c r="AM111" i="64"/>
  <c r="AM142" i="64"/>
  <c r="AM92" i="64"/>
  <c r="AM107" i="64"/>
  <c r="AM153" i="64"/>
  <c r="AM86" i="64"/>
  <c r="AM95" i="64"/>
  <c r="AM40" i="64"/>
  <c r="AM147" i="64"/>
  <c r="AM143" i="64"/>
  <c r="AM146" i="64"/>
  <c r="AF2" i="64"/>
  <c r="AF22" i="64"/>
  <c r="AF93" i="64"/>
  <c r="AF8" i="64"/>
  <c r="AF3" i="64"/>
  <c r="AF9" i="64"/>
  <c r="AF18" i="64"/>
  <c r="AF11" i="64"/>
  <c r="AF27" i="64"/>
  <c r="AF23" i="64"/>
  <c r="AF5" i="64"/>
  <c r="AF44" i="64"/>
  <c r="AF19" i="64"/>
  <c r="AF4" i="64"/>
  <c r="AF35" i="64"/>
  <c r="AF12" i="64"/>
  <c r="AF15" i="64"/>
  <c r="AF24" i="64"/>
  <c r="AF43" i="64"/>
  <c r="AF36" i="64"/>
  <c r="AF97" i="64"/>
  <c r="AF21" i="64"/>
  <c r="AF72" i="64"/>
  <c r="AF53" i="64"/>
  <c r="AF71" i="64"/>
  <c r="AF10" i="64"/>
  <c r="AF84" i="64"/>
  <c r="AF67" i="64"/>
  <c r="AF98" i="64"/>
  <c r="AF30" i="64"/>
  <c r="AF73" i="64"/>
  <c r="AF46" i="64"/>
  <c r="AF42" i="64"/>
  <c r="AF34" i="64"/>
  <c r="AF151" i="64"/>
  <c r="AF20" i="64"/>
  <c r="AF7" i="64"/>
  <c r="AF68" i="64"/>
  <c r="AF63" i="64"/>
  <c r="AF89" i="64"/>
  <c r="AF59" i="64"/>
  <c r="AF38" i="64"/>
  <c r="AF51" i="64"/>
  <c r="AF14" i="64"/>
  <c r="AF101" i="64"/>
  <c r="AF52" i="64"/>
  <c r="AF31" i="64"/>
  <c r="AF78" i="64"/>
  <c r="AF6" i="64"/>
  <c r="AF45" i="64"/>
  <c r="AF74" i="64"/>
  <c r="AF82" i="64"/>
  <c r="AF83" i="64"/>
  <c r="AF54" i="64"/>
  <c r="AF39" i="64"/>
  <c r="AF47" i="64"/>
  <c r="AF103" i="64"/>
  <c r="AF88" i="64"/>
  <c r="AF16" i="64"/>
  <c r="AF17" i="64"/>
  <c r="AF56" i="64"/>
  <c r="AF75" i="64"/>
  <c r="AF135" i="64"/>
  <c r="AF76" i="64"/>
  <c r="AF49" i="64"/>
  <c r="AF58" i="64"/>
  <c r="AF69" i="64"/>
  <c r="AF120" i="64"/>
  <c r="AF79" i="64"/>
  <c r="AF110" i="64"/>
  <c r="AF50" i="64"/>
  <c r="AF60" i="64"/>
  <c r="AF77" i="64"/>
  <c r="AF25" i="64"/>
  <c r="AF28" i="64"/>
  <c r="AF41" i="64"/>
  <c r="AF91" i="64"/>
  <c r="AF87" i="64"/>
  <c r="AF113" i="64"/>
  <c r="AF99" i="64"/>
  <c r="AF104" i="64"/>
  <c r="AF149" i="64"/>
  <c r="AF114" i="64"/>
  <c r="AF55" i="64"/>
  <c r="AF112" i="64"/>
  <c r="AF121" i="64"/>
  <c r="AF80" i="64"/>
  <c r="AF156" i="64"/>
  <c r="AF48" i="64"/>
  <c r="AF66" i="64"/>
  <c r="AF81" i="64"/>
  <c r="AF13" i="64"/>
  <c r="AF128" i="64"/>
  <c r="AF26" i="64"/>
  <c r="AF145" i="64"/>
  <c r="AF148" i="64"/>
  <c r="AF85" i="64"/>
  <c r="AF124" i="64"/>
  <c r="AF133" i="64"/>
  <c r="AF109" i="64"/>
  <c r="AF70" i="64"/>
  <c r="AF32" i="64"/>
  <c r="AF117" i="64"/>
  <c r="AF65" i="64"/>
  <c r="AF134" i="64"/>
  <c r="AF136" i="64"/>
  <c r="AF115" i="64"/>
  <c r="AF96" i="64"/>
  <c r="AF132" i="64"/>
  <c r="AF29" i="64"/>
  <c r="AF100" i="64"/>
  <c r="AF64" i="64"/>
  <c r="AF33" i="64"/>
  <c r="AF144" i="64"/>
  <c r="AF57" i="64"/>
  <c r="AF37" i="64"/>
  <c r="AF125" i="64"/>
  <c r="AF90" i="64"/>
  <c r="AF102" i="64"/>
  <c r="AF137" i="64"/>
  <c r="AF106" i="64"/>
  <c r="AF131" i="64"/>
  <c r="AF152" i="64"/>
  <c r="AF140" i="64"/>
  <c r="AF138" i="64"/>
  <c r="AF127" i="64"/>
  <c r="AF116" i="64"/>
  <c r="AF126" i="64"/>
  <c r="AF157" i="64"/>
  <c r="AF119" i="64"/>
  <c r="AF123" i="64"/>
  <c r="AF154" i="64"/>
  <c r="AF62" i="64"/>
  <c r="AF130" i="64"/>
  <c r="AF118" i="64"/>
  <c r="AF108" i="64"/>
  <c r="AF129" i="64"/>
  <c r="AF141" i="64"/>
  <c r="AF150" i="64"/>
  <c r="AF139" i="64"/>
  <c r="AF105" i="64"/>
  <c r="AF122" i="64"/>
  <c r="AF94" i="64"/>
  <c r="AF155" i="64"/>
  <c r="AF61" i="64"/>
  <c r="AF111" i="64"/>
  <c r="AF142" i="64"/>
  <c r="AF92" i="64"/>
  <c r="AF107" i="64"/>
  <c r="AF153" i="64"/>
  <c r="AF86" i="64"/>
  <c r="AF95" i="64"/>
  <c r="AF40" i="64"/>
  <c r="AF147" i="64"/>
  <c r="AF143" i="64"/>
  <c r="AF146" i="64"/>
  <c r="AI4" i="63"/>
  <c r="AI2" i="63"/>
  <c r="AI6" i="63"/>
  <c r="AI7" i="63"/>
  <c r="AI9" i="63"/>
  <c r="AI5" i="63"/>
  <c r="AI20" i="63"/>
  <c r="AI26" i="63"/>
  <c r="AI28" i="63"/>
  <c r="AI23" i="63"/>
  <c r="AI21" i="63"/>
  <c r="AI19" i="63"/>
  <c r="AI15" i="63"/>
  <c r="AI16" i="63"/>
  <c r="AI3" i="63"/>
  <c r="AF4" i="63"/>
  <c r="AF2" i="63"/>
  <c r="AF6" i="63"/>
  <c r="AF7" i="63"/>
  <c r="AF9" i="63"/>
  <c r="AF5" i="63"/>
  <c r="AF20" i="63"/>
  <c r="AF26" i="63"/>
  <c r="AF28" i="63"/>
  <c r="AF23" i="63"/>
  <c r="AF21" i="63"/>
  <c r="AF19" i="63"/>
  <c r="AF15" i="63"/>
  <c r="AF16" i="63"/>
  <c r="AF3" i="63"/>
  <c r="AI3" i="62"/>
  <c r="AI2" i="62"/>
  <c r="AI8" i="62"/>
  <c r="AI25" i="62"/>
  <c r="AI4" i="62"/>
  <c r="AI13" i="62"/>
  <c r="AI6" i="62"/>
  <c r="AI5" i="62"/>
  <c r="AI10" i="62"/>
  <c r="AI12" i="62"/>
  <c r="AI9" i="62"/>
  <c r="AI18" i="62"/>
  <c r="AI15" i="62"/>
  <c r="AI19" i="62"/>
  <c r="AI21" i="62"/>
  <c r="AF3" i="62"/>
  <c r="AF2" i="62"/>
  <c r="AF8" i="62"/>
  <c r="AF25" i="62"/>
  <c r="AF4" i="62"/>
  <c r="AF14" i="62"/>
  <c r="AF13" i="62"/>
  <c r="AF6" i="62"/>
  <c r="AF5" i="62"/>
  <c r="AF10" i="62"/>
  <c r="AF12" i="62"/>
  <c r="AF9" i="62"/>
  <c r="AF18" i="62"/>
  <c r="AF15" i="62"/>
  <c r="AF19" i="62"/>
  <c r="AF21" i="62"/>
  <c r="AI9" i="61"/>
  <c r="AI6" i="61"/>
  <c r="AI5" i="61"/>
  <c r="AI3" i="61"/>
  <c r="AI13" i="61"/>
  <c r="AI15" i="61"/>
  <c r="AI18" i="61"/>
  <c r="AI19" i="61"/>
  <c r="AI25" i="61"/>
  <c r="AI24" i="61"/>
  <c r="AI12" i="61"/>
  <c r="AI2" i="61"/>
  <c r="AI20" i="61"/>
  <c r="AI4" i="61"/>
  <c r="AI10" i="61"/>
  <c r="AI7" i="61"/>
  <c r="AI17" i="61"/>
  <c r="AI8" i="61"/>
  <c r="AI11" i="61"/>
  <c r="AI16" i="61"/>
  <c r="AI21" i="61"/>
  <c r="AI28" i="61"/>
  <c r="AI30" i="61"/>
  <c r="AI14" i="61"/>
  <c r="AI29" i="61"/>
  <c r="AF4" i="61"/>
  <c r="AF9" i="61"/>
  <c r="AF6" i="61"/>
  <c r="AF22" i="61"/>
  <c r="AF10" i="61"/>
  <c r="AF5" i="61"/>
  <c r="AF3" i="61"/>
  <c r="AF7" i="61"/>
  <c r="AF17" i="61"/>
  <c r="AF13" i="61"/>
  <c r="AF15" i="61"/>
  <c r="AF8" i="61"/>
  <c r="AF11" i="61"/>
  <c r="AF18" i="61"/>
  <c r="AF19" i="61"/>
  <c r="AF16" i="61"/>
  <c r="AF21" i="61"/>
  <c r="AF25" i="61"/>
  <c r="AF24" i="61"/>
  <c r="AF28" i="61"/>
  <c r="AF30" i="61"/>
  <c r="AF12" i="61"/>
  <c r="AF2" i="61"/>
  <c r="AF14" i="61"/>
  <c r="AF29" i="61"/>
  <c r="AF20" i="61"/>
  <c r="AF26" i="62" l="1"/>
  <c r="AJ15" i="62" s="1"/>
  <c r="AK15" i="62" s="1"/>
  <c r="AF12" i="68"/>
  <c r="AJ4" i="68" s="1"/>
  <c r="AK4" i="68" s="1"/>
  <c r="AF31" i="61"/>
  <c r="AJ5" i="61" s="1"/>
  <c r="AK5" i="61" s="1"/>
  <c r="AF158" i="64"/>
  <c r="AJ143" i="64" s="1"/>
  <c r="AK143" i="64" s="1"/>
  <c r="AM97" i="64"/>
  <c r="AL158" i="64"/>
  <c r="AI97" i="64"/>
  <c r="AI158" i="64" s="1"/>
  <c r="AH158" i="64"/>
  <c r="AM15" i="62"/>
  <c r="AM19" i="62"/>
  <c r="AM12" i="62"/>
  <c r="AM13" i="62"/>
  <c r="AM8" i="62"/>
  <c r="AM10" i="62"/>
  <c r="AM18" i="62"/>
  <c r="AM5" i="62"/>
  <c r="AM4" i="62"/>
  <c r="AM3" i="62"/>
  <c r="AM21" i="62"/>
  <c r="AM9" i="62"/>
  <c r="AM6" i="62"/>
  <c r="AM25" i="62"/>
  <c r="AF12" i="67"/>
  <c r="AH12" i="67"/>
  <c r="AG12" i="67"/>
  <c r="AI2" i="67"/>
  <c r="AI12" i="67" s="1"/>
  <c r="AG21" i="66"/>
  <c r="AI21" i="66"/>
  <c r="AF21" i="66"/>
  <c r="AJ20" i="66" s="1"/>
  <c r="AK20" i="66" s="1"/>
  <c r="AH21" i="66"/>
  <c r="AI42" i="65"/>
  <c r="AF42" i="65"/>
  <c r="AJ5" i="65" s="1"/>
  <c r="AK5" i="65" s="1"/>
  <c r="AG42" i="65"/>
  <c r="AH42" i="65"/>
  <c r="AM2" i="64"/>
  <c r="AI29" i="63"/>
  <c r="AG29" i="63"/>
  <c r="AF29" i="63"/>
  <c r="AI14" i="62"/>
  <c r="AI26" i="62" s="1"/>
  <c r="AM2" i="68"/>
  <c r="AM12" i="68" s="1"/>
  <c r="AI2" i="68"/>
  <c r="AI12" i="68" s="1"/>
  <c r="AM29" i="61"/>
  <c r="AM30" i="61"/>
  <c r="AM21" i="61"/>
  <c r="AM11" i="61"/>
  <c r="AM17" i="61"/>
  <c r="AM10" i="61"/>
  <c r="AM4" i="61"/>
  <c r="AM14" i="61"/>
  <c r="AM28" i="61"/>
  <c r="AM16" i="61"/>
  <c r="AM8" i="61"/>
  <c r="AM7" i="61"/>
  <c r="AM2" i="61"/>
  <c r="AM24" i="61"/>
  <c r="AM19" i="61"/>
  <c r="AM15" i="61"/>
  <c r="AM3" i="61"/>
  <c r="AM6" i="61"/>
  <c r="AM20" i="61"/>
  <c r="AM12" i="61"/>
  <c r="AM25" i="61"/>
  <c r="AM18" i="61"/>
  <c r="AM13" i="61"/>
  <c r="AM5" i="61"/>
  <c r="AM22" i="61"/>
  <c r="AI22" i="61"/>
  <c r="AI31" i="61" s="1"/>
  <c r="AI5" i="60"/>
  <c r="AI3" i="60"/>
  <c r="AI4" i="60"/>
  <c r="AI7" i="60"/>
  <c r="AI18" i="60"/>
  <c r="AI15" i="60"/>
  <c r="AI6" i="60"/>
  <c r="AI8" i="60"/>
  <c r="AI19" i="60"/>
  <c r="AI21" i="60"/>
  <c r="AI17" i="60"/>
  <c r="AI13" i="60"/>
  <c r="AI25" i="60"/>
  <c r="AI16" i="60"/>
  <c r="AI14" i="60"/>
  <c r="AI24" i="60"/>
  <c r="AI27" i="60"/>
  <c r="AI28" i="60"/>
  <c r="AI10" i="60"/>
  <c r="AI23" i="60"/>
  <c r="AM3" i="60"/>
  <c r="AM4" i="60"/>
  <c r="AM7" i="60"/>
  <c r="AM18" i="60"/>
  <c r="AM15" i="60"/>
  <c r="AM6" i="60"/>
  <c r="AM8" i="60"/>
  <c r="AM19" i="60"/>
  <c r="AM21" i="60"/>
  <c r="AM17" i="60"/>
  <c r="AM13" i="60"/>
  <c r="AM25" i="60"/>
  <c r="AM16" i="60"/>
  <c r="AM14" i="60"/>
  <c r="AM24" i="60"/>
  <c r="AM27" i="60"/>
  <c r="AM28" i="60"/>
  <c r="AM10" i="60"/>
  <c r="AM23" i="60"/>
  <c r="AF5" i="60"/>
  <c r="AF2" i="60"/>
  <c r="AF3" i="60"/>
  <c r="AF4" i="60"/>
  <c r="AF7" i="60"/>
  <c r="AF18" i="60"/>
  <c r="AF15" i="60"/>
  <c r="AF6" i="60"/>
  <c r="AF8" i="60"/>
  <c r="AF19" i="60"/>
  <c r="AF21" i="60"/>
  <c r="AF17" i="60"/>
  <c r="AF13" i="60"/>
  <c r="AF25" i="60"/>
  <c r="AF16" i="60"/>
  <c r="AF14" i="60"/>
  <c r="AF24" i="60"/>
  <c r="AF27" i="60"/>
  <c r="AF28" i="60"/>
  <c r="AF10" i="60"/>
  <c r="AF23" i="60"/>
  <c r="AJ27" i="64" l="1"/>
  <c r="AK27" i="64" s="1"/>
  <c r="AJ19" i="64"/>
  <c r="AK19" i="64" s="1"/>
  <c r="AJ15" i="64"/>
  <c r="AK15" i="64" s="1"/>
  <c r="AJ3" i="64"/>
  <c r="AK3" i="64" s="1"/>
  <c r="AJ97" i="64"/>
  <c r="AJ11" i="64"/>
  <c r="AK11" i="64" s="1"/>
  <c r="AJ12" i="64"/>
  <c r="AK12" i="64" s="1"/>
  <c r="AJ53" i="64"/>
  <c r="AK53" i="64" s="1"/>
  <c r="AJ46" i="64"/>
  <c r="AK46" i="64" s="1"/>
  <c r="AJ89" i="64"/>
  <c r="AK89" i="64" s="1"/>
  <c r="AJ78" i="64"/>
  <c r="AK78" i="64" s="1"/>
  <c r="AJ47" i="64"/>
  <c r="AK47" i="64" s="1"/>
  <c r="AJ76" i="64"/>
  <c r="AK76" i="64" s="1"/>
  <c r="AJ60" i="64"/>
  <c r="AK60" i="64" s="1"/>
  <c r="AJ99" i="64"/>
  <c r="AK99" i="64" s="1"/>
  <c r="AJ156" i="64"/>
  <c r="AK156" i="64" s="1"/>
  <c r="AJ148" i="64"/>
  <c r="AK148" i="64" s="1"/>
  <c r="AJ65" i="64"/>
  <c r="AK65" i="64" s="1"/>
  <c r="AJ64" i="64"/>
  <c r="AK64" i="64" s="1"/>
  <c r="AJ137" i="64"/>
  <c r="AK137" i="64" s="1"/>
  <c r="AJ126" i="64"/>
  <c r="AK126" i="64" s="1"/>
  <c r="AJ108" i="64"/>
  <c r="AK108" i="64" s="1"/>
  <c r="AJ155" i="64"/>
  <c r="AK155" i="64" s="1"/>
  <c r="AJ95" i="64"/>
  <c r="AK95" i="64" s="1"/>
  <c r="AJ2" i="64"/>
  <c r="AK2" i="64" s="1"/>
  <c r="AJ98" i="64"/>
  <c r="AK98" i="64" s="1"/>
  <c r="AJ7" i="64"/>
  <c r="AK7" i="64" s="1"/>
  <c r="AJ101" i="64"/>
  <c r="AK101" i="64" s="1"/>
  <c r="AJ83" i="64"/>
  <c r="AK83" i="64" s="1"/>
  <c r="AJ56" i="64"/>
  <c r="AK56" i="64" s="1"/>
  <c r="AJ79" i="64"/>
  <c r="AK79" i="64" s="1"/>
  <c r="AJ91" i="64"/>
  <c r="AK91" i="64" s="1"/>
  <c r="AJ112" i="64"/>
  <c r="AK112" i="64" s="1"/>
  <c r="AJ128" i="64"/>
  <c r="AK128" i="64" s="1"/>
  <c r="AJ70" i="64"/>
  <c r="AK70" i="64" s="1"/>
  <c r="AJ132" i="64"/>
  <c r="AK132" i="64" s="1"/>
  <c r="AJ125" i="64"/>
  <c r="AK125" i="64" s="1"/>
  <c r="AJ138" i="64"/>
  <c r="AK138" i="64" s="1"/>
  <c r="AJ62" i="64"/>
  <c r="AK62" i="64" s="1"/>
  <c r="AJ105" i="64"/>
  <c r="AK105" i="64" s="1"/>
  <c r="AJ107" i="64"/>
  <c r="AK107" i="64" s="1"/>
  <c r="AJ22" i="64"/>
  <c r="AK22" i="64" s="1"/>
  <c r="AJ23" i="64"/>
  <c r="AK23" i="64" s="1"/>
  <c r="AJ24" i="64"/>
  <c r="AK24" i="64" s="1"/>
  <c r="AJ10" i="64"/>
  <c r="AK10" i="64" s="1"/>
  <c r="AJ34" i="64"/>
  <c r="AK34" i="64" s="1"/>
  <c r="AJ38" i="64"/>
  <c r="AK38" i="64" s="1"/>
  <c r="AJ45" i="64"/>
  <c r="AK45" i="64" s="1"/>
  <c r="AJ88" i="64"/>
  <c r="AK88" i="64" s="1"/>
  <c r="AJ58" i="64"/>
  <c r="AK58" i="64" s="1"/>
  <c r="AJ25" i="64"/>
  <c r="AK25" i="64" s="1"/>
  <c r="AJ149" i="64"/>
  <c r="AK149" i="64" s="1"/>
  <c r="AJ66" i="64"/>
  <c r="AK66" i="64" s="1"/>
  <c r="AJ124" i="64"/>
  <c r="AK124" i="64" s="1"/>
  <c r="AJ136" i="64"/>
  <c r="AK136" i="64" s="1"/>
  <c r="AJ144" i="64"/>
  <c r="AK144" i="64" s="1"/>
  <c r="AJ131" i="64"/>
  <c r="AK131" i="64" s="1"/>
  <c r="AJ119" i="64"/>
  <c r="AK119" i="64" s="1"/>
  <c r="AJ141" i="64"/>
  <c r="AK141" i="64" s="1"/>
  <c r="AJ111" i="64"/>
  <c r="AK111" i="64" s="1"/>
  <c r="AJ147" i="64"/>
  <c r="AK147" i="64" s="1"/>
  <c r="AJ18" i="64"/>
  <c r="AK18" i="64" s="1"/>
  <c r="AJ35" i="64"/>
  <c r="AK35" i="64" s="1"/>
  <c r="AJ72" i="64"/>
  <c r="AK72" i="64" s="1"/>
  <c r="AJ73" i="64"/>
  <c r="AK73" i="64" s="1"/>
  <c r="AJ63" i="64"/>
  <c r="AK63" i="64" s="1"/>
  <c r="AJ31" i="64"/>
  <c r="AK31" i="64" s="1"/>
  <c r="AJ39" i="64"/>
  <c r="AK39" i="64" s="1"/>
  <c r="AJ135" i="64"/>
  <c r="AK135" i="64" s="1"/>
  <c r="AJ50" i="64"/>
  <c r="AK50" i="64" s="1"/>
  <c r="AJ113" i="64"/>
  <c r="AK113" i="64" s="1"/>
  <c r="AJ80" i="64"/>
  <c r="AK80" i="64" s="1"/>
  <c r="AJ145" i="64"/>
  <c r="AK145" i="64" s="1"/>
  <c r="AJ117" i="64"/>
  <c r="AK117" i="64" s="1"/>
  <c r="AJ100" i="64"/>
  <c r="AK100" i="64" s="1"/>
  <c r="AJ102" i="64"/>
  <c r="AK102" i="64" s="1"/>
  <c r="AJ116" i="64"/>
  <c r="AK116" i="64" s="1"/>
  <c r="AJ118" i="64"/>
  <c r="AK118" i="64" s="1"/>
  <c r="AJ94" i="64"/>
  <c r="AK94" i="64" s="1"/>
  <c r="AJ86" i="64"/>
  <c r="AK86" i="64" s="1"/>
  <c r="AJ8" i="64"/>
  <c r="AK8" i="64" s="1"/>
  <c r="AJ44" i="64"/>
  <c r="AK44" i="64" s="1"/>
  <c r="AJ36" i="64"/>
  <c r="AK36" i="64" s="1"/>
  <c r="AJ67" i="64"/>
  <c r="AK67" i="64" s="1"/>
  <c r="AJ20" i="64"/>
  <c r="AK20" i="64" s="1"/>
  <c r="AJ14" i="64"/>
  <c r="AK14" i="64" s="1"/>
  <c r="AJ82" i="64"/>
  <c r="AK82" i="64" s="1"/>
  <c r="AJ17" i="64"/>
  <c r="AK17" i="64" s="1"/>
  <c r="AJ120" i="64"/>
  <c r="AK120" i="64" s="1"/>
  <c r="AJ41" i="64"/>
  <c r="AK41" i="64" s="1"/>
  <c r="AJ55" i="64"/>
  <c r="AK55" i="64" s="1"/>
  <c r="AJ13" i="64"/>
  <c r="AK13" i="64" s="1"/>
  <c r="AJ109" i="64"/>
  <c r="AK109" i="64" s="1"/>
  <c r="AJ96" i="64"/>
  <c r="AK96" i="64" s="1"/>
  <c r="AJ37" i="64"/>
  <c r="AK37" i="64" s="1"/>
  <c r="AJ140" i="64"/>
  <c r="AK140" i="64" s="1"/>
  <c r="AJ154" i="64"/>
  <c r="AK154" i="64" s="1"/>
  <c r="AJ139" i="64"/>
  <c r="AK139" i="64" s="1"/>
  <c r="AJ92" i="64"/>
  <c r="AK92" i="64" s="1"/>
  <c r="AJ146" i="64"/>
  <c r="AK146" i="64" s="1"/>
  <c r="AJ71" i="64"/>
  <c r="AK71" i="64" s="1"/>
  <c r="AJ42" i="64"/>
  <c r="AK42" i="64" s="1"/>
  <c r="AJ59" i="64"/>
  <c r="AK59" i="64" s="1"/>
  <c r="AJ6" i="64"/>
  <c r="AK6" i="64" s="1"/>
  <c r="AJ103" i="64"/>
  <c r="AK103" i="64" s="1"/>
  <c r="AJ49" i="64"/>
  <c r="AK49" i="64" s="1"/>
  <c r="AJ77" i="64"/>
  <c r="AK77" i="64" s="1"/>
  <c r="AJ104" i="64"/>
  <c r="AK104" i="64" s="1"/>
  <c r="AJ48" i="64"/>
  <c r="AK48" i="64" s="1"/>
  <c r="AJ85" i="64"/>
  <c r="AK85" i="64" s="1"/>
  <c r="AJ134" i="64"/>
  <c r="AK134" i="64" s="1"/>
  <c r="AJ33" i="64"/>
  <c r="AK33" i="64" s="1"/>
  <c r="AJ106" i="64"/>
  <c r="AK106" i="64" s="1"/>
  <c r="AJ157" i="64"/>
  <c r="AK157" i="64" s="1"/>
  <c r="AJ129" i="64"/>
  <c r="AK129" i="64" s="1"/>
  <c r="AJ61" i="64"/>
  <c r="AK61" i="64" s="1"/>
  <c r="AJ40" i="64"/>
  <c r="AK40" i="64" s="1"/>
  <c r="AJ9" i="64"/>
  <c r="AK9" i="64" s="1"/>
  <c r="AJ4" i="64"/>
  <c r="AK4" i="64" s="1"/>
  <c r="AJ21" i="64"/>
  <c r="AK21" i="64" s="1"/>
  <c r="AJ30" i="64"/>
  <c r="AK30" i="64" s="1"/>
  <c r="AJ68" i="64"/>
  <c r="AK68" i="64" s="1"/>
  <c r="AJ52" i="64"/>
  <c r="AK52" i="64" s="1"/>
  <c r="AJ54" i="64"/>
  <c r="AK54" i="64" s="1"/>
  <c r="AJ75" i="64"/>
  <c r="AK75" i="64" s="1"/>
  <c r="AJ110" i="64"/>
  <c r="AK110" i="64" s="1"/>
  <c r="AJ87" i="64"/>
  <c r="AK87" i="64" s="1"/>
  <c r="AJ121" i="64"/>
  <c r="AK121" i="64" s="1"/>
  <c r="AJ26" i="64"/>
  <c r="AK26" i="64" s="1"/>
  <c r="AJ32" i="64"/>
  <c r="AK32" i="64" s="1"/>
  <c r="AJ29" i="64"/>
  <c r="AK29" i="64" s="1"/>
  <c r="AJ90" i="64"/>
  <c r="AK90" i="64" s="1"/>
  <c r="AJ127" i="64"/>
  <c r="AK127" i="64" s="1"/>
  <c r="AJ130" i="64"/>
  <c r="AK130" i="64" s="1"/>
  <c r="AJ122" i="64"/>
  <c r="AK122" i="64" s="1"/>
  <c r="AJ153" i="64"/>
  <c r="AK153" i="64" s="1"/>
  <c r="AJ93" i="64"/>
  <c r="AK93" i="64" s="1"/>
  <c r="AJ5" i="64"/>
  <c r="AK5" i="64" s="1"/>
  <c r="AJ43" i="64"/>
  <c r="AK43" i="64" s="1"/>
  <c r="AJ84" i="64"/>
  <c r="AK84" i="64" s="1"/>
  <c r="AJ151" i="64"/>
  <c r="AK151" i="64" s="1"/>
  <c r="AJ51" i="64"/>
  <c r="AK51" i="64" s="1"/>
  <c r="AJ74" i="64"/>
  <c r="AK74" i="64" s="1"/>
  <c r="AJ16" i="64"/>
  <c r="AK16" i="64" s="1"/>
  <c r="AJ69" i="64"/>
  <c r="AK69" i="64" s="1"/>
  <c r="AJ28" i="64"/>
  <c r="AK28" i="64" s="1"/>
  <c r="AJ114" i="64"/>
  <c r="AK114" i="64" s="1"/>
  <c r="AJ81" i="64"/>
  <c r="AK81" i="64" s="1"/>
  <c r="AJ133" i="64"/>
  <c r="AK133" i="64" s="1"/>
  <c r="AJ115" i="64"/>
  <c r="AK115" i="64" s="1"/>
  <c r="AJ57" i="64"/>
  <c r="AK57" i="64" s="1"/>
  <c r="AJ152" i="64"/>
  <c r="AK152" i="64" s="1"/>
  <c r="AJ123" i="64"/>
  <c r="AK123" i="64" s="1"/>
  <c r="AJ150" i="64"/>
  <c r="AK150" i="64" s="1"/>
  <c r="AJ142" i="64"/>
  <c r="AK142" i="64" s="1"/>
  <c r="AJ12" i="62"/>
  <c r="AK12" i="62" s="1"/>
  <c r="AJ13" i="62"/>
  <c r="AK13" i="62" s="1"/>
  <c r="AJ9" i="62"/>
  <c r="AK9" i="62" s="1"/>
  <c r="AJ2" i="62"/>
  <c r="AJ25" i="62"/>
  <c r="AK25" i="62" s="1"/>
  <c r="AJ4" i="62"/>
  <c r="AK4" i="62" s="1"/>
  <c r="AJ14" i="62"/>
  <c r="AK14" i="62" s="1"/>
  <c r="AJ3" i="62"/>
  <c r="AJ8" i="62"/>
  <c r="AK8" i="62" s="1"/>
  <c r="AJ6" i="62"/>
  <c r="AK6" i="62" s="1"/>
  <c r="AJ5" i="62"/>
  <c r="AK5" i="62" s="1"/>
  <c r="AJ20" i="62"/>
  <c r="AK20" i="62" s="1"/>
  <c r="AJ22" i="62"/>
  <c r="AK22" i="62" s="1"/>
  <c r="AJ24" i="62"/>
  <c r="AK24" i="62" s="1"/>
  <c r="AJ17" i="62"/>
  <c r="AK17" i="62" s="1"/>
  <c r="AJ23" i="62"/>
  <c r="AK23" i="62" s="1"/>
  <c r="AJ11" i="62"/>
  <c r="AK11" i="62" s="1"/>
  <c r="AJ16" i="62"/>
  <c r="AK16" i="62" s="1"/>
  <c r="AJ7" i="62"/>
  <c r="AK7" i="62" s="1"/>
  <c r="AJ19" i="62"/>
  <c r="AK19" i="62" s="1"/>
  <c r="AJ21" i="62"/>
  <c r="AK21" i="62" s="1"/>
  <c r="AJ18" i="62"/>
  <c r="AK18" i="62" s="1"/>
  <c r="AJ10" i="62"/>
  <c r="AK10" i="62" s="1"/>
  <c r="AJ15" i="61"/>
  <c r="AK15" i="61" s="1"/>
  <c r="AJ2" i="68"/>
  <c r="AJ10" i="68"/>
  <c r="AK10" i="68" s="1"/>
  <c r="AJ6" i="68"/>
  <c r="AK6" i="68" s="1"/>
  <c r="AJ9" i="68"/>
  <c r="AK9" i="68" s="1"/>
  <c r="AJ8" i="68"/>
  <c r="AK8" i="68" s="1"/>
  <c r="AJ11" i="68"/>
  <c r="AK11" i="68" s="1"/>
  <c r="AJ7" i="68"/>
  <c r="AK7" i="68" s="1"/>
  <c r="AJ5" i="68"/>
  <c r="AK5" i="68" s="1"/>
  <c r="AJ3" i="68"/>
  <c r="AK3" i="68" s="1"/>
  <c r="AJ14" i="65"/>
  <c r="AK14" i="65" s="1"/>
  <c r="AJ20" i="65"/>
  <c r="AK20" i="65" s="1"/>
  <c r="AJ29" i="65"/>
  <c r="AK29" i="65" s="1"/>
  <c r="AJ19" i="65"/>
  <c r="AK19" i="65" s="1"/>
  <c r="AJ40" i="65"/>
  <c r="AK40" i="65" s="1"/>
  <c r="AJ4" i="65"/>
  <c r="AK4" i="65" s="1"/>
  <c r="AJ17" i="65"/>
  <c r="AK17" i="65" s="1"/>
  <c r="AJ28" i="65"/>
  <c r="AK28" i="65" s="1"/>
  <c r="AJ24" i="65"/>
  <c r="AK24" i="65" s="1"/>
  <c r="AJ41" i="65"/>
  <c r="AK41" i="65" s="1"/>
  <c r="AJ9" i="65"/>
  <c r="AK9" i="65" s="1"/>
  <c r="AJ32" i="65"/>
  <c r="AK32" i="65" s="1"/>
  <c r="AJ26" i="65"/>
  <c r="AK26" i="65" s="1"/>
  <c r="AJ37" i="65"/>
  <c r="AK37" i="65" s="1"/>
  <c r="AJ12" i="65"/>
  <c r="AK12" i="65" s="1"/>
  <c r="AJ7" i="65"/>
  <c r="AK7" i="65" s="1"/>
  <c r="AJ27" i="65"/>
  <c r="AK27" i="65" s="1"/>
  <c r="AJ35" i="65"/>
  <c r="AK35" i="65" s="1"/>
  <c r="AJ25" i="65"/>
  <c r="AK25" i="65" s="1"/>
  <c r="AL32" i="65"/>
  <c r="AM32" i="65" s="1"/>
  <c r="AL35" i="65"/>
  <c r="AM35" i="65" s="1"/>
  <c r="AL10" i="65"/>
  <c r="AM10" i="65" s="1"/>
  <c r="AL36" i="65"/>
  <c r="AM36" i="65" s="1"/>
  <c r="AL12" i="65"/>
  <c r="AM12" i="65" s="1"/>
  <c r="AL13" i="65"/>
  <c r="AM13" i="65" s="1"/>
  <c r="AL38" i="65"/>
  <c r="AM38" i="65" s="1"/>
  <c r="AL37" i="65"/>
  <c r="AM37" i="65" s="1"/>
  <c r="AL34" i="65"/>
  <c r="AM34" i="65" s="1"/>
  <c r="AL3" i="65"/>
  <c r="AM3" i="65" s="1"/>
  <c r="AL29" i="65"/>
  <c r="AM29" i="65" s="1"/>
  <c r="AL22" i="65"/>
  <c r="AM22" i="65" s="1"/>
  <c r="AL7" i="65"/>
  <c r="AM7" i="65" s="1"/>
  <c r="AL15" i="65"/>
  <c r="AM15" i="65" s="1"/>
  <c r="AL39" i="65"/>
  <c r="AM39" i="65" s="1"/>
  <c r="AL4" i="65"/>
  <c r="AM4" i="65" s="1"/>
  <c r="AL26" i="65"/>
  <c r="AM26" i="65" s="1"/>
  <c r="AL2" i="65"/>
  <c r="AL6" i="65"/>
  <c r="AM6" i="65" s="1"/>
  <c r="AL5" i="65"/>
  <c r="AM5" i="65" s="1"/>
  <c r="AL40" i="65"/>
  <c r="AM40" i="65" s="1"/>
  <c r="AL24" i="65"/>
  <c r="AM24" i="65" s="1"/>
  <c r="AL31" i="65"/>
  <c r="AM31" i="65" s="1"/>
  <c r="AL18" i="65"/>
  <c r="AM18" i="65" s="1"/>
  <c r="AL14" i="65"/>
  <c r="AM14" i="65" s="1"/>
  <c r="AL19" i="65"/>
  <c r="AM19" i="65" s="1"/>
  <c r="AL20" i="65"/>
  <c r="AM20" i="65" s="1"/>
  <c r="AL23" i="65"/>
  <c r="AM23" i="65" s="1"/>
  <c r="AL28" i="65"/>
  <c r="AM28" i="65" s="1"/>
  <c r="AL30" i="65"/>
  <c r="AM30" i="65" s="1"/>
  <c r="AL11" i="65"/>
  <c r="AM11" i="65" s="1"/>
  <c r="AL41" i="65"/>
  <c r="AM41" i="65" s="1"/>
  <c r="AL21" i="65"/>
  <c r="AM21" i="65" s="1"/>
  <c r="AL27" i="65"/>
  <c r="AM27" i="65" s="1"/>
  <c r="AL16" i="65"/>
  <c r="AM16" i="65" s="1"/>
  <c r="AL9" i="65"/>
  <c r="AM9" i="65" s="1"/>
  <c r="AL25" i="65"/>
  <c r="AM25" i="65" s="1"/>
  <c r="AL17" i="65"/>
  <c r="AM17" i="65" s="1"/>
  <c r="AL8" i="65"/>
  <c r="AM8" i="65" s="1"/>
  <c r="AL33" i="65"/>
  <c r="AM33" i="65" s="1"/>
  <c r="AJ2" i="65"/>
  <c r="AJ8" i="65"/>
  <c r="AK8" i="65" s="1"/>
  <c r="AJ33" i="65"/>
  <c r="AK33" i="65" s="1"/>
  <c r="AJ18" i="65"/>
  <c r="AK18" i="65" s="1"/>
  <c r="AJ39" i="65"/>
  <c r="AK39" i="65" s="1"/>
  <c r="AJ6" i="65"/>
  <c r="AK6" i="65" s="1"/>
  <c r="AJ23" i="65"/>
  <c r="AK23" i="65" s="1"/>
  <c r="AJ21" i="65"/>
  <c r="AK21" i="65" s="1"/>
  <c r="AJ31" i="65"/>
  <c r="AK31" i="65" s="1"/>
  <c r="AJ30" i="65"/>
  <c r="AK30" i="65" s="1"/>
  <c r="AJ11" i="65"/>
  <c r="AK11" i="65" s="1"/>
  <c r="AJ15" i="65"/>
  <c r="AK15" i="65" s="1"/>
  <c r="AJ13" i="65"/>
  <c r="AK13" i="65" s="1"/>
  <c r="AJ22" i="65"/>
  <c r="AK22" i="65" s="1"/>
  <c r="AJ34" i="65"/>
  <c r="AK34" i="65" s="1"/>
  <c r="AJ3" i="65"/>
  <c r="AK3" i="65" s="1"/>
  <c r="AJ10" i="65"/>
  <c r="AK10" i="65" s="1"/>
  <c r="AJ38" i="65"/>
  <c r="AK38" i="65" s="1"/>
  <c r="AJ16" i="65"/>
  <c r="AK16" i="65" s="1"/>
  <c r="AJ36" i="65"/>
  <c r="AK36" i="65" s="1"/>
  <c r="AJ12" i="63"/>
  <c r="AK12" i="63" s="1"/>
  <c r="AJ17" i="63"/>
  <c r="AK17" i="63" s="1"/>
  <c r="AJ18" i="63"/>
  <c r="AK18" i="63" s="1"/>
  <c r="AJ11" i="63"/>
  <c r="AK11" i="63" s="1"/>
  <c r="AJ25" i="63"/>
  <c r="AK25" i="63" s="1"/>
  <c r="AJ10" i="63"/>
  <c r="AK10" i="63" s="1"/>
  <c r="AJ13" i="63"/>
  <c r="AK13" i="63" s="1"/>
  <c r="AJ22" i="63"/>
  <c r="AK22" i="63" s="1"/>
  <c r="AJ8" i="63"/>
  <c r="AK8" i="63" s="1"/>
  <c r="AJ24" i="63"/>
  <c r="AK24" i="63" s="1"/>
  <c r="AJ27" i="63"/>
  <c r="AK27" i="63" s="1"/>
  <c r="AJ14" i="63"/>
  <c r="AK14" i="63" s="1"/>
  <c r="AJ3" i="63"/>
  <c r="AK3" i="63" s="1"/>
  <c r="AJ4" i="63"/>
  <c r="AK4" i="63" s="1"/>
  <c r="AJ2" i="63"/>
  <c r="AK2" i="63" s="1"/>
  <c r="AJ6" i="63"/>
  <c r="AK6" i="63" s="1"/>
  <c r="AJ7" i="63"/>
  <c r="AK7" i="63" s="1"/>
  <c r="AJ9" i="63"/>
  <c r="AK9" i="63" s="1"/>
  <c r="AJ5" i="63"/>
  <c r="AK5" i="63" s="1"/>
  <c r="AL21" i="63"/>
  <c r="AM21" i="63" s="1"/>
  <c r="AL28" i="63"/>
  <c r="AM28" i="63" s="1"/>
  <c r="AL4" i="63"/>
  <c r="AM4" i="63" s="1"/>
  <c r="AL25" i="63"/>
  <c r="AM25" i="63" s="1"/>
  <c r="AL17" i="63"/>
  <c r="AM17" i="63" s="1"/>
  <c r="AL13" i="63"/>
  <c r="AM13" i="63" s="1"/>
  <c r="AL10" i="63"/>
  <c r="AM10" i="63" s="1"/>
  <c r="AL6" i="63"/>
  <c r="AM6" i="63" s="1"/>
  <c r="AL23" i="63"/>
  <c r="AM23" i="63" s="1"/>
  <c r="AL24" i="63"/>
  <c r="AM24" i="63" s="1"/>
  <c r="AL15" i="63"/>
  <c r="AM15" i="63" s="1"/>
  <c r="AL5" i="63"/>
  <c r="AM5" i="63" s="1"/>
  <c r="AL14" i="63"/>
  <c r="AM14" i="63" s="1"/>
  <c r="AL7" i="63"/>
  <c r="AM7" i="63" s="1"/>
  <c r="AL11" i="63"/>
  <c r="AM11" i="63" s="1"/>
  <c r="AL19" i="63"/>
  <c r="AM19" i="63" s="1"/>
  <c r="AL8" i="63"/>
  <c r="AM8" i="63" s="1"/>
  <c r="AL9" i="63"/>
  <c r="AM9" i="63" s="1"/>
  <c r="AL18" i="63"/>
  <c r="AM18" i="63" s="1"/>
  <c r="AL2" i="63"/>
  <c r="AM2" i="63" s="1"/>
  <c r="AL22" i="63"/>
  <c r="AM22" i="63" s="1"/>
  <c r="AL20" i="63"/>
  <c r="AM20" i="63" s="1"/>
  <c r="AL12" i="63"/>
  <c r="AM12" i="63" s="1"/>
  <c r="AL26" i="63"/>
  <c r="AM26" i="63" s="1"/>
  <c r="AL3" i="63"/>
  <c r="AM3" i="63" s="1"/>
  <c r="AL16" i="63"/>
  <c r="AM16" i="63" s="1"/>
  <c r="AL27" i="63"/>
  <c r="AM27" i="63" s="1"/>
  <c r="AJ20" i="63"/>
  <c r="AK20" i="63" s="1"/>
  <c r="AJ26" i="63"/>
  <c r="AK26" i="63" s="1"/>
  <c r="AJ28" i="63"/>
  <c r="AK28" i="63" s="1"/>
  <c r="AJ23" i="63"/>
  <c r="AK23" i="63" s="1"/>
  <c r="AJ21" i="63"/>
  <c r="AK21" i="63" s="1"/>
  <c r="AJ19" i="63"/>
  <c r="AK19" i="63" s="1"/>
  <c r="AJ15" i="63"/>
  <c r="AK15" i="63" s="1"/>
  <c r="AJ16" i="63"/>
  <c r="AK16" i="63" s="1"/>
  <c r="AK29" i="63" s="1"/>
  <c r="AJ19" i="61"/>
  <c r="AK19" i="61" s="1"/>
  <c r="AJ7" i="61"/>
  <c r="AK7" i="61" s="1"/>
  <c r="AJ13" i="61"/>
  <c r="AK13" i="61" s="1"/>
  <c r="AJ20" i="61"/>
  <c r="AK20" i="61" s="1"/>
  <c r="AJ11" i="61"/>
  <c r="AK11" i="61" s="1"/>
  <c r="AJ9" i="61"/>
  <c r="AK9" i="61" s="1"/>
  <c r="AJ6" i="61"/>
  <c r="AK6" i="61" s="1"/>
  <c r="AJ24" i="61"/>
  <c r="AK24" i="61" s="1"/>
  <c r="AJ8" i="61"/>
  <c r="AK8" i="61" s="1"/>
  <c r="AJ22" i="61"/>
  <c r="AK22" i="61" s="1"/>
  <c r="AJ4" i="61"/>
  <c r="AK4" i="61" s="1"/>
  <c r="AJ21" i="61"/>
  <c r="AK21" i="61" s="1"/>
  <c r="AJ25" i="61"/>
  <c r="AJ3" i="61"/>
  <c r="AK3" i="61" s="1"/>
  <c r="AJ2" i="61"/>
  <c r="AK2" i="61" s="1"/>
  <c r="AJ16" i="61"/>
  <c r="AK16" i="61" s="1"/>
  <c r="AJ28" i="61"/>
  <c r="AK28" i="61" s="1"/>
  <c r="AJ10" i="61"/>
  <c r="AK10" i="61" s="1"/>
  <c r="AJ30" i="61"/>
  <c r="AK30" i="61" s="1"/>
  <c r="AJ27" i="61"/>
  <c r="AK27" i="61" s="1"/>
  <c r="AJ26" i="61"/>
  <c r="AK26" i="61" s="1"/>
  <c r="AJ23" i="61"/>
  <c r="AK23" i="61" s="1"/>
  <c r="AJ14" i="61"/>
  <c r="AK14" i="61" s="1"/>
  <c r="AJ18" i="61"/>
  <c r="AK18" i="61" s="1"/>
  <c r="AJ17" i="61"/>
  <c r="AK17" i="61" s="1"/>
  <c r="AJ29" i="61"/>
  <c r="AK29" i="61" s="1"/>
  <c r="AJ12" i="61"/>
  <c r="AK12" i="61" s="1"/>
  <c r="AL6" i="67"/>
  <c r="AM6" i="67" s="1"/>
  <c r="AL8" i="67"/>
  <c r="AM8" i="67" s="1"/>
  <c r="AL4" i="67"/>
  <c r="AM4" i="67" s="1"/>
  <c r="AL2" i="67"/>
  <c r="AL10" i="67"/>
  <c r="AM10" i="67" s="1"/>
  <c r="AL7" i="67"/>
  <c r="AM7" i="67" s="1"/>
  <c r="AL3" i="67"/>
  <c r="AM3" i="67" s="1"/>
  <c r="AL9" i="67"/>
  <c r="AM9" i="67" s="1"/>
  <c r="AL5" i="67"/>
  <c r="AM5" i="67" s="1"/>
  <c r="AL11" i="67"/>
  <c r="AM11" i="67" s="1"/>
  <c r="AJ3" i="67"/>
  <c r="AK3" i="67" s="1"/>
  <c r="AJ9" i="67"/>
  <c r="AK9" i="67" s="1"/>
  <c r="AJ5" i="67"/>
  <c r="AK5" i="67" s="1"/>
  <c r="AJ7" i="67"/>
  <c r="AK7" i="67" s="1"/>
  <c r="AJ4" i="67"/>
  <c r="AK4" i="67" s="1"/>
  <c r="AJ11" i="67"/>
  <c r="AK11" i="67" s="1"/>
  <c r="AJ2" i="67"/>
  <c r="AK2" i="67" s="1"/>
  <c r="AJ6" i="67"/>
  <c r="AK6" i="67" s="1"/>
  <c r="AJ8" i="67"/>
  <c r="AK8" i="67" s="1"/>
  <c r="AJ10" i="67"/>
  <c r="AK10" i="67" s="1"/>
  <c r="AJ17" i="66"/>
  <c r="AK17" i="66" s="1"/>
  <c r="AJ11" i="66"/>
  <c r="AK11" i="66" s="1"/>
  <c r="AJ13" i="66"/>
  <c r="AK13" i="66" s="1"/>
  <c r="AL2" i="66"/>
  <c r="AM2" i="66" s="1"/>
  <c r="AL20" i="66"/>
  <c r="AM20" i="66" s="1"/>
  <c r="AL5" i="66"/>
  <c r="AM5" i="66" s="1"/>
  <c r="AL7" i="66"/>
  <c r="AM7" i="66" s="1"/>
  <c r="AL18" i="66"/>
  <c r="AM18" i="66" s="1"/>
  <c r="AL8" i="66"/>
  <c r="AM8" i="66" s="1"/>
  <c r="AL3" i="66"/>
  <c r="AL16" i="66"/>
  <c r="AM16" i="66" s="1"/>
  <c r="AL19" i="66"/>
  <c r="AM19" i="66" s="1"/>
  <c r="AL17" i="66"/>
  <c r="AM17" i="66" s="1"/>
  <c r="AL14" i="66"/>
  <c r="AM14" i="66" s="1"/>
  <c r="AL9" i="66"/>
  <c r="AM9" i="66" s="1"/>
  <c r="AL12" i="66"/>
  <c r="AM12" i="66" s="1"/>
  <c r="AL15" i="66"/>
  <c r="AM15" i="66" s="1"/>
  <c r="AL13" i="66"/>
  <c r="AM13" i="66" s="1"/>
  <c r="AL10" i="66"/>
  <c r="AM10" i="66" s="1"/>
  <c r="AL6" i="66"/>
  <c r="AM6" i="66" s="1"/>
  <c r="AL11" i="66"/>
  <c r="AM11" i="66" s="1"/>
  <c r="AL4" i="66"/>
  <c r="AM4" i="66" s="1"/>
  <c r="AJ5" i="66"/>
  <c r="AK5" i="66" s="1"/>
  <c r="AJ15" i="66"/>
  <c r="AK15" i="66" s="1"/>
  <c r="AJ19" i="66"/>
  <c r="AK19" i="66" s="1"/>
  <c r="AJ12" i="66"/>
  <c r="AK12" i="66" s="1"/>
  <c r="AJ3" i="66"/>
  <c r="AK3" i="66" s="1"/>
  <c r="AJ7" i="66"/>
  <c r="AK7" i="66" s="1"/>
  <c r="AJ14" i="66"/>
  <c r="AK14" i="66" s="1"/>
  <c r="AJ2" i="66"/>
  <c r="AJ18" i="66"/>
  <c r="AK18" i="66" s="1"/>
  <c r="AJ16" i="66"/>
  <c r="AK16" i="66" s="1"/>
  <c r="AJ10" i="66"/>
  <c r="AK10" i="66" s="1"/>
  <c r="AJ8" i="66"/>
  <c r="AK8" i="66" s="1"/>
  <c r="AJ9" i="66"/>
  <c r="AK9" i="66" s="1"/>
  <c r="AJ4" i="66"/>
  <c r="AK4" i="66" s="1"/>
  <c r="AJ6" i="66"/>
  <c r="AK6" i="66" s="1"/>
  <c r="AM158" i="64"/>
  <c r="AK97" i="64"/>
  <c r="AK158" i="64" s="1"/>
  <c r="AJ158" i="64"/>
  <c r="AM2" i="62"/>
  <c r="AL26" i="62"/>
  <c r="AK2" i="62"/>
  <c r="AJ26" i="62"/>
  <c r="AF30" i="60"/>
  <c r="AJ27" i="60" s="1"/>
  <c r="AK27" i="60" s="1"/>
  <c r="AM2" i="60"/>
  <c r="AL30" i="60"/>
  <c r="AI2" i="60"/>
  <c r="AI30" i="60" s="1"/>
  <c r="AH30" i="60"/>
  <c r="AK3" i="62"/>
  <c r="AM3" i="66"/>
  <c r="AJ29" i="63"/>
  <c r="AM14" i="62"/>
  <c r="AM9" i="61"/>
  <c r="AM31" i="61" s="1"/>
  <c r="AM5" i="60"/>
  <c r="AI5" i="59"/>
  <c r="AI9" i="59"/>
  <c r="AI12" i="59"/>
  <c r="AI10" i="59"/>
  <c r="AI18" i="59"/>
  <c r="AI31" i="59"/>
  <c r="AI7" i="59"/>
  <c r="AI27" i="59"/>
  <c r="AI28" i="59"/>
  <c r="AI30" i="59"/>
  <c r="AI6" i="59"/>
  <c r="AI2" i="59"/>
  <c r="AI3" i="59"/>
  <c r="AI16" i="59"/>
  <c r="AI22" i="59"/>
  <c r="AI8" i="59"/>
  <c r="AI25" i="59"/>
  <c r="AI26" i="59"/>
  <c r="AI19" i="59"/>
  <c r="AI23" i="59"/>
  <c r="AI24" i="59"/>
  <c r="AI4" i="59"/>
  <c r="AF6" i="59"/>
  <c r="AF2" i="59"/>
  <c r="AF5" i="59"/>
  <c r="AF9" i="59"/>
  <c r="AF3" i="59"/>
  <c r="AF16" i="59"/>
  <c r="AF12" i="59"/>
  <c r="AF10" i="59"/>
  <c r="AF22" i="59"/>
  <c r="AF8" i="59"/>
  <c r="AF18" i="59"/>
  <c r="AF31" i="59"/>
  <c r="AF25" i="59"/>
  <c r="AF26" i="59"/>
  <c r="AF7" i="59"/>
  <c r="AF27" i="59"/>
  <c r="AF19" i="59"/>
  <c r="AF23" i="59"/>
  <c r="AF28" i="59"/>
  <c r="AF30" i="59"/>
  <c r="AF24" i="59"/>
  <c r="AF4" i="59"/>
  <c r="AL21" i="66" l="1"/>
  <c r="AM29" i="63"/>
  <c r="AJ12" i="67"/>
  <c r="AK12" i="67"/>
  <c r="AL29" i="63"/>
  <c r="AJ4" i="60"/>
  <c r="AK4" i="60" s="1"/>
  <c r="AJ14" i="60"/>
  <c r="AK14" i="60" s="1"/>
  <c r="AJ25" i="60"/>
  <c r="AK25" i="60" s="1"/>
  <c r="AJ15" i="60"/>
  <c r="AK15" i="60" s="1"/>
  <c r="AJ16" i="60"/>
  <c r="AK16" i="60" s="1"/>
  <c r="AJ17" i="60"/>
  <c r="AK17" i="60" s="1"/>
  <c r="AJ8" i="60"/>
  <c r="AK8" i="60" s="1"/>
  <c r="AJ24" i="60"/>
  <c r="AK24" i="60" s="1"/>
  <c r="AJ18" i="60"/>
  <c r="AK18" i="60" s="1"/>
  <c r="AJ20" i="60"/>
  <c r="AK20" i="60" s="1"/>
  <c r="AJ9" i="60"/>
  <c r="AK9" i="60" s="1"/>
  <c r="AJ11" i="60"/>
  <c r="AK11" i="60" s="1"/>
  <c r="AJ22" i="60"/>
  <c r="AK22" i="60" s="1"/>
  <c r="AJ29" i="60"/>
  <c r="AK29" i="60" s="1"/>
  <c r="AJ12" i="60"/>
  <c r="AK12" i="60" s="1"/>
  <c r="AJ26" i="60"/>
  <c r="AK26" i="60" s="1"/>
  <c r="AJ6" i="60"/>
  <c r="AK6" i="60" s="1"/>
  <c r="AJ5" i="60"/>
  <c r="AJ3" i="60"/>
  <c r="AK3" i="60" s="1"/>
  <c r="AJ21" i="60"/>
  <c r="AK21" i="60" s="1"/>
  <c r="AJ28" i="60"/>
  <c r="AK28" i="60" s="1"/>
  <c r="AJ10" i="60"/>
  <c r="AK10" i="60" s="1"/>
  <c r="AJ7" i="60"/>
  <c r="AK7" i="60" s="1"/>
  <c r="AJ13" i="60"/>
  <c r="AK13" i="60" s="1"/>
  <c r="AJ23" i="60"/>
  <c r="AK23" i="60" s="1"/>
  <c r="AJ19" i="60"/>
  <c r="AK19" i="60" s="1"/>
  <c r="AJ2" i="60"/>
  <c r="AJ30" i="60" s="1"/>
  <c r="AJ12" i="68"/>
  <c r="AK2" i="68"/>
  <c r="AK12" i="68" s="1"/>
  <c r="AM2" i="65"/>
  <c r="AL42" i="65"/>
  <c r="AK2" i="65"/>
  <c r="AK42" i="65" s="1"/>
  <c r="AJ42" i="65"/>
  <c r="AM42" i="65"/>
  <c r="AK26" i="62"/>
  <c r="AK31" i="61"/>
  <c r="AJ31" i="61"/>
  <c r="AK25" i="61"/>
  <c r="AF35" i="59"/>
  <c r="AJ18" i="59" s="1"/>
  <c r="AK18" i="59" s="1"/>
  <c r="AI35" i="59"/>
  <c r="AM2" i="67"/>
  <c r="AM12" i="67" s="1"/>
  <c r="AL12" i="67"/>
  <c r="AK2" i="66"/>
  <c r="AJ21" i="66"/>
  <c r="AK21" i="66"/>
  <c r="AM21" i="66"/>
  <c r="AM26" i="62"/>
  <c r="AM30" i="60"/>
  <c r="AK2" i="60"/>
  <c r="AM16" i="59"/>
  <c r="AM4" i="59"/>
  <c r="AM23" i="59"/>
  <c r="AM26" i="59"/>
  <c r="AM8" i="59"/>
  <c r="AM2" i="59"/>
  <c r="AM24" i="59"/>
  <c r="AM19" i="59"/>
  <c r="AM25" i="59"/>
  <c r="AM22" i="59"/>
  <c r="AM3" i="59"/>
  <c r="AM28" i="59"/>
  <c r="AM7" i="59"/>
  <c r="AM18" i="59"/>
  <c r="AM12" i="59"/>
  <c r="AM5" i="59"/>
  <c r="AM30" i="59"/>
  <c r="AM27" i="59"/>
  <c r="AM31" i="59"/>
  <c r="AM10" i="59"/>
  <c r="AM9" i="59"/>
  <c r="AK5" i="60"/>
  <c r="AI3" i="58"/>
  <c r="AI2" i="58"/>
  <c r="AI6" i="58"/>
  <c r="AI31" i="58"/>
  <c r="AI7" i="58"/>
  <c r="AI14" i="58"/>
  <c r="AI15" i="58"/>
  <c r="AI9" i="58"/>
  <c r="AI13" i="58"/>
  <c r="AI26" i="58"/>
  <c r="AI17" i="58"/>
  <c r="AI18" i="58"/>
  <c r="AI16" i="58"/>
  <c r="AI20" i="58"/>
  <c r="AI21" i="58"/>
  <c r="AI23" i="58"/>
  <c r="AI11" i="58"/>
  <c r="AI12" i="58"/>
  <c r="AI34" i="58"/>
  <c r="AI10" i="58"/>
  <c r="AI22" i="58"/>
  <c r="AI19" i="58"/>
  <c r="AI24" i="58"/>
  <c r="AI36" i="58"/>
  <c r="AI8" i="58"/>
  <c r="AI35" i="58"/>
  <c r="AI25" i="58"/>
  <c r="AI37" i="58"/>
  <c r="AI39" i="58"/>
  <c r="AI29" i="58"/>
  <c r="AI42" i="58"/>
  <c r="AI40" i="58"/>
  <c r="AI27" i="58"/>
  <c r="AI30" i="58"/>
  <c r="AI4" i="58"/>
  <c r="AI44" i="58"/>
  <c r="AI33" i="58"/>
  <c r="AI32" i="58"/>
  <c r="AI41" i="58"/>
  <c r="AI38" i="58"/>
  <c r="AI43" i="58"/>
  <c r="AF5" i="58"/>
  <c r="AF3" i="58"/>
  <c r="AF2" i="58"/>
  <c r="AF6" i="58"/>
  <c r="AF31" i="58"/>
  <c r="AF7" i="58"/>
  <c r="AF14" i="58"/>
  <c r="AF15" i="58"/>
  <c r="AF9" i="58"/>
  <c r="AF13" i="58"/>
  <c r="AF26" i="58"/>
  <c r="AF17" i="58"/>
  <c r="AF18" i="58"/>
  <c r="AF16" i="58"/>
  <c r="AF20" i="58"/>
  <c r="AF21" i="58"/>
  <c r="AF23" i="58"/>
  <c r="AF11" i="58"/>
  <c r="AF12" i="58"/>
  <c r="AF34" i="58"/>
  <c r="AF10" i="58"/>
  <c r="AF22" i="58"/>
  <c r="AF19" i="58"/>
  <c r="AF24" i="58"/>
  <c r="AF36" i="58"/>
  <c r="AF8" i="58"/>
  <c r="AF35" i="58"/>
  <c r="AF25" i="58"/>
  <c r="AF37" i="58"/>
  <c r="AF39" i="58"/>
  <c r="AF29" i="58"/>
  <c r="AF42" i="58"/>
  <c r="AF40" i="58"/>
  <c r="AF27" i="58"/>
  <c r="AF30" i="58"/>
  <c r="AF4" i="58"/>
  <c r="AF44" i="58"/>
  <c r="AF33" i="58"/>
  <c r="AF32" i="58"/>
  <c r="AF41" i="58"/>
  <c r="AF38" i="58"/>
  <c r="AF43" i="58"/>
  <c r="AI3" i="57"/>
  <c r="AI10" i="57"/>
  <c r="AI5" i="57"/>
  <c r="AI6" i="57"/>
  <c r="AI11" i="57"/>
  <c r="AI12" i="57"/>
  <c r="AI8" i="57"/>
  <c r="AI2" i="57"/>
  <c r="AI13" i="57"/>
  <c r="AI14" i="57"/>
  <c r="AM3" i="57"/>
  <c r="AM10" i="57"/>
  <c r="AM5" i="57"/>
  <c r="AM6" i="57"/>
  <c r="AM11" i="57"/>
  <c r="AM12" i="57"/>
  <c r="AM8" i="57"/>
  <c r="AM2" i="57"/>
  <c r="AM13" i="57"/>
  <c r="AM14" i="57"/>
  <c r="AF4" i="57"/>
  <c r="AF3" i="57"/>
  <c r="AF10" i="57"/>
  <c r="AF5" i="57"/>
  <c r="AF6" i="57"/>
  <c r="AF11" i="57"/>
  <c r="AF12" i="57"/>
  <c r="AF8" i="57"/>
  <c r="AF2" i="57"/>
  <c r="AF13" i="57"/>
  <c r="AF14" i="57"/>
  <c r="AF15" i="57" l="1"/>
  <c r="AJ8" i="57" s="1"/>
  <c r="AK8" i="57" s="1"/>
  <c r="AJ12" i="59"/>
  <c r="AK12" i="59" s="1"/>
  <c r="AJ19" i="59"/>
  <c r="AK19" i="59" s="1"/>
  <c r="AJ16" i="59"/>
  <c r="AK16" i="59" s="1"/>
  <c r="AJ4" i="59"/>
  <c r="AK4" i="59" s="1"/>
  <c r="AJ9" i="59"/>
  <c r="AK9" i="59" s="1"/>
  <c r="AJ30" i="59"/>
  <c r="AK30" i="59" s="1"/>
  <c r="AJ25" i="59"/>
  <c r="AK25" i="59" s="1"/>
  <c r="AJ8" i="59"/>
  <c r="AK8" i="59" s="1"/>
  <c r="AJ10" i="59"/>
  <c r="AK10" i="59" s="1"/>
  <c r="AJ6" i="59"/>
  <c r="AK6" i="59" s="1"/>
  <c r="AJ24" i="59"/>
  <c r="AK24" i="59" s="1"/>
  <c r="AJ5" i="59"/>
  <c r="AK5" i="59" s="1"/>
  <c r="AJ2" i="59"/>
  <c r="AJ26" i="59"/>
  <c r="AK26" i="59" s="1"/>
  <c r="AJ7" i="59"/>
  <c r="AK7" i="59" s="1"/>
  <c r="AJ31" i="59"/>
  <c r="AK31" i="59" s="1"/>
  <c r="AJ3" i="59"/>
  <c r="AK3" i="59" s="1"/>
  <c r="AJ33" i="59"/>
  <c r="AK33" i="59" s="1"/>
  <c r="AJ34" i="59"/>
  <c r="AK34" i="59" s="1"/>
  <c r="AJ32" i="59"/>
  <c r="AK32" i="59" s="1"/>
  <c r="AJ21" i="59"/>
  <c r="AK21" i="59" s="1"/>
  <c r="AJ29" i="59"/>
  <c r="AK29" i="59" s="1"/>
  <c r="AJ17" i="59"/>
  <c r="AK17" i="59" s="1"/>
  <c r="AJ13" i="59"/>
  <c r="AK13" i="59" s="1"/>
  <c r="AJ20" i="59"/>
  <c r="AK20" i="59" s="1"/>
  <c r="AJ11" i="59"/>
  <c r="AK11" i="59" s="1"/>
  <c r="AJ14" i="59"/>
  <c r="AK14" i="59" s="1"/>
  <c r="AJ15" i="59"/>
  <c r="AK15" i="59" s="1"/>
  <c r="AJ23" i="59"/>
  <c r="AK23" i="59" s="1"/>
  <c r="AJ27" i="59"/>
  <c r="AK27" i="59" s="1"/>
  <c r="AJ22" i="59"/>
  <c r="AK22" i="59" s="1"/>
  <c r="AJ28" i="59"/>
  <c r="AK28" i="59" s="1"/>
  <c r="AF45" i="58"/>
  <c r="AJ28" i="58" s="1"/>
  <c r="AK28" i="58" s="1"/>
  <c r="AK30" i="60"/>
  <c r="AM44" i="58"/>
  <c r="AM42" i="58"/>
  <c r="AM37" i="58"/>
  <c r="AM25" i="58"/>
  <c r="AM36" i="58"/>
  <c r="AM10" i="58"/>
  <c r="AM23" i="58"/>
  <c r="AM18" i="58"/>
  <c r="AM9" i="58"/>
  <c r="AM31" i="58"/>
  <c r="AM32" i="58"/>
  <c r="AM27" i="58"/>
  <c r="AM29" i="58"/>
  <c r="AM35" i="58"/>
  <c r="AM24" i="58"/>
  <c r="AM34" i="58"/>
  <c r="AM21" i="58"/>
  <c r="AM15" i="58"/>
  <c r="AM6" i="58"/>
  <c r="AM38" i="58"/>
  <c r="AM33" i="58"/>
  <c r="AM4" i="58"/>
  <c r="AM19" i="58"/>
  <c r="AM12" i="58"/>
  <c r="AM20" i="58"/>
  <c r="AM26" i="58"/>
  <c r="AM14" i="58"/>
  <c r="AM2" i="58"/>
  <c r="AM43" i="58"/>
  <c r="AM41" i="58"/>
  <c r="AM30" i="58"/>
  <c r="AM40" i="58"/>
  <c r="AM39" i="58"/>
  <c r="AM8" i="58"/>
  <c r="AM22" i="58"/>
  <c r="AM11" i="58"/>
  <c r="AM16" i="58"/>
  <c r="AM13" i="58"/>
  <c r="AM7" i="58"/>
  <c r="AM3" i="58"/>
  <c r="AM5" i="58"/>
  <c r="AM17" i="58"/>
  <c r="AI5" i="58"/>
  <c r="AI45" i="58" s="1"/>
  <c r="AM4" i="57"/>
  <c r="AM15" i="57" s="1"/>
  <c r="AI4" i="57"/>
  <c r="AI15" i="57" s="1"/>
  <c r="AM6" i="59"/>
  <c r="AM35" i="59" s="1"/>
  <c r="AI4" i="56"/>
  <c r="AI6" i="56"/>
  <c r="AI8" i="56"/>
  <c r="AI7" i="56"/>
  <c r="AI13" i="56"/>
  <c r="AI2" i="56"/>
  <c r="AI14" i="56"/>
  <c r="AI15" i="56"/>
  <c r="AI3" i="56"/>
  <c r="AI10" i="56"/>
  <c r="AI12" i="56"/>
  <c r="AI9" i="56"/>
  <c r="AI16" i="56"/>
  <c r="AM4" i="56"/>
  <c r="AM6" i="56"/>
  <c r="AM8" i="56"/>
  <c r="AM7" i="56"/>
  <c r="AM13" i="56"/>
  <c r="AM2" i="56"/>
  <c r="AM14" i="56"/>
  <c r="AM15" i="56"/>
  <c r="AM3" i="56"/>
  <c r="AM10" i="56"/>
  <c r="AM12" i="56"/>
  <c r="AM9" i="56"/>
  <c r="AM16" i="56"/>
  <c r="AF5" i="56"/>
  <c r="AF4" i="56"/>
  <c r="AF6" i="56"/>
  <c r="AF8" i="56"/>
  <c r="AF7" i="56"/>
  <c r="AF13" i="56"/>
  <c r="AF2" i="56"/>
  <c r="AF14" i="56"/>
  <c r="AF15" i="56"/>
  <c r="AF3" i="56"/>
  <c r="AF10" i="56"/>
  <c r="AF12" i="56"/>
  <c r="AF9" i="56"/>
  <c r="AF16" i="56"/>
  <c r="AJ11" i="57" l="1"/>
  <c r="AK11" i="57" s="1"/>
  <c r="AJ10" i="57"/>
  <c r="AK10" i="57" s="1"/>
  <c r="AJ14" i="57"/>
  <c r="AK14" i="57" s="1"/>
  <c r="AJ7" i="57"/>
  <c r="AK7" i="57" s="1"/>
  <c r="AJ9" i="57"/>
  <c r="AK9" i="57" s="1"/>
  <c r="AJ3" i="57"/>
  <c r="AK3" i="57" s="1"/>
  <c r="AJ13" i="57"/>
  <c r="AK13" i="57" s="1"/>
  <c r="AJ12" i="57"/>
  <c r="AK12" i="57" s="1"/>
  <c r="AJ5" i="57"/>
  <c r="AK5" i="57" s="1"/>
  <c r="AJ4" i="57"/>
  <c r="AJ2" i="57"/>
  <c r="AJ6" i="57"/>
  <c r="AK6" i="57" s="1"/>
  <c r="AJ35" i="59"/>
  <c r="AK2" i="59"/>
  <c r="AK35" i="59" s="1"/>
  <c r="AF17" i="56"/>
  <c r="AJ16" i="56" s="1"/>
  <c r="AK16" i="56" s="1"/>
  <c r="AJ31" i="58"/>
  <c r="AK31" i="58" s="1"/>
  <c r="AJ6" i="58"/>
  <c r="AJ34" i="58"/>
  <c r="AK34" i="58" s="1"/>
  <c r="AJ30" i="58"/>
  <c r="AK30" i="58" s="1"/>
  <c r="AJ9" i="58"/>
  <c r="AK9" i="58" s="1"/>
  <c r="AJ36" i="58"/>
  <c r="AK36" i="58" s="1"/>
  <c r="AJ41" i="58"/>
  <c r="AK41" i="58" s="1"/>
  <c r="AJ16" i="58"/>
  <c r="AK16" i="58" s="1"/>
  <c r="AJ37" i="58"/>
  <c r="AK37" i="58" s="1"/>
  <c r="AJ2" i="58"/>
  <c r="AK2" i="58" s="1"/>
  <c r="AJ20" i="58"/>
  <c r="AK20" i="58" s="1"/>
  <c r="AJ39" i="58"/>
  <c r="AK39" i="58" s="1"/>
  <c r="AJ12" i="58"/>
  <c r="AK12" i="58" s="1"/>
  <c r="AJ27" i="58"/>
  <c r="AK27" i="58" s="1"/>
  <c r="AJ15" i="58"/>
  <c r="AK15" i="58" s="1"/>
  <c r="AJ24" i="58"/>
  <c r="AK24" i="58" s="1"/>
  <c r="AJ32" i="58"/>
  <c r="AK32" i="58" s="1"/>
  <c r="AJ18" i="58"/>
  <c r="AK18" i="58" s="1"/>
  <c r="AJ25" i="58"/>
  <c r="AK25" i="58" s="1"/>
  <c r="AJ3" i="58"/>
  <c r="AK3" i="58" s="1"/>
  <c r="AJ11" i="58"/>
  <c r="AK11" i="58" s="1"/>
  <c r="AJ40" i="58"/>
  <c r="AK40" i="58" s="1"/>
  <c r="AJ17" i="58"/>
  <c r="AK17" i="58" s="1"/>
  <c r="AJ35" i="58"/>
  <c r="AK35" i="58" s="1"/>
  <c r="AJ5" i="58"/>
  <c r="AK5" i="58" s="1"/>
  <c r="AJ23" i="58"/>
  <c r="AK23" i="58" s="1"/>
  <c r="AJ42" i="58"/>
  <c r="AK42" i="58" s="1"/>
  <c r="AJ7" i="58"/>
  <c r="AK7" i="58" s="1"/>
  <c r="AJ22" i="58"/>
  <c r="AK22" i="58" s="1"/>
  <c r="AJ44" i="58"/>
  <c r="AK44" i="58" s="1"/>
  <c r="AJ14" i="58"/>
  <c r="AK14" i="58" s="1"/>
  <c r="AJ19" i="58"/>
  <c r="AK19" i="58" s="1"/>
  <c r="AJ33" i="58"/>
  <c r="AK33" i="58" s="1"/>
  <c r="AJ21" i="58"/>
  <c r="AK21" i="58" s="1"/>
  <c r="AJ29" i="58"/>
  <c r="AK29" i="58" s="1"/>
  <c r="AJ10" i="58"/>
  <c r="AK10" i="58" s="1"/>
  <c r="AJ4" i="58"/>
  <c r="AK4" i="58" s="1"/>
  <c r="AJ13" i="58"/>
  <c r="AK13" i="58" s="1"/>
  <c r="AJ8" i="58"/>
  <c r="AK8" i="58" s="1"/>
  <c r="AJ38" i="58"/>
  <c r="AK38" i="58" s="1"/>
  <c r="AJ26" i="58"/>
  <c r="AK26" i="58" s="1"/>
  <c r="AJ43" i="58"/>
  <c r="AK43" i="58" s="1"/>
  <c r="AM45" i="58"/>
  <c r="AM17" i="56"/>
  <c r="AK4" i="57"/>
  <c r="AM5" i="56"/>
  <c r="AI5" i="56"/>
  <c r="AI17" i="56" s="1"/>
  <c r="AI3" i="55"/>
  <c r="AI2" i="55"/>
  <c r="AI4" i="55"/>
  <c r="AI5" i="55"/>
  <c r="AI8" i="55"/>
  <c r="AI7" i="55"/>
  <c r="AI10" i="55"/>
  <c r="AI9" i="55"/>
  <c r="AI16" i="55"/>
  <c r="AI18" i="55"/>
  <c r="AF3" i="55"/>
  <c r="AF2" i="55"/>
  <c r="AF4" i="55"/>
  <c r="AF5" i="55"/>
  <c r="AF6" i="55"/>
  <c r="AF8" i="55"/>
  <c r="AF7" i="55"/>
  <c r="AF10" i="55"/>
  <c r="AF9" i="55"/>
  <c r="AF16" i="55"/>
  <c r="AF18" i="55"/>
  <c r="AJ15" i="57" l="1"/>
  <c r="AK2" i="57"/>
  <c r="AK15" i="57" s="1"/>
  <c r="AJ15" i="56"/>
  <c r="AK15" i="56" s="1"/>
  <c r="AJ4" i="56"/>
  <c r="AK4" i="56" s="1"/>
  <c r="AJ3" i="56"/>
  <c r="AK3" i="56" s="1"/>
  <c r="AJ8" i="56"/>
  <c r="AK8" i="56" s="1"/>
  <c r="AJ5" i="56"/>
  <c r="AK5" i="56" s="1"/>
  <c r="AJ2" i="56"/>
  <c r="AK2" i="56" s="1"/>
  <c r="AJ12" i="56"/>
  <c r="AK12" i="56" s="1"/>
  <c r="AJ7" i="56"/>
  <c r="AK7" i="56" s="1"/>
  <c r="AJ9" i="56"/>
  <c r="AK9" i="56" s="1"/>
  <c r="AJ13" i="56"/>
  <c r="AK13" i="56" s="1"/>
  <c r="AJ6" i="56"/>
  <c r="AJ14" i="56"/>
  <c r="AK14" i="56" s="1"/>
  <c r="AJ10" i="56"/>
  <c r="AK10" i="56" s="1"/>
  <c r="AJ11" i="56"/>
  <c r="AK11" i="56" s="1"/>
  <c r="AJ45" i="58"/>
  <c r="AK6" i="58"/>
  <c r="AK45" i="58" s="1"/>
  <c r="AF19" i="55"/>
  <c r="AJ5" i="55" s="1"/>
  <c r="AK5" i="55" s="1"/>
  <c r="AG19" i="55"/>
  <c r="AI6" i="55"/>
  <c r="AI19" i="55" s="1"/>
  <c r="AI3" i="54"/>
  <c r="AI6" i="54"/>
  <c r="AI5" i="54"/>
  <c r="AI8" i="54"/>
  <c r="AI4" i="54"/>
  <c r="AI14" i="54"/>
  <c r="AI10" i="54"/>
  <c r="AI13" i="54"/>
  <c r="AI9" i="54"/>
  <c r="AI7" i="54"/>
  <c r="AI11" i="54"/>
  <c r="AM3" i="54"/>
  <c r="AM6" i="54"/>
  <c r="AM5" i="54"/>
  <c r="AM8" i="54"/>
  <c r="AM4" i="54"/>
  <c r="AM14" i="54"/>
  <c r="AM10" i="54"/>
  <c r="AM13" i="54"/>
  <c r="AM9" i="54"/>
  <c r="AM7" i="54"/>
  <c r="AM11" i="54"/>
  <c r="AF2" i="54"/>
  <c r="AF3" i="54"/>
  <c r="AF6" i="54"/>
  <c r="AF5" i="54"/>
  <c r="AF8" i="54"/>
  <c r="AF4" i="54"/>
  <c r="AF14" i="54"/>
  <c r="AF10" i="54"/>
  <c r="AF13" i="54"/>
  <c r="AF9" i="54"/>
  <c r="AF7" i="54"/>
  <c r="AF11" i="54"/>
  <c r="AI18" i="18"/>
  <c r="AI23" i="18"/>
  <c r="AF18" i="18"/>
  <c r="AF23" i="18"/>
  <c r="AI112" i="46"/>
  <c r="AF112" i="46"/>
  <c r="AF16" i="54" l="1"/>
  <c r="AJ2" i="54" s="1"/>
  <c r="AL16" i="54"/>
  <c r="AH16" i="54"/>
  <c r="AJ17" i="56"/>
  <c r="AK6" i="56"/>
  <c r="AK17" i="56" s="1"/>
  <c r="AJ3" i="55"/>
  <c r="AK3" i="55" s="1"/>
  <c r="AJ8" i="55"/>
  <c r="AK8" i="55" s="1"/>
  <c r="AJ18" i="55"/>
  <c r="AK18" i="55" s="1"/>
  <c r="AL11" i="55"/>
  <c r="AM11" i="55" s="1"/>
  <c r="AL9" i="55"/>
  <c r="AM9" i="55" s="1"/>
  <c r="AL15" i="55"/>
  <c r="AM15" i="55" s="1"/>
  <c r="AL12" i="55"/>
  <c r="AM12" i="55" s="1"/>
  <c r="AL17" i="55"/>
  <c r="AM17" i="55" s="1"/>
  <c r="AL8" i="55"/>
  <c r="AM8" i="55" s="1"/>
  <c r="AL13" i="55"/>
  <c r="AM13" i="55" s="1"/>
  <c r="AL10" i="55"/>
  <c r="AM10" i="55" s="1"/>
  <c r="AL7" i="55"/>
  <c r="AM7" i="55" s="1"/>
  <c r="AL4" i="55"/>
  <c r="AM4" i="55" s="1"/>
  <c r="AL5" i="55"/>
  <c r="AM5" i="55" s="1"/>
  <c r="AL2" i="55"/>
  <c r="AM2" i="55" s="1"/>
  <c r="AL16" i="55"/>
  <c r="AM16" i="55" s="1"/>
  <c r="AL14" i="55"/>
  <c r="AM14" i="55" s="1"/>
  <c r="AL6" i="55"/>
  <c r="AM6" i="55" s="1"/>
  <c r="AL3" i="55"/>
  <c r="AM3" i="55" s="1"/>
  <c r="AL18" i="55"/>
  <c r="AM18" i="55" s="1"/>
  <c r="AJ6" i="55"/>
  <c r="AK6" i="55" s="1"/>
  <c r="AJ16" i="55"/>
  <c r="AK16" i="55" s="1"/>
  <c r="AJ13" i="55"/>
  <c r="AK13" i="55" s="1"/>
  <c r="AJ11" i="55"/>
  <c r="AK11" i="55" s="1"/>
  <c r="AJ15" i="55"/>
  <c r="AK15" i="55" s="1"/>
  <c r="AJ14" i="55"/>
  <c r="AK14" i="55" s="1"/>
  <c r="AJ12" i="55"/>
  <c r="AK12" i="55" s="1"/>
  <c r="AJ17" i="55"/>
  <c r="AK17" i="55" s="1"/>
  <c r="AJ9" i="55"/>
  <c r="AK9" i="55" s="1"/>
  <c r="AJ4" i="55"/>
  <c r="AK4" i="55" s="1"/>
  <c r="AJ10" i="55"/>
  <c r="AK10" i="55" s="1"/>
  <c r="AJ2" i="55"/>
  <c r="AK2" i="55" s="1"/>
  <c r="AJ7" i="55"/>
  <c r="AK7" i="55" s="1"/>
  <c r="AM2" i="54"/>
  <c r="AM16" i="54" s="1"/>
  <c r="AI2" i="54"/>
  <c r="AI16" i="54" s="1"/>
  <c r="AM19" i="55"/>
  <c r="AM112" i="46"/>
  <c r="AM18" i="18"/>
  <c r="AM23" i="18"/>
  <c r="AI2" i="53"/>
  <c r="AI3" i="53"/>
  <c r="AI5" i="53"/>
  <c r="AI6" i="53"/>
  <c r="AI4" i="53"/>
  <c r="AF2" i="53"/>
  <c r="AF3" i="53"/>
  <c r="AF5" i="53"/>
  <c r="AF6" i="53"/>
  <c r="AF4" i="53"/>
  <c r="AI2" i="52"/>
  <c r="AI11" i="52"/>
  <c r="AI6" i="52"/>
  <c r="AI16" i="52"/>
  <c r="AI21" i="52"/>
  <c r="AI10" i="52"/>
  <c r="AI5" i="52"/>
  <c r="AI17" i="52"/>
  <c r="AI30" i="52"/>
  <c r="AI25" i="52"/>
  <c r="AI12" i="52"/>
  <c r="AI27" i="52"/>
  <c r="AI32" i="52"/>
  <c r="AI4" i="52"/>
  <c r="AI31" i="52"/>
  <c r="AI37" i="52"/>
  <c r="AI38" i="52"/>
  <c r="AI24" i="52"/>
  <c r="AI35" i="52"/>
  <c r="AI22" i="52"/>
  <c r="AI34" i="52"/>
  <c r="AI36" i="52"/>
  <c r="AM2" i="52"/>
  <c r="AM11" i="52"/>
  <c r="AM6" i="52"/>
  <c r="AM16" i="52"/>
  <c r="AM21" i="52"/>
  <c r="AM10" i="52"/>
  <c r="AM5" i="52"/>
  <c r="AM17" i="52"/>
  <c r="AM30" i="52"/>
  <c r="AM25" i="52"/>
  <c r="AM12" i="52"/>
  <c r="AM27" i="52"/>
  <c r="AM32" i="52"/>
  <c r="AM4" i="52"/>
  <c r="AM31" i="52"/>
  <c r="AM37" i="52"/>
  <c r="AM38" i="52"/>
  <c r="AM24" i="52"/>
  <c r="AM35" i="52"/>
  <c r="AM22" i="52"/>
  <c r="AM34" i="52"/>
  <c r="AM36" i="52"/>
  <c r="AF3" i="52"/>
  <c r="AF2" i="52"/>
  <c r="AF11" i="52"/>
  <c r="AF6" i="52"/>
  <c r="AF16" i="52"/>
  <c r="AF21" i="52"/>
  <c r="AF10" i="52"/>
  <c r="AF5" i="52"/>
  <c r="AF17" i="52"/>
  <c r="AF30" i="52"/>
  <c r="AF25" i="52"/>
  <c r="AF12" i="52"/>
  <c r="AF27" i="52"/>
  <c r="AF32" i="52"/>
  <c r="AF4" i="52"/>
  <c r="AF31" i="52"/>
  <c r="AF37" i="52"/>
  <c r="AF38" i="52"/>
  <c r="AF24" i="52"/>
  <c r="AF35" i="52"/>
  <c r="AF22" i="52"/>
  <c r="AF34" i="52"/>
  <c r="AF36" i="52"/>
  <c r="AI6" i="51"/>
  <c r="AI2" i="51"/>
  <c r="AI9" i="51"/>
  <c r="AI21" i="51"/>
  <c r="AI14" i="51"/>
  <c r="AI16" i="51"/>
  <c r="AI5" i="51"/>
  <c r="AI20" i="51"/>
  <c r="AI12" i="51"/>
  <c r="AI10" i="51"/>
  <c r="AI26" i="51"/>
  <c r="AI7" i="51"/>
  <c r="AI24" i="51"/>
  <c r="AI11" i="51"/>
  <c r="AI17" i="51"/>
  <c r="AI22" i="51"/>
  <c r="AI15" i="51"/>
  <c r="AI18" i="51"/>
  <c r="AI27" i="51"/>
  <c r="AI8" i="51"/>
  <c r="AI4" i="51"/>
  <c r="AI23" i="51"/>
  <c r="AI25" i="51"/>
  <c r="AI28" i="51"/>
  <c r="AI13" i="51"/>
  <c r="AI19" i="51"/>
  <c r="AF3" i="51"/>
  <c r="AF6" i="51"/>
  <c r="AF2" i="51"/>
  <c r="AF9" i="51"/>
  <c r="AF21" i="51"/>
  <c r="AF14" i="51"/>
  <c r="AF16" i="51"/>
  <c r="AF5" i="51"/>
  <c r="AF20" i="51"/>
  <c r="AF12" i="51"/>
  <c r="AF10" i="51"/>
  <c r="AF26" i="51"/>
  <c r="AF7" i="51"/>
  <c r="AF24" i="51"/>
  <c r="AF11" i="51"/>
  <c r="AF17" i="51"/>
  <c r="AF22" i="51"/>
  <c r="AF15" i="51"/>
  <c r="AF18" i="51"/>
  <c r="AF27" i="51"/>
  <c r="AF8" i="51"/>
  <c r="AF4" i="51"/>
  <c r="AF23" i="51"/>
  <c r="AF25" i="51"/>
  <c r="AF28" i="51"/>
  <c r="AF13" i="51"/>
  <c r="AF19" i="51"/>
  <c r="AI11" i="22"/>
  <c r="AF11" i="22"/>
  <c r="AI5" i="50"/>
  <c r="AI2" i="50"/>
  <c r="AI7" i="50"/>
  <c r="AI8" i="50"/>
  <c r="AI71" i="50"/>
  <c r="AI4" i="50"/>
  <c r="AI6" i="50"/>
  <c r="AI68" i="50"/>
  <c r="AI15" i="50"/>
  <c r="AI10" i="50"/>
  <c r="AI17" i="50"/>
  <c r="AI58" i="50"/>
  <c r="AI50" i="50"/>
  <c r="AI12" i="50"/>
  <c r="AI37" i="50"/>
  <c r="AI35" i="50"/>
  <c r="AI24" i="50"/>
  <c r="AI19" i="50"/>
  <c r="AI33" i="50"/>
  <c r="AI18" i="50"/>
  <c r="AI49" i="50"/>
  <c r="AI16" i="50"/>
  <c r="AI36" i="50"/>
  <c r="AI86" i="50"/>
  <c r="AI65" i="50"/>
  <c r="AI32" i="50"/>
  <c r="AI46" i="50"/>
  <c r="AI51" i="50"/>
  <c r="AI61" i="50"/>
  <c r="AI60" i="50"/>
  <c r="AI14" i="50"/>
  <c r="AI30" i="50"/>
  <c r="AI78" i="50"/>
  <c r="AI28" i="50"/>
  <c r="AI96" i="50"/>
  <c r="AI52" i="50"/>
  <c r="AI73" i="50"/>
  <c r="AI57" i="50"/>
  <c r="AI25" i="50"/>
  <c r="AI74" i="50"/>
  <c r="AI48" i="50"/>
  <c r="AI22" i="50"/>
  <c r="AI38" i="50"/>
  <c r="AI105" i="50"/>
  <c r="AI34" i="50"/>
  <c r="AI40" i="50"/>
  <c r="AI85" i="50"/>
  <c r="AI29" i="50"/>
  <c r="AI70" i="50"/>
  <c r="AI80" i="50"/>
  <c r="AI64" i="50"/>
  <c r="AI102" i="50"/>
  <c r="AI72" i="50"/>
  <c r="AI89" i="50"/>
  <c r="AI26" i="50"/>
  <c r="AI21" i="50"/>
  <c r="AI53" i="50"/>
  <c r="AI101" i="50"/>
  <c r="AI9" i="50"/>
  <c r="AI67" i="50"/>
  <c r="AI23" i="50"/>
  <c r="AI13" i="50"/>
  <c r="AI62" i="50"/>
  <c r="AI45" i="50"/>
  <c r="AI42" i="50"/>
  <c r="AI39" i="50"/>
  <c r="AI41" i="50"/>
  <c r="AI59" i="50"/>
  <c r="AI84" i="50"/>
  <c r="AI43" i="50"/>
  <c r="AI81" i="50"/>
  <c r="AI95" i="50"/>
  <c r="AI90" i="50"/>
  <c r="AI55" i="50"/>
  <c r="AI69" i="50"/>
  <c r="AI56" i="50"/>
  <c r="AI94" i="50"/>
  <c r="AI27" i="50"/>
  <c r="AI63" i="50"/>
  <c r="AI44" i="50"/>
  <c r="AI99" i="50"/>
  <c r="AI79" i="50"/>
  <c r="AI20" i="50"/>
  <c r="AI31" i="50"/>
  <c r="AI76" i="50"/>
  <c r="AI54" i="50"/>
  <c r="AI87" i="50"/>
  <c r="AI82" i="50"/>
  <c r="AI98" i="50"/>
  <c r="AI88" i="50"/>
  <c r="AI103" i="50"/>
  <c r="AI97" i="50"/>
  <c r="AI93" i="50"/>
  <c r="AI75" i="50"/>
  <c r="AI11" i="50"/>
  <c r="AI91" i="50"/>
  <c r="AI83" i="50"/>
  <c r="AI66" i="50"/>
  <c r="AI106" i="50"/>
  <c r="AI104" i="50"/>
  <c r="AI47" i="50"/>
  <c r="AI77" i="50"/>
  <c r="AI92" i="50"/>
  <c r="AI100" i="50"/>
  <c r="AJ19" i="55" l="1"/>
  <c r="AK19" i="55"/>
  <c r="AL19" i="55"/>
  <c r="AJ15" i="54"/>
  <c r="AK15" i="54" s="1"/>
  <c r="AJ12" i="54"/>
  <c r="AK12" i="54" s="1"/>
  <c r="AJ4" i="54"/>
  <c r="AK4" i="54" s="1"/>
  <c r="AJ6" i="54"/>
  <c r="AK6" i="54" s="1"/>
  <c r="AJ7" i="54"/>
  <c r="AK7" i="54" s="1"/>
  <c r="AJ10" i="54"/>
  <c r="AK10" i="54" s="1"/>
  <c r="AJ8" i="54"/>
  <c r="AK8" i="54" s="1"/>
  <c r="AJ3" i="54"/>
  <c r="AJ9" i="54"/>
  <c r="AK9" i="54" s="1"/>
  <c r="AJ14" i="54"/>
  <c r="AK14" i="54" s="1"/>
  <c r="AJ5" i="54"/>
  <c r="AK5" i="54" s="1"/>
  <c r="AJ11" i="54"/>
  <c r="AK11" i="54" s="1"/>
  <c r="AJ13" i="54"/>
  <c r="AK13" i="54" s="1"/>
  <c r="AF39" i="52"/>
  <c r="AJ22" i="52" s="1"/>
  <c r="AK22" i="52" s="1"/>
  <c r="AK2" i="54"/>
  <c r="AF29" i="51"/>
  <c r="AJ25" i="51" s="1"/>
  <c r="AK25" i="51" s="1"/>
  <c r="AG29" i="51"/>
  <c r="AH29" i="51"/>
  <c r="AI3" i="51"/>
  <c r="AI29" i="51" s="1"/>
  <c r="AI3" i="52"/>
  <c r="AI39" i="52" s="1"/>
  <c r="AG7" i="53"/>
  <c r="AF7" i="53"/>
  <c r="AI7" i="53"/>
  <c r="AH7" i="53"/>
  <c r="AI3" i="50"/>
  <c r="AI107" i="50" s="1"/>
  <c r="AM5" i="50"/>
  <c r="AM2" i="50"/>
  <c r="AM7" i="50"/>
  <c r="AM8" i="50"/>
  <c r="AM71" i="50"/>
  <c r="AM4" i="50"/>
  <c r="AM15" i="50"/>
  <c r="AM10" i="50"/>
  <c r="AM50" i="50"/>
  <c r="AM12" i="50"/>
  <c r="AM37" i="50"/>
  <c r="AM35" i="50"/>
  <c r="AM24" i="50"/>
  <c r="AM19" i="50"/>
  <c r="AM18" i="50"/>
  <c r="AM49" i="50"/>
  <c r="AM16" i="50"/>
  <c r="AM65" i="50"/>
  <c r="AM32" i="50"/>
  <c r="AM46" i="50"/>
  <c r="AM51" i="50"/>
  <c r="AM78" i="50"/>
  <c r="AM96" i="50"/>
  <c r="AM52" i="50"/>
  <c r="AM73" i="50"/>
  <c r="AM25" i="50"/>
  <c r="AM48" i="50"/>
  <c r="AM22" i="50"/>
  <c r="AM38" i="50"/>
  <c r="AM34" i="50"/>
  <c r="AM40" i="50"/>
  <c r="AM85" i="50"/>
  <c r="AM70" i="50"/>
  <c r="AM80" i="50"/>
  <c r="AM64" i="50"/>
  <c r="AM89" i="50"/>
  <c r="AM21" i="50"/>
  <c r="AM101" i="50"/>
  <c r="AM9" i="50"/>
  <c r="AM42" i="50"/>
  <c r="AM41" i="50"/>
  <c r="AM81" i="50"/>
  <c r="AM90" i="50"/>
  <c r="AM56" i="50"/>
  <c r="AM94" i="50"/>
  <c r="AM99" i="50"/>
  <c r="AM20" i="50"/>
  <c r="AM31" i="50"/>
  <c r="AM82" i="50"/>
  <c r="AM98" i="50"/>
  <c r="AM88" i="50"/>
  <c r="AM97" i="50"/>
  <c r="AM93" i="50"/>
  <c r="AM75" i="50"/>
  <c r="AM11" i="50"/>
  <c r="AM83" i="50"/>
  <c r="AM66" i="50"/>
  <c r="AM47" i="50"/>
  <c r="AM100" i="50"/>
  <c r="AM58" i="50"/>
  <c r="AM33" i="50"/>
  <c r="AM86" i="50"/>
  <c r="AM14" i="50"/>
  <c r="AM30" i="50"/>
  <c r="AM28" i="50"/>
  <c r="AM57" i="50"/>
  <c r="AM102" i="50"/>
  <c r="AM95" i="50"/>
  <c r="AM55" i="50"/>
  <c r="AM103" i="50"/>
  <c r="AM77" i="50"/>
  <c r="AM6" i="50"/>
  <c r="AM68" i="50"/>
  <c r="AM17" i="50"/>
  <c r="AM74" i="50"/>
  <c r="AM72" i="50"/>
  <c r="AM26" i="50"/>
  <c r="AM53" i="50"/>
  <c r="AM67" i="50"/>
  <c r="AM23" i="50"/>
  <c r="AM45" i="50"/>
  <c r="AM59" i="50"/>
  <c r="AM27" i="50"/>
  <c r="AM79" i="50"/>
  <c r="AM87" i="50"/>
  <c r="AM36" i="50"/>
  <c r="AM105" i="50"/>
  <c r="AM29" i="50"/>
  <c r="AM13" i="50"/>
  <c r="AM84" i="50"/>
  <c r="AM76" i="50"/>
  <c r="AM54" i="50"/>
  <c r="AM39" i="50"/>
  <c r="AM43" i="50"/>
  <c r="AM106" i="50"/>
  <c r="AM63" i="50"/>
  <c r="AM104" i="50"/>
  <c r="AM61" i="50"/>
  <c r="AM62" i="50"/>
  <c r="AM69" i="50"/>
  <c r="AM44" i="50"/>
  <c r="AM91" i="50"/>
  <c r="AM92" i="50"/>
  <c r="AM60" i="50"/>
  <c r="AF3" i="50"/>
  <c r="AF5" i="50"/>
  <c r="AF2" i="50"/>
  <c r="AF7" i="50"/>
  <c r="AF8" i="50"/>
  <c r="AF71" i="50"/>
  <c r="AF4" i="50"/>
  <c r="AF15" i="50"/>
  <c r="AF10" i="50"/>
  <c r="AF50" i="50"/>
  <c r="AF12" i="50"/>
  <c r="AF37" i="50"/>
  <c r="AF35" i="50"/>
  <c r="AF24" i="50"/>
  <c r="AF19" i="50"/>
  <c r="AF18" i="50"/>
  <c r="AF49" i="50"/>
  <c r="AF16" i="50"/>
  <c r="AF65" i="50"/>
  <c r="AF32" i="50"/>
  <c r="AF46" i="50"/>
  <c r="AF51" i="50"/>
  <c r="AF78" i="50"/>
  <c r="AF96" i="50"/>
  <c r="AF52" i="50"/>
  <c r="AF73" i="50"/>
  <c r="AF25" i="50"/>
  <c r="AF48" i="50"/>
  <c r="AF22" i="50"/>
  <c r="AF38" i="50"/>
  <c r="AF34" i="50"/>
  <c r="AF40" i="50"/>
  <c r="AF85" i="50"/>
  <c r="AF70" i="50"/>
  <c r="AF80" i="50"/>
  <c r="AF64" i="50"/>
  <c r="AF89" i="50"/>
  <c r="AF21" i="50"/>
  <c r="AF101" i="50"/>
  <c r="AF9" i="50"/>
  <c r="AF42" i="50"/>
  <c r="AF41" i="50"/>
  <c r="AF81" i="50"/>
  <c r="AF56" i="50"/>
  <c r="AF94" i="50"/>
  <c r="AF99" i="50"/>
  <c r="AF20" i="50"/>
  <c r="AF31" i="50"/>
  <c r="AF82" i="50"/>
  <c r="AF98" i="50"/>
  <c r="AF88" i="50"/>
  <c r="AF97" i="50"/>
  <c r="AF93" i="50"/>
  <c r="AF75" i="50"/>
  <c r="AF11" i="50"/>
  <c r="AF83" i="50"/>
  <c r="AF66" i="50"/>
  <c r="AF47" i="50"/>
  <c r="AF100" i="50"/>
  <c r="AF58" i="50"/>
  <c r="AF33" i="50"/>
  <c r="AF86" i="50"/>
  <c r="AF14" i="50"/>
  <c r="AF30" i="50"/>
  <c r="AF28" i="50"/>
  <c r="AF57" i="50"/>
  <c r="AF102" i="50"/>
  <c r="AF95" i="50"/>
  <c r="AF55" i="50"/>
  <c r="AF103" i="50"/>
  <c r="AF77" i="50"/>
  <c r="AF6" i="50"/>
  <c r="AF68" i="50"/>
  <c r="AF17" i="50"/>
  <c r="AF74" i="50"/>
  <c r="AF72" i="50"/>
  <c r="AF26" i="50"/>
  <c r="AF53" i="50"/>
  <c r="AF67" i="50"/>
  <c r="AF23" i="50"/>
  <c r="AF45" i="50"/>
  <c r="AF59" i="50"/>
  <c r="AF27" i="50"/>
  <c r="AF79" i="50"/>
  <c r="AF87" i="50"/>
  <c r="AF36" i="50"/>
  <c r="AF105" i="50"/>
  <c r="AF29" i="50"/>
  <c r="AF13" i="50"/>
  <c r="AF84" i="50"/>
  <c r="AF76" i="50"/>
  <c r="AF54" i="50"/>
  <c r="AF39" i="50"/>
  <c r="AF43" i="50"/>
  <c r="AF106" i="50"/>
  <c r="AF63" i="50"/>
  <c r="AF104" i="50"/>
  <c r="AF61" i="50"/>
  <c r="AF62" i="50"/>
  <c r="AF69" i="50"/>
  <c r="AF44" i="50"/>
  <c r="AF91" i="50"/>
  <c r="AF92" i="50"/>
  <c r="AF60" i="50"/>
  <c r="AI3" i="49"/>
  <c r="AI4" i="49"/>
  <c r="AI6" i="49"/>
  <c r="AI5" i="49"/>
  <c r="AI10" i="49"/>
  <c r="AI7" i="49"/>
  <c r="AI11" i="49"/>
  <c r="AI9" i="49"/>
  <c r="AI19" i="49"/>
  <c r="AI14" i="49"/>
  <c r="AI18" i="49"/>
  <c r="AI39" i="49"/>
  <c r="AI15" i="49"/>
  <c r="AI41" i="49"/>
  <c r="AI81" i="49"/>
  <c r="AI22" i="49"/>
  <c r="AI43" i="49"/>
  <c r="AI62" i="49"/>
  <c r="AI44" i="49"/>
  <c r="AI8" i="49"/>
  <c r="AI54" i="49"/>
  <c r="AI26" i="49"/>
  <c r="AI17" i="49"/>
  <c r="AI16" i="49"/>
  <c r="AI21" i="49"/>
  <c r="AI33" i="49"/>
  <c r="AI47" i="49"/>
  <c r="AI64" i="49"/>
  <c r="AI46" i="49"/>
  <c r="AI20" i="49"/>
  <c r="AI82" i="49"/>
  <c r="AI67" i="49"/>
  <c r="AI35" i="49"/>
  <c r="AI36" i="49"/>
  <c r="AI25" i="49"/>
  <c r="AI63" i="49"/>
  <c r="AI108" i="49"/>
  <c r="AI88" i="49"/>
  <c r="AI55" i="49"/>
  <c r="AI52" i="49"/>
  <c r="AI107" i="49"/>
  <c r="AI77" i="49"/>
  <c r="AI28" i="49"/>
  <c r="AI13" i="49"/>
  <c r="AI111" i="49"/>
  <c r="AI38" i="49"/>
  <c r="AI60" i="49"/>
  <c r="AI101" i="49"/>
  <c r="AI79" i="49"/>
  <c r="AI109" i="49"/>
  <c r="AI24" i="49"/>
  <c r="AI98" i="49"/>
  <c r="AI30" i="49"/>
  <c r="AI84" i="49"/>
  <c r="AI45" i="49"/>
  <c r="AI104" i="49"/>
  <c r="AI74" i="49"/>
  <c r="AI102" i="49"/>
  <c r="AI59" i="49"/>
  <c r="AI34" i="49"/>
  <c r="AI110" i="49"/>
  <c r="AI58" i="49"/>
  <c r="AI94" i="49"/>
  <c r="AI23" i="49"/>
  <c r="AI51" i="49"/>
  <c r="AI61" i="49"/>
  <c r="AI99" i="49"/>
  <c r="AI97" i="49"/>
  <c r="AI75" i="49"/>
  <c r="AI40" i="49"/>
  <c r="AI48" i="49"/>
  <c r="AI71" i="49"/>
  <c r="AI56" i="49"/>
  <c r="AI27" i="49"/>
  <c r="AI76" i="49"/>
  <c r="AI72" i="49"/>
  <c r="AI29" i="49"/>
  <c r="AI49" i="49"/>
  <c r="AI78" i="49"/>
  <c r="AI86" i="49"/>
  <c r="AI53" i="49"/>
  <c r="AI70" i="49"/>
  <c r="AI66" i="49"/>
  <c r="AI92" i="49"/>
  <c r="AI50" i="49"/>
  <c r="AI89" i="49"/>
  <c r="AI95" i="49"/>
  <c r="AI106" i="49"/>
  <c r="AI91" i="49"/>
  <c r="AI85" i="49"/>
  <c r="AI87" i="49"/>
  <c r="AI12" i="49"/>
  <c r="AI31" i="49"/>
  <c r="AI90" i="49"/>
  <c r="AI68" i="49"/>
  <c r="AI42" i="49"/>
  <c r="AI115" i="49"/>
  <c r="AM3" i="49"/>
  <c r="AM4" i="49"/>
  <c r="AM6" i="49"/>
  <c r="AM5" i="49"/>
  <c r="AM10" i="49"/>
  <c r="AM7" i="49"/>
  <c r="AM11" i="49"/>
  <c r="AM9" i="49"/>
  <c r="AM19" i="49"/>
  <c r="AM14" i="49"/>
  <c r="AM18" i="49"/>
  <c r="AM39" i="49"/>
  <c r="AM15" i="49"/>
  <c r="AM41" i="49"/>
  <c r="AM81" i="49"/>
  <c r="AM22" i="49"/>
  <c r="AM43" i="49"/>
  <c r="AM62" i="49"/>
  <c r="AM44" i="49"/>
  <c r="AM8" i="49"/>
  <c r="AM54" i="49"/>
  <c r="AM26" i="49"/>
  <c r="AM17" i="49"/>
  <c r="AM16" i="49"/>
  <c r="AM21" i="49"/>
  <c r="AM33" i="49"/>
  <c r="AM47" i="49"/>
  <c r="AM64" i="49"/>
  <c r="AM46" i="49"/>
  <c r="AM20" i="49"/>
  <c r="AM82" i="49"/>
  <c r="AM67" i="49"/>
  <c r="AM35" i="49"/>
  <c r="AM36" i="49"/>
  <c r="AM25" i="49"/>
  <c r="AM63" i="49"/>
  <c r="AM108" i="49"/>
  <c r="AM88" i="49"/>
  <c r="AM55" i="49"/>
  <c r="AM52" i="49"/>
  <c r="AM107" i="49"/>
  <c r="AM77" i="49"/>
  <c r="AM28" i="49"/>
  <c r="AM13" i="49"/>
  <c r="AM111" i="49"/>
  <c r="AM38" i="49"/>
  <c r="AM60" i="49"/>
  <c r="AM101" i="49"/>
  <c r="AM79" i="49"/>
  <c r="AM109" i="49"/>
  <c r="AM24" i="49"/>
  <c r="AM98" i="49"/>
  <c r="AM30" i="49"/>
  <c r="AM84" i="49"/>
  <c r="AM45" i="49"/>
  <c r="AM104" i="49"/>
  <c r="AM74" i="49"/>
  <c r="AM102" i="49"/>
  <c r="AM59" i="49"/>
  <c r="AM34" i="49"/>
  <c r="AM110" i="49"/>
  <c r="AM58" i="49"/>
  <c r="AM94" i="49"/>
  <c r="AM23" i="49"/>
  <c r="AM51" i="49"/>
  <c r="AM61" i="49"/>
  <c r="AM99" i="49"/>
  <c r="AM97" i="49"/>
  <c r="AM75" i="49"/>
  <c r="AM40" i="49"/>
  <c r="AM48" i="49"/>
  <c r="AM71" i="49"/>
  <c r="AM56" i="49"/>
  <c r="AM27" i="49"/>
  <c r="AM76" i="49"/>
  <c r="AM72" i="49"/>
  <c r="AM29" i="49"/>
  <c r="AM49" i="49"/>
  <c r="AM78" i="49"/>
  <c r="AM86" i="49"/>
  <c r="AM53" i="49"/>
  <c r="AM70" i="49"/>
  <c r="AM66" i="49"/>
  <c r="AM92" i="49"/>
  <c r="AM50" i="49"/>
  <c r="AM89" i="49"/>
  <c r="AM95" i="49"/>
  <c r="AM106" i="49"/>
  <c r="AM91" i="49"/>
  <c r="AM85" i="49"/>
  <c r="AM87" i="49"/>
  <c r="AM12" i="49"/>
  <c r="AM31" i="49"/>
  <c r="AM90" i="49"/>
  <c r="AM68" i="49"/>
  <c r="AM42" i="49"/>
  <c r="AM115" i="49"/>
  <c r="AF2" i="49"/>
  <c r="AF3" i="49"/>
  <c r="AF4" i="49"/>
  <c r="AF6" i="49"/>
  <c r="AF5" i="49"/>
  <c r="AF10" i="49"/>
  <c r="AF7" i="49"/>
  <c r="AF11" i="49"/>
  <c r="AF9" i="49"/>
  <c r="AF19" i="49"/>
  <c r="AF14" i="49"/>
  <c r="AF18" i="49"/>
  <c r="AF39" i="49"/>
  <c r="AF15" i="49"/>
  <c r="AF41" i="49"/>
  <c r="AF81" i="49"/>
  <c r="AF22" i="49"/>
  <c r="AF43" i="49"/>
  <c r="AF62" i="49"/>
  <c r="AF44" i="49"/>
  <c r="AF8" i="49"/>
  <c r="AF54" i="49"/>
  <c r="AF26" i="49"/>
  <c r="AF17" i="49"/>
  <c r="AF16" i="49"/>
  <c r="AF21" i="49"/>
  <c r="AF33" i="49"/>
  <c r="AF47" i="49"/>
  <c r="AF64" i="49"/>
  <c r="AF46" i="49"/>
  <c r="AF20" i="49"/>
  <c r="AF82" i="49"/>
  <c r="AF67" i="49"/>
  <c r="AF35" i="49"/>
  <c r="AF36" i="49"/>
  <c r="AF25" i="49"/>
  <c r="AF63" i="49"/>
  <c r="AF108" i="49"/>
  <c r="AF88" i="49"/>
  <c r="AF55" i="49"/>
  <c r="AF52" i="49"/>
  <c r="AF107" i="49"/>
  <c r="AF77" i="49"/>
  <c r="AF28" i="49"/>
  <c r="AF13" i="49"/>
  <c r="AF111" i="49"/>
  <c r="AF38" i="49"/>
  <c r="AF60" i="49"/>
  <c r="AF101" i="49"/>
  <c r="AF79" i="49"/>
  <c r="AF109" i="49"/>
  <c r="AF24" i="49"/>
  <c r="AF98" i="49"/>
  <c r="AF30" i="49"/>
  <c r="AF84" i="49"/>
  <c r="AF45" i="49"/>
  <c r="AF104" i="49"/>
  <c r="AF74" i="49"/>
  <c r="AF102" i="49"/>
  <c r="AF59" i="49"/>
  <c r="AF34" i="49"/>
  <c r="AF110" i="49"/>
  <c r="AF58" i="49"/>
  <c r="AF94" i="49"/>
  <c r="AF23" i="49"/>
  <c r="AF51" i="49"/>
  <c r="AF61" i="49"/>
  <c r="AF99" i="49"/>
  <c r="AF97" i="49"/>
  <c r="AF75" i="49"/>
  <c r="AF40" i="49"/>
  <c r="AF48" i="49"/>
  <c r="AF71" i="49"/>
  <c r="AF56" i="49"/>
  <c r="AF27" i="49"/>
  <c r="AF76" i="49"/>
  <c r="AF72" i="49"/>
  <c r="AF29" i="49"/>
  <c r="AF49" i="49"/>
  <c r="AF78" i="49"/>
  <c r="AF86" i="49"/>
  <c r="AF53" i="49"/>
  <c r="AF70" i="49"/>
  <c r="AF92" i="49"/>
  <c r="AF50" i="49"/>
  <c r="AF89" i="49"/>
  <c r="AF95" i="49"/>
  <c r="AF106" i="49"/>
  <c r="AF91" i="49"/>
  <c r="AF85" i="49"/>
  <c r="AF87" i="49"/>
  <c r="AF12" i="49"/>
  <c r="AF31" i="49"/>
  <c r="AF90" i="49"/>
  <c r="AF68" i="49"/>
  <c r="AF42" i="49"/>
  <c r="AF115" i="49"/>
  <c r="AK3" i="54" l="1"/>
  <c r="AJ16" i="54"/>
  <c r="AK16" i="54"/>
  <c r="AJ20" i="51"/>
  <c r="AK20" i="51" s="1"/>
  <c r="AJ22" i="51"/>
  <c r="AK22" i="51" s="1"/>
  <c r="AJ28" i="51"/>
  <c r="AK28" i="51" s="1"/>
  <c r="AJ12" i="51"/>
  <c r="AK12" i="51" s="1"/>
  <c r="AJ13" i="51"/>
  <c r="AK13" i="51" s="1"/>
  <c r="AJ24" i="51"/>
  <c r="AK24" i="51" s="1"/>
  <c r="AJ2" i="51"/>
  <c r="AK2" i="51" s="1"/>
  <c r="AJ10" i="51"/>
  <c r="AK10" i="51" s="1"/>
  <c r="AJ18" i="51"/>
  <c r="AK18" i="51" s="1"/>
  <c r="AJ19" i="51"/>
  <c r="AK19" i="51" s="1"/>
  <c r="AJ26" i="51"/>
  <c r="AK26" i="51" s="1"/>
  <c r="AJ17" i="51"/>
  <c r="AK17" i="51" s="1"/>
  <c r="AJ3" i="51"/>
  <c r="AJ21" i="51"/>
  <c r="AK21" i="51" s="1"/>
  <c r="AJ7" i="51"/>
  <c r="AK7" i="51" s="1"/>
  <c r="AJ8" i="51"/>
  <c r="AK8" i="51" s="1"/>
  <c r="AJ14" i="51"/>
  <c r="AK14" i="51" s="1"/>
  <c r="AJ15" i="51"/>
  <c r="AK15" i="51" s="1"/>
  <c r="AJ6" i="51"/>
  <c r="AK6" i="51" s="1"/>
  <c r="AJ4" i="51"/>
  <c r="AK4" i="51" s="1"/>
  <c r="AJ16" i="51"/>
  <c r="AK16" i="51" s="1"/>
  <c r="AJ11" i="51"/>
  <c r="AK11" i="51" s="1"/>
  <c r="AJ23" i="51"/>
  <c r="AK23" i="51" s="1"/>
  <c r="AJ9" i="51"/>
  <c r="AK9" i="51" s="1"/>
  <c r="AJ27" i="51"/>
  <c r="AK27" i="51" s="1"/>
  <c r="AL16" i="51"/>
  <c r="AM16" i="51" s="1"/>
  <c r="AL7" i="51"/>
  <c r="AM7" i="51" s="1"/>
  <c r="AL12" i="51"/>
  <c r="AM12" i="51" s="1"/>
  <c r="AL14" i="51"/>
  <c r="AM14" i="51" s="1"/>
  <c r="AL28" i="51"/>
  <c r="AM28" i="51" s="1"/>
  <c r="AL24" i="51"/>
  <c r="AM24" i="51" s="1"/>
  <c r="AL13" i="51"/>
  <c r="AM13" i="51" s="1"/>
  <c r="AL25" i="51"/>
  <c r="AM25" i="51" s="1"/>
  <c r="AL6" i="51"/>
  <c r="AM6" i="51" s="1"/>
  <c r="AL5" i="51"/>
  <c r="AM5" i="51" s="1"/>
  <c r="AL27" i="51"/>
  <c r="AM27" i="51" s="1"/>
  <c r="AL10" i="51"/>
  <c r="AM10" i="51" s="1"/>
  <c r="AL22" i="51"/>
  <c r="AM22" i="51" s="1"/>
  <c r="AL21" i="51"/>
  <c r="AM21" i="51" s="1"/>
  <c r="AL3" i="51"/>
  <c r="AM3" i="51" s="1"/>
  <c r="AL8" i="51"/>
  <c r="AM8" i="51" s="1"/>
  <c r="AL2" i="51"/>
  <c r="AM2" i="51" s="1"/>
  <c r="AL9" i="51"/>
  <c r="AM9" i="51" s="1"/>
  <c r="AL4" i="51"/>
  <c r="AM4" i="51" s="1"/>
  <c r="AL18" i="51"/>
  <c r="AM18" i="51" s="1"/>
  <c r="AL23" i="51"/>
  <c r="AM23" i="51" s="1"/>
  <c r="AL20" i="51"/>
  <c r="AM20" i="51" s="1"/>
  <c r="AL15" i="51"/>
  <c r="AM15" i="51" s="1"/>
  <c r="AL26" i="51"/>
  <c r="AM26" i="51" s="1"/>
  <c r="AL11" i="51"/>
  <c r="AM11" i="51" s="1"/>
  <c r="AL17" i="51"/>
  <c r="AM17" i="51" s="1"/>
  <c r="AL19" i="51"/>
  <c r="AM19" i="51" s="1"/>
  <c r="AJ5" i="51"/>
  <c r="AK5" i="51" s="1"/>
  <c r="AJ4" i="53"/>
  <c r="AK4" i="53" s="1"/>
  <c r="AL6" i="53"/>
  <c r="AM6" i="53" s="1"/>
  <c r="AL3" i="53"/>
  <c r="AM3" i="53" s="1"/>
  <c r="AL5" i="53"/>
  <c r="AM5" i="53" s="1"/>
  <c r="AL4" i="53"/>
  <c r="AM4" i="53" s="1"/>
  <c r="AL2" i="53"/>
  <c r="AJ3" i="53"/>
  <c r="AK3" i="53" s="1"/>
  <c r="AJ5" i="53"/>
  <c r="AK5" i="53" s="1"/>
  <c r="AJ6" i="53"/>
  <c r="AK6" i="53" s="1"/>
  <c r="AJ2" i="53"/>
  <c r="AJ17" i="52"/>
  <c r="AK17" i="52" s="1"/>
  <c r="AJ37" i="52"/>
  <c r="AK37" i="52" s="1"/>
  <c r="AJ21" i="52"/>
  <c r="AK21" i="52" s="1"/>
  <c r="AJ32" i="52"/>
  <c r="AK32" i="52" s="1"/>
  <c r="AJ34" i="52"/>
  <c r="AK34" i="52" s="1"/>
  <c r="AJ10" i="52"/>
  <c r="AK10" i="52" s="1"/>
  <c r="AJ4" i="52"/>
  <c r="AK4" i="52" s="1"/>
  <c r="AJ36" i="52"/>
  <c r="AK36" i="52" s="1"/>
  <c r="AJ5" i="52"/>
  <c r="AK5" i="52" s="1"/>
  <c r="AJ31" i="52"/>
  <c r="AK31" i="52" s="1"/>
  <c r="AJ3" i="52"/>
  <c r="AK3" i="52" s="1"/>
  <c r="AJ2" i="52"/>
  <c r="AK2" i="52" s="1"/>
  <c r="AJ16" i="52"/>
  <c r="AK16" i="52" s="1"/>
  <c r="AJ27" i="52"/>
  <c r="AK27" i="52" s="1"/>
  <c r="AJ9" i="52"/>
  <c r="AK9" i="52" s="1"/>
  <c r="AJ14" i="52"/>
  <c r="AK14" i="52" s="1"/>
  <c r="AJ19" i="52"/>
  <c r="AK19" i="52" s="1"/>
  <c r="AJ20" i="52"/>
  <c r="AK20" i="52" s="1"/>
  <c r="AJ13" i="52"/>
  <c r="AK13" i="52" s="1"/>
  <c r="AJ33" i="52"/>
  <c r="AK33" i="52" s="1"/>
  <c r="AJ29" i="52"/>
  <c r="AK29" i="52" s="1"/>
  <c r="AJ18" i="52"/>
  <c r="AK18" i="52" s="1"/>
  <c r="AJ23" i="52"/>
  <c r="AK23" i="52" s="1"/>
  <c r="AJ28" i="52"/>
  <c r="AK28" i="52" s="1"/>
  <c r="AJ15" i="52"/>
  <c r="AK15" i="52" s="1"/>
  <c r="AJ26" i="52"/>
  <c r="AK26" i="52" s="1"/>
  <c r="AJ8" i="52"/>
  <c r="AK8" i="52" s="1"/>
  <c r="AJ7" i="52"/>
  <c r="AK7" i="52" s="1"/>
  <c r="AJ30" i="52"/>
  <c r="AK30" i="52" s="1"/>
  <c r="AJ38" i="52"/>
  <c r="AK38" i="52" s="1"/>
  <c r="AJ11" i="52"/>
  <c r="AK11" i="52" s="1"/>
  <c r="AJ25" i="52"/>
  <c r="AK25" i="52" s="1"/>
  <c r="AJ24" i="52"/>
  <c r="AK24" i="52" s="1"/>
  <c r="AJ6" i="52"/>
  <c r="AJ12" i="52"/>
  <c r="AK12" i="52" s="1"/>
  <c r="AJ35" i="52"/>
  <c r="AK35" i="52" s="1"/>
  <c r="AF107" i="50"/>
  <c r="AJ90" i="50" s="1"/>
  <c r="AK90" i="50" s="1"/>
  <c r="AF116" i="49"/>
  <c r="AJ91" i="49" s="1"/>
  <c r="AK91" i="49" s="1"/>
  <c r="AI2" i="49"/>
  <c r="AI116" i="49" s="1"/>
  <c r="AH116" i="49"/>
  <c r="AL116" i="49"/>
  <c r="AK3" i="51"/>
  <c r="AK29" i="51" s="1"/>
  <c r="AM29" i="51"/>
  <c r="AM2" i="49"/>
  <c r="AM116" i="49" s="1"/>
  <c r="AM3" i="52"/>
  <c r="AM39" i="52" s="1"/>
  <c r="AM2" i="53"/>
  <c r="AK2" i="53"/>
  <c r="AI8" i="48"/>
  <c r="AI12" i="48"/>
  <c r="AI7" i="48"/>
  <c r="AI21" i="48"/>
  <c r="AI6" i="48"/>
  <c r="AI2" i="48"/>
  <c r="AI17" i="48"/>
  <c r="AI22" i="48"/>
  <c r="AI13" i="48"/>
  <c r="AI4" i="48"/>
  <c r="AI9" i="48"/>
  <c r="AI16" i="48"/>
  <c r="AI20" i="48"/>
  <c r="AI23" i="48"/>
  <c r="AI24" i="48"/>
  <c r="AI28" i="48"/>
  <c r="AI10" i="48"/>
  <c r="AI11" i="48"/>
  <c r="AI25" i="48"/>
  <c r="AI29" i="48"/>
  <c r="AI15" i="48"/>
  <c r="AI32" i="48"/>
  <c r="AI5" i="48"/>
  <c r="AI30" i="48"/>
  <c r="AI19" i="48"/>
  <c r="AI26" i="48"/>
  <c r="AI27" i="48"/>
  <c r="AI14" i="48"/>
  <c r="AI18" i="48"/>
  <c r="AI31" i="48"/>
  <c r="AF3" i="48"/>
  <c r="AF8" i="48"/>
  <c r="AF12" i="48"/>
  <c r="AF7" i="48"/>
  <c r="AF21" i="48"/>
  <c r="AF6" i="48"/>
  <c r="AF2" i="48"/>
  <c r="AF17" i="48"/>
  <c r="AF22" i="48"/>
  <c r="AF13" i="48"/>
  <c r="AF4" i="48"/>
  <c r="AF9" i="48"/>
  <c r="AF16" i="48"/>
  <c r="AF20" i="48"/>
  <c r="AF23" i="48"/>
  <c r="AF24" i="48"/>
  <c r="AF28" i="48"/>
  <c r="AF10" i="48"/>
  <c r="AF11" i="48"/>
  <c r="AF25" i="48"/>
  <c r="AF29" i="48"/>
  <c r="AF15" i="48"/>
  <c r="AF32" i="48"/>
  <c r="AF5" i="48"/>
  <c r="AF30" i="48"/>
  <c r="AF19" i="48"/>
  <c r="AF26" i="48"/>
  <c r="AF27" i="48"/>
  <c r="AF14" i="48"/>
  <c r="AF18" i="48"/>
  <c r="AF31" i="48"/>
  <c r="AI3" i="47"/>
  <c r="AI46" i="47"/>
  <c r="AI83" i="47"/>
  <c r="AI95" i="47"/>
  <c r="AI63" i="47"/>
  <c r="AI93" i="47"/>
  <c r="AI97" i="47"/>
  <c r="AI85" i="47"/>
  <c r="AI38" i="47"/>
  <c r="AI79" i="47"/>
  <c r="AI99" i="47"/>
  <c r="AI14" i="47"/>
  <c r="AI96" i="47"/>
  <c r="AI19" i="47"/>
  <c r="AI8" i="47"/>
  <c r="AI11" i="47"/>
  <c r="AI5" i="47"/>
  <c r="AI74" i="47"/>
  <c r="AI22" i="47"/>
  <c r="AI48" i="47"/>
  <c r="AI2" i="47"/>
  <c r="AI39" i="47"/>
  <c r="AI28" i="47"/>
  <c r="AI17" i="47"/>
  <c r="AI60" i="47"/>
  <c r="AI57" i="47"/>
  <c r="AI4" i="47"/>
  <c r="AI10" i="47"/>
  <c r="AI56" i="47"/>
  <c r="AI27" i="47"/>
  <c r="AI21" i="47"/>
  <c r="AI78" i="47"/>
  <c r="AI86" i="47"/>
  <c r="AI82" i="47"/>
  <c r="AI9" i="47"/>
  <c r="AI64" i="47"/>
  <c r="AI35" i="47"/>
  <c r="AI94" i="47"/>
  <c r="AI45" i="47"/>
  <c r="AI55" i="47"/>
  <c r="AI92" i="47"/>
  <c r="AI40" i="47"/>
  <c r="AI24" i="47"/>
  <c r="AI43" i="47"/>
  <c r="AI80" i="47"/>
  <c r="AI68" i="47"/>
  <c r="AI52" i="47"/>
  <c r="AI87" i="47"/>
  <c r="AI23" i="47"/>
  <c r="AI26" i="47"/>
  <c r="AI58" i="47"/>
  <c r="AI75" i="47"/>
  <c r="AI12" i="47"/>
  <c r="AI44" i="47"/>
  <c r="AI66" i="47"/>
  <c r="AI20" i="47"/>
  <c r="AI88" i="47"/>
  <c r="AI37" i="47"/>
  <c r="AI70" i="47"/>
  <c r="AI69" i="47"/>
  <c r="AI47" i="47"/>
  <c r="AI67" i="47"/>
  <c r="AI65" i="47"/>
  <c r="AI62" i="47"/>
  <c r="AI71" i="47"/>
  <c r="AI41" i="47"/>
  <c r="AI36" i="47"/>
  <c r="AI33" i="47"/>
  <c r="AI84" i="47"/>
  <c r="AI59" i="47"/>
  <c r="AI50" i="47"/>
  <c r="AI53" i="47"/>
  <c r="AI77" i="47"/>
  <c r="AI76" i="47"/>
  <c r="AI72" i="47"/>
  <c r="AI61" i="47"/>
  <c r="AI29" i="47"/>
  <c r="AI6" i="47"/>
  <c r="AI89" i="47"/>
  <c r="AI15" i="47"/>
  <c r="AI54" i="47"/>
  <c r="AI91" i="47"/>
  <c r="AI18" i="47"/>
  <c r="AI98" i="47"/>
  <c r="AI16" i="47"/>
  <c r="AI49" i="47"/>
  <c r="AI51" i="47"/>
  <c r="AI32" i="47"/>
  <c r="AI30" i="47"/>
  <c r="AI73" i="47"/>
  <c r="AI13" i="47"/>
  <c r="AI31" i="47"/>
  <c r="AI34" i="47"/>
  <c r="AI81" i="47"/>
  <c r="AI90" i="47"/>
  <c r="AI42" i="47"/>
  <c r="AI7" i="47"/>
  <c r="AI25" i="47"/>
  <c r="AF3" i="47"/>
  <c r="AF46" i="47"/>
  <c r="AF83" i="47"/>
  <c r="AF95" i="47"/>
  <c r="AF63" i="47"/>
  <c r="AF93" i="47"/>
  <c r="AF97" i="47"/>
  <c r="AF85" i="47"/>
  <c r="AF38" i="47"/>
  <c r="AF79" i="47"/>
  <c r="AF99" i="47"/>
  <c r="AF14" i="47"/>
  <c r="AF96" i="47"/>
  <c r="AF19" i="47"/>
  <c r="AF8" i="47"/>
  <c r="AF11" i="47"/>
  <c r="AF5" i="47"/>
  <c r="AF74" i="47"/>
  <c r="AF22" i="47"/>
  <c r="AF48" i="47"/>
  <c r="AF2" i="47"/>
  <c r="AF39" i="47"/>
  <c r="AF28" i="47"/>
  <c r="AF17" i="47"/>
  <c r="AF60" i="47"/>
  <c r="AF57" i="47"/>
  <c r="AF4" i="47"/>
  <c r="AF10" i="47"/>
  <c r="AF56" i="47"/>
  <c r="AF27" i="47"/>
  <c r="AF21" i="47"/>
  <c r="AF78" i="47"/>
  <c r="AF86" i="47"/>
  <c r="AF82" i="47"/>
  <c r="AF9" i="47"/>
  <c r="AF64" i="47"/>
  <c r="AF35" i="47"/>
  <c r="AF94" i="47"/>
  <c r="AF45" i="47"/>
  <c r="AF55" i="47"/>
  <c r="AF92" i="47"/>
  <c r="AF40" i="47"/>
  <c r="AF24" i="47"/>
  <c r="AF43" i="47"/>
  <c r="AF80" i="47"/>
  <c r="AF68" i="47"/>
  <c r="AF52" i="47"/>
  <c r="AF87" i="47"/>
  <c r="AF23" i="47"/>
  <c r="AF26" i="47"/>
  <c r="AF58" i="47"/>
  <c r="AF75" i="47"/>
  <c r="AF12" i="47"/>
  <c r="AF44" i="47"/>
  <c r="AF66" i="47"/>
  <c r="AF20" i="47"/>
  <c r="AF88" i="47"/>
  <c r="AF37" i="47"/>
  <c r="AF70" i="47"/>
  <c r="AF69" i="47"/>
  <c r="AF47" i="47"/>
  <c r="AF67" i="47"/>
  <c r="AF65" i="47"/>
  <c r="AF62" i="47"/>
  <c r="AF71" i="47"/>
  <c r="AF41" i="47"/>
  <c r="AF36" i="47"/>
  <c r="AF33" i="47"/>
  <c r="AF84" i="47"/>
  <c r="AF59" i="47"/>
  <c r="AF50" i="47"/>
  <c r="AF53" i="47"/>
  <c r="AF77" i="47"/>
  <c r="AF76" i="47"/>
  <c r="AF72" i="47"/>
  <c r="AF61" i="47"/>
  <c r="AF29" i="47"/>
  <c r="AF6" i="47"/>
  <c r="AF89" i="47"/>
  <c r="AF15" i="47"/>
  <c r="AF54" i="47"/>
  <c r="AF91" i="47"/>
  <c r="AF18" i="47"/>
  <c r="AF98" i="47"/>
  <c r="AF16" i="47"/>
  <c r="AF49" i="47"/>
  <c r="AF51" i="47"/>
  <c r="AF32" i="47"/>
  <c r="AF30" i="47"/>
  <c r="AF73" i="47"/>
  <c r="AF13" i="47"/>
  <c r="AF31" i="47"/>
  <c r="AF34" i="47"/>
  <c r="AF81" i="47"/>
  <c r="AF90" i="47"/>
  <c r="AF42" i="47"/>
  <c r="AF7" i="47"/>
  <c r="AF25" i="47"/>
  <c r="AM7" i="53" l="1"/>
  <c r="AK7" i="53"/>
  <c r="AL29" i="51"/>
  <c r="AJ29" i="51"/>
  <c r="AJ50" i="50"/>
  <c r="AK50" i="50" s="1"/>
  <c r="AJ10" i="50"/>
  <c r="AK10" i="50" s="1"/>
  <c r="AJ42" i="50"/>
  <c r="AK42" i="50" s="1"/>
  <c r="AJ6" i="50"/>
  <c r="AK6" i="50" s="1"/>
  <c r="AJ5" i="50"/>
  <c r="AK5" i="50" s="1"/>
  <c r="AJ70" i="50"/>
  <c r="AK70" i="50" s="1"/>
  <c r="AJ28" i="50"/>
  <c r="AK28" i="50" s="1"/>
  <c r="AJ104" i="50"/>
  <c r="AK104" i="50" s="1"/>
  <c r="AJ49" i="50"/>
  <c r="AK49" i="50" s="1"/>
  <c r="AJ31" i="50"/>
  <c r="AK31" i="50" s="1"/>
  <c r="AJ79" i="50"/>
  <c r="AK79" i="50" s="1"/>
  <c r="AJ41" i="50"/>
  <c r="AK41" i="50" s="1"/>
  <c r="AJ68" i="50"/>
  <c r="AK68" i="50" s="1"/>
  <c r="AJ52" i="50"/>
  <c r="AK52" i="50" s="1"/>
  <c r="AJ83" i="50"/>
  <c r="AK83" i="50" s="1"/>
  <c r="AJ54" i="50"/>
  <c r="AK54" i="50" s="1"/>
  <c r="AJ16" i="50"/>
  <c r="AK16" i="50" s="1"/>
  <c r="AJ82" i="50"/>
  <c r="AK82" i="50" s="1"/>
  <c r="AJ45" i="50"/>
  <c r="AK45" i="50" s="1"/>
  <c r="AJ85" i="50"/>
  <c r="AK85" i="50" s="1"/>
  <c r="AJ30" i="50"/>
  <c r="AK30" i="50" s="1"/>
  <c r="AJ69" i="50"/>
  <c r="AK69" i="50" s="1"/>
  <c r="AJ73" i="50"/>
  <c r="AK73" i="50" s="1"/>
  <c r="AJ66" i="50"/>
  <c r="AK66" i="50" s="1"/>
  <c r="AJ13" i="50"/>
  <c r="AK13" i="50" s="1"/>
  <c r="AL7" i="53"/>
  <c r="AJ7" i="53"/>
  <c r="AJ39" i="52"/>
  <c r="AK6" i="52"/>
  <c r="AK39" i="52"/>
  <c r="AJ3" i="50"/>
  <c r="AJ2" i="50"/>
  <c r="AJ12" i="50"/>
  <c r="AK12" i="50" s="1"/>
  <c r="AJ65" i="50"/>
  <c r="AK65" i="50" s="1"/>
  <c r="AJ25" i="50"/>
  <c r="AK25" i="50" s="1"/>
  <c r="AJ80" i="50"/>
  <c r="AK80" i="50" s="1"/>
  <c r="AJ81" i="50"/>
  <c r="AK81" i="50" s="1"/>
  <c r="AJ98" i="50"/>
  <c r="AK98" i="50" s="1"/>
  <c r="AJ47" i="50"/>
  <c r="AK47" i="50" s="1"/>
  <c r="AJ57" i="50"/>
  <c r="AK57" i="50" s="1"/>
  <c r="AJ17" i="50"/>
  <c r="AK17" i="50" s="1"/>
  <c r="AJ59" i="50"/>
  <c r="AK59" i="50" s="1"/>
  <c r="AJ84" i="50"/>
  <c r="AK84" i="50" s="1"/>
  <c r="AJ61" i="50"/>
  <c r="AK61" i="50" s="1"/>
  <c r="AJ7" i="50"/>
  <c r="AK7" i="50" s="1"/>
  <c r="AJ37" i="50"/>
  <c r="AK37" i="50" s="1"/>
  <c r="AJ32" i="50"/>
  <c r="AK32" i="50" s="1"/>
  <c r="AJ48" i="50"/>
  <c r="AK48" i="50" s="1"/>
  <c r="AJ64" i="50"/>
  <c r="AK64" i="50" s="1"/>
  <c r="AJ20" i="50"/>
  <c r="AK20" i="50" s="1"/>
  <c r="AJ11" i="50"/>
  <c r="AK11" i="50" s="1"/>
  <c r="AJ14" i="50"/>
  <c r="AK14" i="50" s="1"/>
  <c r="AJ77" i="50"/>
  <c r="AK77" i="50" s="1"/>
  <c r="AJ67" i="50"/>
  <c r="AK67" i="50" s="1"/>
  <c r="AJ105" i="50"/>
  <c r="AK105" i="50" s="1"/>
  <c r="AJ106" i="50"/>
  <c r="AK106" i="50" s="1"/>
  <c r="AJ92" i="50"/>
  <c r="AK92" i="50" s="1"/>
  <c r="AJ8" i="50"/>
  <c r="AK8" i="50" s="1"/>
  <c r="AJ35" i="50"/>
  <c r="AK35" i="50" s="1"/>
  <c r="AJ46" i="50"/>
  <c r="AK46" i="50" s="1"/>
  <c r="AJ22" i="50"/>
  <c r="AK22" i="50" s="1"/>
  <c r="AJ89" i="50"/>
  <c r="AK89" i="50" s="1"/>
  <c r="AJ56" i="50"/>
  <c r="AK56" i="50" s="1"/>
  <c r="AJ97" i="50"/>
  <c r="AK97" i="50" s="1"/>
  <c r="AJ58" i="50"/>
  <c r="AK58" i="50" s="1"/>
  <c r="AJ95" i="50"/>
  <c r="AK95" i="50" s="1"/>
  <c r="AJ72" i="50"/>
  <c r="AK72" i="50" s="1"/>
  <c r="AJ29" i="50"/>
  <c r="AK29" i="50" s="1"/>
  <c r="AJ63" i="50"/>
  <c r="AK63" i="50" s="1"/>
  <c r="AJ60" i="50"/>
  <c r="AK60" i="50" s="1"/>
  <c r="AJ71" i="50"/>
  <c r="AK71" i="50" s="1"/>
  <c r="AJ24" i="50"/>
  <c r="AK24" i="50" s="1"/>
  <c r="AJ51" i="50"/>
  <c r="AK51" i="50" s="1"/>
  <c r="AJ38" i="50"/>
  <c r="AK38" i="50" s="1"/>
  <c r="AJ21" i="50"/>
  <c r="AK21" i="50" s="1"/>
  <c r="AJ94" i="50"/>
  <c r="AK94" i="50" s="1"/>
  <c r="AJ93" i="50"/>
  <c r="AK93" i="50" s="1"/>
  <c r="AJ33" i="50"/>
  <c r="AK33" i="50" s="1"/>
  <c r="AJ55" i="50"/>
  <c r="AK55" i="50" s="1"/>
  <c r="AJ26" i="50"/>
  <c r="AK26" i="50" s="1"/>
  <c r="AJ87" i="50"/>
  <c r="AK87" i="50" s="1"/>
  <c r="AJ39" i="50"/>
  <c r="AK39" i="50" s="1"/>
  <c r="AJ44" i="50"/>
  <c r="AK44" i="50" s="1"/>
  <c r="AJ4" i="50"/>
  <c r="AK4" i="50" s="1"/>
  <c r="AJ19" i="50"/>
  <c r="AK19" i="50" s="1"/>
  <c r="AJ78" i="50"/>
  <c r="AK78" i="50" s="1"/>
  <c r="AJ34" i="50"/>
  <c r="AK34" i="50" s="1"/>
  <c r="AJ101" i="50"/>
  <c r="AK101" i="50" s="1"/>
  <c r="AJ99" i="50"/>
  <c r="AK99" i="50" s="1"/>
  <c r="AJ75" i="50"/>
  <c r="AK75" i="50" s="1"/>
  <c r="AJ86" i="50"/>
  <c r="AK86" i="50" s="1"/>
  <c r="AJ103" i="50"/>
  <c r="AK103" i="50" s="1"/>
  <c r="AJ53" i="50"/>
  <c r="AK53" i="50" s="1"/>
  <c r="AJ36" i="50"/>
  <c r="AK36" i="50" s="1"/>
  <c r="AJ43" i="50"/>
  <c r="AK43" i="50" s="1"/>
  <c r="AJ91" i="50"/>
  <c r="AK91" i="50" s="1"/>
  <c r="AJ15" i="50"/>
  <c r="AK15" i="50" s="1"/>
  <c r="AJ18" i="50"/>
  <c r="AK18" i="50" s="1"/>
  <c r="AJ96" i="50"/>
  <c r="AK96" i="50" s="1"/>
  <c r="AJ40" i="50"/>
  <c r="AK40" i="50" s="1"/>
  <c r="AJ9" i="50"/>
  <c r="AK9" i="50" s="1"/>
  <c r="AJ88" i="50"/>
  <c r="AK88" i="50" s="1"/>
  <c r="AJ100" i="50"/>
  <c r="AK100" i="50" s="1"/>
  <c r="AJ102" i="50"/>
  <c r="AK102" i="50" s="1"/>
  <c r="AJ74" i="50"/>
  <c r="AK74" i="50" s="1"/>
  <c r="AJ27" i="50"/>
  <c r="AK27" i="50" s="1"/>
  <c r="AJ76" i="50"/>
  <c r="AK76" i="50" s="1"/>
  <c r="AJ62" i="50"/>
  <c r="AK62" i="50" s="1"/>
  <c r="AJ23" i="50"/>
  <c r="AK23" i="50" s="1"/>
  <c r="AJ5" i="49"/>
  <c r="AK5" i="49" s="1"/>
  <c r="AJ39" i="49"/>
  <c r="AK39" i="49" s="1"/>
  <c r="AJ8" i="49"/>
  <c r="AK8" i="49" s="1"/>
  <c r="AJ64" i="49"/>
  <c r="AK64" i="49" s="1"/>
  <c r="AJ63" i="49"/>
  <c r="AK63" i="49" s="1"/>
  <c r="AJ13" i="49"/>
  <c r="AK13" i="49" s="1"/>
  <c r="AJ98" i="49"/>
  <c r="AK98" i="49" s="1"/>
  <c r="AJ34" i="49"/>
  <c r="AK34" i="49" s="1"/>
  <c r="AJ97" i="49"/>
  <c r="AK97" i="49" s="1"/>
  <c r="AJ72" i="49"/>
  <c r="AK72" i="49" s="1"/>
  <c r="AJ92" i="49"/>
  <c r="AK92" i="49" s="1"/>
  <c r="AJ12" i="49"/>
  <c r="AK12" i="49" s="1"/>
  <c r="AJ54" i="49"/>
  <c r="AK54" i="49" s="1"/>
  <c r="AJ107" i="49"/>
  <c r="AK107" i="49" s="1"/>
  <c r="AJ30" i="49"/>
  <c r="AK30" i="49" s="1"/>
  <c r="AJ51" i="49"/>
  <c r="AK51" i="49" s="1"/>
  <c r="AJ29" i="49"/>
  <c r="AK29" i="49" s="1"/>
  <c r="AJ32" i="49"/>
  <c r="AK32" i="49" s="1"/>
  <c r="AJ114" i="49"/>
  <c r="AK114" i="49" s="1"/>
  <c r="AJ80" i="49"/>
  <c r="AK80" i="49" s="1"/>
  <c r="AJ96" i="49"/>
  <c r="AK96" i="49" s="1"/>
  <c r="AJ112" i="49"/>
  <c r="AK112" i="49" s="1"/>
  <c r="AJ73" i="49"/>
  <c r="AK73" i="49" s="1"/>
  <c r="AJ69" i="49"/>
  <c r="AK69" i="49" s="1"/>
  <c r="AJ105" i="49"/>
  <c r="AK105" i="49" s="1"/>
  <c r="AJ103" i="49"/>
  <c r="AK103" i="49" s="1"/>
  <c r="AJ37" i="49"/>
  <c r="AK37" i="49" s="1"/>
  <c r="AJ65" i="49"/>
  <c r="AK65" i="49" s="1"/>
  <c r="AJ93" i="49"/>
  <c r="AK93" i="49" s="1"/>
  <c r="AJ100" i="49"/>
  <c r="AK100" i="49" s="1"/>
  <c r="AJ113" i="49"/>
  <c r="AK113" i="49" s="1"/>
  <c r="AJ83" i="49"/>
  <c r="AK83" i="49" s="1"/>
  <c r="AJ57" i="49"/>
  <c r="AK57" i="49" s="1"/>
  <c r="AJ66" i="49"/>
  <c r="AK66" i="49" s="1"/>
  <c r="AJ10" i="49"/>
  <c r="AK10" i="49" s="1"/>
  <c r="AJ15" i="49"/>
  <c r="AK15" i="49" s="1"/>
  <c r="AJ21" i="49"/>
  <c r="AK21" i="49" s="1"/>
  <c r="AJ108" i="49"/>
  <c r="AK108" i="49" s="1"/>
  <c r="AJ110" i="49"/>
  <c r="AK110" i="49" s="1"/>
  <c r="AJ53" i="49"/>
  <c r="AK53" i="49" s="1"/>
  <c r="AJ4" i="49"/>
  <c r="AK4" i="49" s="1"/>
  <c r="AJ14" i="49"/>
  <c r="AK14" i="49" s="1"/>
  <c r="AJ62" i="49"/>
  <c r="AK62" i="49" s="1"/>
  <c r="AJ33" i="49"/>
  <c r="AK33" i="49" s="1"/>
  <c r="AJ36" i="49"/>
  <c r="AK36" i="49" s="1"/>
  <c r="AJ77" i="49"/>
  <c r="AK77" i="49" s="1"/>
  <c r="AJ109" i="49"/>
  <c r="AK109" i="49" s="1"/>
  <c r="AJ102" i="49"/>
  <c r="AK102" i="49" s="1"/>
  <c r="AJ61" i="49"/>
  <c r="AK61" i="49" s="1"/>
  <c r="AJ27" i="49"/>
  <c r="AK27" i="49" s="1"/>
  <c r="AJ70" i="49"/>
  <c r="AK70" i="49" s="1"/>
  <c r="AJ85" i="49"/>
  <c r="AK85" i="49" s="1"/>
  <c r="AJ44" i="49"/>
  <c r="AK44" i="49" s="1"/>
  <c r="AJ55" i="49"/>
  <c r="AK55" i="49" s="1"/>
  <c r="AJ45" i="49"/>
  <c r="AK45" i="49" s="1"/>
  <c r="AJ99" i="49"/>
  <c r="AK99" i="49" s="1"/>
  <c r="AJ78" i="49"/>
  <c r="AK78" i="49" s="1"/>
  <c r="AJ6" i="49"/>
  <c r="AK6" i="49" s="1"/>
  <c r="AJ18" i="49"/>
  <c r="AK18" i="49" s="1"/>
  <c r="AJ17" i="49"/>
  <c r="AK17" i="49" s="1"/>
  <c r="AJ25" i="49"/>
  <c r="AK25" i="49" s="1"/>
  <c r="AJ24" i="49"/>
  <c r="AK24" i="49" s="1"/>
  <c r="AJ76" i="49"/>
  <c r="AK76" i="49" s="1"/>
  <c r="AJ68" i="49"/>
  <c r="AK68" i="49" s="1"/>
  <c r="AJ9" i="49"/>
  <c r="AK9" i="49" s="1"/>
  <c r="AJ22" i="49"/>
  <c r="AK22" i="49" s="1"/>
  <c r="AJ16" i="49"/>
  <c r="AK16" i="49" s="1"/>
  <c r="AJ67" i="49"/>
  <c r="AK67" i="49" s="1"/>
  <c r="AJ52" i="49"/>
  <c r="AK52" i="49" s="1"/>
  <c r="AJ101" i="49"/>
  <c r="AK101" i="49" s="1"/>
  <c r="AJ104" i="49"/>
  <c r="AK104" i="49" s="1"/>
  <c r="AJ23" i="49"/>
  <c r="AK23" i="49" s="1"/>
  <c r="AJ71" i="49"/>
  <c r="AK71" i="49" s="1"/>
  <c r="AJ86" i="49"/>
  <c r="AK86" i="49" s="1"/>
  <c r="AJ106" i="49"/>
  <c r="AK106" i="49" s="1"/>
  <c r="AJ42" i="49"/>
  <c r="AK42" i="49" s="1"/>
  <c r="AJ35" i="49"/>
  <c r="AK35" i="49" s="1"/>
  <c r="AJ111" i="49"/>
  <c r="AK111" i="49" s="1"/>
  <c r="AJ74" i="49"/>
  <c r="AK74" i="49" s="1"/>
  <c r="AJ56" i="49"/>
  <c r="AK56" i="49" s="1"/>
  <c r="AJ50" i="49"/>
  <c r="AK50" i="49" s="1"/>
  <c r="AJ115" i="49"/>
  <c r="AK115" i="49" s="1"/>
  <c r="AJ3" i="49"/>
  <c r="AK3" i="49" s="1"/>
  <c r="AJ19" i="49"/>
  <c r="AK19" i="49" s="1"/>
  <c r="AJ43" i="49"/>
  <c r="AK43" i="49" s="1"/>
  <c r="AJ46" i="49"/>
  <c r="AK46" i="49" s="1"/>
  <c r="AJ79" i="49"/>
  <c r="AK79" i="49" s="1"/>
  <c r="AJ75" i="49"/>
  <c r="AK75" i="49" s="1"/>
  <c r="AJ31" i="49"/>
  <c r="AK31" i="49" s="1"/>
  <c r="AJ7" i="49"/>
  <c r="AK7" i="49" s="1"/>
  <c r="AJ41" i="49"/>
  <c r="AK41" i="49" s="1"/>
  <c r="AJ26" i="49"/>
  <c r="AK26" i="49" s="1"/>
  <c r="AJ20" i="49"/>
  <c r="AK20" i="49" s="1"/>
  <c r="AJ88" i="49"/>
  <c r="AK88" i="49" s="1"/>
  <c r="AJ38" i="49"/>
  <c r="AK38" i="49" s="1"/>
  <c r="AJ84" i="49"/>
  <c r="AK84" i="49" s="1"/>
  <c r="AJ58" i="49"/>
  <c r="AK58" i="49" s="1"/>
  <c r="AJ40" i="49"/>
  <c r="AK40" i="49" s="1"/>
  <c r="AJ49" i="49"/>
  <c r="AK49" i="49" s="1"/>
  <c r="AJ89" i="49"/>
  <c r="AK89" i="49" s="1"/>
  <c r="AJ90" i="49"/>
  <c r="AK90" i="49" s="1"/>
  <c r="AJ82" i="49"/>
  <c r="AK82" i="49" s="1"/>
  <c r="AJ60" i="49"/>
  <c r="AK60" i="49" s="1"/>
  <c r="AJ59" i="49"/>
  <c r="AK59" i="49" s="1"/>
  <c r="AJ48" i="49"/>
  <c r="AK48" i="49" s="1"/>
  <c r="AJ87" i="49"/>
  <c r="AK87" i="49" s="1"/>
  <c r="AJ11" i="49"/>
  <c r="AK11" i="49" s="1"/>
  <c r="AJ81" i="49"/>
  <c r="AK81" i="49" s="1"/>
  <c r="AJ47" i="49"/>
  <c r="AK47" i="49" s="1"/>
  <c r="AJ28" i="49"/>
  <c r="AK28" i="49" s="1"/>
  <c r="AJ94" i="49"/>
  <c r="AK94" i="49" s="1"/>
  <c r="AJ95" i="49"/>
  <c r="AK95" i="49" s="1"/>
  <c r="AJ2" i="49"/>
  <c r="AF100" i="47"/>
  <c r="AJ90" i="47" s="1"/>
  <c r="AK90" i="47" s="1"/>
  <c r="AI100" i="47"/>
  <c r="AG33" i="48"/>
  <c r="AH33" i="48"/>
  <c r="AM13" i="47"/>
  <c r="AM53" i="47"/>
  <c r="AM58" i="47"/>
  <c r="AM9" i="47"/>
  <c r="AM4" i="47"/>
  <c r="AM8" i="47"/>
  <c r="AM83" i="47"/>
  <c r="AM7" i="47"/>
  <c r="AM81" i="47"/>
  <c r="AM32" i="47"/>
  <c r="AM49" i="47"/>
  <c r="AM91" i="47"/>
  <c r="AM89" i="47"/>
  <c r="AM72" i="47"/>
  <c r="AM50" i="47"/>
  <c r="AM36" i="47"/>
  <c r="AM69" i="47"/>
  <c r="AM20" i="47"/>
  <c r="AM12" i="47"/>
  <c r="AM26" i="47"/>
  <c r="AM68" i="47"/>
  <c r="AM40" i="47"/>
  <c r="AM94" i="47"/>
  <c r="AM82" i="47"/>
  <c r="AM27" i="47"/>
  <c r="AM57" i="47"/>
  <c r="AM48" i="47"/>
  <c r="AM5" i="47"/>
  <c r="AM19" i="47"/>
  <c r="AM79" i="47"/>
  <c r="AM93" i="47"/>
  <c r="AM46" i="47"/>
  <c r="AM25" i="47"/>
  <c r="AM18" i="47"/>
  <c r="AM15" i="47"/>
  <c r="AM33" i="47"/>
  <c r="AM47" i="47"/>
  <c r="AM52" i="47"/>
  <c r="AM45" i="47"/>
  <c r="AM21" i="47"/>
  <c r="AM28" i="47"/>
  <c r="AM2" i="47"/>
  <c r="AM99" i="47"/>
  <c r="AM97" i="47"/>
  <c r="AM34" i="47"/>
  <c r="AM73" i="47"/>
  <c r="AM51" i="47"/>
  <c r="AM16" i="47"/>
  <c r="AM54" i="47"/>
  <c r="AM6" i="47"/>
  <c r="AM76" i="47"/>
  <c r="AM59" i="47"/>
  <c r="AM41" i="47"/>
  <c r="AM65" i="47"/>
  <c r="AM70" i="47"/>
  <c r="AM66" i="47"/>
  <c r="AM75" i="47"/>
  <c r="AM23" i="47"/>
  <c r="AM80" i="47"/>
  <c r="AM92" i="47"/>
  <c r="AM35" i="47"/>
  <c r="AM86" i="47"/>
  <c r="AM56" i="47"/>
  <c r="AM60" i="47"/>
  <c r="AM96" i="47"/>
  <c r="AM38" i="47"/>
  <c r="AM63" i="47"/>
  <c r="AM90" i="47"/>
  <c r="AM61" i="47"/>
  <c r="AM62" i="47"/>
  <c r="AM88" i="47"/>
  <c r="AM24" i="47"/>
  <c r="AM74" i="47"/>
  <c r="AM42" i="47"/>
  <c r="AM31" i="47"/>
  <c r="AM30" i="47"/>
  <c r="AM98" i="47"/>
  <c r="AM29" i="47"/>
  <c r="AM77" i="47"/>
  <c r="AM84" i="47"/>
  <c r="AM71" i="47"/>
  <c r="AM67" i="47"/>
  <c r="AM37" i="47"/>
  <c r="AM44" i="47"/>
  <c r="AM87" i="47"/>
  <c r="AM43" i="47"/>
  <c r="AM55" i="47"/>
  <c r="AM64" i="47"/>
  <c r="AM78" i="47"/>
  <c r="AM10" i="47"/>
  <c r="AM17" i="47"/>
  <c r="AM39" i="47"/>
  <c r="AM22" i="47"/>
  <c r="AM11" i="47"/>
  <c r="AM14" i="47"/>
  <c r="AM85" i="47"/>
  <c r="AM95" i="47"/>
  <c r="AK3" i="50"/>
  <c r="AM3" i="50"/>
  <c r="AM107" i="50" s="1"/>
  <c r="AF33" i="48"/>
  <c r="AJ27" i="48" s="1"/>
  <c r="AK27" i="48" s="1"/>
  <c r="AI3" i="48"/>
  <c r="AI33" i="48" s="1"/>
  <c r="AM3" i="47"/>
  <c r="AI64" i="46"/>
  <c r="AI109" i="46"/>
  <c r="AI19" i="46"/>
  <c r="AI116" i="46"/>
  <c r="AI43" i="46"/>
  <c r="AI137" i="46"/>
  <c r="AI138" i="46"/>
  <c r="AI80" i="46"/>
  <c r="AI46" i="46"/>
  <c r="AI126" i="46"/>
  <c r="AI127" i="46"/>
  <c r="AI147" i="46"/>
  <c r="AI3" i="46"/>
  <c r="AI6" i="46"/>
  <c r="AI9" i="46"/>
  <c r="AI7" i="46"/>
  <c r="AI13" i="46"/>
  <c r="AI41" i="46"/>
  <c r="AI14" i="46"/>
  <c r="AI16" i="46"/>
  <c r="AI34" i="46"/>
  <c r="AI60" i="46"/>
  <c r="AI42" i="46"/>
  <c r="AI5" i="46"/>
  <c r="AI8" i="46"/>
  <c r="AI56" i="46"/>
  <c r="AI12" i="46"/>
  <c r="AI28" i="46"/>
  <c r="AI27" i="46"/>
  <c r="AI17" i="46"/>
  <c r="AI23" i="46"/>
  <c r="AI50" i="46"/>
  <c r="AI73" i="46"/>
  <c r="AI36" i="46"/>
  <c r="AI38" i="46"/>
  <c r="AI10" i="46"/>
  <c r="AI15" i="46"/>
  <c r="AI39" i="46"/>
  <c r="AI47" i="46"/>
  <c r="AI35" i="46"/>
  <c r="AI30" i="46"/>
  <c r="AI88" i="46"/>
  <c r="AI141" i="46"/>
  <c r="AI118" i="46"/>
  <c r="AI25" i="46"/>
  <c r="AI98" i="46"/>
  <c r="AI4" i="46"/>
  <c r="AI99" i="46"/>
  <c r="AI84" i="46"/>
  <c r="AI95" i="46"/>
  <c r="AI66" i="46"/>
  <c r="AI114" i="46"/>
  <c r="AI65" i="46"/>
  <c r="AI69" i="46"/>
  <c r="AI165" i="46"/>
  <c r="AI62" i="46"/>
  <c r="AI52" i="46"/>
  <c r="AI96" i="46"/>
  <c r="AI113" i="46"/>
  <c r="AI45" i="46"/>
  <c r="AI135" i="46"/>
  <c r="AI102" i="46"/>
  <c r="AI97" i="46"/>
  <c r="AI54" i="46"/>
  <c r="AI106" i="46"/>
  <c r="AI156" i="46"/>
  <c r="AI155" i="46"/>
  <c r="AI172" i="46"/>
  <c r="AI67" i="46"/>
  <c r="AI74" i="46"/>
  <c r="AI125" i="46"/>
  <c r="AI85" i="46"/>
  <c r="AI53" i="46"/>
  <c r="AI22" i="46"/>
  <c r="AI152" i="46"/>
  <c r="AI21" i="46"/>
  <c r="AI37" i="46"/>
  <c r="AI117" i="46"/>
  <c r="AI83" i="46"/>
  <c r="AI44" i="46"/>
  <c r="AI18" i="46"/>
  <c r="AI26" i="46"/>
  <c r="AI107" i="46"/>
  <c r="AI51" i="46"/>
  <c r="AI87" i="46"/>
  <c r="AI59" i="46"/>
  <c r="AI75" i="46"/>
  <c r="AI108" i="46"/>
  <c r="AI100" i="46"/>
  <c r="AI129" i="46"/>
  <c r="AI72" i="46"/>
  <c r="AI128" i="46"/>
  <c r="AI82" i="46"/>
  <c r="AI121" i="46"/>
  <c r="AI11" i="46"/>
  <c r="AI153" i="46"/>
  <c r="AI92" i="46"/>
  <c r="AI119" i="46"/>
  <c r="AI90" i="46"/>
  <c r="AI175" i="46"/>
  <c r="AI63" i="46"/>
  <c r="AI103" i="46"/>
  <c r="AI160" i="46"/>
  <c r="AI179" i="46"/>
  <c r="AI111" i="46"/>
  <c r="AI48" i="46"/>
  <c r="AI168" i="46"/>
  <c r="AI131" i="46"/>
  <c r="AI76" i="46"/>
  <c r="AI78" i="46"/>
  <c r="AI120" i="46"/>
  <c r="AI154" i="46"/>
  <c r="AI144" i="46"/>
  <c r="AI176" i="46"/>
  <c r="AI134" i="46"/>
  <c r="AI146" i="46"/>
  <c r="AI139" i="46"/>
  <c r="AI105" i="46"/>
  <c r="AI58" i="46"/>
  <c r="AI110" i="46"/>
  <c r="AI68" i="46"/>
  <c r="AI115" i="46"/>
  <c r="AI159" i="46"/>
  <c r="AI71" i="46"/>
  <c r="AI143" i="46"/>
  <c r="AI150" i="46"/>
  <c r="AI145" i="46"/>
  <c r="AI158" i="46"/>
  <c r="AI133" i="46"/>
  <c r="AI124" i="46"/>
  <c r="AI178" i="46"/>
  <c r="AI49" i="46"/>
  <c r="AI167" i="46"/>
  <c r="AI140" i="46"/>
  <c r="AI173" i="46"/>
  <c r="AI177" i="46"/>
  <c r="AI163" i="46"/>
  <c r="AI162" i="46"/>
  <c r="AI89" i="46"/>
  <c r="AI161" i="46"/>
  <c r="AI166" i="46"/>
  <c r="AI130" i="46"/>
  <c r="AI148" i="46"/>
  <c r="AI70" i="46"/>
  <c r="AI123" i="46"/>
  <c r="AI164" i="46"/>
  <c r="AI132" i="46"/>
  <c r="AI86" i="46"/>
  <c r="AI136" i="46"/>
  <c r="AI104" i="46"/>
  <c r="AI151" i="46"/>
  <c r="AI169" i="46"/>
  <c r="AI142" i="46"/>
  <c r="AI171" i="46"/>
  <c r="AI77" i="46"/>
  <c r="AI157" i="46"/>
  <c r="AI81" i="46"/>
  <c r="AI170" i="46"/>
  <c r="AI174" i="46"/>
  <c r="AI122" i="46"/>
  <c r="AI180" i="46"/>
  <c r="AF3" i="46"/>
  <c r="AF6" i="46"/>
  <c r="AF9" i="46"/>
  <c r="AF7" i="46"/>
  <c r="AF13" i="46"/>
  <c r="AF41" i="46"/>
  <c r="AF14" i="46"/>
  <c r="AF16" i="46"/>
  <c r="AF34" i="46"/>
  <c r="AF60" i="46"/>
  <c r="AF42" i="46"/>
  <c r="AF5" i="46"/>
  <c r="AF8" i="46"/>
  <c r="AF56" i="46"/>
  <c r="AF12" i="46"/>
  <c r="AF28" i="46"/>
  <c r="AF27" i="46"/>
  <c r="AF17" i="46"/>
  <c r="AF23" i="46"/>
  <c r="AF50" i="46"/>
  <c r="AF73" i="46"/>
  <c r="AF36" i="46"/>
  <c r="AF38" i="46"/>
  <c r="AF10" i="46"/>
  <c r="AF15" i="46"/>
  <c r="AF39" i="46"/>
  <c r="AF47" i="46"/>
  <c r="AF35" i="46"/>
  <c r="AF30" i="46"/>
  <c r="AF88" i="46"/>
  <c r="AF141" i="46"/>
  <c r="AF118" i="46"/>
  <c r="AF25" i="46"/>
  <c r="AF98" i="46"/>
  <c r="AF4" i="46"/>
  <c r="AF99" i="46"/>
  <c r="AF84" i="46"/>
  <c r="AF95" i="46"/>
  <c r="AF66" i="46"/>
  <c r="AF114" i="46"/>
  <c r="AF65" i="46"/>
  <c r="AF69" i="46"/>
  <c r="AF165" i="46"/>
  <c r="AF62" i="46"/>
  <c r="AF52" i="46"/>
  <c r="AF96" i="46"/>
  <c r="AF113" i="46"/>
  <c r="AF45" i="46"/>
  <c r="AF135" i="46"/>
  <c r="AF102" i="46"/>
  <c r="AF97" i="46"/>
  <c r="AF54" i="46"/>
  <c r="AF106" i="46"/>
  <c r="AF156" i="46"/>
  <c r="AF155" i="46"/>
  <c r="AF172" i="46"/>
  <c r="AF67" i="46"/>
  <c r="AF74" i="46"/>
  <c r="AF125" i="46"/>
  <c r="AF85" i="46"/>
  <c r="AF53" i="46"/>
  <c r="AF22" i="46"/>
  <c r="AF152" i="46"/>
  <c r="AF21" i="46"/>
  <c r="AF37" i="46"/>
  <c r="AF117" i="46"/>
  <c r="AF83" i="46"/>
  <c r="AF44" i="46"/>
  <c r="AF18" i="46"/>
  <c r="AF64" i="46"/>
  <c r="AF26" i="46"/>
  <c r="AF107" i="46"/>
  <c r="AF51" i="46"/>
  <c r="AF87" i="46"/>
  <c r="AF59" i="46"/>
  <c r="AF75" i="46"/>
  <c r="AF108" i="46"/>
  <c r="AF109" i="46"/>
  <c r="AF100" i="46"/>
  <c r="AF129" i="46"/>
  <c r="AF72" i="46"/>
  <c r="AF128" i="46"/>
  <c r="AF82" i="46"/>
  <c r="AF121" i="46"/>
  <c r="AF19" i="46"/>
  <c r="AF11" i="46"/>
  <c r="AF153" i="46"/>
  <c r="AF92" i="46"/>
  <c r="AF119" i="46"/>
  <c r="AF90" i="46"/>
  <c r="AF175" i="46"/>
  <c r="AF63" i="46"/>
  <c r="AF116" i="46"/>
  <c r="AF103" i="46"/>
  <c r="AF160" i="46"/>
  <c r="AF179" i="46"/>
  <c r="AF111" i="46"/>
  <c r="AF48" i="46"/>
  <c r="AF43" i="46"/>
  <c r="AF168" i="46"/>
  <c r="AF131" i="46"/>
  <c r="AF76" i="46"/>
  <c r="AF78" i="46"/>
  <c r="AF120" i="46"/>
  <c r="AF154" i="46"/>
  <c r="AF144" i="46"/>
  <c r="AF137" i="46"/>
  <c r="AF176" i="46"/>
  <c r="AF134" i="46"/>
  <c r="AF146" i="46"/>
  <c r="AF139" i="46"/>
  <c r="AF105" i="46"/>
  <c r="AF58" i="46"/>
  <c r="AF110" i="46"/>
  <c r="AF68" i="46"/>
  <c r="AF115" i="46"/>
  <c r="AF159" i="46"/>
  <c r="AF138" i="46"/>
  <c r="AF71" i="46"/>
  <c r="AF143" i="46"/>
  <c r="AF150" i="46"/>
  <c r="AF145" i="46"/>
  <c r="AF80" i="46"/>
  <c r="AF158" i="46"/>
  <c r="AF133" i="46"/>
  <c r="AF124" i="46"/>
  <c r="AF178" i="46"/>
  <c r="AF49" i="46"/>
  <c r="AF167" i="46"/>
  <c r="AF46" i="46"/>
  <c r="AF140" i="46"/>
  <c r="AF173" i="46"/>
  <c r="AF177" i="46"/>
  <c r="AF163" i="46"/>
  <c r="AF162" i="46"/>
  <c r="AF126" i="46"/>
  <c r="AF89" i="46"/>
  <c r="AF161" i="46"/>
  <c r="AF166" i="46"/>
  <c r="AF130" i="46"/>
  <c r="AF148" i="46"/>
  <c r="AF127" i="46"/>
  <c r="AF70" i="46"/>
  <c r="AF123" i="46"/>
  <c r="AF164" i="46"/>
  <c r="AF132" i="46"/>
  <c r="AF86" i="46"/>
  <c r="AF136" i="46"/>
  <c r="AF104" i="46"/>
  <c r="AF147" i="46"/>
  <c r="AF151" i="46"/>
  <c r="AF169" i="46"/>
  <c r="AF142" i="46"/>
  <c r="AF171" i="46"/>
  <c r="AF77" i="46"/>
  <c r="AF157" i="46"/>
  <c r="AF81" i="46"/>
  <c r="AF170" i="46"/>
  <c r="AF174" i="46"/>
  <c r="AF122" i="46"/>
  <c r="AF180" i="46"/>
  <c r="AL11" i="48" l="1"/>
  <c r="AM11" i="48" s="1"/>
  <c r="AL32" i="48"/>
  <c r="AM32" i="48" s="1"/>
  <c r="AL16" i="48"/>
  <c r="AM16" i="48" s="1"/>
  <c r="AL31" i="48"/>
  <c r="AM31" i="48" s="1"/>
  <c r="AL15" i="48"/>
  <c r="AM15" i="48" s="1"/>
  <c r="AL30" i="48"/>
  <c r="AM30" i="48" s="1"/>
  <c r="AL14" i="48"/>
  <c r="AM14" i="48" s="1"/>
  <c r="AL25" i="48"/>
  <c r="AM25" i="48" s="1"/>
  <c r="AL8" i="48"/>
  <c r="AM8" i="48" s="1"/>
  <c r="AL28" i="48"/>
  <c r="AM28" i="48" s="1"/>
  <c r="AL12" i="48"/>
  <c r="AM12" i="48" s="1"/>
  <c r="AL27" i="48"/>
  <c r="AM27" i="48" s="1"/>
  <c r="AL10" i="48"/>
  <c r="AM10" i="48" s="1"/>
  <c r="AL26" i="48"/>
  <c r="AM26" i="48" s="1"/>
  <c r="AL9" i="48"/>
  <c r="AM9" i="48" s="1"/>
  <c r="AL20" i="48"/>
  <c r="AM20" i="48" s="1"/>
  <c r="AL4" i="48"/>
  <c r="AM4" i="48" s="1"/>
  <c r="AL24" i="48"/>
  <c r="AM24" i="48" s="1"/>
  <c r="AL7" i="48"/>
  <c r="AM7" i="48" s="1"/>
  <c r="AL23" i="48"/>
  <c r="AM23" i="48" s="1"/>
  <c r="AL6" i="48"/>
  <c r="AM6" i="48" s="1"/>
  <c r="AL22" i="48"/>
  <c r="AM22" i="48" s="1"/>
  <c r="AL5" i="48"/>
  <c r="AM5" i="48" s="1"/>
  <c r="AL17" i="48"/>
  <c r="AM17" i="48" s="1"/>
  <c r="AL21" i="48"/>
  <c r="AM21" i="48" s="1"/>
  <c r="AL3" i="48"/>
  <c r="AM3" i="48" s="1"/>
  <c r="AL19" i="48"/>
  <c r="AM19" i="48" s="1"/>
  <c r="AL2" i="48"/>
  <c r="AM2" i="48" s="1"/>
  <c r="AL18" i="48"/>
  <c r="AM18" i="48" s="1"/>
  <c r="AL29" i="48"/>
  <c r="AM29" i="48" s="1"/>
  <c r="AL13" i="48"/>
  <c r="AM13" i="48" s="1"/>
  <c r="AJ22" i="48"/>
  <c r="AK22" i="48" s="1"/>
  <c r="AJ28" i="48"/>
  <c r="AK28" i="48" s="1"/>
  <c r="AJ30" i="48"/>
  <c r="AK30" i="48" s="1"/>
  <c r="AJ8" i="48"/>
  <c r="AK8" i="48" s="1"/>
  <c r="AJ13" i="48"/>
  <c r="AK13" i="48" s="1"/>
  <c r="AJ10" i="48"/>
  <c r="AK10" i="48" s="1"/>
  <c r="AJ19" i="48"/>
  <c r="AK19" i="48" s="1"/>
  <c r="AJ2" i="48"/>
  <c r="AJ23" i="48"/>
  <c r="AK23" i="48" s="1"/>
  <c r="AJ32" i="48"/>
  <c r="AK32" i="48" s="1"/>
  <c r="AJ31" i="48"/>
  <c r="AK31" i="48" s="1"/>
  <c r="AJ17" i="48"/>
  <c r="AK17" i="48" s="1"/>
  <c r="AJ24" i="48"/>
  <c r="AK24" i="48" s="1"/>
  <c r="AJ5" i="48"/>
  <c r="AK5" i="48" s="1"/>
  <c r="AJ3" i="48"/>
  <c r="AK3" i="48" s="1"/>
  <c r="AJ21" i="48"/>
  <c r="AK21" i="48" s="1"/>
  <c r="AJ16" i="48"/>
  <c r="AK16" i="48" s="1"/>
  <c r="AJ29" i="48"/>
  <c r="AK29" i="48" s="1"/>
  <c r="AJ14" i="48"/>
  <c r="AK14" i="48" s="1"/>
  <c r="AJ6" i="48"/>
  <c r="AK6" i="48" s="1"/>
  <c r="AJ20" i="48"/>
  <c r="AK20" i="48" s="1"/>
  <c r="AJ15" i="48"/>
  <c r="AK15" i="48" s="1"/>
  <c r="AJ18" i="48"/>
  <c r="AK18" i="48" s="1"/>
  <c r="AJ12" i="48"/>
  <c r="AK12" i="48" s="1"/>
  <c r="AJ4" i="48"/>
  <c r="AK4" i="48" s="1"/>
  <c r="AJ11" i="48"/>
  <c r="AK11" i="48" s="1"/>
  <c r="AJ26" i="48"/>
  <c r="AK26" i="48" s="1"/>
  <c r="AJ7" i="48"/>
  <c r="AK7" i="48" s="1"/>
  <c r="AJ9" i="48"/>
  <c r="AK9" i="48" s="1"/>
  <c r="AJ25" i="48"/>
  <c r="AK25" i="48" s="1"/>
  <c r="AJ31" i="47"/>
  <c r="AK31" i="47" s="1"/>
  <c r="AJ4" i="47"/>
  <c r="AK4" i="47" s="1"/>
  <c r="AJ10" i="47"/>
  <c r="AK10" i="47" s="1"/>
  <c r="AJ52" i="47"/>
  <c r="AK52" i="47" s="1"/>
  <c r="AJ43" i="47"/>
  <c r="AK43" i="47" s="1"/>
  <c r="AJ47" i="47"/>
  <c r="AK47" i="47" s="1"/>
  <c r="AJ18" i="47"/>
  <c r="AK18" i="47" s="1"/>
  <c r="AJ69" i="47"/>
  <c r="AK69" i="47" s="1"/>
  <c r="AJ30" i="47"/>
  <c r="AK30" i="47" s="1"/>
  <c r="AJ99" i="47"/>
  <c r="AK99" i="47" s="1"/>
  <c r="AJ14" i="47"/>
  <c r="AK14" i="47" s="1"/>
  <c r="AJ61" i="47"/>
  <c r="AK61" i="47" s="1"/>
  <c r="AJ38" i="47"/>
  <c r="AK38" i="47" s="1"/>
  <c r="AF181" i="46"/>
  <c r="AJ171" i="46" s="1"/>
  <c r="AK171" i="46" s="1"/>
  <c r="AJ107" i="50"/>
  <c r="AK2" i="50"/>
  <c r="AK107" i="50" s="1"/>
  <c r="AJ116" i="49"/>
  <c r="AK2" i="49"/>
  <c r="AK116" i="49" s="1"/>
  <c r="AI181" i="46"/>
  <c r="AJ8" i="47"/>
  <c r="AK8" i="47" s="1"/>
  <c r="AJ21" i="47"/>
  <c r="AK21" i="47" s="1"/>
  <c r="AJ66" i="47"/>
  <c r="AK66" i="47" s="1"/>
  <c r="AJ13" i="47"/>
  <c r="AK13" i="47" s="1"/>
  <c r="AJ11" i="47"/>
  <c r="AK11" i="47" s="1"/>
  <c r="AJ78" i="47"/>
  <c r="AK78" i="47" s="1"/>
  <c r="AJ87" i="47"/>
  <c r="AK87" i="47" s="1"/>
  <c r="AJ62" i="47"/>
  <c r="AK62" i="47" s="1"/>
  <c r="AJ15" i="47"/>
  <c r="AK15" i="47" s="1"/>
  <c r="AJ42" i="47"/>
  <c r="AK42" i="47" s="1"/>
  <c r="AJ71" i="47"/>
  <c r="AK71" i="47" s="1"/>
  <c r="AJ34" i="47"/>
  <c r="AK34" i="47" s="1"/>
  <c r="AJ96" i="47"/>
  <c r="AK96" i="47" s="1"/>
  <c r="AJ60" i="47"/>
  <c r="AK60" i="47" s="1"/>
  <c r="AJ80" i="47"/>
  <c r="AK80" i="47" s="1"/>
  <c r="AJ29" i="47"/>
  <c r="AK29" i="47" s="1"/>
  <c r="AJ93" i="47"/>
  <c r="AK93" i="47" s="1"/>
  <c r="AJ39" i="47"/>
  <c r="AK39" i="47" s="1"/>
  <c r="AJ94" i="47"/>
  <c r="AK94" i="47" s="1"/>
  <c r="AJ44" i="47"/>
  <c r="AK44" i="47" s="1"/>
  <c r="AJ59" i="47"/>
  <c r="AK59" i="47" s="1"/>
  <c r="AJ49" i="47"/>
  <c r="AK49" i="47" s="1"/>
  <c r="AJ45" i="47"/>
  <c r="AK45" i="47" s="1"/>
  <c r="AJ50" i="47"/>
  <c r="AK50" i="47" s="1"/>
  <c r="AJ83" i="47"/>
  <c r="AK83" i="47" s="1"/>
  <c r="AJ22" i="47"/>
  <c r="AK22" i="47" s="1"/>
  <c r="AJ9" i="47"/>
  <c r="AK9" i="47" s="1"/>
  <c r="AJ36" i="47"/>
  <c r="AK36" i="47" s="1"/>
  <c r="AJ95" i="47"/>
  <c r="AK95" i="47" s="1"/>
  <c r="AJ48" i="47"/>
  <c r="AK48" i="47" s="1"/>
  <c r="AJ64" i="47"/>
  <c r="AK64" i="47" s="1"/>
  <c r="AJ75" i="47"/>
  <c r="AK75" i="47" s="1"/>
  <c r="AJ33" i="47"/>
  <c r="AK33" i="47" s="1"/>
  <c r="AJ98" i="47"/>
  <c r="AK98" i="47" s="1"/>
  <c r="AJ92" i="47"/>
  <c r="AK92" i="47" s="1"/>
  <c r="AJ77" i="47"/>
  <c r="AK77" i="47" s="1"/>
  <c r="AJ3" i="47"/>
  <c r="AK3" i="47" s="1"/>
  <c r="AJ5" i="47"/>
  <c r="AK5" i="47" s="1"/>
  <c r="AJ56" i="47"/>
  <c r="AK56" i="47" s="1"/>
  <c r="AJ23" i="47"/>
  <c r="AK23" i="47" s="1"/>
  <c r="AJ16" i="47"/>
  <c r="AK16" i="47" s="1"/>
  <c r="AJ79" i="47"/>
  <c r="AK79" i="47" s="1"/>
  <c r="AJ57" i="47"/>
  <c r="AK57" i="47" s="1"/>
  <c r="AJ40" i="47"/>
  <c r="AK40" i="47" s="1"/>
  <c r="AJ37" i="47"/>
  <c r="AK37" i="47" s="1"/>
  <c r="AJ76" i="47"/>
  <c r="AK76" i="47" s="1"/>
  <c r="AJ73" i="47"/>
  <c r="AK73" i="47" s="1"/>
  <c r="AJ58" i="47"/>
  <c r="AK58" i="47" s="1"/>
  <c r="AJ89" i="47"/>
  <c r="AK89" i="47" s="1"/>
  <c r="AJ97" i="47"/>
  <c r="AK97" i="47" s="1"/>
  <c r="AJ28" i="47"/>
  <c r="AK28" i="47" s="1"/>
  <c r="AJ24" i="47"/>
  <c r="AK24" i="47" s="1"/>
  <c r="AJ72" i="47"/>
  <c r="AK72" i="47" s="1"/>
  <c r="AJ85" i="47"/>
  <c r="AK85" i="47" s="1"/>
  <c r="AJ17" i="47"/>
  <c r="AK17" i="47" s="1"/>
  <c r="AJ55" i="47"/>
  <c r="AK55" i="47" s="1"/>
  <c r="AJ20" i="47"/>
  <c r="AK20" i="47" s="1"/>
  <c r="AJ53" i="47"/>
  <c r="AK53" i="47" s="1"/>
  <c r="AJ32" i="47"/>
  <c r="AK32" i="47" s="1"/>
  <c r="AJ12" i="47"/>
  <c r="AK12" i="47" s="1"/>
  <c r="AJ54" i="47"/>
  <c r="AK54" i="47" s="1"/>
  <c r="AJ63" i="47"/>
  <c r="AK63" i="47" s="1"/>
  <c r="AJ2" i="47"/>
  <c r="AJ86" i="47"/>
  <c r="AK86" i="47" s="1"/>
  <c r="AJ88" i="47"/>
  <c r="AK88" i="47" s="1"/>
  <c r="AJ7" i="47"/>
  <c r="AK7" i="47" s="1"/>
  <c r="AJ19" i="47"/>
  <c r="AK19" i="47" s="1"/>
  <c r="AJ27" i="47"/>
  <c r="AK27" i="47" s="1"/>
  <c r="AJ68" i="47"/>
  <c r="AK68" i="47" s="1"/>
  <c r="AJ67" i="47"/>
  <c r="AK67" i="47" s="1"/>
  <c r="AJ6" i="47"/>
  <c r="AK6" i="47" s="1"/>
  <c r="AJ81" i="47"/>
  <c r="AK81" i="47" s="1"/>
  <c r="AJ70" i="47"/>
  <c r="AK70" i="47" s="1"/>
  <c r="AJ51" i="47"/>
  <c r="AK51" i="47" s="1"/>
  <c r="AJ35" i="47"/>
  <c r="AK35" i="47" s="1"/>
  <c r="AJ84" i="47"/>
  <c r="AK84" i="47" s="1"/>
  <c r="AJ46" i="47"/>
  <c r="AK46" i="47" s="1"/>
  <c r="AJ74" i="47"/>
  <c r="AK74" i="47" s="1"/>
  <c r="AJ82" i="47"/>
  <c r="AK82" i="47" s="1"/>
  <c r="AJ26" i="47"/>
  <c r="AK26" i="47" s="1"/>
  <c r="AJ41" i="47"/>
  <c r="AK41" i="47" s="1"/>
  <c r="AJ91" i="47"/>
  <c r="AK91" i="47" s="1"/>
  <c r="AJ25" i="47"/>
  <c r="AK25" i="47" s="1"/>
  <c r="AJ65" i="47"/>
  <c r="AK65" i="47" s="1"/>
  <c r="AM100" i="47"/>
  <c r="AM81" i="46"/>
  <c r="AM117" i="46"/>
  <c r="AM170" i="46"/>
  <c r="AM77" i="46"/>
  <c r="AM169" i="46"/>
  <c r="AM136" i="46"/>
  <c r="AM123" i="46"/>
  <c r="AM148" i="46"/>
  <c r="AM89" i="46"/>
  <c r="AM163" i="46"/>
  <c r="AM140" i="46"/>
  <c r="AM49" i="46"/>
  <c r="AM158" i="46"/>
  <c r="AM145" i="46"/>
  <c r="AM143" i="46"/>
  <c r="AM115" i="46"/>
  <c r="AM154" i="46"/>
  <c r="AM131" i="46"/>
  <c r="AM48" i="46"/>
  <c r="AM175" i="46"/>
  <c r="AM153" i="46"/>
  <c r="AM121" i="46"/>
  <c r="AM129" i="46"/>
  <c r="AM75" i="46"/>
  <c r="AM107" i="46"/>
  <c r="AM37" i="46"/>
  <c r="AM53" i="46"/>
  <c r="AM67" i="46"/>
  <c r="AM106" i="46"/>
  <c r="AM135" i="46"/>
  <c r="AM52" i="46"/>
  <c r="AM65" i="46"/>
  <c r="AM84" i="46"/>
  <c r="AM25" i="46"/>
  <c r="AM30" i="46"/>
  <c r="AM15" i="46"/>
  <c r="AM73" i="46"/>
  <c r="AM27" i="46"/>
  <c r="AM8" i="46"/>
  <c r="AM34" i="46"/>
  <c r="AM13" i="46"/>
  <c r="AM122" i="46"/>
  <c r="AM151" i="46"/>
  <c r="AM86" i="46"/>
  <c r="AM70" i="46"/>
  <c r="AM130" i="46"/>
  <c r="AM177" i="46"/>
  <c r="AM178" i="46"/>
  <c r="AM71" i="46"/>
  <c r="AM68" i="46"/>
  <c r="AM139" i="46"/>
  <c r="AM176" i="46"/>
  <c r="AM120" i="46"/>
  <c r="AM168" i="46"/>
  <c r="AM111" i="46"/>
  <c r="AM103" i="46"/>
  <c r="AM90" i="46"/>
  <c r="AM11" i="46"/>
  <c r="AM82" i="46"/>
  <c r="AM100" i="46"/>
  <c r="AM59" i="46"/>
  <c r="AM26" i="46"/>
  <c r="AM44" i="46"/>
  <c r="AM21" i="46"/>
  <c r="AM85" i="46"/>
  <c r="AM172" i="46"/>
  <c r="AM54" i="46"/>
  <c r="AM45" i="46"/>
  <c r="AM62" i="46"/>
  <c r="AM114" i="46"/>
  <c r="AM99" i="46"/>
  <c r="AM118" i="46"/>
  <c r="AM35" i="46"/>
  <c r="AM10" i="46"/>
  <c r="AM50" i="46"/>
  <c r="AM28" i="46"/>
  <c r="AM5" i="46"/>
  <c r="AM16" i="46"/>
  <c r="AM7" i="46"/>
  <c r="AM174" i="46"/>
  <c r="AM171" i="46"/>
  <c r="AM147" i="46"/>
  <c r="AM132" i="46"/>
  <c r="AM127" i="46"/>
  <c r="AM166" i="46"/>
  <c r="AM126" i="46"/>
  <c r="AM46" i="46"/>
  <c r="AM124" i="46"/>
  <c r="AM80" i="46"/>
  <c r="AM138" i="46"/>
  <c r="AM110" i="46"/>
  <c r="AM146" i="46"/>
  <c r="AM137" i="46"/>
  <c r="AM78" i="46"/>
  <c r="AM43" i="46"/>
  <c r="AM179" i="46"/>
  <c r="AM116" i="46"/>
  <c r="AM119" i="46"/>
  <c r="AM19" i="46"/>
  <c r="AM128" i="46"/>
  <c r="AM109" i="46"/>
  <c r="AM87" i="46"/>
  <c r="AM64" i="46"/>
  <c r="AM83" i="46"/>
  <c r="AM152" i="46"/>
  <c r="AM125" i="46"/>
  <c r="AM155" i="46"/>
  <c r="AM97" i="46"/>
  <c r="AM113" i="46"/>
  <c r="AM165" i="46"/>
  <c r="AM66" i="46"/>
  <c r="AM4" i="46"/>
  <c r="AM141" i="46"/>
  <c r="AM47" i="46"/>
  <c r="AM38" i="46"/>
  <c r="AM23" i="46"/>
  <c r="AM12" i="46"/>
  <c r="AM42" i="46"/>
  <c r="AM14" i="46"/>
  <c r="AM9" i="46"/>
  <c r="AM180" i="46"/>
  <c r="AM157" i="46"/>
  <c r="AM142" i="46"/>
  <c r="AM104" i="46"/>
  <c r="AM164" i="46"/>
  <c r="AM161" i="46"/>
  <c r="AM162" i="46"/>
  <c r="AM173" i="46"/>
  <c r="AM167" i="46"/>
  <c r="AM133" i="46"/>
  <c r="AM150" i="46"/>
  <c r="AM159" i="46"/>
  <c r="AM58" i="46"/>
  <c r="AM105" i="46"/>
  <c r="AM134" i="46"/>
  <c r="AM144" i="46"/>
  <c r="AM76" i="46"/>
  <c r="AM160" i="46"/>
  <c r="AM63" i="46"/>
  <c r="AM92" i="46"/>
  <c r="AM72" i="46"/>
  <c r="AM108" i="46"/>
  <c r="AM51" i="46"/>
  <c r="AM18" i="46"/>
  <c r="AM22" i="46"/>
  <c r="AM74" i="46"/>
  <c r="AM156" i="46"/>
  <c r="AM102" i="46"/>
  <c r="AM96" i="46"/>
  <c r="AM69" i="46"/>
  <c r="AM95" i="46"/>
  <c r="AM98" i="46"/>
  <c r="AM88" i="46"/>
  <c r="AM39" i="46"/>
  <c r="AM36" i="46"/>
  <c r="AM17" i="46"/>
  <c r="AM56" i="46"/>
  <c r="AM60" i="46"/>
  <c r="AM41" i="46"/>
  <c r="AM6" i="46"/>
  <c r="AI2" i="45"/>
  <c r="AM8" i="45"/>
  <c r="AM11" i="45"/>
  <c r="AM16" i="45"/>
  <c r="AM23" i="45"/>
  <c r="AM27" i="45"/>
  <c r="AM5" i="45"/>
  <c r="AM12" i="45"/>
  <c r="AM24" i="45"/>
  <c r="AM6" i="45"/>
  <c r="AM14" i="45"/>
  <c r="AM2" i="45"/>
  <c r="AM9" i="45"/>
  <c r="AM26" i="45"/>
  <c r="AM7" i="45"/>
  <c r="AM10" i="45"/>
  <c r="AM19" i="45"/>
  <c r="AM25" i="45"/>
  <c r="AM22" i="45"/>
  <c r="AM18" i="45"/>
  <c r="AM13" i="45"/>
  <c r="AM15" i="45"/>
  <c r="AM21" i="45"/>
  <c r="AM4" i="45"/>
  <c r="AM17" i="45"/>
  <c r="AM20" i="45"/>
  <c r="AF8" i="45"/>
  <c r="AF11" i="45"/>
  <c r="AF16" i="45"/>
  <c r="AF23" i="45"/>
  <c r="AF27" i="45"/>
  <c r="AF5" i="45"/>
  <c r="AF12" i="45"/>
  <c r="AF24" i="45"/>
  <c r="AF6" i="45"/>
  <c r="AF14" i="45"/>
  <c r="AF3" i="45"/>
  <c r="AF2" i="45"/>
  <c r="AF9" i="45"/>
  <c r="AF26" i="45"/>
  <c r="AF7" i="45"/>
  <c r="AF10" i="45"/>
  <c r="AF19" i="45"/>
  <c r="AF25" i="45"/>
  <c r="AF22" i="45"/>
  <c r="AF18" i="45"/>
  <c r="AF13" i="45"/>
  <c r="AF15" i="45"/>
  <c r="AF21" i="45"/>
  <c r="AF4" i="45"/>
  <c r="AF17" i="45"/>
  <c r="AF20" i="45"/>
  <c r="AL33" i="48" l="1"/>
  <c r="AM33" i="48"/>
  <c r="AJ33" i="48"/>
  <c r="AK2" i="48"/>
  <c r="AK33" i="48" s="1"/>
  <c r="AJ97" i="46"/>
  <c r="AK97" i="46" s="1"/>
  <c r="AJ68" i="46"/>
  <c r="AK68" i="46" s="1"/>
  <c r="AJ35" i="46"/>
  <c r="AK35" i="46" s="1"/>
  <c r="AJ63" i="46"/>
  <c r="AK63" i="46" s="1"/>
  <c r="AJ157" i="46"/>
  <c r="AK157" i="46" s="1"/>
  <c r="AJ9" i="46"/>
  <c r="AK9" i="46" s="1"/>
  <c r="AJ83" i="46"/>
  <c r="AK83" i="46" s="1"/>
  <c r="AJ140" i="46"/>
  <c r="AK140" i="46" s="1"/>
  <c r="AJ62" i="46"/>
  <c r="AK62" i="46" s="1"/>
  <c r="AJ176" i="46"/>
  <c r="AK176" i="46" s="1"/>
  <c r="AJ23" i="46"/>
  <c r="AK23" i="46" s="1"/>
  <c r="AJ82" i="46"/>
  <c r="AK82" i="46" s="1"/>
  <c r="AJ86" i="46"/>
  <c r="AK86" i="46" s="1"/>
  <c r="AJ85" i="46"/>
  <c r="AK85" i="46" s="1"/>
  <c r="AJ158" i="46"/>
  <c r="AK158" i="46" s="1"/>
  <c r="AJ4" i="46"/>
  <c r="AK4" i="46" s="1"/>
  <c r="AJ43" i="46"/>
  <c r="AK43" i="46" s="1"/>
  <c r="AJ5" i="46"/>
  <c r="AK5" i="46" s="1"/>
  <c r="AJ75" i="46"/>
  <c r="AK75" i="46" s="1"/>
  <c r="AJ130" i="46"/>
  <c r="AK130" i="46" s="1"/>
  <c r="AF28" i="45"/>
  <c r="AJ12" i="45" s="1"/>
  <c r="AK12" i="45" s="1"/>
  <c r="AJ42" i="46"/>
  <c r="AK42" i="46" s="1"/>
  <c r="AJ47" i="46"/>
  <c r="AK47" i="46" s="1"/>
  <c r="AJ165" i="46"/>
  <c r="AK165" i="46" s="1"/>
  <c r="AJ125" i="46"/>
  <c r="AK125" i="46" s="1"/>
  <c r="AJ59" i="46"/>
  <c r="AK59" i="46" s="1"/>
  <c r="AJ175" i="46"/>
  <c r="AK175" i="46" s="1"/>
  <c r="AJ137" i="46"/>
  <c r="AK137" i="46" s="1"/>
  <c r="AJ80" i="46"/>
  <c r="AK80" i="46" s="1"/>
  <c r="AJ166" i="46"/>
  <c r="AK166" i="46" s="1"/>
  <c r="AJ7" i="46"/>
  <c r="AK7" i="46" s="1"/>
  <c r="AJ50" i="46"/>
  <c r="AK50" i="46" s="1"/>
  <c r="AJ99" i="46"/>
  <c r="AK99" i="46" s="1"/>
  <c r="AJ54" i="46"/>
  <c r="AK54" i="46" s="1"/>
  <c r="AJ44" i="46"/>
  <c r="AK44" i="46" s="1"/>
  <c r="AJ121" i="46"/>
  <c r="AK121" i="46" s="1"/>
  <c r="AJ168" i="46"/>
  <c r="AK168" i="46" s="1"/>
  <c r="AJ115" i="46"/>
  <c r="AK115" i="46" s="1"/>
  <c r="AJ173" i="46"/>
  <c r="AK173" i="46" s="1"/>
  <c r="AJ136" i="46"/>
  <c r="AK136" i="46" s="1"/>
  <c r="AJ81" i="46"/>
  <c r="AK81" i="46" s="1"/>
  <c r="AJ13" i="46"/>
  <c r="AK13" i="46" s="1"/>
  <c r="AJ73" i="46"/>
  <c r="AK73" i="46" s="1"/>
  <c r="AJ84" i="46"/>
  <c r="AK84" i="46" s="1"/>
  <c r="AJ106" i="46"/>
  <c r="AK106" i="46" s="1"/>
  <c r="AJ18" i="46"/>
  <c r="AK18" i="46" s="1"/>
  <c r="AJ19" i="46"/>
  <c r="AK19" i="46" s="1"/>
  <c r="AJ131" i="46"/>
  <c r="AK131" i="46" s="1"/>
  <c r="AJ159" i="46"/>
  <c r="AK159" i="46" s="1"/>
  <c r="AJ177" i="46"/>
  <c r="AK177" i="46" s="1"/>
  <c r="AJ104" i="46"/>
  <c r="AK104" i="46" s="1"/>
  <c r="AJ41" i="46"/>
  <c r="AK41" i="46" s="1"/>
  <c r="AJ36" i="46"/>
  <c r="AK36" i="46" s="1"/>
  <c r="AJ95" i="46"/>
  <c r="AK95" i="46" s="1"/>
  <c r="AJ156" i="46"/>
  <c r="AK156" i="46" s="1"/>
  <c r="AJ64" i="46"/>
  <c r="AK64" i="46" s="1"/>
  <c r="AJ11" i="46"/>
  <c r="AK11" i="46" s="1"/>
  <c r="AJ76" i="46"/>
  <c r="AK76" i="46" s="1"/>
  <c r="AJ138" i="46"/>
  <c r="AK138" i="46" s="1"/>
  <c r="AJ163" i="46"/>
  <c r="AK163" i="46" s="1"/>
  <c r="AJ147" i="46"/>
  <c r="AK147" i="46" s="1"/>
  <c r="AJ12" i="46"/>
  <c r="AK12" i="46" s="1"/>
  <c r="AJ141" i="46"/>
  <c r="AK141" i="46" s="1"/>
  <c r="AJ113" i="46"/>
  <c r="AK113" i="46" s="1"/>
  <c r="AJ152" i="46"/>
  <c r="AK152" i="46" s="1"/>
  <c r="AJ100" i="46"/>
  <c r="AK100" i="46" s="1"/>
  <c r="AJ160" i="46"/>
  <c r="AK160" i="46" s="1"/>
  <c r="AJ139" i="46"/>
  <c r="AK139" i="46" s="1"/>
  <c r="AJ178" i="46"/>
  <c r="AK178" i="46" s="1"/>
  <c r="AJ70" i="46"/>
  <c r="AK70" i="46" s="1"/>
  <c r="AJ16" i="46"/>
  <c r="AK16" i="46" s="1"/>
  <c r="AJ10" i="46"/>
  <c r="AK10" i="46" s="1"/>
  <c r="AJ114" i="46"/>
  <c r="AK114" i="46" s="1"/>
  <c r="AJ172" i="46"/>
  <c r="AK172" i="46" s="1"/>
  <c r="AJ107" i="46"/>
  <c r="AK107" i="46" s="1"/>
  <c r="AJ92" i="46"/>
  <c r="AK92" i="46" s="1"/>
  <c r="AJ120" i="46"/>
  <c r="AK120" i="46" s="1"/>
  <c r="AJ143" i="46"/>
  <c r="AK143" i="46" s="1"/>
  <c r="AJ126" i="46"/>
  <c r="AK126" i="46" s="1"/>
  <c r="AJ169" i="46"/>
  <c r="AK169" i="46" s="1"/>
  <c r="AJ174" i="46"/>
  <c r="AK174" i="46" s="1"/>
  <c r="AJ34" i="46"/>
  <c r="AK34" i="46" s="1"/>
  <c r="AJ15" i="46"/>
  <c r="AK15" i="46" s="1"/>
  <c r="AJ65" i="46"/>
  <c r="AK65" i="46" s="1"/>
  <c r="AJ67" i="46"/>
  <c r="AK67" i="46" s="1"/>
  <c r="AJ51" i="46"/>
  <c r="AK51" i="46" s="1"/>
  <c r="AJ119" i="46"/>
  <c r="AK119" i="46" s="1"/>
  <c r="AJ154" i="46"/>
  <c r="AK154" i="46" s="1"/>
  <c r="AJ150" i="46"/>
  <c r="AK150" i="46" s="1"/>
  <c r="AJ89" i="46"/>
  <c r="AK89" i="46" s="1"/>
  <c r="AJ142" i="46"/>
  <c r="AK142" i="46" s="1"/>
  <c r="AJ60" i="46"/>
  <c r="AK60" i="46" s="1"/>
  <c r="AJ39" i="46"/>
  <c r="AK39" i="46" s="1"/>
  <c r="AJ69" i="46"/>
  <c r="AK69" i="46" s="1"/>
  <c r="AJ74" i="46"/>
  <c r="AK74" i="46" s="1"/>
  <c r="AJ87" i="46"/>
  <c r="AK87" i="46" s="1"/>
  <c r="AJ90" i="46"/>
  <c r="AK90" i="46" s="1"/>
  <c r="AJ144" i="46"/>
  <c r="AK144" i="46" s="1"/>
  <c r="AJ145" i="46"/>
  <c r="AK145" i="46" s="1"/>
  <c r="AJ161" i="46"/>
  <c r="AK161" i="46" s="1"/>
  <c r="AJ94" i="46"/>
  <c r="AK94" i="46" s="1"/>
  <c r="AJ93" i="46"/>
  <c r="AK93" i="46" s="1"/>
  <c r="AJ79" i="46"/>
  <c r="AK79" i="46" s="1"/>
  <c r="AJ31" i="46"/>
  <c r="AK31" i="46" s="1"/>
  <c r="AJ61" i="46"/>
  <c r="AK61" i="46" s="1"/>
  <c r="AJ149" i="46"/>
  <c r="AK149" i="46" s="1"/>
  <c r="AJ40" i="46"/>
  <c r="AK40" i="46" s="1"/>
  <c r="AJ57" i="46"/>
  <c r="AK57" i="46" s="1"/>
  <c r="AJ101" i="46"/>
  <c r="AK101" i="46" s="1"/>
  <c r="AJ91" i="46"/>
  <c r="AK91" i="46" s="1"/>
  <c r="AJ32" i="46"/>
  <c r="AK32" i="46" s="1"/>
  <c r="AJ24" i="46"/>
  <c r="AK24" i="46" s="1"/>
  <c r="AJ20" i="46"/>
  <c r="AK20" i="46" s="1"/>
  <c r="AJ29" i="46"/>
  <c r="AK29" i="46" s="1"/>
  <c r="AJ33" i="46"/>
  <c r="AK33" i="46" s="1"/>
  <c r="AJ55" i="46"/>
  <c r="AK55" i="46" s="1"/>
  <c r="AJ2" i="46"/>
  <c r="AJ112" i="46"/>
  <c r="AK112" i="46" s="1"/>
  <c r="AJ8" i="46"/>
  <c r="AK8" i="46" s="1"/>
  <c r="AJ30" i="46"/>
  <c r="AK30" i="46" s="1"/>
  <c r="AJ52" i="46"/>
  <c r="AK52" i="46" s="1"/>
  <c r="AJ53" i="46"/>
  <c r="AK53" i="46" s="1"/>
  <c r="AJ108" i="46"/>
  <c r="AK108" i="46" s="1"/>
  <c r="AJ116" i="46"/>
  <c r="AK116" i="46" s="1"/>
  <c r="AJ134" i="46"/>
  <c r="AK134" i="46" s="1"/>
  <c r="AJ133" i="46"/>
  <c r="AK133" i="46" s="1"/>
  <c r="AJ148" i="46"/>
  <c r="AK148" i="46" s="1"/>
  <c r="AJ180" i="46"/>
  <c r="AK180" i="46" s="1"/>
  <c r="AJ56" i="46"/>
  <c r="AK56" i="46" s="1"/>
  <c r="AJ88" i="46"/>
  <c r="AK88" i="46" s="1"/>
  <c r="AJ96" i="46"/>
  <c r="AK96" i="46" s="1"/>
  <c r="AJ22" i="46"/>
  <c r="AK22" i="46" s="1"/>
  <c r="AJ109" i="46"/>
  <c r="AK109" i="46" s="1"/>
  <c r="AJ103" i="46"/>
  <c r="AK103" i="46" s="1"/>
  <c r="AJ146" i="46"/>
  <c r="AK146" i="46" s="1"/>
  <c r="AJ124" i="46"/>
  <c r="AK124" i="46" s="1"/>
  <c r="AJ127" i="46"/>
  <c r="AK127" i="46" s="1"/>
  <c r="AJ170" i="46"/>
  <c r="AK170" i="46" s="1"/>
  <c r="AJ14" i="46"/>
  <c r="AK14" i="46" s="1"/>
  <c r="AJ38" i="46"/>
  <c r="AK38" i="46" s="1"/>
  <c r="AJ66" i="46"/>
  <c r="AK66" i="46" s="1"/>
  <c r="AJ155" i="46"/>
  <c r="AK155" i="46" s="1"/>
  <c r="AJ26" i="46"/>
  <c r="AK26" i="46" s="1"/>
  <c r="AJ153" i="46"/>
  <c r="AK153" i="46" s="1"/>
  <c r="AJ78" i="46"/>
  <c r="AK78" i="46" s="1"/>
  <c r="AJ71" i="46"/>
  <c r="AK71" i="46" s="1"/>
  <c r="AJ162" i="46"/>
  <c r="AK162" i="46" s="1"/>
  <c r="AJ151" i="46"/>
  <c r="AK151" i="46" s="1"/>
  <c r="AJ28" i="46"/>
  <c r="AK28" i="46" s="1"/>
  <c r="AJ118" i="46"/>
  <c r="AK118" i="46" s="1"/>
  <c r="AJ45" i="46"/>
  <c r="AK45" i="46" s="1"/>
  <c r="AJ21" i="46"/>
  <c r="AK21" i="46" s="1"/>
  <c r="AJ129" i="46"/>
  <c r="AK129" i="46" s="1"/>
  <c r="AJ179" i="46"/>
  <c r="AK179" i="46" s="1"/>
  <c r="AJ105" i="46"/>
  <c r="AK105" i="46" s="1"/>
  <c r="AJ49" i="46"/>
  <c r="AK49" i="46" s="1"/>
  <c r="AJ123" i="46"/>
  <c r="AK123" i="46" s="1"/>
  <c r="AJ122" i="46"/>
  <c r="AK122" i="46" s="1"/>
  <c r="AJ3" i="46"/>
  <c r="AJ27" i="46"/>
  <c r="AK27" i="46" s="1"/>
  <c r="AJ25" i="46"/>
  <c r="AK25" i="46" s="1"/>
  <c r="AJ135" i="46"/>
  <c r="AK135" i="46" s="1"/>
  <c r="AJ37" i="46"/>
  <c r="AK37" i="46" s="1"/>
  <c r="AJ72" i="46"/>
  <c r="AK72" i="46" s="1"/>
  <c r="AJ111" i="46"/>
  <c r="AK111" i="46" s="1"/>
  <c r="AJ58" i="46"/>
  <c r="AK58" i="46" s="1"/>
  <c r="AJ167" i="46"/>
  <c r="AK167" i="46" s="1"/>
  <c r="AJ164" i="46"/>
  <c r="AK164" i="46" s="1"/>
  <c r="AJ6" i="46"/>
  <c r="AK6" i="46" s="1"/>
  <c r="AJ17" i="46"/>
  <c r="AK17" i="46" s="1"/>
  <c r="AJ98" i="46"/>
  <c r="AK98" i="46" s="1"/>
  <c r="AJ102" i="46"/>
  <c r="AK102" i="46" s="1"/>
  <c r="AJ117" i="46"/>
  <c r="AK117" i="46" s="1"/>
  <c r="AJ128" i="46"/>
  <c r="AK128" i="46" s="1"/>
  <c r="AJ48" i="46"/>
  <c r="AK48" i="46" s="1"/>
  <c r="AJ110" i="46"/>
  <c r="AK110" i="46" s="1"/>
  <c r="AJ46" i="46"/>
  <c r="AK46" i="46" s="1"/>
  <c r="AJ132" i="46"/>
  <c r="AK132" i="46" s="1"/>
  <c r="AJ77" i="46"/>
  <c r="AK77" i="46" s="1"/>
  <c r="AJ100" i="47"/>
  <c r="AK2" i="47"/>
  <c r="AK100" i="47" s="1"/>
  <c r="AI28" i="45"/>
  <c r="AM3" i="45"/>
  <c r="AM28" i="45" s="1"/>
  <c r="AK3" i="46"/>
  <c r="AM3" i="46"/>
  <c r="AM181" i="46" s="1"/>
  <c r="AI3" i="44"/>
  <c r="AI5" i="44"/>
  <c r="AI4" i="44"/>
  <c r="AI2" i="44"/>
  <c r="AI7" i="44"/>
  <c r="AI10" i="44"/>
  <c r="AI11" i="44"/>
  <c r="AI17" i="44"/>
  <c r="AI15" i="44"/>
  <c r="AI23" i="44"/>
  <c r="AI14" i="44"/>
  <c r="AI9" i="44"/>
  <c r="AI19" i="44"/>
  <c r="AI20" i="44"/>
  <c r="AI12" i="44"/>
  <c r="AI18" i="44"/>
  <c r="AI22" i="44"/>
  <c r="AI16" i="44"/>
  <c r="AI29" i="44"/>
  <c r="AI8" i="44"/>
  <c r="AI26" i="44"/>
  <c r="AI25" i="44"/>
  <c r="AI13" i="44"/>
  <c r="AI28" i="44"/>
  <c r="AI21" i="44"/>
  <c r="AI27" i="44"/>
  <c r="AI24" i="44"/>
  <c r="AI6" i="44"/>
  <c r="AF3" i="44"/>
  <c r="AF5" i="44"/>
  <c r="AF4" i="44"/>
  <c r="AF2" i="44"/>
  <c r="AF7" i="44"/>
  <c r="AF10" i="44"/>
  <c r="AF11" i="44"/>
  <c r="AF17" i="44"/>
  <c r="AF15" i="44"/>
  <c r="AF23" i="44"/>
  <c r="AF14" i="44"/>
  <c r="AF9" i="44"/>
  <c r="AF19" i="44"/>
  <c r="AF20" i="44"/>
  <c r="AF12" i="44"/>
  <c r="AF18" i="44"/>
  <c r="AF22" i="44"/>
  <c r="AF16" i="44"/>
  <c r="AF29" i="44"/>
  <c r="AF8" i="44"/>
  <c r="AF26" i="44"/>
  <c r="AF25" i="44"/>
  <c r="AF13" i="44"/>
  <c r="AF28" i="44"/>
  <c r="AF21" i="44"/>
  <c r="AF27" i="44"/>
  <c r="AF24" i="44"/>
  <c r="AF6" i="44"/>
  <c r="AJ23" i="45" l="1"/>
  <c r="AK23" i="45" s="1"/>
  <c r="AJ22" i="45"/>
  <c r="AK22" i="45" s="1"/>
  <c r="AJ2" i="45"/>
  <c r="AK2" i="45" s="1"/>
  <c r="AJ18" i="45"/>
  <c r="AK18" i="45" s="1"/>
  <c r="AJ8" i="45"/>
  <c r="AK8" i="45" s="1"/>
  <c r="AJ6" i="45"/>
  <c r="AJ19" i="45"/>
  <c r="AK19" i="45" s="1"/>
  <c r="AJ17" i="45"/>
  <c r="AK17" i="45" s="1"/>
  <c r="AJ5" i="45"/>
  <c r="AK5" i="45" s="1"/>
  <c r="AJ26" i="45"/>
  <c r="AK26" i="45" s="1"/>
  <c r="AJ15" i="45"/>
  <c r="AK15" i="45" s="1"/>
  <c r="AJ16" i="45"/>
  <c r="AK16" i="45" s="1"/>
  <c r="AJ3" i="45"/>
  <c r="AK3" i="45" s="1"/>
  <c r="AJ24" i="45"/>
  <c r="AK24" i="45" s="1"/>
  <c r="AJ7" i="45"/>
  <c r="AK7" i="45" s="1"/>
  <c r="AJ21" i="45"/>
  <c r="AK21" i="45" s="1"/>
  <c r="AJ10" i="45"/>
  <c r="AK10" i="45" s="1"/>
  <c r="AJ4" i="45"/>
  <c r="AK4" i="45" s="1"/>
  <c r="AJ27" i="45"/>
  <c r="AK27" i="45" s="1"/>
  <c r="AJ9" i="45"/>
  <c r="AK9" i="45" s="1"/>
  <c r="AJ13" i="45"/>
  <c r="AK13" i="45" s="1"/>
  <c r="AJ11" i="45"/>
  <c r="AK11" i="45" s="1"/>
  <c r="AJ14" i="45"/>
  <c r="AK14" i="45" s="1"/>
  <c r="AJ25" i="45"/>
  <c r="AK25" i="45" s="1"/>
  <c r="AJ20" i="45"/>
  <c r="AK20" i="45" s="1"/>
  <c r="AJ181" i="46"/>
  <c r="AK2" i="46"/>
  <c r="AK181" i="46" s="1"/>
  <c r="AG30" i="44"/>
  <c r="AI30" i="44"/>
  <c r="AF30" i="44"/>
  <c r="AH30" i="44"/>
  <c r="AH8" i="43"/>
  <c r="AI4" i="43"/>
  <c r="AI3" i="43"/>
  <c r="AI5" i="43"/>
  <c r="AL8" i="43"/>
  <c r="AM4" i="43"/>
  <c r="AM3" i="43"/>
  <c r="AM5" i="43"/>
  <c r="AF2" i="43"/>
  <c r="AF4" i="43"/>
  <c r="AF3" i="43"/>
  <c r="AF5" i="43"/>
  <c r="AI2" i="42"/>
  <c r="AI3" i="42"/>
  <c r="AI7" i="42"/>
  <c r="AI5" i="42"/>
  <c r="AI4" i="42"/>
  <c r="AI6" i="42"/>
  <c r="AI11" i="42"/>
  <c r="AI8" i="42"/>
  <c r="AI9" i="42"/>
  <c r="AI12" i="42"/>
  <c r="AI13" i="42"/>
  <c r="AI10" i="42"/>
  <c r="AF2" i="42"/>
  <c r="AF3" i="42"/>
  <c r="AF7" i="42"/>
  <c r="AF5" i="42"/>
  <c r="AF4" i="42"/>
  <c r="AF6" i="42"/>
  <c r="AF11" i="42"/>
  <c r="AF8" i="42"/>
  <c r="AF9" i="42"/>
  <c r="AF12" i="42"/>
  <c r="AF13" i="42"/>
  <c r="AF10" i="42"/>
  <c r="AI22" i="41"/>
  <c r="AI5" i="41"/>
  <c r="AI12" i="41"/>
  <c r="AI7" i="41"/>
  <c r="AI15" i="41"/>
  <c r="AI6" i="41"/>
  <c r="AI11" i="41"/>
  <c r="AI4" i="41"/>
  <c r="AI3" i="41"/>
  <c r="AI16" i="41"/>
  <c r="AI9" i="41"/>
  <c r="AI14" i="41"/>
  <c r="AI17" i="41"/>
  <c r="AI18" i="41"/>
  <c r="AI13" i="41"/>
  <c r="AI8" i="41"/>
  <c r="AI21" i="41"/>
  <c r="AI24" i="41"/>
  <c r="AI19" i="41"/>
  <c r="AI23" i="41"/>
  <c r="AI20" i="41"/>
  <c r="AI10" i="41"/>
  <c r="AF2" i="41"/>
  <c r="AF22" i="41"/>
  <c r="AF5" i="41"/>
  <c r="AF12" i="41"/>
  <c r="AF7" i="41"/>
  <c r="AF15" i="41"/>
  <c r="AF6" i="41"/>
  <c r="AF11" i="41"/>
  <c r="AF4" i="41"/>
  <c r="AF3" i="41"/>
  <c r="AF16" i="41"/>
  <c r="AF14" i="41"/>
  <c r="AF18" i="41"/>
  <c r="AF13" i="41"/>
  <c r="AF8" i="41"/>
  <c r="AF21" i="41"/>
  <c r="AF24" i="41"/>
  <c r="AF19" i="41"/>
  <c r="AF23" i="41"/>
  <c r="AF20" i="41"/>
  <c r="AF10" i="41"/>
  <c r="AI6" i="40"/>
  <c r="AI21" i="40"/>
  <c r="AI4" i="40"/>
  <c r="AI22" i="40"/>
  <c r="AI19" i="40"/>
  <c r="AI24" i="40"/>
  <c r="AI25" i="40"/>
  <c r="AI18" i="40"/>
  <c r="AI23" i="40"/>
  <c r="AI11" i="40"/>
  <c r="AI2" i="40"/>
  <c r="AI20" i="40"/>
  <c r="AI7" i="40"/>
  <c r="AI15" i="40"/>
  <c r="AI10" i="40"/>
  <c r="AI17" i="40"/>
  <c r="AI3" i="40"/>
  <c r="AI12" i="40"/>
  <c r="AI16" i="40"/>
  <c r="AF17" i="40"/>
  <c r="AF23" i="40"/>
  <c r="AF25" i="40"/>
  <c r="AF13" i="40"/>
  <c r="AI13" i="40"/>
  <c r="AI9" i="40"/>
  <c r="AI5" i="40"/>
  <c r="AI8" i="40"/>
  <c r="AI14" i="40"/>
  <c r="AF2" i="40"/>
  <c r="AF3" i="40"/>
  <c r="AF9" i="40"/>
  <c r="AF4" i="40"/>
  <c r="AF5" i="40"/>
  <c r="AF12" i="40"/>
  <c r="AF8" i="40"/>
  <c r="AF16" i="40"/>
  <c r="AF6" i="40"/>
  <c r="AF15" i="40"/>
  <c r="AF11" i="40"/>
  <c r="AF14" i="40"/>
  <c r="AF19" i="40"/>
  <c r="AF7" i="40"/>
  <c r="AF22" i="40"/>
  <c r="AF18" i="40"/>
  <c r="AF21" i="40"/>
  <c r="AF20" i="40"/>
  <c r="AF24" i="40"/>
  <c r="AF10" i="40"/>
  <c r="AF8" i="43" l="1"/>
  <c r="AK28" i="45"/>
  <c r="AJ28" i="45"/>
  <c r="AK6" i="45"/>
  <c r="AL26" i="44"/>
  <c r="AM26" i="44" s="1"/>
  <c r="AL10" i="44"/>
  <c r="AM10" i="44" s="1"/>
  <c r="AL25" i="44"/>
  <c r="AM25" i="44" s="1"/>
  <c r="AL9" i="44"/>
  <c r="AM9" i="44" s="1"/>
  <c r="AL20" i="44"/>
  <c r="AM20" i="44" s="1"/>
  <c r="AL4" i="44"/>
  <c r="AM4" i="44" s="1"/>
  <c r="AL15" i="44"/>
  <c r="AM15" i="44" s="1"/>
  <c r="AL22" i="44"/>
  <c r="AM22" i="44" s="1"/>
  <c r="AL6" i="44"/>
  <c r="AM6" i="44" s="1"/>
  <c r="AL21" i="44"/>
  <c r="AM21" i="44" s="1"/>
  <c r="AL5" i="44"/>
  <c r="AM5" i="44" s="1"/>
  <c r="AL16" i="44"/>
  <c r="AM16" i="44" s="1"/>
  <c r="AL27" i="44"/>
  <c r="AM27" i="44" s="1"/>
  <c r="AL11" i="44"/>
  <c r="AM11" i="44" s="1"/>
  <c r="AL18" i="44"/>
  <c r="AM18" i="44" s="1"/>
  <c r="AL2" i="44"/>
  <c r="AL17" i="44"/>
  <c r="AM17" i="44" s="1"/>
  <c r="AL28" i="44"/>
  <c r="AM28" i="44" s="1"/>
  <c r="AL12" i="44"/>
  <c r="AM12" i="44" s="1"/>
  <c r="AL23" i="44"/>
  <c r="AM23" i="44" s="1"/>
  <c r="AL7" i="44"/>
  <c r="AM7" i="44" s="1"/>
  <c r="AL14" i="44"/>
  <c r="AM14" i="44" s="1"/>
  <c r="AL29" i="44"/>
  <c r="AM29" i="44" s="1"/>
  <c r="AL13" i="44"/>
  <c r="AM13" i="44" s="1"/>
  <c r="AL24" i="44"/>
  <c r="AM24" i="44" s="1"/>
  <c r="AL8" i="44"/>
  <c r="AM8" i="44" s="1"/>
  <c r="AL19" i="44"/>
  <c r="AM19" i="44" s="1"/>
  <c r="AL3" i="44"/>
  <c r="AM3" i="44" s="1"/>
  <c r="AJ14" i="44"/>
  <c r="AK14" i="44" s="1"/>
  <c r="AJ29" i="44"/>
  <c r="AK29" i="44" s="1"/>
  <c r="AJ24" i="44"/>
  <c r="AK24" i="44" s="1"/>
  <c r="AJ2" i="44"/>
  <c r="AJ9" i="44"/>
  <c r="AK9" i="44" s="1"/>
  <c r="AJ8" i="44"/>
  <c r="AK8" i="44" s="1"/>
  <c r="AJ6" i="44"/>
  <c r="AK6" i="44" s="1"/>
  <c r="AJ3" i="44"/>
  <c r="AK3" i="44" s="1"/>
  <c r="AJ15" i="44"/>
  <c r="AK15" i="44" s="1"/>
  <c r="AJ22" i="44"/>
  <c r="AK22" i="44" s="1"/>
  <c r="AJ21" i="44"/>
  <c r="AK21" i="44" s="1"/>
  <c r="AJ5" i="44"/>
  <c r="AK5" i="44" s="1"/>
  <c r="AJ23" i="44"/>
  <c r="AK23" i="44" s="1"/>
  <c r="AJ16" i="44"/>
  <c r="AK16" i="44" s="1"/>
  <c r="AJ27" i="44"/>
  <c r="AK27" i="44" s="1"/>
  <c r="AJ4" i="44"/>
  <c r="AK4" i="44" s="1"/>
  <c r="AJ11" i="44"/>
  <c r="AK11" i="44" s="1"/>
  <c r="AJ12" i="44"/>
  <c r="AK12" i="44" s="1"/>
  <c r="AJ13" i="44"/>
  <c r="AK13" i="44" s="1"/>
  <c r="AJ17" i="44"/>
  <c r="AK17" i="44" s="1"/>
  <c r="AJ18" i="44"/>
  <c r="AK18" i="44" s="1"/>
  <c r="AJ28" i="44"/>
  <c r="AK28" i="44" s="1"/>
  <c r="AJ7" i="44"/>
  <c r="AK7" i="44" s="1"/>
  <c r="AJ19" i="44"/>
  <c r="AK19" i="44" s="1"/>
  <c r="AJ26" i="44"/>
  <c r="AK26" i="44" s="1"/>
  <c r="AJ10" i="44"/>
  <c r="AK10" i="44" s="1"/>
  <c r="AJ20" i="44"/>
  <c r="AK20" i="44" s="1"/>
  <c r="AJ25" i="44"/>
  <c r="AK25" i="44" s="1"/>
  <c r="AG25" i="41"/>
  <c r="AI2" i="41"/>
  <c r="AI25" i="41" s="1"/>
  <c r="AH25" i="41"/>
  <c r="AM2" i="43"/>
  <c r="AM8" i="43" s="1"/>
  <c r="AI2" i="43"/>
  <c r="AI8" i="43" s="1"/>
  <c r="AI14" i="42"/>
  <c r="AF14" i="42"/>
  <c r="AJ2" i="42" s="1"/>
  <c r="AH14" i="42"/>
  <c r="AG14" i="42"/>
  <c r="AI26" i="40"/>
  <c r="AH26" i="40"/>
  <c r="AF25" i="41"/>
  <c r="AJ19" i="41" s="1"/>
  <c r="AK19" i="41" s="1"/>
  <c r="AF26" i="40"/>
  <c r="AG26" i="40"/>
  <c r="AI2" i="39"/>
  <c r="AF2" i="39"/>
  <c r="AI6" i="38"/>
  <c r="AI3" i="38"/>
  <c r="AI5" i="38"/>
  <c r="AI4" i="38"/>
  <c r="AI8" i="38"/>
  <c r="AI11" i="38"/>
  <c r="AI12" i="38"/>
  <c r="AI17" i="38"/>
  <c r="AI13" i="38"/>
  <c r="AI7" i="38"/>
  <c r="AI21" i="38"/>
  <c r="AI25" i="38"/>
  <c r="AI16" i="38"/>
  <c r="AI18" i="38"/>
  <c r="AI15" i="38"/>
  <c r="AI10" i="38"/>
  <c r="AI28" i="38"/>
  <c r="AI24" i="38"/>
  <c r="AI14" i="38"/>
  <c r="AI22" i="38"/>
  <c r="AI27" i="38"/>
  <c r="AI20" i="38"/>
  <c r="AI23" i="38"/>
  <c r="AI26" i="38"/>
  <c r="AM6" i="38"/>
  <c r="AM3" i="38"/>
  <c r="AM5" i="38"/>
  <c r="AM4" i="38"/>
  <c r="AM8" i="38"/>
  <c r="AM11" i="38"/>
  <c r="AM12" i="38"/>
  <c r="AM17" i="38"/>
  <c r="AM13" i="38"/>
  <c r="AM7" i="38"/>
  <c r="AM21" i="38"/>
  <c r="AM25" i="38"/>
  <c r="AM16" i="38"/>
  <c r="AM18" i="38"/>
  <c r="AM15" i="38"/>
  <c r="AM10" i="38"/>
  <c r="AM28" i="38"/>
  <c r="AM24" i="38"/>
  <c r="AM14" i="38"/>
  <c r="AM22" i="38"/>
  <c r="AM27" i="38"/>
  <c r="AM20" i="38"/>
  <c r="AM23" i="38"/>
  <c r="AM26" i="38"/>
  <c r="AF29" i="38"/>
  <c r="AF6" i="38"/>
  <c r="AF3" i="38"/>
  <c r="AF5" i="38"/>
  <c r="AF4" i="38"/>
  <c r="AF2" i="38"/>
  <c r="AF8" i="38"/>
  <c r="AF11" i="38"/>
  <c r="AF12" i="38"/>
  <c r="AF17" i="38"/>
  <c r="AF13" i="38"/>
  <c r="AF7" i="38"/>
  <c r="AF21" i="38"/>
  <c r="AF25" i="38"/>
  <c r="AF16" i="38"/>
  <c r="AF18" i="38"/>
  <c r="AF15" i="38"/>
  <c r="AF10" i="38"/>
  <c r="AF28" i="38"/>
  <c r="AF24" i="38"/>
  <c r="AF14" i="38"/>
  <c r="AF22" i="38"/>
  <c r="AF27" i="38"/>
  <c r="AF20" i="38"/>
  <c r="AF23" i="38"/>
  <c r="AF26" i="38"/>
  <c r="AI2" i="36"/>
  <c r="AI9" i="36"/>
  <c r="AI26" i="36"/>
  <c r="AI4" i="36"/>
  <c r="AI6" i="36"/>
  <c r="AI10" i="36"/>
  <c r="AI7" i="36"/>
  <c r="AI29" i="36"/>
  <c r="AI13" i="36"/>
  <c r="AI17" i="36"/>
  <c r="AI20" i="36"/>
  <c r="AI18" i="36"/>
  <c r="AI32" i="36"/>
  <c r="AI22" i="36"/>
  <c r="AI12" i="36"/>
  <c r="AI11" i="36"/>
  <c r="AI8" i="36"/>
  <c r="AI31" i="36"/>
  <c r="AI15" i="36"/>
  <c r="AI14" i="36"/>
  <c r="AI28" i="36"/>
  <c r="AI3" i="36"/>
  <c r="AI34" i="36"/>
  <c r="AM9" i="36"/>
  <c r="AM26" i="36"/>
  <c r="AM4" i="36"/>
  <c r="AM6" i="36"/>
  <c r="AM10" i="36"/>
  <c r="AM7" i="36"/>
  <c r="AM29" i="36"/>
  <c r="AM13" i="36"/>
  <c r="AM17" i="36"/>
  <c r="AM20" i="36"/>
  <c r="AM18" i="36"/>
  <c r="AM32" i="36"/>
  <c r="AM22" i="36"/>
  <c r="AM12" i="36"/>
  <c r="AM11" i="36"/>
  <c r="AM8" i="36"/>
  <c r="AM31" i="36"/>
  <c r="AM15" i="36"/>
  <c r="AM14" i="36"/>
  <c r="AM28" i="36"/>
  <c r="AM3" i="36"/>
  <c r="AM34" i="36"/>
  <c r="AF2" i="36"/>
  <c r="AF9" i="36"/>
  <c r="AF26" i="36"/>
  <c r="AF4" i="36"/>
  <c r="AF6" i="36"/>
  <c r="AF10" i="36"/>
  <c r="AF7" i="36"/>
  <c r="AF29" i="36"/>
  <c r="AF13" i="36"/>
  <c r="AF17" i="36"/>
  <c r="AF20" i="36"/>
  <c r="AF18" i="36"/>
  <c r="AF32" i="36"/>
  <c r="AF22" i="36"/>
  <c r="AF12" i="36"/>
  <c r="AF11" i="36"/>
  <c r="AF8" i="36"/>
  <c r="AF31" i="36"/>
  <c r="AF15" i="36"/>
  <c r="AF14" i="36"/>
  <c r="AF28" i="36"/>
  <c r="AF3" i="36"/>
  <c r="AF34" i="36"/>
  <c r="AI2" i="37"/>
  <c r="AI3" i="37"/>
  <c r="AI12" i="37"/>
  <c r="AI14" i="37"/>
  <c r="AI21" i="37"/>
  <c r="AI19" i="37"/>
  <c r="AI20" i="37"/>
  <c r="AI15" i="37"/>
  <c r="AI17" i="37"/>
  <c r="AI7" i="37"/>
  <c r="AI13" i="37"/>
  <c r="AI10" i="37"/>
  <c r="AI8" i="37"/>
  <c r="AI22" i="37"/>
  <c r="AI26" i="37"/>
  <c r="AI24" i="37"/>
  <c r="AI23" i="37"/>
  <c r="AI27" i="37"/>
  <c r="AI37" i="37"/>
  <c r="AI6" i="37"/>
  <c r="AI29" i="37"/>
  <c r="AI25" i="37"/>
  <c r="AI35" i="37"/>
  <c r="AI38" i="37"/>
  <c r="AI33" i="37"/>
  <c r="AI11" i="37"/>
  <c r="AI31" i="37"/>
  <c r="AI34" i="37"/>
  <c r="AI30" i="37"/>
  <c r="AF3" i="37"/>
  <c r="AF12" i="37"/>
  <c r="AF14" i="37"/>
  <c r="AF21" i="37"/>
  <c r="AF19" i="37"/>
  <c r="AF20" i="37"/>
  <c r="AF15" i="37"/>
  <c r="AF17" i="37"/>
  <c r="AF7" i="37"/>
  <c r="AF13" i="37"/>
  <c r="AF10" i="37"/>
  <c r="AF8" i="37"/>
  <c r="AF22" i="37"/>
  <c r="AF32" i="37"/>
  <c r="AF26" i="37"/>
  <c r="AF24" i="37"/>
  <c r="AF23" i="37"/>
  <c r="AF27" i="37"/>
  <c r="AF37" i="37"/>
  <c r="AF29" i="37"/>
  <c r="AF25" i="37"/>
  <c r="AF35" i="37"/>
  <c r="AF38" i="37"/>
  <c r="AF33" i="37"/>
  <c r="AF11" i="37"/>
  <c r="AF34" i="37"/>
  <c r="AF30" i="37"/>
  <c r="AI40" i="35"/>
  <c r="AI33" i="35"/>
  <c r="AI18" i="35"/>
  <c r="AI25" i="35"/>
  <c r="AI48" i="35"/>
  <c r="AI27" i="35"/>
  <c r="AI46" i="35"/>
  <c r="AI43" i="35"/>
  <c r="AI49" i="35"/>
  <c r="AI45" i="35"/>
  <c r="AI39" i="35"/>
  <c r="AI22" i="35"/>
  <c r="AI9" i="35"/>
  <c r="AI35" i="35"/>
  <c r="AI36" i="35"/>
  <c r="AI20" i="35"/>
  <c r="AI37" i="35"/>
  <c r="AI26" i="35"/>
  <c r="AI19" i="35"/>
  <c r="AI3" i="35"/>
  <c r="AI8" i="35"/>
  <c r="AI32" i="35"/>
  <c r="AI30" i="35"/>
  <c r="AI50" i="35"/>
  <c r="AI12" i="35"/>
  <c r="AI38" i="35"/>
  <c r="AI11" i="35"/>
  <c r="AI5" i="35"/>
  <c r="AI44" i="35"/>
  <c r="AI15" i="35"/>
  <c r="AI41" i="35"/>
  <c r="AI29" i="35"/>
  <c r="AI47" i="35"/>
  <c r="AI52" i="35"/>
  <c r="AI21" i="35"/>
  <c r="AI28" i="35"/>
  <c r="AI51" i="35"/>
  <c r="AI16" i="35"/>
  <c r="AI23" i="35"/>
  <c r="AI24" i="35"/>
  <c r="AI13" i="35"/>
  <c r="AI34" i="35"/>
  <c r="AI42" i="35"/>
  <c r="AI14" i="35"/>
  <c r="AF40" i="35"/>
  <c r="AF33" i="35"/>
  <c r="AF18" i="35"/>
  <c r="AF25" i="35"/>
  <c r="AF48" i="35"/>
  <c r="AF27" i="35"/>
  <c r="AF46" i="35"/>
  <c r="AF43" i="35"/>
  <c r="AF49" i="35"/>
  <c r="AF45" i="35"/>
  <c r="AF39" i="35"/>
  <c r="AF22" i="35"/>
  <c r="AF9" i="35"/>
  <c r="AF35" i="35"/>
  <c r="AF36" i="35"/>
  <c r="AF20" i="35"/>
  <c r="AF37" i="35"/>
  <c r="AF26" i="35"/>
  <c r="AF19" i="35"/>
  <c r="AF3" i="35"/>
  <c r="AF8" i="35"/>
  <c r="AF32" i="35"/>
  <c r="AF30" i="35"/>
  <c r="AF50" i="35"/>
  <c r="AF12" i="35"/>
  <c r="AF38" i="35"/>
  <c r="AF11" i="35"/>
  <c r="AF5" i="35"/>
  <c r="AF44" i="35"/>
  <c r="AF15" i="35"/>
  <c r="AF41" i="35"/>
  <c r="AF29" i="35"/>
  <c r="AF47" i="35"/>
  <c r="AF52" i="35"/>
  <c r="AF21" i="35"/>
  <c r="AF28" i="35"/>
  <c r="AF51" i="35"/>
  <c r="AF16" i="35"/>
  <c r="AF23" i="35"/>
  <c r="AF24" i="35"/>
  <c r="AF13" i="35"/>
  <c r="AF34" i="35"/>
  <c r="AF42" i="35"/>
  <c r="AF14" i="35"/>
  <c r="AJ6" i="43" l="1"/>
  <c r="AK6" i="43" s="1"/>
  <c r="AJ7" i="43"/>
  <c r="AK7" i="43" s="1"/>
  <c r="AJ3" i="43"/>
  <c r="AK3" i="43" s="1"/>
  <c r="AJ4" i="43"/>
  <c r="AK4" i="43" s="1"/>
  <c r="AJ5" i="43"/>
  <c r="AK5" i="43" s="1"/>
  <c r="AJ2" i="43"/>
  <c r="AK2" i="42"/>
  <c r="AJ3" i="42"/>
  <c r="AK3" i="42" s="1"/>
  <c r="AJ12" i="42"/>
  <c r="AK12" i="42" s="1"/>
  <c r="AJ13" i="42"/>
  <c r="AK13" i="42" s="1"/>
  <c r="AJ8" i="42"/>
  <c r="AK8" i="42" s="1"/>
  <c r="AJ4" i="42"/>
  <c r="AK4" i="42" s="1"/>
  <c r="AJ11" i="42"/>
  <c r="AK11" i="42" s="1"/>
  <c r="AL11" i="42"/>
  <c r="AM11" i="42" s="1"/>
  <c r="AL4" i="42"/>
  <c r="AM4" i="42" s="1"/>
  <c r="AL6" i="42"/>
  <c r="AM6" i="42" s="1"/>
  <c r="AL5" i="42"/>
  <c r="AM5" i="42" s="1"/>
  <c r="AL10" i="42"/>
  <c r="AM10" i="42" s="1"/>
  <c r="AL12" i="42"/>
  <c r="AM12" i="42" s="1"/>
  <c r="AL2" i="42"/>
  <c r="AL7" i="42"/>
  <c r="AM7" i="42" s="1"/>
  <c r="AL13" i="42"/>
  <c r="AM13" i="42" s="1"/>
  <c r="AL8" i="42"/>
  <c r="AM8" i="42" s="1"/>
  <c r="AL3" i="42"/>
  <c r="AM3" i="42" s="1"/>
  <c r="AL9" i="42"/>
  <c r="AM9" i="42" s="1"/>
  <c r="AJ6" i="42"/>
  <c r="AK6" i="42" s="1"/>
  <c r="AJ7" i="42"/>
  <c r="AK7" i="42" s="1"/>
  <c r="AJ5" i="42"/>
  <c r="AK5" i="42" s="1"/>
  <c r="AJ10" i="42"/>
  <c r="AK10" i="42" s="1"/>
  <c r="AJ9" i="42"/>
  <c r="AK9" i="42" s="1"/>
  <c r="AJ4" i="41"/>
  <c r="AK4" i="41" s="1"/>
  <c r="AJ8" i="41"/>
  <c r="AK8" i="41" s="1"/>
  <c r="AJ15" i="41"/>
  <c r="AK15" i="41" s="1"/>
  <c r="AJ21" i="41"/>
  <c r="AK21" i="41" s="1"/>
  <c r="AJ5" i="41"/>
  <c r="AK5" i="41" s="1"/>
  <c r="AJ16" i="41"/>
  <c r="AK16" i="41" s="1"/>
  <c r="AJ20" i="41"/>
  <c r="AK20" i="41" s="1"/>
  <c r="AJ11" i="41"/>
  <c r="AK11" i="41" s="1"/>
  <c r="AJ24" i="41"/>
  <c r="AK24" i="41" s="1"/>
  <c r="AJ2" i="41"/>
  <c r="AJ7" i="41"/>
  <c r="AK7" i="41" s="1"/>
  <c r="AJ14" i="41"/>
  <c r="AK14" i="41" s="1"/>
  <c r="AJ17" i="41"/>
  <c r="AK17" i="41" s="1"/>
  <c r="AJ9" i="41"/>
  <c r="AK9" i="41" s="1"/>
  <c r="AL17" i="41"/>
  <c r="AM17" i="41" s="1"/>
  <c r="AL9" i="41"/>
  <c r="AM9" i="41" s="1"/>
  <c r="AL2" i="41"/>
  <c r="AM2" i="41" s="1"/>
  <c r="AL7" i="41"/>
  <c r="AM7" i="41" s="1"/>
  <c r="AL15" i="41"/>
  <c r="AM15" i="41" s="1"/>
  <c r="AL19" i="41"/>
  <c r="AM19" i="41" s="1"/>
  <c r="AL22" i="41"/>
  <c r="AM22" i="41" s="1"/>
  <c r="AL4" i="41"/>
  <c r="AM4" i="41" s="1"/>
  <c r="AL21" i="41"/>
  <c r="AM21" i="41" s="1"/>
  <c r="AL3" i="41"/>
  <c r="AM3" i="41" s="1"/>
  <c r="AL11" i="41"/>
  <c r="AM11" i="41" s="1"/>
  <c r="AL14" i="41"/>
  <c r="AM14" i="41" s="1"/>
  <c r="AL18" i="41"/>
  <c r="AM18" i="41" s="1"/>
  <c r="AL16" i="41"/>
  <c r="AM16" i="41" s="1"/>
  <c r="AL24" i="41"/>
  <c r="AM24" i="41" s="1"/>
  <c r="AL6" i="41"/>
  <c r="AM6" i="41" s="1"/>
  <c r="AL10" i="41"/>
  <c r="AM10" i="41" s="1"/>
  <c r="AL13" i="41"/>
  <c r="AM13" i="41" s="1"/>
  <c r="AL12" i="41"/>
  <c r="AM12" i="41" s="1"/>
  <c r="AL20" i="41"/>
  <c r="AM20" i="41" s="1"/>
  <c r="AL23" i="41"/>
  <c r="AM23" i="41" s="1"/>
  <c r="AM25" i="41" s="1"/>
  <c r="AL5" i="41"/>
  <c r="AM5" i="41" s="1"/>
  <c r="AL8" i="41"/>
  <c r="AM8" i="41" s="1"/>
  <c r="AJ22" i="41"/>
  <c r="AK22" i="41" s="1"/>
  <c r="AJ3" i="41"/>
  <c r="AK3" i="41" s="1"/>
  <c r="AJ23" i="41"/>
  <c r="AK23" i="41" s="1"/>
  <c r="AJ6" i="41"/>
  <c r="AK6" i="41" s="1"/>
  <c r="AJ18" i="41"/>
  <c r="AK18" i="41" s="1"/>
  <c r="AJ12" i="41"/>
  <c r="AK12" i="41" s="1"/>
  <c r="AJ13" i="41"/>
  <c r="AK13" i="41" s="1"/>
  <c r="AJ10" i="41"/>
  <c r="AK10" i="41" s="1"/>
  <c r="AJ17" i="40"/>
  <c r="AK17" i="40" s="1"/>
  <c r="AJ6" i="40"/>
  <c r="AK6" i="40" s="1"/>
  <c r="AJ7" i="40"/>
  <c r="AK7" i="40" s="1"/>
  <c r="AJ22" i="40"/>
  <c r="AK22" i="40" s="1"/>
  <c r="AJ18" i="40"/>
  <c r="AK18" i="40" s="1"/>
  <c r="AL16" i="40"/>
  <c r="AM16" i="40" s="1"/>
  <c r="AL19" i="40"/>
  <c r="AM19" i="40" s="1"/>
  <c r="AL20" i="40"/>
  <c r="AM20" i="40" s="1"/>
  <c r="AL3" i="40"/>
  <c r="AM3" i="40" s="1"/>
  <c r="AL5" i="40"/>
  <c r="AM5" i="40" s="1"/>
  <c r="AL11" i="40"/>
  <c r="AM11" i="40" s="1"/>
  <c r="AL10" i="40"/>
  <c r="AM10" i="40" s="1"/>
  <c r="AL21" i="40"/>
  <c r="AM21" i="40" s="1"/>
  <c r="AL18" i="40"/>
  <c r="AM18" i="40" s="1"/>
  <c r="AL14" i="40"/>
  <c r="AM14" i="40" s="1"/>
  <c r="AL9" i="40"/>
  <c r="AM9" i="40" s="1"/>
  <c r="AL24" i="40"/>
  <c r="AM24" i="40" s="1"/>
  <c r="AL7" i="40"/>
  <c r="AM7" i="40" s="1"/>
  <c r="AL12" i="40"/>
  <c r="AM12" i="40" s="1"/>
  <c r="AL22" i="40"/>
  <c r="AM22" i="40" s="1"/>
  <c r="AL2" i="40"/>
  <c r="AM2" i="40" s="1"/>
  <c r="AL17" i="40"/>
  <c r="AM17" i="40" s="1"/>
  <c r="AL4" i="40"/>
  <c r="AM4" i="40" s="1"/>
  <c r="AL23" i="40"/>
  <c r="AM23" i="40" s="1"/>
  <c r="AL8" i="40"/>
  <c r="AM8" i="40" s="1"/>
  <c r="AL6" i="40"/>
  <c r="AM6" i="40" s="1"/>
  <c r="AL25" i="40"/>
  <c r="AM25" i="40" s="1"/>
  <c r="AL15" i="40"/>
  <c r="AM15" i="40" s="1"/>
  <c r="AL13" i="40"/>
  <c r="AM13" i="40" s="1"/>
  <c r="AJ19" i="40"/>
  <c r="AK19" i="40" s="1"/>
  <c r="AJ3" i="40"/>
  <c r="AK3" i="40" s="1"/>
  <c r="AJ21" i="40"/>
  <c r="AK21" i="40" s="1"/>
  <c r="AJ9" i="40"/>
  <c r="AJ20" i="40"/>
  <c r="AK20" i="40" s="1"/>
  <c r="AJ4" i="40"/>
  <c r="AK4" i="40" s="1"/>
  <c r="AJ24" i="40"/>
  <c r="AK24" i="40" s="1"/>
  <c r="AJ2" i="40"/>
  <c r="AK2" i="40" s="1"/>
  <c r="AJ12" i="40"/>
  <c r="AK12" i="40" s="1"/>
  <c r="AJ8" i="40"/>
  <c r="AK8" i="40" s="1"/>
  <c r="AJ10" i="40"/>
  <c r="AK10" i="40" s="1"/>
  <c r="AJ16" i="40"/>
  <c r="AK16" i="40" s="1"/>
  <c r="AJ5" i="40"/>
  <c r="AK5" i="40" s="1"/>
  <c r="AJ23" i="40"/>
  <c r="AK23" i="40" s="1"/>
  <c r="AJ15" i="40"/>
  <c r="AK15" i="40" s="1"/>
  <c r="AJ25" i="40"/>
  <c r="AK25" i="40" s="1"/>
  <c r="AJ11" i="40"/>
  <c r="AK11" i="40" s="1"/>
  <c r="AJ13" i="40"/>
  <c r="AK13" i="40" s="1"/>
  <c r="AJ14" i="40"/>
  <c r="AK14" i="40" s="1"/>
  <c r="AF36" i="36"/>
  <c r="AJ11" i="36" s="1"/>
  <c r="AK11" i="36" s="1"/>
  <c r="AF41" i="39"/>
  <c r="AK30" i="44"/>
  <c r="AK2" i="44"/>
  <c r="AJ30" i="44"/>
  <c r="AM2" i="44"/>
  <c r="AL30" i="44"/>
  <c r="AM30" i="44"/>
  <c r="AF30" i="38"/>
  <c r="AJ28" i="38" s="1"/>
  <c r="AK28" i="38" s="1"/>
  <c r="AI2" i="38"/>
  <c r="AH30" i="38"/>
  <c r="AM2" i="38"/>
  <c r="AL30" i="38"/>
  <c r="AI36" i="36"/>
  <c r="AF53" i="35"/>
  <c r="AJ23" i="35" s="1"/>
  <c r="AK23" i="35" s="1"/>
  <c r="AI53" i="35"/>
  <c r="AF39" i="37"/>
  <c r="AJ24" i="37" s="1"/>
  <c r="AK24" i="37" s="1"/>
  <c r="AI41" i="39"/>
  <c r="AM2" i="39"/>
  <c r="AL25" i="41"/>
  <c r="AJ26" i="40"/>
  <c r="AL26" i="40"/>
  <c r="AM29" i="38"/>
  <c r="AI29" i="38"/>
  <c r="AL53" i="35"/>
  <c r="AM42" i="35"/>
  <c r="AM24" i="35"/>
  <c r="AM29" i="35"/>
  <c r="AM11" i="35"/>
  <c r="AM23" i="35"/>
  <c r="AM21" i="35"/>
  <c r="AM38" i="35"/>
  <c r="AM32" i="35"/>
  <c r="AM19" i="35"/>
  <c r="AM9" i="35"/>
  <c r="AM49" i="35"/>
  <c r="AM27" i="35"/>
  <c r="AM33" i="35"/>
  <c r="AM34" i="35"/>
  <c r="AM44" i="35"/>
  <c r="AM26" i="35"/>
  <c r="AM22" i="35"/>
  <c r="AM43" i="35"/>
  <c r="AM48" i="35"/>
  <c r="AM40" i="35"/>
  <c r="AM14" i="35"/>
  <c r="AM16" i="35"/>
  <c r="AM52" i="35"/>
  <c r="AM41" i="35"/>
  <c r="AM12" i="35"/>
  <c r="AM13" i="35"/>
  <c r="AM51" i="35"/>
  <c r="AM47" i="35"/>
  <c r="AM15" i="35"/>
  <c r="AM50" i="35"/>
  <c r="AM8" i="35"/>
  <c r="AM37" i="35"/>
  <c r="AM36" i="35"/>
  <c r="AM39" i="35"/>
  <c r="AM46" i="35"/>
  <c r="AM25" i="35"/>
  <c r="AM28" i="35"/>
  <c r="AM30" i="35"/>
  <c r="AM3" i="35"/>
  <c r="AM20" i="35"/>
  <c r="AM35" i="35"/>
  <c r="AM45" i="35"/>
  <c r="AM18" i="35"/>
  <c r="AM30" i="37"/>
  <c r="AM33" i="37"/>
  <c r="AM29" i="37"/>
  <c r="AM23" i="37"/>
  <c r="AM22" i="37"/>
  <c r="AM7" i="37"/>
  <c r="AM19" i="37"/>
  <c r="AM3" i="37"/>
  <c r="AM34" i="37"/>
  <c r="AM38" i="37"/>
  <c r="AM6" i="37"/>
  <c r="AM24" i="37"/>
  <c r="AM8" i="37"/>
  <c r="AM17" i="37"/>
  <c r="AM21" i="37"/>
  <c r="AM31" i="37"/>
  <c r="AM35" i="37"/>
  <c r="AM37" i="37"/>
  <c r="AM26" i="37"/>
  <c r="AM10" i="37"/>
  <c r="AM15" i="37"/>
  <c r="AM14" i="37"/>
  <c r="AM11" i="37"/>
  <c r="AM25" i="37"/>
  <c r="AM27" i="37"/>
  <c r="AM13" i="37"/>
  <c r="AM20" i="37"/>
  <c r="AM12" i="37"/>
  <c r="AM32" i="37"/>
  <c r="AI32" i="37"/>
  <c r="AI39" i="37" s="1"/>
  <c r="AM26" i="40"/>
  <c r="AK9" i="40"/>
  <c r="AK26" i="40" s="1"/>
  <c r="AM2" i="36"/>
  <c r="AM36" i="36" s="1"/>
  <c r="AI3" i="33"/>
  <c r="AI2" i="33"/>
  <c r="AI8" i="33"/>
  <c r="AI14" i="33"/>
  <c r="AI18" i="33"/>
  <c r="AI22" i="33"/>
  <c r="AI19" i="33"/>
  <c r="AI17" i="33"/>
  <c r="AI15" i="33"/>
  <c r="AI21" i="33"/>
  <c r="AI13" i="33"/>
  <c r="AI10" i="33"/>
  <c r="AF2" i="33"/>
  <c r="AI5" i="32"/>
  <c r="AI4" i="32"/>
  <c r="AI13" i="32"/>
  <c r="AI11" i="32"/>
  <c r="AI7" i="32"/>
  <c r="AI31" i="32"/>
  <c r="AI24" i="32"/>
  <c r="AI43" i="32"/>
  <c r="AI17" i="32"/>
  <c r="AI14" i="32"/>
  <c r="AI2" i="32"/>
  <c r="AI15" i="32"/>
  <c r="AI64" i="32"/>
  <c r="AI37" i="32"/>
  <c r="AI10" i="32"/>
  <c r="AI52" i="32"/>
  <c r="AI56" i="32"/>
  <c r="AI20" i="32"/>
  <c r="AI42" i="32"/>
  <c r="AI9" i="32"/>
  <c r="AI30" i="32"/>
  <c r="AI16" i="32"/>
  <c r="AI44" i="32"/>
  <c r="AI53" i="32"/>
  <c r="AI45" i="32"/>
  <c r="AI58" i="32"/>
  <c r="AI38" i="32"/>
  <c r="AI32" i="32"/>
  <c r="AI39" i="32"/>
  <c r="AI61" i="32"/>
  <c r="AI12" i="32"/>
  <c r="AI19" i="32"/>
  <c r="AI27" i="32"/>
  <c r="AI65" i="32"/>
  <c r="AI46" i="32"/>
  <c r="AI67" i="32"/>
  <c r="AI35" i="32"/>
  <c r="AI28" i="32"/>
  <c r="AI34" i="32"/>
  <c r="AI25" i="32"/>
  <c r="AI41" i="32"/>
  <c r="AI21" i="32"/>
  <c r="AI29" i="32"/>
  <c r="AI76" i="32"/>
  <c r="AI47" i="32"/>
  <c r="AI48" i="32"/>
  <c r="AI63" i="32"/>
  <c r="AI77" i="32"/>
  <c r="AI55" i="32"/>
  <c r="AI26" i="32"/>
  <c r="AI22" i="32"/>
  <c r="AI78" i="32"/>
  <c r="AI8" i="32"/>
  <c r="AI51" i="32"/>
  <c r="AI73" i="32"/>
  <c r="AI33" i="32"/>
  <c r="AI23" i="32"/>
  <c r="AI62" i="32"/>
  <c r="AI71" i="32"/>
  <c r="AI59" i="32"/>
  <c r="AI18" i="32"/>
  <c r="AI69" i="32"/>
  <c r="AI60" i="32"/>
  <c r="AI36" i="32"/>
  <c r="AI68" i="32"/>
  <c r="AI70" i="32"/>
  <c r="AI50" i="32"/>
  <c r="AI3" i="32"/>
  <c r="AI54" i="32"/>
  <c r="AI79" i="32"/>
  <c r="AI49" i="32"/>
  <c r="AI40" i="32"/>
  <c r="AI66" i="32"/>
  <c r="AI72" i="32"/>
  <c r="AI75" i="32"/>
  <c r="AI74" i="32"/>
  <c r="AI57" i="32"/>
  <c r="AF6" i="32"/>
  <c r="AF5" i="32"/>
  <c r="AF4" i="32"/>
  <c r="AF13" i="32"/>
  <c r="AF11" i="32"/>
  <c r="AF7" i="32"/>
  <c r="AF31" i="32"/>
  <c r="AF24" i="32"/>
  <c r="AF43" i="32"/>
  <c r="AF17" i="32"/>
  <c r="AF14" i="32"/>
  <c r="AF2" i="32"/>
  <c r="AF15" i="32"/>
  <c r="AF64" i="32"/>
  <c r="AF37" i="32"/>
  <c r="AF10" i="32"/>
  <c r="AF52" i="32"/>
  <c r="AF56" i="32"/>
  <c r="AF20" i="32"/>
  <c r="AF42" i="32"/>
  <c r="AF9" i="32"/>
  <c r="AF30" i="32"/>
  <c r="AF16" i="32"/>
  <c r="AF44" i="32"/>
  <c r="AF53" i="32"/>
  <c r="AF45" i="32"/>
  <c r="AF58" i="32"/>
  <c r="AF38" i="32"/>
  <c r="AF32" i="32"/>
  <c r="AF39" i="32"/>
  <c r="AF61" i="32"/>
  <c r="AF12" i="32"/>
  <c r="AF19" i="32"/>
  <c r="AF27" i="32"/>
  <c r="AF65" i="32"/>
  <c r="AF46" i="32"/>
  <c r="AF67" i="32"/>
  <c r="AF35" i="32"/>
  <c r="AF28" i="32"/>
  <c r="AF34" i="32"/>
  <c r="AF25" i="32"/>
  <c r="AF41" i="32"/>
  <c r="AF21" i="32"/>
  <c r="AF29" i="32"/>
  <c r="AF76" i="32"/>
  <c r="AF47" i="32"/>
  <c r="AF48" i="32"/>
  <c r="AF63" i="32"/>
  <c r="AF77" i="32"/>
  <c r="AF55" i="32"/>
  <c r="AF26" i="32"/>
  <c r="AF22" i="32"/>
  <c r="AF78" i="32"/>
  <c r="AF8" i="32"/>
  <c r="AF51" i="32"/>
  <c r="AF73" i="32"/>
  <c r="AF33" i="32"/>
  <c r="AF23" i="32"/>
  <c r="AF62" i="32"/>
  <c r="AF71" i="32"/>
  <c r="AF59" i="32"/>
  <c r="AF18" i="32"/>
  <c r="AF69" i="32"/>
  <c r="AF60" i="32"/>
  <c r="AF36" i="32"/>
  <c r="AF68" i="32"/>
  <c r="AF70" i="32"/>
  <c r="AF50" i="32"/>
  <c r="AF3" i="32"/>
  <c r="AF54" i="32"/>
  <c r="AF79" i="32"/>
  <c r="AF49" i="32"/>
  <c r="AF40" i="32"/>
  <c r="AF66" i="32"/>
  <c r="AF72" i="32"/>
  <c r="AF75" i="32"/>
  <c r="AF74" i="32"/>
  <c r="AF57" i="32"/>
  <c r="AH5" i="31"/>
  <c r="AI3" i="31"/>
  <c r="AI4" i="31"/>
  <c r="AF2" i="31"/>
  <c r="AF3" i="31"/>
  <c r="AF4" i="31"/>
  <c r="AI5" i="30"/>
  <c r="AI6" i="30"/>
  <c r="AI4" i="30"/>
  <c r="AI7" i="30"/>
  <c r="AF3" i="30"/>
  <c r="AF5" i="30"/>
  <c r="AF6" i="30"/>
  <c r="AF4" i="30"/>
  <c r="AF7" i="30"/>
  <c r="AI2" i="29"/>
  <c r="AI7" i="29"/>
  <c r="AI4" i="29"/>
  <c r="AI14" i="29"/>
  <c r="AI11" i="29"/>
  <c r="AI56" i="29"/>
  <c r="AI3" i="29"/>
  <c r="AI12" i="29"/>
  <c r="AI5" i="29"/>
  <c r="AI18" i="29"/>
  <c r="AI16" i="29"/>
  <c r="AI9" i="29"/>
  <c r="AI25" i="29"/>
  <c r="AI34" i="29"/>
  <c r="AI29" i="29"/>
  <c r="AI31" i="29"/>
  <c r="AI66" i="29"/>
  <c r="AI35" i="29"/>
  <c r="AI19" i="29"/>
  <c r="AI20" i="29"/>
  <c r="AI22" i="29"/>
  <c r="AI23" i="29"/>
  <c r="AI30" i="29"/>
  <c r="AI47" i="29"/>
  <c r="AI74" i="29"/>
  <c r="AI54" i="29"/>
  <c r="AI60" i="29"/>
  <c r="AI36" i="29"/>
  <c r="AI15" i="29"/>
  <c r="AI51" i="29"/>
  <c r="AI59" i="29"/>
  <c r="AI46" i="29"/>
  <c r="AI93" i="29"/>
  <c r="AI48" i="29"/>
  <c r="AI62" i="29"/>
  <c r="AI61" i="29"/>
  <c r="AI67" i="29"/>
  <c r="AI55" i="29"/>
  <c r="AI38" i="29"/>
  <c r="AI49" i="29"/>
  <c r="AI65" i="29"/>
  <c r="AI64" i="29"/>
  <c r="AI57" i="29"/>
  <c r="AI100" i="29"/>
  <c r="AI97" i="29"/>
  <c r="AI28" i="29"/>
  <c r="AI96" i="29"/>
  <c r="AI70" i="29"/>
  <c r="AI86" i="29"/>
  <c r="AI24" i="29"/>
  <c r="AI80" i="29"/>
  <c r="AI26" i="29"/>
  <c r="AI40" i="29"/>
  <c r="AI85" i="29"/>
  <c r="AI78" i="29"/>
  <c r="AI82" i="29"/>
  <c r="AI33" i="29"/>
  <c r="AI58" i="29"/>
  <c r="AI90" i="29"/>
  <c r="AI50" i="29"/>
  <c r="AI72" i="29"/>
  <c r="AI75" i="29"/>
  <c r="AI6" i="29"/>
  <c r="AI91" i="29"/>
  <c r="AI27" i="29"/>
  <c r="AI98" i="29"/>
  <c r="AI63" i="29"/>
  <c r="AI84" i="29"/>
  <c r="AI42" i="29"/>
  <c r="AI89" i="29"/>
  <c r="AI83" i="29"/>
  <c r="AI73" i="29"/>
  <c r="AI92" i="29"/>
  <c r="AI79" i="29"/>
  <c r="AI81" i="29"/>
  <c r="AI87" i="29"/>
  <c r="AI69" i="29"/>
  <c r="AI76" i="29"/>
  <c r="AI41" i="29"/>
  <c r="AI95" i="29"/>
  <c r="AI17" i="29"/>
  <c r="AI10" i="29"/>
  <c r="AI53" i="29"/>
  <c r="AI71" i="29"/>
  <c r="AI88" i="29"/>
  <c r="AI45" i="29"/>
  <c r="AI21" i="29"/>
  <c r="AI37" i="29"/>
  <c r="AI68" i="29"/>
  <c r="AI32" i="29"/>
  <c r="AI99" i="29"/>
  <c r="AI94" i="29"/>
  <c r="AI44" i="29"/>
  <c r="AI43" i="29"/>
  <c r="AI77" i="29"/>
  <c r="AI13" i="29"/>
  <c r="AI8" i="29"/>
  <c r="AI39" i="29"/>
  <c r="AI52" i="29"/>
  <c r="AF2" i="29"/>
  <c r="AF7" i="29"/>
  <c r="AF4" i="29"/>
  <c r="AF14" i="29"/>
  <c r="AF11" i="29"/>
  <c r="AF56" i="29"/>
  <c r="AF3" i="29"/>
  <c r="AF12" i="29"/>
  <c r="AF5" i="29"/>
  <c r="AF18" i="29"/>
  <c r="AF16" i="29"/>
  <c r="AF9" i="29"/>
  <c r="AF25" i="29"/>
  <c r="AF34" i="29"/>
  <c r="AF29" i="29"/>
  <c r="AF31" i="29"/>
  <c r="AF66" i="29"/>
  <c r="AF35" i="29"/>
  <c r="AF19" i="29"/>
  <c r="AF20" i="29"/>
  <c r="AF22" i="29"/>
  <c r="AF23" i="29"/>
  <c r="AF30" i="29"/>
  <c r="AF47" i="29"/>
  <c r="AF74" i="29"/>
  <c r="AF54" i="29"/>
  <c r="AF60" i="29"/>
  <c r="AF36" i="29"/>
  <c r="AF15" i="29"/>
  <c r="AF51" i="29"/>
  <c r="AF59" i="29"/>
  <c r="AF46" i="29"/>
  <c r="AF93" i="29"/>
  <c r="AF48" i="29"/>
  <c r="AF62" i="29"/>
  <c r="AF61" i="29"/>
  <c r="AF67" i="29"/>
  <c r="AF55" i="29"/>
  <c r="AF38" i="29"/>
  <c r="AF49" i="29"/>
  <c r="AF65" i="29"/>
  <c r="AF64" i="29"/>
  <c r="AF57" i="29"/>
  <c r="AF100" i="29"/>
  <c r="AF97" i="29"/>
  <c r="AF28" i="29"/>
  <c r="AF96" i="29"/>
  <c r="AF70" i="29"/>
  <c r="AF86" i="29"/>
  <c r="AF24" i="29"/>
  <c r="AF80" i="29"/>
  <c r="AF26" i="29"/>
  <c r="AF40" i="29"/>
  <c r="AF85" i="29"/>
  <c r="AF78" i="29"/>
  <c r="AF82" i="29"/>
  <c r="AF33" i="29"/>
  <c r="AF58" i="29"/>
  <c r="AF90" i="29"/>
  <c r="AF50" i="29"/>
  <c r="AF72" i="29"/>
  <c r="AF75" i="29"/>
  <c r="AF6" i="29"/>
  <c r="AF91" i="29"/>
  <c r="AF27" i="29"/>
  <c r="AF98" i="29"/>
  <c r="AF63" i="29"/>
  <c r="AF84" i="29"/>
  <c r="AF42" i="29"/>
  <c r="AF89" i="29"/>
  <c r="AF83" i="29"/>
  <c r="AF73" i="29"/>
  <c r="AF92" i="29"/>
  <c r="AF79" i="29"/>
  <c r="AF81" i="29"/>
  <c r="AF87" i="29"/>
  <c r="AF69" i="29"/>
  <c r="AF76" i="29"/>
  <c r="AF41" i="29"/>
  <c r="AF95" i="29"/>
  <c r="AF17" i="29"/>
  <c r="AF10" i="29"/>
  <c r="AF53" i="29"/>
  <c r="AF71" i="29"/>
  <c r="AF88" i="29"/>
  <c r="AF45" i="29"/>
  <c r="AF21" i="29"/>
  <c r="AF37" i="29"/>
  <c r="AF68" i="29"/>
  <c r="AF32" i="29"/>
  <c r="AF99" i="29"/>
  <c r="AF94" i="29"/>
  <c r="AF44" i="29"/>
  <c r="AF43" i="29"/>
  <c r="AF77" i="29"/>
  <c r="AF13" i="29"/>
  <c r="AF8" i="29"/>
  <c r="AF39" i="29"/>
  <c r="AF52" i="29"/>
  <c r="AJ8" i="43" l="1"/>
  <c r="AK2" i="43"/>
  <c r="AK8" i="43" s="1"/>
  <c r="AM14" i="42"/>
  <c r="AM2" i="42"/>
  <c r="AL14" i="42"/>
  <c r="AJ14" i="42"/>
  <c r="AK14" i="42"/>
  <c r="AJ29" i="36"/>
  <c r="AK29" i="36" s="1"/>
  <c r="AK2" i="41"/>
  <c r="AK25" i="41" s="1"/>
  <c r="AJ25" i="41"/>
  <c r="AJ13" i="38"/>
  <c r="AK13" i="38" s="1"/>
  <c r="AJ5" i="38"/>
  <c r="AK5" i="38" s="1"/>
  <c r="AJ7" i="38"/>
  <c r="AK7" i="38" s="1"/>
  <c r="AJ24" i="38"/>
  <c r="AK24" i="38" s="1"/>
  <c r="AJ29" i="38"/>
  <c r="AK29" i="38" s="1"/>
  <c r="AJ17" i="38"/>
  <c r="AK17" i="38" s="1"/>
  <c r="AJ10" i="38"/>
  <c r="AK10" i="38" s="1"/>
  <c r="AJ26" i="38"/>
  <c r="AK26" i="38" s="1"/>
  <c r="AJ16" i="38"/>
  <c r="AK16" i="38" s="1"/>
  <c r="AJ12" i="38"/>
  <c r="AK12" i="38" s="1"/>
  <c r="AJ23" i="38"/>
  <c r="AK23" i="38" s="1"/>
  <c r="AJ21" i="38"/>
  <c r="AK21" i="38" s="1"/>
  <c r="AJ6" i="38"/>
  <c r="AK6" i="38" s="1"/>
  <c r="AJ3" i="38"/>
  <c r="AK3" i="38" s="1"/>
  <c r="AJ27" i="38"/>
  <c r="AK27" i="38" s="1"/>
  <c r="AJ11" i="38"/>
  <c r="AK11" i="38" s="1"/>
  <c r="AJ18" i="38"/>
  <c r="AK18" i="38" s="1"/>
  <c r="AJ20" i="38"/>
  <c r="AK20" i="38" s="1"/>
  <c r="AJ25" i="38"/>
  <c r="AK25" i="38" s="1"/>
  <c r="AJ22" i="38"/>
  <c r="AK22" i="38" s="1"/>
  <c r="AJ8" i="38"/>
  <c r="AK8" i="38" s="1"/>
  <c r="AJ9" i="38"/>
  <c r="AK9" i="38" s="1"/>
  <c r="AJ19" i="38"/>
  <c r="AK19" i="38" s="1"/>
  <c r="AJ15" i="38"/>
  <c r="AK15" i="38" s="1"/>
  <c r="AJ4" i="38"/>
  <c r="AK4" i="38" s="1"/>
  <c r="AJ14" i="38"/>
  <c r="AK14" i="38" s="1"/>
  <c r="AJ2" i="38"/>
  <c r="AJ24" i="36"/>
  <c r="AK24" i="36" s="1"/>
  <c r="AJ23" i="36"/>
  <c r="AK23" i="36" s="1"/>
  <c r="AJ27" i="36"/>
  <c r="AK27" i="36" s="1"/>
  <c r="AJ25" i="36"/>
  <c r="AK25" i="36" s="1"/>
  <c r="AJ19" i="36"/>
  <c r="AK19" i="36" s="1"/>
  <c r="AJ21" i="36"/>
  <c r="AK21" i="36" s="1"/>
  <c r="AJ5" i="36"/>
  <c r="AK5" i="36" s="1"/>
  <c r="AJ35" i="36"/>
  <c r="AK35" i="36" s="1"/>
  <c r="AJ16" i="36"/>
  <c r="AK16" i="36" s="1"/>
  <c r="AJ33" i="36"/>
  <c r="AK33" i="36" s="1"/>
  <c r="AJ30" i="36"/>
  <c r="AK30" i="36" s="1"/>
  <c r="AJ13" i="36"/>
  <c r="AK13" i="36" s="1"/>
  <c r="AJ8" i="36"/>
  <c r="AK8" i="36" s="1"/>
  <c r="AJ9" i="36"/>
  <c r="AK9" i="36" s="1"/>
  <c r="AJ17" i="36"/>
  <c r="AK17" i="36" s="1"/>
  <c r="AJ31" i="36"/>
  <c r="AK31" i="36" s="1"/>
  <c r="AJ26" i="36"/>
  <c r="AK26" i="36" s="1"/>
  <c r="AJ20" i="36"/>
  <c r="AK20" i="36" s="1"/>
  <c r="AJ15" i="36"/>
  <c r="AK15" i="36" s="1"/>
  <c r="AJ2" i="36"/>
  <c r="AK2" i="36" s="1"/>
  <c r="AJ4" i="36"/>
  <c r="AK4" i="36" s="1"/>
  <c r="AJ18" i="36"/>
  <c r="AK18" i="36" s="1"/>
  <c r="AJ14" i="36"/>
  <c r="AK14" i="36" s="1"/>
  <c r="AJ6" i="36"/>
  <c r="AJ32" i="36"/>
  <c r="AK32" i="36" s="1"/>
  <c r="AJ28" i="36"/>
  <c r="AK28" i="36" s="1"/>
  <c r="AJ10" i="36"/>
  <c r="AK10" i="36" s="1"/>
  <c r="AJ22" i="36"/>
  <c r="AK22" i="36" s="1"/>
  <c r="AJ3" i="36"/>
  <c r="AK3" i="36" s="1"/>
  <c r="AJ7" i="36"/>
  <c r="AK7" i="36" s="1"/>
  <c r="AJ12" i="36"/>
  <c r="AK12" i="36" s="1"/>
  <c r="AJ34" i="36"/>
  <c r="AK34" i="36" s="1"/>
  <c r="AJ35" i="35"/>
  <c r="AK35" i="35" s="1"/>
  <c r="AJ5" i="35"/>
  <c r="AK5" i="35" s="1"/>
  <c r="AJ14" i="35"/>
  <c r="AK14" i="35" s="1"/>
  <c r="AJ36" i="35"/>
  <c r="AK36" i="35" s="1"/>
  <c r="AJ44" i="35"/>
  <c r="AK44" i="35" s="1"/>
  <c r="AJ15" i="35"/>
  <c r="AK15" i="35" s="1"/>
  <c r="AJ40" i="35"/>
  <c r="AK40" i="35" s="1"/>
  <c r="AJ41" i="35"/>
  <c r="AK41" i="35" s="1"/>
  <c r="AJ33" i="35"/>
  <c r="AK33" i="35" s="1"/>
  <c r="AJ20" i="35"/>
  <c r="AK20" i="35" s="1"/>
  <c r="AJ29" i="35"/>
  <c r="AK29" i="35" s="1"/>
  <c r="AJ18" i="35"/>
  <c r="AK18" i="35" s="1"/>
  <c r="AJ37" i="35"/>
  <c r="AK37" i="35" s="1"/>
  <c r="AJ47" i="35"/>
  <c r="AK47" i="35" s="1"/>
  <c r="AJ25" i="35"/>
  <c r="AK25" i="35" s="1"/>
  <c r="AJ26" i="35"/>
  <c r="AK26" i="35" s="1"/>
  <c r="AJ52" i="35"/>
  <c r="AK52" i="35" s="1"/>
  <c r="AJ48" i="35"/>
  <c r="AK48" i="35" s="1"/>
  <c r="AJ19" i="35"/>
  <c r="AK19" i="35" s="1"/>
  <c r="AJ21" i="35"/>
  <c r="AK21" i="35" s="1"/>
  <c r="AJ27" i="35"/>
  <c r="AK27" i="35" s="1"/>
  <c r="AJ3" i="35"/>
  <c r="AK3" i="35" s="1"/>
  <c r="AJ28" i="35"/>
  <c r="AK28" i="35" s="1"/>
  <c r="AJ46" i="35"/>
  <c r="AK46" i="35" s="1"/>
  <c r="AJ8" i="35"/>
  <c r="AK8" i="35" s="1"/>
  <c r="AJ51" i="35"/>
  <c r="AK51" i="35" s="1"/>
  <c r="AJ43" i="35"/>
  <c r="AK43" i="35" s="1"/>
  <c r="AJ32" i="35"/>
  <c r="AK32" i="35" s="1"/>
  <c r="AJ16" i="35"/>
  <c r="AK16" i="35" s="1"/>
  <c r="AJ49" i="35"/>
  <c r="AK49" i="35" s="1"/>
  <c r="AJ30" i="35"/>
  <c r="AK30" i="35" s="1"/>
  <c r="AJ7" i="35"/>
  <c r="AK7" i="35" s="1"/>
  <c r="AJ4" i="35"/>
  <c r="AK4" i="35" s="1"/>
  <c r="AJ31" i="35"/>
  <c r="AK31" i="35" s="1"/>
  <c r="AJ17" i="35"/>
  <c r="AK17" i="35" s="1"/>
  <c r="AJ6" i="35"/>
  <c r="AK6" i="35" s="1"/>
  <c r="AJ2" i="35"/>
  <c r="AK2" i="35" s="1"/>
  <c r="AJ10" i="35"/>
  <c r="AK10" i="35" s="1"/>
  <c r="AJ45" i="35"/>
  <c r="AK45" i="35" s="1"/>
  <c r="AJ50" i="35"/>
  <c r="AK50" i="35" s="1"/>
  <c r="AJ24" i="35"/>
  <c r="AK24" i="35" s="1"/>
  <c r="AJ39" i="35"/>
  <c r="AK39" i="35" s="1"/>
  <c r="AJ12" i="35"/>
  <c r="AK12" i="35" s="1"/>
  <c r="AJ13" i="35"/>
  <c r="AK13" i="35" s="1"/>
  <c r="AJ22" i="35"/>
  <c r="AK22" i="35" s="1"/>
  <c r="AJ38" i="35"/>
  <c r="AK38" i="35" s="1"/>
  <c r="AJ34" i="35"/>
  <c r="AK34" i="35" s="1"/>
  <c r="AJ9" i="35"/>
  <c r="AK9" i="35" s="1"/>
  <c r="AJ11" i="35"/>
  <c r="AK11" i="35" s="1"/>
  <c r="AJ42" i="35"/>
  <c r="AK42" i="35" s="1"/>
  <c r="AJ19" i="39"/>
  <c r="AK19" i="39" s="1"/>
  <c r="AJ3" i="39"/>
  <c r="AK3" i="39" s="1"/>
  <c r="AJ38" i="39"/>
  <c r="AK38" i="39" s="1"/>
  <c r="AJ22" i="39"/>
  <c r="AK22" i="39" s="1"/>
  <c r="AJ37" i="39"/>
  <c r="AK37" i="39" s="1"/>
  <c r="AJ21" i="39"/>
  <c r="AK21" i="39" s="1"/>
  <c r="AJ5" i="39"/>
  <c r="AK5" i="39" s="1"/>
  <c r="AJ36" i="39"/>
  <c r="AK36" i="39" s="1"/>
  <c r="AJ20" i="39"/>
  <c r="AK20" i="39" s="1"/>
  <c r="AJ4" i="39"/>
  <c r="AK4" i="39" s="1"/>
  <c r="AJ31" i="39"/>
  <c r="AK31" i="39" s="1"/>
  <c r="AJ15" i="39"/>
  <c r="AK15" i="39" s="1"/>
  <c r="AJ34" i="39"/>
  <c r="AK34" i="39" s="1"/>
  <c r="AJ18" i="39"/>
  <c r="AK18" i="39" s="1"/>
  <c r="AJ33" i="39"/>
  <c r="AK33" i="39" s="1"/>
  <c r="AJ17" i="39"/>
  <c r="AK17" i="39" s="1"/>
  <c r="AJ32" i="39"/>
  <c r="AK32" i="39" s="1"/>
  <c r="AJ16" i="39"/>
  <c r="AK16" i="39" s="1"/>
  <c r="AJ6" i="39"/>
  <c r="AK6" i="39" s="1"/>
  <c r="AJ27" i="39"/>
  <c r="AK27" i="39" s="1"/>
  <c r="AJ11" i="39"/>
  <c r="AK11" i="39" s="1"/>
  <c r="AJ39" i="39"/>
  <c r="AK39" i="39" s="1"/>
  <c r="AJ30" i="39"/>
  <c r="AK30" i="39" s="1"/>
  <c r="AJ14" i="39"/>
  <c r="AK14" i="39" s="1"/>
  <c r="AJ35" i="39"/>
  <c r="AK35" i="39" s="1"/>
  <c r="AJ29" i="39"/>
  <c r="AK29" i="39" s="1"/>
  <c r="AJ13" i="39"/>
  <c r="AK13" i="39" s="1"/>
  <c r="AJ28" i="39"/>
  <c r="AK28" i="39" s="1"/>
  <c r="AJ12" i="39"/>
  <c r="AK12" i="39" s="1"/>
  <c r="AJ23" i="39"/>
  <c r="AK23" i="39" s="1"/>
  <c r="AJ7" i="39"/>
  <c r="AK7" i="39" s="1"/>
  <c r="AJ26" i="39"/>
  <c r="AK26" i="39" s="1"/>
  <c r="AJ10" i="39"/>
  <c r="AK10" i="39" s="1"/>
  <c r="AJ25" i="39"/>
  <c r="AK25" i="39" s="1"/>
  <c r="AJ9" i="39"/>
  <c r="AK9" i="39" s="1"/>
  <c r="AJ40" i="39"/>
  <c r="AK40" i="39" s="1"/>
  <c r="AJ24" i="39"/>
  <c r="AK24" i="39" s="1"/>
  <c r="AJ8" i="39"/>
  <c r="AK8" i="39" s="1"/>
  <c r="AJ2" i="39"/>
  <c r="AF23" i="33"/>
  <c r="AJ2" i="33" s="1"/>
  <c r="AK2" i="33" s="1"/>
  <c r="AI30" i="38"/>
  <c r="AM30" i="38"/>
  <c r="AK2" i="38"/>
  <c r="AJ30" i="38"/>
  <c r="AK53" i="35"/>
  <c r="AJ21" i="37"/>
  <c r="AK21" i="37" s="1"/>
  <c r="AJ3" i="37"/>
  <c r="AK3" i="37" s="1"/>
  <c r="AJ23" i="37"/>
  <c r="AK23" i="37" s="1"/>
  <c r="AJ32" i="37"/>
  <c r="AJ27" i="37"/>
  <c r="AK27" i="37" s="1"/>
  <c r="AJ10" i="37"/>
  <c r="AK10" i="37" s="1"/>
  <c r="AJ30" i="37"/>
  <c r="AK30" i="37" s="1"/>
  <c r="AJ8" i="37"/>
  <c r="AK8" i="37" s="1"/>
  <c r="AJ19" i="37"/>
  <c r="AK19" i="37" s="1"/>
  <c r="AJ25" i="37"/>
  <c r="AK25" i="37" s="1"/>
  <c r="AJ35" i="37"/>
  <c r="AK35" i="37" s="1"/>
  <c r="AJ34" i="37"/>
  <c r="AK34" i="37" s="1"/>
  <c r="AJ26" i="37"/>
  <c r="AK26" i="37" s="1"/>
  <c r="AJ17" i="37"/>
  <c r="AK17" i="37" s="1"/>
  <c r="AJ29" i="37"/>
  <c r="AK29" i="37" s="1"/>
  <c r="AJ7" i="37"/>
  <c r="AK7" i="37" s="1"/>
  <c r="AJ11" i="37"/>
  <c r="AK11" i="37" s="1"/>
  <c r="AJ12" i="37"/>
  <c r="AK12" i="37" s="1"/>
  <c r="AJ14" i="37"/>
  <c r="AK14" i="37" s="1"/>
  <c r="AJ37" i="37"/>
  <c r="AK37" i="37" s="1"/>
  <c r="AJ18" i="37"/>
  <c r="AK18" i="37" s="1"/>
  <c r="AJ36" i="37"/>
  <c r="AK36" i="37" s="1"/>
  <c r="AJ16" i="37"/>
  <c r="AK16" i="37" s="1"/>
  <c r="AJ28" i="37"/>
  <c r="AK28" i="37" s="1"/>
  <c r="AJ9" i="37"/>
  <c r="AK9" i="37" s="1"/>
  <c r="AJ5" i="37"/>
  <c r="AK5" i="37" s="1"/>
  <c r="AJ6" i="37"/>
  <c r="AK6" i="37" s="1"/>
  <c r="AJ2" i="37"/>
  <c r="AJ31" i="37"/>
  <c r="AK31" i="37" s="1"/>
  <c r="AJ4" i="37"/>
  <c r="AK4" i="37" s="1"/>
  <c r="AJ22" i="37"/>
  <c r="AK22" i="37" s="1"/>
  <c r="AJ20" i="37"/>
  <c r="AK20" i="37" s="1"/>
  <c r="AJ13" i="37"/>
  <c r="AK13" i="37" s="1"/>
  <c r="AJ15" i="37"/>
  <c r="AK15" i="37" s="1"/>
  <c r="AJ38" i="37"/>
  <c r="AK38" i="37" s="1"/>
  <c r="AJ33" i="37"/>
  <c r="AK33" i="37" s="1"/>
  <c r="AL41" i="39"/>
  <c r="AM5" i="35"/>
  <c r="AM53" i="35" s="1"/>
  <c r="AF5" i="31"/>
  <c r="AJ2" i="31" s="1"/>
  <c r="AG5" i="31"/>
  <c r="AI2" i="31"/>
  <c r="AI5" i="31" s="1"/>
  <c r="AF8" i="30"/>
  <c r="AJ2" i="30" s="1"/>
  <c r="AK2" i="30" s="1"/>
  <c r="AG8" i="30"/>
  <c r="AF101" i="29"/>
  <c r="AJ52" i="29" s="1"/>
  <c r="AK52" i="29" s="1"/>
  <c r="AI101" i="29"/>
  <c r="AG101" i="29"/>
  <c r="AF80" i="32"/>
  <c r="AJ72" i="32" s="1"/>
  <c r="AK72" i="32" s="1"/>
  <c r="AG80" i="32"/>
  <c r="AM2" i="37"/>
  <c r="AM39" i="37" s="1"/>
  <c r="AM2" i="33"/>
  <c r="AI3" i="30"/>
  <c r="AI8" i="30" s="1"/>
  <c r="AI4" i="33"/>
  <c r="AI23" i="33" s="1"/>
  <c r="AK32" i="37"/>
  <c r="AM41" i="39"/>
  <c r="AI6" i="32"/>
  <c r="AI80" i="32" s="1"/>
  <c r="AI7" i="28"/>
  <c r="AI9" i="28"/>
  <c r="AI13" i="28"/>
  <c r="AI3" i="28"/>
  <c r="AI32" i="28"/>
  <c r="AI14" i="28"/>
  <c r="AI28" i="28"/>
  <c r="AI10" i="28"/>
  <c r="AI23" i="28"/>
  <c r="AI17" i="28"/>
  <c r="AI5" i="28"/>
  <c r="AI18" i="28"/>
  <c r="AI21" i="28"/>
  <c r="AI36" i="28"/>
  <c r="AI31" i="28"/>
  <c r="AI34" i="28"/>
  <c r="AI20" i="28"/>
  <c r="AI33" i="28"/>
  <c r="AI4" i="28"/>
  <c r="AI44" i="28"/>
  <c r="AI46" i="28"/>
  <c r="AI35" i="28"/>
  <c r="AI37" i="28"/>
  <c r="AI42" i="28"/>
  <c r="AI19" i="28"/>
  <c r="AI39" i="28"/>
  <c r="AI24" i="28"/>
  <c r="AI48" i="28"/>
  <c r="AI43" i="28"/>
  <c r="AI16" i="28"/>
  <c r="AI26" i="28"/>
  <c r="AI12" i="28"/>
  <c r="AI49" i="28"/>
  <c r="AI40" i="28"/>
  <c r="AI25" i="28"/>
  <c r="AI8" i="28"/>
  <c r="AI29" i="28"/>
  <c r="AF7" i="28"/>
  <c r="AF9" i="28"/>
  <c r="AF13" i="28"/>
  <c r="AF3" i="28"/>
  <c r="AF32" i="28"/>
  <c r="AF14" i="28"/>
  <c r="AF28" i="28"/>
  <c r="AF10" i="28"/>
  <c r="AF23" i="28"/>
  <c r="AF17" i="28"/>
  <c r="AF5" i="28"/>
  <c r="AF18" i="28"/>
  <c r="AF21" i="28"/>
  <c r="AF36" i="28"/>
  <c r="AF31" i="28"/>
  <c r="AF34" i="28"/>
  <c r="AF20" i="28"/>
  <c r="AF33" i="28"/>
  <c r="AF4" i="28"/>
  <c r="AF44" i="28"/>
  <c r="AF46" i="28"/>
  <c r="AF35" i="28"/>
  <c r="AF37" i="28"/>
  <c r="AF42" i="28"/>
  <c r="AF19" i="28"/>
  <c r="AF39" i="28"/>
  <c r="AF24" i="28"/>
  <c r="AF48" i="28"/>
  <c r="AF43" i="28"/>
  <c r="AF16" i="28"/>
  <c r="AF26" i="28"/>
  <c r="AF12" i="28"/>
  <c r="AF49" i="28"/>
  <c r="AF40" i="28"/>
  <c r="AF25" i="28"/>
  <c r="AF8" i="28"/>
  <c r="AF29" i="28"/>
  <c r="AJ53" i="35" l="1"/>
  <c r="AJ36" i="36"/>
  <c r="AK6" i="36"/>
  <c r="AK36" i="36" s="1"/>
  <c r="AJ41" i="39"/>
  <c r="AK2" i="39"/>
  <c r="AK41" i="39" s="1"/>
  <c r="AJ17" i="33"/>
  <c r="AK17" i="33" s="1"/>
  <c r="AJ8" i="33"/>
  <c r="AK8" i="33" s="1"/>
  <c r="AJ7" i="33"/>
  <c r="AK7" i="33" s="1"/>
  <c r="AJ3" i="33"/>
  <c r="AK3" i="33" s="1"/>
  <c r="AJ14" i="33"/>
  <c r="AK14" i="33" s="1"/>
  <c r="AJ13" i="33"/>
  <c r="AK13" i="33" s="1"/>
  <c r="AJ20" i="33"/>
  <c r="AK20" i="33" s="1"/>
  <c r="AJ4" i="33"/>
  <c r="AK4" i="33" s="1"/>
  <c r="AJ19" i="33"/>
  <c r="AK19" i="33" s="1"/>
  <c r="AJ10" i="33"/>
  <c r="AK10" i="33" s="1"/>
  <c r="AJ5" i="33"/>
  <c r="AK5" i="33" s="1"/>
  <c r="AJ9" i="33"/>
  <c r="AK9" i="33" s="1"/>
  <c r="AJ16" i="33"/>
  <c r="AK16" i="33" s="1"/>
  <c r="AJ15" i="33"/>
  <c r="AK15" i="33" s="1"/>
  <c r="AJ22" i="33"/>
  <c r="AK22" i="33" s="1"/>
  <c r="AJ6" i="33"/>
  <c r="AK6" i="33" s="1"/>
  <c r="AJ21" i="33"/>
  <c r="AK21" i="33" s="1"/>
  <c r="AJ12" i="33"/>
  <c r="AK12" i="33" s="1"/>
  <c r="AJ11" i="33"/>
  <c r="AK11" i="33" s="1"/>
  <c r="AJ18" i="33"/>
  <c r="AK18" i="33" s="1"/>
  <c r="AL18" i="32"/>
  <c r="AM18" i="32" s="1"/>
  <c r="AL65" i="32"/>
  <c r="AM65" i="32" s="1"/>
  <c r="AL17" i="32"/>
  <c r="AM17" i="32" s="1"/>
  <c r="AL54" i="32"/>
  <c r="AM54" i="32" s="1"/>
  <c r="AL51" i="32"/>
  <c r="AM51" i="32" s="1"/>
  <c r="AL71" i="32"/>
  <c r="AM71" i="32" s="1"/>
  <c r="AL62" i="32"/>
  <c r="AM62" i="32" s="1"/>
  <c r="AL29" i="32"/>
  <c r="AM29" i="32" s="1"/>
  <c r="AL35" i="32"/>
  <c r="AM35" i="32" s="1"/>
  <c r="AL52" i="32"/>
  <c r="AM52" i="32" s="1"/>
  <c r="AL8" i="32"/>
  <c r="AM8" i="32" s="1"/>
  <c r="AL57" i="32"/>
  <c r="AM57" i="32" s="1"/>
  <c r="AL39" i="32"/>
  <c r="AM39" i="32" s="1"/>
  <c r="AL44" i="32"/>
  <c r="AM44" i="32" s="1"/>
  <c r="AL45" i="32"/>
  <c r="AM45" i="32" s="1"/>
  <c r="AL53" i="32"/>
  <c r="AM53" i="32" s="1"/>
  <c r="AL27" i="32"/>
  <c r="AM27" i="32" s="1"/>
  <c r="AL15" i="32"/>
  <c r="AM15" i="32" s="1"/>
  <c r="AL58" i="32"/>
  <c r="AM58" i="32" s="1"/>
  <c r="AL78" i="32"/>
  <c r="AM78" i="32" s="1"/>
  <c r="AL26" i="32"/>
  <c r="AM26" i="32" s="1"/>
  <c r="AL20" i="32"/>
  <c r="AM20" i="32" s="1"/>
  <c r="AL12" i="32"/>
  <c r="AM12" i="32" s="1"/>
  <c r="AL74" i="32"/>
  <c r="AM74" i="32" s="1"/>
  <c r="AL9" i="32"/>
  <c r="AM9" i="32" s="1"/>
  <c r="AL42" i="32"/>
  <c r="AM42" i="32" s="1"/>
  <c r="AL69" i="32"/>
  <c r="AM69" i="32" s="1"/>
  <c r="AL7" i="32"/>
  <c r="AM7" i="32" s="1"/>
  <c r="AL41" i="32"/>
  <c r="AM41" i="32" s="1"/>
  <c r="AL59" i="32"/>
  <c r="AM59" i="32" s="1"/>
  <c r="AL16" i="32"/>
  <c r="AM16" i="32" s="1"/>
  <c r="AL67" i="32"/>
  <c r="AM67" i="32" s="1"/>
  <c r="AL11" i="32"/>
  <c r="AM11" i="32" s="1"/>
  <c r="AL23" i="32"/>
  <c r="AM23" i="32" s="1"/>
  <c r="AL55" i="32"/>
  <c r="AM55" i="32" s="1"/>
  <c r="AL50" i="32"/>
  <c r="AM50" i="32" s="1"/>
  <c r="AL40" i="32"/>
  <c r="AM40" i="32" s="1"/>
  <c r="AL33" i="32"/>
  <c r="AM33" i="32" s="1"/>
  <c r="AL31" i="32"/>
  <c r="AM31" i="32" s="1"/>
  <c r="AL43" i="32"/>
  <c r="AM43" i="32" s="1"/>
  <c r="AL32" i="32"/>
  <c r="AM32" i="32" s="1"/>
  <c r="AL28" i="32"/>
  <c r="AM28" i="32" s="1"/>
  <c r="AL6" i="32"/>
  <c r="AM6" i="32" s="1"/>
  <c r="AL60" i="32"/>
  <c r="AM60" i="32" s="1"/>
  <c r="AL19" i="32"/>
  <c r="AM19" i="32" s="1"/>
  <c r="AL38" i="32"/>
  <c r="AM38" i="32" s="1"/>
  <c r="AL63" i="32"/>
  <c r="AM63" i="32" s="1"/>
  <c r="AL61" i="32"/>
  <c r="AM61" i="32" s="1"/>
  <c r="AL48" i="32"/>
  <c r="AM48" i="32" s="1"/>
  <c r="AL34" i="32"/>
  <c r="AM34" i="32" s="1"/>
  <c r="AL14" i="32"/>
  <c r="AM14" i="32" s="1"/>
  <c r="AL30" i="32"/>
  <c r="AM30" i="32" s="1"/>
  <c r="AL68" i="32"/>
  <c r="AM68" i="32" s="1"/>
  <c r="AL3" i="32"/>
  <c r="AM3" i="32" s="1"/>
  <c r="AL2" i="32"/>
  <c r="AM2" i="32" s="1"/>
  <c r="AL76" i="32"/>
  <c r="AM76" i="32" s="1"/>
  <c r="AL24" i="32"/>
  <c r="AM24" i="32" s="1"/>
  <c r="AL10" i="32"/>
  <c r="AM10" i="32" s="1"/>
  <c r="AL75" i="32"/>
  <c r="AM75" i="32" s="1"/>
  <c r="AL66" i="32"/>
  <c r="AM66" i="32" s="1"/>
  <c r="AL49" i="32"/>
  <c r="AM49" i="32" s="1"/>
  <c r="AL79" i="32"/>
  <c r="AM79" i="32" s="1"/>
  <c r="AL70" i="32"/>
  <c r="AM70" i="32" s="1"/>
  <c r="AL25" i="32"/>
  <c r="AM25" i="32" s="1"/>
  <c r="AL64" i="32"/>
  <c r="AM64" i="32" s="1"/>
  <c r="AL72" i="32"/>
  <c r="AM72" i="32" s="1"/>
  <c r="AL21" i="32"/>
  <c r="AM21" i="32" s="1"/>
  <c r="AL13" i="32"/>
  <c r="AM13" i="32" s="1"/>
  <c r="AL37" i="32"/>
  <c r="AM37" i="32" s="1"/>
  <c r="AL46" i="32"/>
  <c r="AM46" i="32" s="1"/>
  <c r="AL73" i="32"/>
  <c r="AM73" i="32" s="1"/>
  <c r="AL47" i="32"/>
  <c r="AM47" i="32" s="1"/>
  <c r="AL77" i="32"/>
  <c r="AM77" i="32" s="1"/>
  <c r="AL22" i="32"/>
  <c r="AM22" i="32" s="1"/>
  <c r="AL4" i="32"/>
  <c r="AM4" i="32" s="1"/>
  <c r="AL5" i="32"/>
  <c r="AM5" i="32" s="1"/>
  <c r="AM80" i="32" s="1"/>
  <c r="AL36" i="32"/>
  <c r="AM36" i="32" s="1"/>
  <c r="AL56" i="32"/>
  <c r="AM56" i="32" s="1"/>
  <c r="AJ15" i="32"/>
  <c r="AK15" i="32" s="1"/>
  <c r="AJ32" i="32"/>
  <c r="AK32" i="32" s="1"/>
  <c r="AJ76" i="32"/>
  <c r="AK76" i="32" s="1"/>
  <c r="AJ59" i="32"/>
  <c r="AK59" i="32" s="1"/>
  <c r="AJ49" i="32"/>
  <c r="AK49" i="32" s="1"/>
  <c r="AJ17" i="32"/>
  <c r="AK17" i="32" s="1"/>
  <c r="AJ45" i="32"/>
  <c r="AK45" i="32" s="1"/>
  <c r="AJ41" i="32"/>
  <c r="AK41" i="32" s="1"/>
  <c r="AJ23" i="32"/>
  <c r="AK23" i="32" s="1"/>
  <c r="AJ54" i="32"/>
  <c r="AK54" i="32" s="1"/>
  <c r="AJ31" i="32"/>
  <c r="AK31" i="32" s="1"/>
  <c r="AJ16" i="32"/>
  <c r="AK16" i="32" s="1"/>
  <c r="AJ28" i="32"/>
  <c r="AK28" i="32" s="1"/>
  <c r="AJ51" i="32"/>
  <c r="AK51" i="32" s="1"/>
  <c r="AJ50" i="32"/>
  <c r="AK50" i="32" s="1"/>
  <c r="AJ13" i="32"/>
  <c r="AK13" i="32" s="1"/>
  <c r="AJ42" i="32"/>
  <c r="AK42" i="32" s="1"/>
  <c r="AJ46" i="32"/>
  <c r="AK46" i="32" s="1"/>
  <c r="AJ22" i="32"/>
  <c r="AK22" i="32" s="1"/>
  <c r="AJ70" i="32"/>
  <c r="AK70" i="32" s="1"/>
  <c r="AJ6" i="32"/>
  <c r="AJ52" i="32"/>
  <c r="AK52" i="32" s="1"/>
  <c r="AJ19" i="32"/>
  <c r="AK19" i="32" s="1"/>
  <c r="AJ77" i="32"/>
  <c r="AK77" i="32" s="1"/>
  <c r="AJ36" i="32"/>
  <c r="AK36" i="32" s="1"/>
  <c r="AJ75" i="32"/>
  <c r="AK75" i="32" s="1"/>
  <c r="AJ64" i="32"/>
  <c r="AK64" i="32" s="1"/>
  <c r="AJ39" i="32"/>
  <c r="AK39" i="32" s="1"/>
  <c r="AJ47" i="32"/>
  <c r="AK47" i="32" s="1"/>
  <c r="AJ18" i="32"/>
  <c r="AK18" i="32" s="1"/>
  <c r="AJ40" i="32"/>
  <c r="AK40" i="32" s="1"/>
  <c r="AJ14" i="32"/>
  <c r="AK14" i="32" s="1"/>
  <c r="AJ58" i="32"/>
  <c r="AK58" i="32" s="1"/>
  <c r="AJ21" i="32"/>
  <c r="AK21" i="32" s="1"/>
  <c r="AJ62" i="32"/>
  <c r="AK62" i="32" s="1"/>
  <c r="AJ79" i="32"/>
  <c r="AK79" i="32" s="1"/>
  <c r="AJ24" i="32"/>
  <c r="AK24" i="32" s="1"/>
  <c r="AJ44" i="32"/>
  <c r="AK44" i="32" s="1"/>
  <c r="AJ34" i="32"/>
  <c r="AK34" i="32" s="1"/>
  <c r="AJ73" i="32"/>
  <c r="AK73" i="32" s="1"/>
  <c r="AJ3" i="32"/>
  <c r="AK3" i="32" s="1"/>
  <c r="AJ11" i="32"/>
  <c r="AK11" i="32" s="1"/>
  <c r="AJ9" i="32"/>
  <c r="AK9" i="32" s="1"/>
  <c r="AJ67" i="32"/>
  <c r="AK67" i="32" s="1"/>
  <c r="AJ78" i="32"/>
  <c r="AK78" i="32" s="1"/>
  <c r="AJ5" i="32"/>
  <c r="AK5" i="32" s="1"/>
  <c r="AJ56" i="32"/>
  <c r="AK56" i="32" s="1"/>
  <c r="AJ27" i="32"/>
  <c r="AK27" i="32" s="1"/>
  <c r="AJ55" i="32"/>
  <c r="AK55" i="32" s="1"/>
  <c r="AJ74" i="32"/>
  <c r="AK74" i="32" s="1"/>
  <c r="AJ37" i="32"/>
  <c r="AK37" i="32" s="1"/>
  <c r="AJ61" i="32"/>
  <c r="AK61" i="32" s="1"/>
  <c r="AJ48" i="32"/>
  <c r="AK48" i="32" s="1"/>
  <c r="AJ69" i="32"/>
  <c r="AK69" i="32" s="1"/>
  <c r="AJ66" i="32"/>
  <c r="AK66" i="32" s="1"/>
  <c r="AJ2" i="32"/>
  <c r="AK2" i="32" s="1"/>
  <c r="AJ38" i="32"/>
  <c r="AK38" i="32" s="1"/>
  <c r="AJ29" i="32"/>
  <c r="AK29" i="32" s="1"/>
  <c r="AJ71" i="32"/>
  <c r="AK71" i="32" s="1"/>
  <c r="AJ43" i="32"/>
  <c r="AK43" i="32" s="1"/>
  <c r="AJ53" i="32"/>
  <c r="AK53" i="32" s="1"/>
  <c r="AJ25" i="32"/>
  <c r="AK25" i="32" s="1"/>
  <c r="AJ33" i="32"/>
  <c r="AK33" i="32" s="1"/>
  <c r="AJ7" i="32"/>
  <c r="AK7" i="32" s="1"/>
  <c r="AJ30" i="32"/>
  <c r="AK30" i="32" s="1"/>
  <c r="AJ35" i="32"/>
  <c r="AK35" i="32" s="1"/>
  <c r="AJ8" i="32"/>
  <c r="AK8" i="32" s="1"/>
  <c r="AJ4" i="32"/>
  <c r="AK4" i="32" s="1"/>
  <c r="AJ20" i="32"/>
  <c r="AK20" i="32" s="1"/>
  <c r="AJ65" i="32"/>
  <c r="AK65" i="32" s="1"/>
  <c r="AJ26" i="32"/>
  <c r="AK26" i="32" s="1"/>
  <c r="AJ68" i="32"/>
  <c r="AK68" i="32" s="1"/>
  <c r="AJ57" i="32"/>
  <c r="AK57" i="32" s="1"/>
  <c r="AJ10" i="32"/>
  <c r="AK10" i="32" s="1"/>
  <c r="AJ12" i="32"/>
  <c r="AK12" i="32" s="1"/>
  <c r="AJ63" i="32"/>
  <c r="AK63" i="32" s="1"/>
  <c r="AJ60" i="32"/>
  <c r="AK60" i="32" s="1"/>
  <c r="AL4" i="31"/>
  <c r="AM4" i="31" s="1"/>
  <c r="AL3" i="31"/>
  <c r="AM3" i="31" s="1"/>
  <c r="AL2" i="31"/>
  <c r="AJ3" i="31"/>
  <c r="AK3" i="31" s="1"/>
  <c r="AJ4" i="31"/>
  <c r="AK4" i="31" s="1"/>
  <c r="AL4" i="30"/>
  <c r="AM4" i="30" s="1"/>
  <c r="AL7" i="30"/>
  <c r="AM7" i="30" s="1"/>
  <c r="AL2" i="30"/>
  <c r="AM2" i="30" s="1"/>
  <c r="AL3" i="30"/>
  <c r="AM3" i="30" s="1"/>
  <c r="AM8" i="30" s="1"/>
  <c r="AL6" i="30"/>
  <c r="AM6" i="30" s="1"/>
  <c r="AL5" i="30"/>
  <c r="AM5" i="30" s="1"/>
  <c r="AJ6" i="30"/>
  <c r="AK6" i="30" s="1"/>
  <c r="AJ4" i="30"/>
  <c r="AK4" i="30" s="1"/>
  <c r="AJ3" i="30"/>
  <c r="AK3" i="30" s="1"/>
  <c r="AJ5" i="30"/>
  <c r="AK5" i="30" s="1"/>
  <c r="AJ7" i="30"/>
  <c r="AK7" i="30" s="1"/>
  <c r="AL39" i="29"/>
  <c r="AM39" i="29" s="1"/>
  <c r="AL21" i="29"/>
  <c r="AM21" i="29" s="1"/>
  <c r="AL32" i="29"/>
  <c r="AM32" i="29" s="1"/>
  <c r="AL44" i="29"/>
  <c r="AM44" i="29" s="1"/>
  <c r="AL10" i="29"/>
  <c r="AM10" i="29" s="1"/>
  <c r="AL98" i="29"/>
  <c r="AM98" i="29" s="1"/>
  <c r="AL80" i="29"/>
  <c r="AM80" i="29" s="1"/>
  <c r="AL62" i="29"/>
  <c r="AM62" i="29" s="1"/>
  <c r="AL41" i="29"/>
  <c r="AM41" i="29" s="1"/>
  <c r="AL19" i="29"/>
  <c r="AM19" i="29" s="1"/>
  <c r="AL53" i="29"/>
  <c r="AM53" i="29" s="1"/>
  <c r="AL97" i="29"/>
  <c r="AM97" i="29" s="1"/>
  <c r="AL77" i="29"/>
  <c r="AM77" i="29" s="1"/>
  <c r="AL61" i="29"/>
  <c r="AM61" i="29" s="1"/>
  <c r="AL38" i="29"/>
  <c r="AM38" i="29" s="1"/>
  <c r="AL18" i="29"/>
  <c r="AM18" i="29" s="1"/>
  <c r="AL17" i="29"/>
  <c r="AM17" i="29" s="1"/>
  <c r="AL96" i="29"/>
  <c r="AM96" i="29" s="1"/>
  <c r="AL78" i="29"/>
  <c r="AM78" i="29" s="1"/>
  <c r="AL60" i="29"/>
  <c r="AM60" i="29" s="1"/>
  <c r="AL37" i="29"/>
  <c r="AM37" i="29" s="1"/>
  <c r="AL16" i="29"/>
  <c r="AM16" i="29" s="1"/>
  <c r="AL81" i="29"/>
  <c r="AM81" i="29" s="1"/>
  <c r="AL94" i="29"/>
  <c r="AM94" i="29" s="1"/>
  <c r="AL76" i="29"/>
  <c r="AM76" i="29" s="1"/>
  <c r="AL59" i="29"/>
  <c r="AM59" i="29" s="1"/>
  <c r="AL36" i="29"/>
  <c r="AM36" i="29" s="1"/>
  <c r="AL15" i="29"/>
  <c r="AM15" i="29" s="1"/>
  <c r="AL42" i="29"/>
  <c r="AM42" i="29" s="1"/>
  <c r="AL95" i="29"/>
  <c r="AM95" i="29" s="1"/>
  <c r="AL75" i="29"/>
  <c r="AM75" i="29" s="1"/>
  <c r="AL58" i="29"/>
  <c r="AM58" i="29" s="1"/>
  <c r="AL35" i="29"/>
  <c r="AM35" i="29" s="1"/>
  <c r="AL14" i="29"/>
  <c r="AM14" i="29" s="1"/>
  <c r="AL89" i="29"/>
  <c r="AM89" i="29" s="1"/>
  <c r="AL92" i="29"/>
  <c r="AM92" i="29" s="1"/>
  <c r="AL74" i="29"/>
  <c r="AM74" i="29" s="1"/>
  <c r="AL56" i="29"/>
  <c r="AM56" i="29" s="1"/>
  <c r="AL34" i="29"/>
  <c r="AM34" i="29" s="1"/>
  <c r="AL13" i="29"/>
  <c r="AM13" i="29" s="1"/>
  <c r="AL27" i="29"/>
  <c r="AM27" i="29" s="1"/>
  <c r="AL91" i="29"/>
  <c r="AM91" i="29" s="1"/>
  <c r="AL73" i="29"/>
  <c r="AM73" i="29" s="1"/>
  <c r="AL55" i="29"/>
  <c r="AM55" i="29" s="1"/>
  <c r="AL33" i="29"/>
  <c r="AM33" i="29" s="1"/>
  <c r="AL12" i="29"/>
  <c r="AM12" i="29" s="1"/>
  <c r="AL6" i="29"/>
  <c r="AM6" i="29" s="1"/>
  <c r="AL93" i="29"/>
  <c r="AM93" i="29" s="1"/>
  <c r="AL72" i="29"/>
  <c r="AM72" i="29" s="1"/>
  <c r="AL54" i="29"/>
  <c r="AM54" i="29" s="1"/>
  <c r="AL31" i="29"/>
  <c r="AM31" i="29" s="1"/>
  <c r="AL11" i="29"/>
  <c r="AM11" i="29" s="1"/>
  <c r="AL85" i="29"/>
  <c r="AM85" i="29" s="1"/>
  <c r="AL88" i="29"/>
  <c r="AM88" i="29" s="1"/>
  <c r="AL71" i="29"/>
  <c r="AM71" i="29" s="1"/>
  <c r="AL52" i="29"/>
  <c r="AM52" i="29" s="1"/>
  <c r="AL30" i="29"/>
  <c r="AM30" i="29" s="1"/>
  <c r="AL9" i="29"/>
  <c r="AM9" i="29" s="1"/>
  <c r="AL40" i="29"/>
  <c r="AM40" i="29" s="1"/>
  <c r="AL90" i="29"/>
  <c r="AM90" i="29" s="1"/>
  <c r="AL70" i="29"/>
  <c r="AM70" i="29" s="1"/>
  <c r="AL51" i="29"/>
  <c r="AM51" i="29" s="1"/>
  <c r="AL29" i="29"/>
  <c r="AM29" i="29" s="1"/>
  <c r="AL8" i="29"/>
  <c r="AM8" i="29" s="1"/>
  <c r="AL26" i="29"/>
  <c r="AM26" i="29" s="1"/>
  <c r="AL87" i="29"/>
  <c r="AM87" i="29" s="1"/>
  <c r="AL69" i="29"/>
  <c r="AM69" i="29" s="1"/>
  <c r="AL49" i="29"/>
  <c r="AM49" i="29" s="1"/>
  <c r="AL28" i="29"/>
  <c r="AM28" i="29" s="1"/>
  <c r="AL7" i="29"/>
  <c r="AM7" i="29" s="1"/>
  <c r="AL57" i="29"/>
  <c r="AM57" i="29" s="1"/>
  <c r="AL86" i="29"/>
  <c r="AM86" i="29" s="1"/>
  <c r="AL68" i="29"/>
  <c r="AM68" i="29" s="1"/>
  <c r="AL48" i="29"/>
  <c r="AM48" i="29" s="1"/>
  <c r="AL25" i="29"/>
  <c r="AM25" i="29" s="1"/>
  <c r="AL5" i="29"/>
  <c r="AM5" i="29" s="1"/>
  <c r="AL65" i="29"/>
  <c r="AM65" i="29" s="1"/>
  <c r="AL84" i="29"/>
  <c r="AM84" i="29" s="1"/>
  <c r="AL67" i="29"/>
  <c r="AM67" i="29" s="1"/>
  <c r="AL47" i="29"/>
  <c r="AM47" i="29" s="1"/>
  <c r="AL24" i="29"/>
  <c r="AM24" i="29" s="1"/>
  <c r="AL4" i="29"/>
  <c r="AM4" i="29" s="1"/>
  <c r="AL50" i="29"/>
  <c r="AM50" i="29" s="1"/>
  <c r="AL83" i="29"/>
  <c r="AM83" i="29" s="1"/>
  <c r="AL66" i="29"/>
  <c r="AM66" i="29" s="1"/>
  <c r="AL46" i="29"/>
  <c r="AM46" i="29" s="1"/>
  <c r="AL23" i="29"/>
  <c r="AM23" i="29" s="1"/>
  <c r="AL3" i="29"/>
  <c r="AM3" i="29" s="1"/>
  <c r="AL99" i="29"/>
  <c r="AM99" i="29" s="1"/>
  <c r="AL82" i="29"/>
  <c r="AM82" i="29" s="1"/>
  <c r="AL64" i="29"/>
  <c r="AM64" i="29" s="1"/>
  <c r="AL45" i="29"/>
  <c r="AM45" i="29" s="1"/>
  <c r="AL22" i="29"/>
  <c r="AM22" i="29" s="1"/>
  <c r="AL2" i="29"/>
  <c r="AL100" i="29"/>
  <c r="AM100" i="29" s="1"/>
  <c r="AL79" i="29"/>
  <c r="AM79" i="29" s="1"/>
  <c r="AL63" i="29"/>
  <c r="AM63" i="29" s="1"/>
  <c r="AL43" i="29"/>
  <c r="AM43" i="29" s="1"/>
  <c r="AL20" i="29"/>
  <c r="AM20" i="29" s="1"/>
  <c r="AJ16" i="29"/>
  <c r="AK16" i="29" s="1"/>
  <c r="AJ60" i="29"/>
  <c r="AK60" i="29" s="1"/>
  <c r="AJ57" i="29"/>
  <c r="AK57" i="29" s="1"/>
  <c r="AJ90" i="29"/>
  <c r="AK90" i="29" s="1"/>
  <c r="AJ81" i="29"/>
  <c r="AK81" i="29" s="1"/>
  <c r="AJ99" i="29"/>
  <c r="AK99" i="29" s="1"/>
  <c r="AJ14" i="29"/>
  <c r="AK14" i="29" s="1"/>
  <c r="AJ20" i="29"/>
  <c r="AK20" i="29" s="1"/>
  <c r="AJ61" i="29"/>
  <c r="AK61" i="29" s="1"/>
  <c r="AJ26" i="29"/>
  <c r="AK26" i="29" s="1"/>
  <c r="AJ84" i="29"/>
  <c r="AK84" i="29" s="1"/>
  <c r="AJ71" i="29"/>
  <c r="AK71" i="29" s="1"/>
  <c r="AJ2" i="29"/>
  <c r="AJ66" i="29"/>
  <c r="AK66" i="29" s="1"/>
  <c r="AJ93" i="29"/>
  <c r="AK93" i="29" s="1"/>
  <c r="AJ86" i="29"/>
  <c r="AK86" i="29" s="1"/>
  <c r="AJ27" i="29"/>
  <c r="AK27" i="29" s="1"/>
  <c r="AJ17" i="29"/>
  <c r="AK17" i="29" s="1"/>
  <c r="AJ56" i="29"/>
  <c r="AK56" i="29" s="1"/>
  <c r="AJ23" i="29"/>
  <c r="AK23" i="29" s="1"/>
  <c r="AJ55" i="29"/>
  <c r="AK55" i="29" s="1"/>
  <c r="AJ85" i="29"/>
  <c r="AK85" i="29" s="1"/>
  <c r="AJ89" i="29"/>
  <c r="AK89" i="29" s="1"/>
  <c r="AJ45" i="29"/>
  <c r="AK45" i="29" s="1"/>
  <c r="AJ29" i="29"/>
  <c r="AK29" i="29" s="1"/>
  <c r="AJ59" i="29"/>
  <c r="AK59" i="29" s="1"/>
  <c r="AJ96" i="29"/>
  <c r="AK96" i="29" s="1"/>
  <c r="AJ6" i="29"/>
  <c r="AK6" i="29" s="1"/>
  <c r="AJ41" i="29"/>
  <c r="AK41" i="29" s="1"/>
  <c r="AJ12" i="29"/>
  <c r="AK12" i="29" s="1"/>
  <c r="AJ47" i="29"/>
  <c r="AK47" i="29" s="1"/>
  <c r="AJ49" i="29"/>
  <c r="AK49" i="29" s="1"/>
  <c r="AJ82" i="29"/>
  <c r="AK82" i="29" s="1"/>
  <c r="AJ73" i="29"/>
  <c r="AK73" i="29" s="1"/>
  <c r="AJ37" i="29"/>
  <c r="AK37" i="29" s="1"/>
  <c r="AJ11" i="29"/>
  <c r="AK11" i="29" s="1"/>
  <c r="AJ22" i="29"/>
  <c r="AK22" i="29" s="1"/>
  <c r="AJ67" i="29"/>
  <c r="AK67" i="29" s="1"/>
  <c r="AJ40" i="29"/>
  <c r="AK40" i="29" s="1"/>
  <c r="AJ42" i="29"/>
  <c r="AK42" i="29" s="1"/>
  <c r="AJ88" i="29"/>
  <c r="AK88" i="29" s="1"/>
  <c r="AJ39" i="29"/>
  <c r="AK39" i="29" s="1"/>
  <c r="AJ18" i="29"/>
  <c r="AK18" i="29" s="1"/>
  <c r="AJ54" i="29"/>
  <c r="AK54" i="29" s="1"/>
  <c r="AJ64" i="29"/>
  <c r="AK64" i="29" s="1"/>
  <c r="AJ58" i="29"/>
  <c r="AK58" i="29" s="1"/>
  <c r="AJ79" i="29"/>
  <c r="AK79" i="29" s="1"/>
  <c r="AJ32" i="29"/>
  <c r="AK32" i="29" s="1"/>
  <c r="AJ4" i="29"/>
  <c r="AK4" i="29" s="1"/>
  <c r="AJ19" i="29"/>
  <c r="AK19" i="29" s="1"/>
  <c r="AJ62" i="29"/>
  <c r="AK62" i="29" s="1"/>
  <c r="AJ80" i="29"/>
  <c r="AK80" i="29" s="1"/>
  <c r="AJ63" i="29"/>
  <c r="AK63" i="29" s="1"/>
  <c r="AJ53" i="29"/>
  <c r="AK53" i="29" s="1"/>
  <c r="AJ13" i="29"/>
  <c r="AK13" i="29" s="1"/>
  <c r="AJ9" i="29"/>
  <c r="AK9" i="29" s="1"/>
  <c r="AJ36" i="29"/>
  <c r="AK36" i="29" s="1"/>
  <c r="AJ100" i="29"/>
  <c r="AK100" i="29" s="1"/>
  <c r="AJ50" i="29"/>
  <c r="AK50" i="29" s="1"/>
  <c r="AJ87" i="29"/>
  <c r="AK87" i="29" s="1"/>
  <c r="AJ94" i="29"/>
  <c r="AK94" i="29" s="1"/>
  <c r="AJ5" i="29"/>
  <c r="AK5" i="29" s="1"/>
  <c r="AJ74" i="29"/>
  <c r="AK74" i="29" s="1"/>
  <c r="AJ65" i="29"/>
  <c r="AK65" i="29" s="1"/>
  <c r="AJ33" i="29"/>
  <c r="AK33" i="29" s="1"/>
  <c r="AJ92" i="29"/>
  <c r="AK92" i="29" s="1"/>
  <c r="AJ68" i="29"/>
  <c r="AK68" i="29" s="1"/>
  <c r="AJ77" i="29"/>
  <c r="AK77" i="29" s="1"/>
  <c r="AJ34" i="29"/>
  <c r="AK34" i="29" s="1"/>
  <c r="AJ51" i="29"/>
  <c r="AK51" i="29" s="1"/>
  <c r="AJ28" i="29"/>
  <c r="AK28" i="29" s="1"/>
  <c r="AJ75" i="29"/>
  <c r="AK75" i="29" s="1"/>
  <c r="AJ76" i="29"/>
  <c r="AK76" i="29" s="1"/>
  <c r="AJ43" i="29"/>
  <c r="AK43" i="29" s="1"/>
  <c r="AJ3" i="29"/>
  <c r="AK3" i="29" s="1"/>
  <c r="AJ30" i="29"/>
  <c r="AK30" i="29" s="1"/>
  <c r="AJ38" i="29"/>
  <c r="AK38" i="29" s="1"/>
  <c r="AJ78" i="29"/>
  <c r="AK78" i="29" s="1"/>
  <c r="AJ83" i="29"/>
  <c r="AK83" i="29" s="1"/>
  <c r="AJ21" i="29"/>
  <c r="AK21" i="29" s="1"/>
  <c r="AJ8" i="29"/>
  <c r="AK8" i="29" s="1"/>
  <c r="AJ31" i="29"/>
  <c r="AK31" i="29" s="1"/>
  <c r="AJ46" i="29"/>
  <c r="AK46" i="29" s="1"/>
  <c r="AJ70" i="29"/>
  <c r="AK70" i="29" s="1"/>
  <c r="AJ91" i="29"/>
  <c r="AK91" i="29" s="1"/>
  <c r="AJ95" i="29"/>
  <c r="AK95" i="29" s="1"/>
  <c r="AJ25" i="29"/>
  <c r="AK25" i="29" s="1"/>
  <c r="AJ15" i="29"/>
  <c r="AK15" i="29" s="1"/>
  <c r="AJ97" i="29"/>
  <c r="AK97" i="29" s="1"/>
  <c r="AJ72" i="29"/>
  <c r="AK72" i="29" s="1"/>
  <c r="AJ69" i="29"/>
  <c r="AK69" i="29" s="1"/>
  <c r="AJ44" i="29"/>
  <c r="AK44" i="29" s="1"/>
  <c r="AJ7" i="29"/>
  <c r="AK7" i="29" s="1"/>
  <c r="AJ35" i="29"/>
  <c r="AK35" i="29" s="1"/>
  <c r="AJ48" i="29"/>
  <c r="AK48" i="29" s="1"/>
  <c r="AJ24" i="29"/>
  <c r="AK24" i="29" s="1"/>
  <c r="AJ98" i="29"/>
  <c r="AK98" i="29" s="1"/>
  <c r="AJ10" i="29"/>
  <c r="AK10" i="29" s="1"/>
  <c r="AK30" i="38"/>
  <c r="AJ39" i="37"/>
  <c r="AK2" i="37"/>
  <c r="AK39" i="37" s="1"/>
  <c r="AJ23" i="33"/>
  <c r="AL23" i="33"/>
  <c r="AI50" i="28"/>
  <c r="AF50" i="28"/>
  <c r="AJ5" i="28" s="1"/>
  <c r="AK5" i="28" s="1"/>
  <c r="AK2" i="29"/>
  <c r="AM2" i="29"/>
  <c r="AJ8" i="30"/>
  <c r="AJ5" i="31"/>
  <c r="AK2" i="31"/>
  <c r="AK5" i="31" s="1"/>
  <c r="AK6" i="32"/>
  <c r="AM23" i="33"/>
  <c r="AM29" i="28"/>
  <c r="AM43" i="28"/>
  <c r="AM46" i="28"/>
  <c r="AM8" i="28"/>
  <c r="AM12" i="28"/>
  <c r="AM48" i="28"/>
  <c r="AM42" i="28"/>
  <c r="AM44" i="28"/>
  <c r="AM34" i="28"/>
  <c r="AM18" i="28"/>
  <c r="AM10" i="28"/>
  <c r="AM3" i="28"/>
  <c r="AM25" i="28"/>
  <c r="AM26" i="28"/>
  <c r="AM37" i="28"/>
  <c r="AM4" i="28"/>
  <c r="AM31" i="28"/>
  <c r="AM28" i="28"/>
  <c r="AM24" i="28"/>
  <c r="AM5" i="28"/>
  <c r="AM40" i="28"/>
  <c r="AM16" i="28"/>
  <c r="AM39" i="28"/>
  <c r="AM35" i="28"/>
  <c r="AM33" i="28"/>
  <c r="AM36" i="28"/>
  <c r="AM17" i="28"/>
  <c r="AM14" i="28"/>
  <c r="AM9" i="28"/>
  <c r="AM19" i="28"/>
  <c r="AM20" i="28"/>
  <c r="AM21" i="28"/>
  <c r="AM23" i="28"/>
  <c r="AM32" i="28"/>
  <c r="AM7" i="28"/>
  <c r="AM49" i="28"/>
  <c r="AM13" i="28"/>
  <c r="AI7" i="27"/>
  <c r="AI3" i="27"/>
  <c r="AI21" i="27"/>
  <c r="AI8" i="27"/>
  <c r="AI6" i="27"/>
  <c r="AI15" i="27"/>
  <c r="AI14" i="27"/>
  <c r="AI5" i="27"/>
  <c r="AI19" i="27"/>
  <c r="AI22" i="27"/>
  <c r="AI9" i="27"/>
  <c r="AI12" i="27"/>
  <c r="AI10" i="27"/>
  <c r="AI18" i="27"/>
  <c r="AI16" i="27"/>
  <c r="AI30" i="27"/>
  <c r="AI41" i="27"/>
  <c r="AI29" i="27"/>
  <c r="AI4" i="27"/>
  <c r="AI37" i="27"/>
  <c r="AI36" i="27"/>
  <c r="AI20" i="27"/>
  <c r="AI11" i="27"/>
  <c r="AI39" i="27"/>
  <c r="AI2" i="27"/>
  <c r="AI25" i="27"/>
  <c r="AI33" i="27"/>
  <c r="AI38" i="27"/>
  <c r="AI28" i="27"/>
  <c r="AI17" i="27"/>
  <c r="AI31" i="27"/>
  <c r="AI43" i="27"/>
  <c r="AI26" i="27"/>
  <c r="AI24" i="27"/>
  <c r="AI34" i="27"/>
  <c r="AI44" i="27"/>
  <c r="AI32" i="27"/>
  <c r="AI23" i="27"/>
  <c r="AI35" i="27"/>
  <c r="AM7" i="27"/>
  <c r="AM3" i="27"/>
  <c r="AM21" i="27"/>
  <c r="AM8" i="27"/>
  <c r="AM6" i="27"/>
  <c r="AM15" i="27"/>
  <c r="AM14" i="27"/>
  <c r="AM5" i="27"/>
  <c r="AM19" i="27"/>
  <c r="AM22" i="27"/>
  <c r="AM9" i="27"/>
  <c r="AM12" i="27"/>
  <c r="AM10" i="27"/>
  <c r="AM18" i="27"/>
  <c r="AM16" i="27"/>
  <c r="AM30" i="27"/>
  <c r="AM41" i="27"/>
  <c r="AM29" i="27"/>
  <c r="AM4" i="27"/>
  <c r="AM37" i="27"/>
  <c r="AM36" i="27"/>
  <c r="AM20" i="27"/>
  <c r="AM11" i="27"/>
  <c r="AM39" i="27"/>
  <c r="AM2" i="27"/>
  <c r="AM25" i="27"/>
  <c r="AM33" i="27"/>
  <c r="AM38" i="27"/>
  <c r="AM28" i="27"/>
  <c r="AM17" i="27"/>
  <c r="AM31" i="27"/>
  <c r="AM43" i="27"/>
  <c r="AM26" i="27"/>
  <c r="AM24" i="27"/>
  <c r="AM34" i="27"/>
  <c r="AM44" i="27"/>
  <c r="AM32" i="27"/>
  <c r="AM23" i="27"/>
  <c r="AM35" i="27"/>
  <c r="AF40" i="27"/>
  <c r="AF7" i="27"/>
  <c r="AF3" i="27"/>
  <c r="AF21" i="27"/>
  <c r="AF8" i="27"/>
  <c r="AF6" i="27"/>
  <c r="AF15" i="27"/>
  <c r="AF14" i="27"/>
  <c r="AF5" i="27"/>
  <c r="AF19" i="27"/>
  <c r="AF22" i="27"/>
  <c r="AF9" i="27"/>
  <c r="AF12" i="27"/>
  <c r="AF10" i="27"/>
  <c r="AF18" i="27"/>
  <c r="AF16" i="27"/>
  <c r="AF30" i="27"/>
  <c r="AF41" i="27"/>
  <c r="AF29" i="27"/>
  <c r="AF4" i="27"/>
  <c r="AF37" i="27"/>
  <c r="AF36" i="27"/>
  <c r="AF20" i="27"/>
  <c r="AF11" i="27"/>
  <c r="AF39" i="27"/>
  <c r="AF2" i="27"/>
  <c r="AF25" i="27"/>
  <c r="AF33" i="27"/>
  <c r="AF38" i="27"/>
  <c r="AF28" i="27"/>
  <c r="AF17" i="27"/>
  <c r="AF31" i="27"/>
  <c r="AF43" i="27"/>
  <c r="AF26" i="27"/>
  <c r="AF24" i="27"/>
  <c r="AF34" i="27"/>
  <c r="AF44" i="27"/>
  <c r="AF32" i="27"/>
  <c r="AF23" i="27"/>
  <c r="AF35" i="27"/>
  <c r="AJ80" i="32" l="1"/>
  <c r="AK8" i="30"/>
  <c r="AM101" i="29"/>
  <c r="AK80" i="32"/>
  <c r="AL80" i="32"/>
  <c r="AK101" i="29"/>
  <c r="AL5" i="31"/>
  <c r="AM2" i="31"/>
  <c r="AM5" i="31" s="1"/>
  <c r="AL8" i="30"/>
  <c r="AJ101" i="29"/>
  <c r="AL101" i="29"/>
  <c r="AK23" i="33"/>
  <c r="AJ18" i="28"/>
  <c r="AK18" i="28" s="1"/>
  <c r="AJ48" i="28"/>
  <c r="AK48" i="28" s="1"/>
  <c r="AJ32" i="28"/>
  <c r="AK32" i="28" s="1"/>
  <c r="AJ46" i="28"/>
  <c r="AK46" i="28" s="1"/>
  <c r="AJ29" i="28"/>
  <c r="AK29" i="28" s="1"/>
  <c r="AJ9" i="28"/>
  <c r="AK9" i="28" s="1"/>
  <c r="AJ33" i="28"/>
  <c r="AK33" i="28" s="1"/>
  <c r="AJ26" i="28"/>
  <c r="AK26" i="28" s="1"/>
  <c r="AJ15" i="28"/>
  <c r="AK15" i="28" s="1"/>
  <c r="AJ38" i="28"/>
  <c r="AK38" i="28" s="1"/>
  <c r="AJ41" i="28"/>
  <c r="AK41" i="28" s="1"/>
  <c r="AJ47" i="28"/>
  <c r="AK47" i="28" s="1"/>
  <c r="AJ30" i="28"/>
  <c r="AK30" i="28" s="1"/>
  <c r="AJ45" i="28"/>
  <c r="AK45" i="28" s="1"/>
  <c r="AJ6" i="28"/>
  <c r="AK6" i="28" s="1"/>
  <c r="AJ22" i="28"/>
  <c r="AK22" i="28" s="1"/>
  <c r="AJ11" i="28"/>
  <c r="AK11" i="28" s="1"/>
  <c r="AJ27" i="28"/>
  <c r="AK27" i="28" s="1"/>
  <c r="AJ2" i="28"/>
  <c r="AJ34" i="28"/>
  <c r="AK34" i="28" s="1"/>
  <c r="AJ12" i="28"/>
  <c r="AK12" i="28" s="1"/>
  <c r="AJ23" i="28"/>
  <c r="AK23" i="28" s="1"/>
  <c r="AJ19" i="28"/>
  <c r="AK19" i="28" s="1"/>
  <c r="AJ39" i="28"/>
  <c r="AK39" i="28" s="1"/>
  <c r="AJ14" i="28"/>
  <c r="AK14" i="28" s="1"/>
  <c r="AJ35" i="28"/>
  <c r="AK35" i="28" s="1"/>
  <c r="AJ31" i="28"/>
  <c r="AK31" i="28" s="1"/>
  <c r="AJ3" i="28"/>
  <c r="AK3" i="28" s="1"/>
  <c r="AJ44" i="28"/>
  <c r="AK44" i="28" s="1"/>
  <c r="AJ8" i="28"/>
  <c r="AK8" i="28" s="1"/>
  <c r="AJ21" i="28"/>
  <c r="AK21" i="28" s="1"/>
  <c r="AJ43" i="28"/>
  <c r="AK43" i="28" s="1"/>
  <c r="AJ40" i="28"/>
  <c r="AK40" i="28" s="1"/>
  <c r="AJ17" i="28"/>
  <c r="AK17" i="28" s="1"/>
  <c r="AJ16" i="28"/>
  <c r="AK16" i="28" s="1"/>
  <c r="AJ13" i="28"/>
  <c r="AK13" i="28" s="1"/>
  <c r="AJ37" i="28"/>
  <c r="AK37" i="28" s="1"/>
  <c r="AJ10" i="28"/>
  <c r="AK10" i="28" s="1"/>
  <c r="AJ42" i="28"/>
  <c r="AK42" i="28" s="1"/>
  <c r="AJ7" i="28"/>
  <c r="AK7" i="28" s="1"/>
  <c r="AJ20" i="28"/>
  <c r="AK20" i="28" s="1"/>
  <c r="AJ49" i="28"/>
  <c r="AK49" i="28" s="1"/>
  <c r="AJ24" i="28"/>
  <c r="AK24" i="28" s="1"/>
  <c r="AJ36" i="28"/>
  <c r="AK36" i="28" s="1"/>
  <c r="AJ4" i="28"/>
  <c r="AK4" i="28" s="1"/>
  <c r="AJ28" i="28"/>
  <c r="AK28" i="28" s="1"/>
  <c r="AJ25" i="28"/>
  <c r="AK25" i="28" s="1"/>
  <c r="AM50" i="28"/>
  <c r="AF45" i="27"/>
  <c r="AJ31" i="27" s="1"/>
  <c r="AK31" i="27" s="1"/>
  <c r="AI40" i="27"/>
  <c r="AI45" i="27" s="1"/>
  <c r="AM40" i="27"/>
  <c r="AM45" i="27" s="1"/>
  <c r="AI6" i="23"/>
  <c r="AI5" i="23"/>
  <c r="AI7" i="23"/>
  <c r="AI11" i="23"/>
  <c r="AI16" i="23"/>
  <c r="AI23" i="23"/>
  <c r="AI14" i="23"/>
  <c r="AI8" i="23"/>
  <c r="AI18" i="23"/>
  <c r="AI15" i="23"/>
  <c r="AI20" i="23"/>
  <c r="AI24" i="23"/>
  <c r="AI21" i="23"/>
  <c r="AF2" i="23"/>
  <c r="AF6" i="23"/>
  <c r="AF5" i="23"/>
  <c r="AF7" i="23"/>
  <c r="AF11" i="23"/>
  <c r="AF16" i="23"/>
  <c r="AF23" i="23"/>
  <c r="AF14" i="23"/>
  <c r="AF8" i="23"/>
  <c r="AF18" i="23"/>
  <c r="AF15" i="23"/>
  <c r="AF20" i="23"/>
  <c r="AF24" i="23"/>
  <c r="AF21" i="23"/>
  <c r="AI3" i="25"/>
  <c r="AI4" i="25"/>
  <c r="AI5" i="25"/>
  <c r="AI6" i="25"/>
  <c r="AI10" i="25"/>
  <c r="AI11" i="25"/>
  <c r="AI18" i="25"/>
  <c r="AI12" i="25"/>
  <c r="AI7" i="25"/>
  <c r="AI17" i="25"/>
  <c r="AI9" i="25"/>
  <c r="AI13" i="25"/>
  <c r="AI16" i="25"/>
  <c r="AI14" i="25"/>
  <c r="AI15" i="25"/>
  <c r="AI23" i="25"/>
  <c r="AI24" i="25"/>
  <c r="AI25" i="25"/>
  <c r="AI20" i="25"/>
  <c r="AI21" i="25"/>
  <c r="AI8" i="25"/>
  <c r="AI19" i="25"/>
  <c r="AI22" i="25"/>
  <c r="AM3" i="25"/>
  <c r="AM4" i="25"/>
  <c r="AM5" i="25"/>
  <c r="AM6" i="25"/>
  <c r="AM10" i="25"/>
  <c r="AM11" i="25"/>
  <c r="AM18" i="25"/>
  <c r="AM12" i="25"/>
  <c r="AM7" i="25"/>
  <c r="AM17" i="25"/>
  <c r="AM9" i="25"/>
  <c r="AM13" i="25"/>
  <c r="AM16" i="25"/>
  <c r="AM14" i="25"/>
  <c r="AM15" i="25"/>
  <c r="AM23" i="25"/>
  <c r="AM24" i="25"/>
  <c r="AM25" i="25"/>
  <c r="AM20" i="25"/>
  <c r="AM21" i="25"/>
  <c r="AM8" i="25"/>
  <c r="AM19" i="25"/>
  <c r="AM22" i="25"/>
  <c r="AF2" i="25"/>
  <c r="AF3" i="25"/>
  <c r="AF4" i="25"/>
  <c r="AF5" i="25"/>
  <c r="AF6" i="25"/>
  <c r="AF10" i="25"/>
  <c r="AF11" i="25"/>
  <c r="AF18" i="25"/>
  <c r="AF12" i="25"/>
  <c r="AF7" i="25"/>
  <c r="AF17" i="25"/>
  <c r="AF9" i="25"/>
  <c r="AF13" i="25"/>
  <c r="AF16" i="25"/>
  <c r="AF14" i="25"/>
  <c r="AF15" i="25"/>
  <c r="AF23" i="25"/>
  <c r="AF24" i="25"/>
  <c r="AF25" i="25"/>
  <c r="AF20" i="25"/>
  <c r="AF21" i="25"/>
  <c r="AF8" i="25"/>
  <c r="AF19" i="25"/>
  <c r="AF22" i="25"/>
  <c r="AI2" i="26"/>
  <c r="AI3" i="26"/>
  <c r="AI5" i="26"/>
  <c r="AI20" i="26"/>
  <c r="AI33" i="26"/>
  <c r="AI11" i="26"/>
  <c r="AI10" i="26"/>
  <c r="AI44" i="26"/>
  <c r="AI7" i="26"/>
  <c r="AI16" i="26"/>
  <c r="AI53" i="26"/>
  <c r="AI24" i="26"/>
  <c r="AI19" i="26"/>
  <c r="AI22" i="26"/>
  <c r="AI6" i="26"/>
  <c r="AI39" i="26"/>
  <c r="AI26" i="26"/>
  <c r="AI21" i="26"/>
  <c r="AI61" i="26"/>
  <c r="AI15" i="26"/>
  <c r="AI52" i="26"/>
  <c r="AI51" i="26"/>
  <c r="AI43" i="26"/>
  <c r="AI37" i="26"/>
  <c r="AI12" i="26"/>
  <c r="AI31" i="26"/>
  <c r="AI35" i="26"/>
  <c r="AI59" i="26"/>
  <c r="AI49" i="26"/>
  <c r="AI48" i="26"/>
  <c r="AI28" i="26"/>
  <c r="AI18" i="26"/>
  <c r="AI25" i="26"/>
  <c r="AI9" i="26"/>
  <c r="AI23" i="26"/>
  <c r="AI38" i="26"/>
  <c r="AI41" i="26"/>
  <c r="AI8" i="26"/>
  <c r="AI42" i="26"/>
  <c r="AI14" i="26"/>
  <c r="AI34" i="26"/>
  <c r="AI63" i="26"/>
  <c r="AI54" i="26"/>
  <c r="AI30" i="26"/>
  <c r="AI62" i="26"/>
  <c r="AI56" i="26"/>
  <c r="AI47" i="26"/>
  <c r="AI58" i="26"/>
  <c r="AI4" i="26"/>
  <c r="AI36" i="26"/>
  <c r="AI17" i="26"/>
  <c r="AI60" i="26"/>
  <c r="AI57" i="26"/>
  <c r="AI65" i="26"/>
  <c r="AI46" i="26"/>
  <c r="AI66" i="26"/>
  <c r="AI67" i="26"/>
  <c r="AI27" i="26"/>
  <c r="AI50" i="26"/>
  <c r="AI13" i="26"/>
  <c r="AI45" i="26"/>
  <c r="AI69" i="26"/>
  <c r="AI32" i="26"/>
  <c r="AI64" i="26"/>
  <c r="AI55" i="26"/>
  <c r="AI40" i="26"/>
  <c r="AI68" i="26"/>
  <c r="AM3" i="26"/>
  <c r="AM5" i="26"/>
  <c r="AM20" i="26"/>
  <c r="AM33" i="26"/>
  <c r="AM11" i="26"/>
  <c r="AM10" i="26"/>
  <c r="AM44" i="26"/>
  <c r="AM7" i="26"/>
  <c r="AM16" i="26"/>
  <c r="AM53" i="26"/>
  <c r="AM24" i="26"/>
  <c r="AM19" i="26"/>
  <c r="AM22" i="26"/>
  <c r="AM6" i="26"/>
  <c r="AM39" i="26"/>
  <c r="AM26" i="26"/>
  <c r="AM21" i="26"/>
  <c r="AM61" i="26"/>
  <c r="AM15" i="26"/>
  <c r="AM52" i="26"/>
  <c r="AM51" i="26"/>
  <c r="AM43" i="26"/>
  <c r="AM37" i="26"/>
  <c r="AM12" i="26"/>
  <c r="AM31" i="26"/>
  <c r="AM35" i="26"/>
  <c r="AM59" i="26"/>
  <c r="AM49" i="26"/>
  <c r="AM48" i="26"/>
  <c r="AM28" i="26"/>
  <c r="AM18" i="26"/>
  <c r="AM25" i="26"/>
  <c r="AM9" i="26"/>
  <c r="AM23" i="26"/>
  <c r="AM38" i="26"/>
  <c r="AM41" i="26"/>
  <c r="AM8" i="26"/>
  <c r="AM42" i="26"/>
  <c r="AM14" i="26"/>
  <c r="AM34" i="26"/>
  <c r="AM63" i="26"/>
  <c r="AM54" i="26"/>
  <c r="AM30" i="26"/>
  <c r="AM62" i="26"/>
  <c r="AM56" i="26"/>
  <c r="AM47" i="26"/>
  <c r="AM58" i="26"/>
  <c r="AM4" i="26"/>
  <c r="AM36" i="26"/>
  <c r="AM17" i="26"/>
  <c r="AM60" i="26"/>
  <c r="AM57" i="26"/>
  <c r="AM65" i="26"/>
  <c r="AM46" i="26"/>
  <c r="AM66" i="26"/>
  <c r="AM67" i="26"/>
  <c r="AM27" i="26"/>
  <c r="AM50" i="26"/>
  <c r="AM13" i="26"/>
  <c r="AM45" i="26"/>
  <c r="AM69" i="26"/>
  <c r="AM32" i="26"/>
  <c r="AM64" i="26"/>
  <c r="AM55" i="26"/>
  <c r="AM40" i="26"/>
  <c r="AM68" i="26"/>
  <c r="AF29" i="26"/>
  <c r="AF2" i="26"/>
  <c r="AF3" i="26"/>
  <c r="AF5" i="26"/>
  <c r="AF20" i="26"/>
  <c r="AF33" i="26"/>
  <c r="AF11" i="26"/>
  <c r="AF10" i="26"/>
  <c r="AF44" i="26"/>
  <c r="AF7" i="26"/>
  <c r="AF16" i="26"/>
  <c r="AF53" i="26"/>
  <c r="AF24" i="26"/>
  <c r="AF19" i="26"/>
  <c r="AF22" i="26"/>
  <c r="AF6" i="26"/>
  <c r="AF39" i="26"/>
  <c r="AF26" i="26"/>
  <c r="AF21" i="26"/>
  <c r="AF61" i="26"/>
  <c r="AF15" i="26"/>
  <c r="AF52" i="26"/>
  <c r="AF51" i="26"/>
  <c r="AF43" i="26"/>
  <c r="AF37" i="26"/>
  <c r="AF12" i="26"/>
  <c r="AF31" i="26"/>
  <c r="AF35" i="26"/>
  <c r="AF59" i="26"/>
  <c r="AF49" i="26"/>
  <c r="AF48" i="26"/>
  <c r="AF28" i="26"/>
  <c r="AF18" i="26"/>
  <c r="AF25" i="26"/>
  <c r="AF9" i="26"/>
  <c r="AF23" i="26"/>
  <c r="AF38" i="26"/>
  <c r="AF41" i="26"/>
  <c r="AF8" i="26"/>
  <c r="AF42" i="26"/>
  <c r="AF14" i="26"/>
  <c r="AF34" i="26"/>
  <c r="AF63" i="26"/>
  <c r="AF54" i="26"/>
  <c r="AF30" i="26"/>
  <c r="AF62" i="26"/>
  <c r="AF56" i="26"/>
  <c r="AF47" i="26"/>
  <c r="AF58" i="26"/>
  <c r="AF4" i="26"/>
  <c r="AF36" i="26"/>
  <c r="AF17" i="26"/>
  <c r="AF60" i="26"/>
  <c r="AF57" i="26"/>
  <c r="AF65" i="26"/>
  <c r="AF46" i="26"/>
  <c r="AF66" i="26"/>
  <c r="AF67" i="26"/>
  <c r="AF27" i="26"/>
  <c r="AF50" i="26"/>
  <c r="AF13" i="26"/>
  <c r="AF45" i="26"/>
  <c r="AF69" i="26"/>
  <c r="AF32" i="26"/>
  <c r="AF64" i="26"/>
  <c r="AF55" i="26"/>
  <c r="AF40" i="26"/>
  <c r="AF68" i="26"/>
  <c r="AI5" i="24"/>
  <c r="AI4" i="24"/>
  <c r="AI73" i="24"/>
  <c r="AI8" i="24"/>
  <c r="AI50" i="24"/>
  <c r="AI69" i="24"/>
  <c r="AI47" i="24"/>
  <c r="AI6" i="24"/>
  <c r="AI9" i="24"/>
  <c r="AI11" i="24"/>
  <c r="AI97" i="24"/>
  <c r="AI23" i="24"/>
  <c r="AI58" i="24"/>
  <c r="AI15" i="24"/>
  <c r="AI40" i="24"/>
  <c r="AI39" i="24"/>
  <c r="AI95" i="24"/>
  <c r="AI26" i="24"/>
  <c r="AI45" i="24"/>
  <c r="AI21" i="24"/>
  <c r="AI27" i="24"/>
  <c r="AI7" i="24"/>
  <c r="AI102" i="24"/>
  <c r="AI31" i="24"/>
  <c r="AI72" i="24"/>
  <c r="AI34" i="24"/>
  <c r="AI82" i="24"/>
  <c r="AI162" i="24"/>
  <c r="AI90" i="24"/>
  <c r="AI19" i="24"/>
  <c r="AI180" i="24"/>
  <c r="AI87" i="24"/>
  <c r="AI42" i="24"/>
  <c r="AI24" i="24"/>
  <c r="AI80" i="24"/>
  <c r="AI12" i="24"/>
  <c r="AI107" i="24"/>
  <c r="AI46" i="24"/>
  <c r="AI13" i="24"/>
  <c r="AI144" i="24"/>
  <c r="AI149" i="24"/>
  <c r="AI129" i="24"/>
  <c r="AI155" i="24"/>
  <c r="AI37" i="24"/>
  <c r="AI219" i="24"/>
  <c r="AI88" i="24"/>
  <c r="AI77" i="24"/>
  <c r="AI136" i="24"/>
  <c r="AI99" i="24"/>
  <c r="AI137" i="24"/>
  <c r="AI10" i="24"/>
  <c r="AI199" i="24"/>
  <c r="AI52" i="24"/>
  <c r="AI62" i="24"/>
  <c r="AI225" i="24"/>
  <c r="AI17" i="24"/>
  <c r="AI91" i="24"/>
  <c r="AI85" i="24"/>
  <c r="AI22" i="24"/>
  <c r="AI101" i="24"/>
  <c r="AI65" i="24"/>
  <c r="AI154" i="24"/>
  <c r="AI14" i="24"/>
  <c r="AI106" i="24"/>
  <c r="AI33" i="24"/>
  <c r="AI153" i="24"/>
  <c r="AI119" i="24"/>
  <c r="AI114" i="24"/>
  <c r="AI89" i="24"/>
  <c r="AI29" i="24"/>
  <c r="AI56" i="24"/>
  <c r="AI215" i="24"/>
  <c r="AI111" i="24"/>
  <c r="AI66" i="24"/>
  <c r="AI84" i="24"/>
  <c r="AI25" i="24"/>
  <c r="AI214" i="24"/>
  <c r="AI158" i="24"/>
  <c r="AI127" i="24"/>
  <c r="AI170" i="24"/>
  <c r="AI112" i="24"/>
  <c r="AI186" i="24"/>
  <c r="AI94" i="24"/>
  <c r="AI108" i="24"/>
  <c r="AI166" i="24"/>
  <c r="AI146" i="24"/>
  <c r="AI171" i="24"/>
  <c r="AI18" i="24"/>
  <c r="AI201" i="24"/>
  <c r="AI30" i="24"/>
  <c r="AI78" i="24"/>
  <c r="AI28" i="24"/>
  <c r="AI55" i="24"/>
  <c r="AI120" i="24"/>
  <c r="AI178" i="24"/>
  <c r="AI165" i="24"/>
  <c r="AI61" i="24"/>
  <c r="AI20" i="24"/>
  <c r="AI49" i="24"/>
  <c r="AI207" i="24"/>
  <c r="AI131" i="24"/>
  <c r="AI16" i="24"/>
  <c r="AI35" i="24"/>
  <c r="AI193" i="24"/>
  <c r="AI32" i="24"/>
  <c r="AI132" i="24"/>
  <c r="AI96" i="24"/>
  <c r="AI183" i="24"/>
  <c r="AI53" i="24"/>
  <c r="AI63" i="24"/>
  <c r="AI134" i="24"/>
  <c r="AI181" i="24"/>
  <c r="AI228" i="24"/>
  <c r="AI116" i="24"/>
  <c r="AI208" i="24"/>
  <c r="AI226" i="24"/>
  <c r="AI223" i="24"/>
  <c r="AI202" i="24"/>
  <c r="AI105" i="24"/>
  <c r="AI57" i="24"/>
  <c r="AI110" i="24"/>
  <c r="AI81" i="24"/>
  <c r="AI216" i="24"/>
  <c r="AI67" i="24"/>
  <c r="AI196" i="24"/>
  <c r="AI142" i="24"/>
  <c r="AI174" i="24"/>
  <c r="AI86" i="24"/>
  <c r="AI123" i="24"/>
  <c r="AI100" i="24"/>
  <c r="AI125" i="24"/>
  <c r="AI177" i="24"/>
  <c r="AI104" i="24"/>
  <c r="AI152" i="24"/>
  <c r="AI71" i="24"/>
  <c r="AI70" i="24"/>
  <c r="AI41" i="24"/>
  <c r="AI93" i="24"/>
  <c r="AI138" i="24"/>
  <c r="AI92" i="24"/>
  <c r="AI150" i="24"/>
  <c r="AI133" i="24"/>
  <c r="AI159" i="24"/>
  <c r="AI176" i="24"/>
  <c r="AI118" i="24"/>
  <c r="AI44" i="24"/>
  <c r="AI124" i="24"/>
  <c r="AI167" i="24"/>
  <c r="AI187" i="24"/>
  <c r="AI195" i="24"/>
  <c r="AI206" i="24"/>
  <c r="AI168" i="24"/>
  <c r="AI227" i="24"/>
  <c r="AI172" i="24"/>
  <c r="AI3" i="24"/>
  <c r="AI182" i="24"/>
  <c r="AI147" i="24"/>
  <c r="AI209" i="24"/>
  <c r="AI103" i="24"/>
  <c r="AI194" i="24"/>
  <c r="AI59" i="24"/>
  <c r="AI122" i="24"/>
  <c r="AI157" i="24"/>
  <c r="AI143" i="24"/>
  <c r="AI191" i="24"/>
  <c r="AI173" i="24"/>
  <c r="AI139" i="24"/>
  <c r="AI203" i="24"/>
  <c r="AI210" i="24"/>
  <c r="AI229" i="24"/>
  <c r="AI164" i="24"/>
  <c r="AI115" i="24"/>
  <c r="AI130" i="24"/>
  <c r="AI217" i="24"/>
  <c r="AI211" i="24"/>
  <c r="AI212" i="24"/>
  <c r="AI163" i="24"/>
  <c r="AI188" i="24"/>
  <c r="AI198" i="24"/>
  <c r="AI140" i="24"/>
  <c r="AI151" i="24"/>
  <c r="AI156" i="24"/>
  <c r="AI51" i="24"/>
  <c r="AI60" i="24"/>
  <c r="AI83" i="24"/>
  <c r="AI121" i="24"/>
  <c r="AI189" i="24"/>
  <c r="AI117" i="24"/>
  <c r="AI74" i="24"/>
  <c r="AI148" i="24"/>
  <c r="AI200" i="24"/>
  <c r="AI160" i="24"/>
  <c r="AI64" i="24"/>
  <c r="AI220" i="24"/>
  <c r="AI204" i="24"/>
  <c r="AI54" i="24"/>
  <c r="AI68" i="24"/>
  <c r="AI79" i="24"/>
  <c r="AI43" i="24"/>
  <c r="AI222" i="24"/>
  <c r="AI169" i="24"/>
  <c r="AI141" i="24"/>
  <c r="AI185" i="24"/>
  <c r="AI161" i="24"/>
  <c r="AI218" i="24"/>
  <c r="AI128" i="24"/>
  <c r="AI126" i="24"/>
  <c r="AI179" i="24"/>
  <c r="AI48" i="24"/>
  <c r="AI205" i="24"/>
  <c r="AI109" i="24"/>
  <c r="AI213" i="24"/>
  <c r="AI98" i="24"/>
  <c r="AI75" i="24"/>
  <c r="AI184" i="24"/>
  <c r="AI175" i="24"/>
  <c r="AI197" i="24"/>
  <c r="AI192" i="24"/>
  <c r="AI38" i="24"/>
  <c r="AI224" i="24"/>
  <c r="AM5" i="24"/>
  <c r="AM4" i="24"/>
  <c r="AM73" i="24"/>
  <c r="AM8" i="24"/>
  <c r="AM50" i="24"/>
  <c r="AM69" i="24"/>
  <c r="AM47" i="24"/>
  <c r="AM6" i="24"/>
  <c r="AM9" i="24"/>
  <c r="AM11" i="24"/>
  <c r="AM97" i="24"/>
  <c r="AM23" i="24"/>
  <c r="AM58" i="24"/>
  <c r="AM15" i="24"/>
  <c r="AM40" i="24"/>
  <c r="AM39" i="24"/>
  <c r="AM95" i="24"/>
  <c r="AM26" i="24"/>
  <c r="AM45" i="24"/>
  <c r="AM21" i="24"/>
  <c r="AM27" i="24"/>
  <c r="AM7" i="24"/>
  <c r="AM102" i="24"/>
  <c r="AM31" i="24"/>
  <c r="AM72" i="24"/>
  <c r="AM34" i="24"/>
  <c r="AM82" i="24"/>
  <c r="AM162" i="24"/>
  <c r="AM90" i="24"/>
  <c r="AM19" i="24"/>
  <c r="AM180" i="24"/>
  <c r="AM87" i="24"/>
  <c r="AM42" i="24"/>
  <c r="AM24" i="24"/>
  <c r="AM80" i="24"/>
  <c r="AM12" i="24"/>
  <c r="AM107" i="24"/>
  <c r="AM46" i="24"/>
  <c r="AM13" i="24"/>
  <c r="AM144" i="24"/>
  <c r="AM149" i="24"/>
  <c r="AM129" i="24"/>
  <c r="AM155" i="24"/>
  <c r="AM37" i="24"/>
  <c r="AM219" i="24"/>
  <c r="AM88" i="24"/>
  <c r="AM77" i="24"/>
  <c r="AM136" i="24"/>
  <c r="AM99" i="24"/>
  <c r="AM137" i="24"/>
  <c r="AM10" i="24"/>
  <c r="AM199" i="24"/>
  <c r="AM52" i="24"/>
  <c r="AM62" i="24"/>
  <c r="AM225" i="24"/>
  <c r="AM17" i="24"/>
  <c r="AM91" i="24"/>
  <c r="AM85" i="24"/>
  <c r="AM22" i="24"/>
  <c r="AM101" i="24"/>
  <c r="AM65" i="24"/>
  <c r="AM154" i="24"/>
  <c r="AM14" i="24"/>
  <c r="AM106" i="24"/>
  <c r="AM33" i="24"/>
  <c r="AM153" i="24"/>
  <c r="AM119" i="24"/>
  <c r="AM114" i="24"/>
  <c r="AM89" i="24"/>
  <c r="AM29" i="24"/>
  <c r="AM56" i="24"/>
  <c r="AM215" i="24"/>
  <c r="AM111" i="24"/>
  <c r="AM66" i="24"/>
  <c r="AM84" i="24"/>
  <c r="AM25" i="24"/>
  <c r="AM214" i="24"/>
  <c r="AM158" i="24"/>
  <c r="AM127" i="24"/>
  <c r="AM170" i="24"/>
  <c r="AM112" i="24"/>
  <c r="AM186" i="24"/>
  <c r="AM94" i="24"/>
  <c r="AM108" i="24"/>
  <c r="AM166" i="24"/>
  <c r="AM146" i="24"/>
  <c r="AM171" i="24"/>
  <c r="AM18" i="24"/>
  <c r="AM201" i="24"/>
  <c r="AM30" i="24"/>
  <c r="AM78" i="24"/>
  <c r="AM28" i="24"/>
  <c r="AM55" i="24"/>
  <c r="AM120" i="24"/>
  <c r="AM178" i="24"/>
  <c r="AM165" i="24"/>
  <c r="AM61" i="24"/>
  <c r="AM20" i="24"/>
  <c r="AM49" i="24"/>
  <c r="AM207" i="24"/>
  <c r="AM131" i="24"/>
  <c r="AM16" i="24"/>
  <c r="AM35" i="24"/>
  <c r="AM193" i="24"/>
  <c r="AM32" i="24"/>
  <c r="AM132" i="24"/>
  <c r="AM96" i="24"/>
  <c r="AM183" i="24"/>
  <c r="AM53" i="24"/>
  <c r="AM63" i="24"/>
  <c r="AM134" i="24"/>
  <c r="AM181" i="24"/>
  <c r="AM228" i="24"/>
  <c r="AM116" i="24"/>
  <c r="AM208" i="24"/>
  <c r="AM226" i="24"/>
  <c r="AM223" i="24"/>
  <c r="AM202" i="24"/>
  <c r="AM105" i="24"/>
  <c r="AM57" i="24"/>
  <c r="AM110" i="24"/>
  <c r="AM81" i="24"/>
  <c r="AM216" i="24"/>
  <c r="AM67" i="24"/>
  <c r="AM196" i="24"/>
  <c r="AM142" i="24"/>
  <c r="AM174" i="24"/>
  <c r="AM86" i="24"/>
  <c r="AM123" i="24"/>
  <c r="AM100" i="24"/>
  <c r="AM125" i="24"/>
  <c r="AM177" i="24"/>
  <c r="AM104" i="24"/>
  <c r="AM152" i="24"/>
  <c r="AM71" i="24"/>
  <c r="AM70" i="24"/>
  <c r="AM41" i="24"/>
  <c r="AM93" i="24"/>
  <c r="AM138" i="24"/>
  <c r="AM92" i="24"/>
  <c r="AM150" i="24"/>
  <c r="AM133" i="24"/>
  <c r="AM159" i="24"/>
  <c r="AM176" i="24"/>
  <c r="AM118" i="24"/>
  <c r="AM44" i="24"/>
  <c r="AM124" i="24"/>
  <c r="AM167" i="24"/>
  <c r="AM187" i="24"/>
  <c r="AM195" i="24"/>
  <c r="AM206" i="24"/>
  <c r="AM168" i="24"/>
  <c r="AM227" i="24"/>
  <c r="AM172" i="24"/>
  <c r="AM3" i="24"/>
  <c r="AM182" i="24"/>
  <c r="AM147" i="24"/>
  <c r="AM209" i="24"/>
  <c r="AM103" i="24"/>
  <c r="AM194" i="24"/>
  <c r="AM59" i="24"/>
  <c r="AM122" i="24"/>
  <c r="AM157" i="24"/>
  <c r="AM143" i="24"/>
  <c r="AM191" i="24"/>
  <c r="AM173" i="24"/>
  <c r="AM139" i="24"/>
  <c r="AM203" i="24"/>
  <c r="AM210" i="24"/>
  <c r="AM229" i="24"/>
  <c r="AM164" i="24"/>
  <c r="AM115" i="24"/>
  <c r="AM130" i="24"/>
  <c r="AM217" i="24"/>
  <c r="AM211" i="24"/>
  <c r="AM212" i="24"/>
  <c r="AM163" i="24"/>
  <c r="AM188" i="24"/>
  <c r="AM198" i="24"/>
  <c r="AM140" i="24"/>
  <c r="AM151" i="24"/>
  <c r="AM156" i="24"/>
  <c r="AM51" i="24"/>
  <c r="AM60" i="24"/>
  <c r="AM83" i="24"/>
  <c r="AM121" i="24"/>
  <c r="AM189" i="24"/>
  <c r="AM117" i="24"/>
  <c r="AM74" i="24"/>
  <c r="AM148" i="24"/>
  <c r="AM200" i="24"/>
  <c r="AM160" i="24"/>
  <c r="AM64" i="24"/>
  <c r="AM220" i="24"/>
  <c r="AM204" i="24"/>
  <c r="AM54" i="24"/>
  <c r="AM68" i="24"/>
  <c r="AM79" i="24"/>
  <c r="AM43" i="24"/>
  <c r="AM222" i="24"/>
  <c r="AM169" i="24"/>
  <c r="AM141" i="24"/>
  <c r="AM185" i="24"/>
  <c r="AM161" i="24"/>
  <c r="AM218" i="24"/>
  <c r="AM128" i="24"/>
  <c r="AM126" i="24"/>
  <c r="AM179" i="24"/>
  <c r="AM48" i="24"/>
  <c r="AM205" i="24"/>
  <c r="AM109" i="24"/>
  <c r="AM213" i="24"/>
  <c r="AM98" i="24"/>
  <c r="AM75" i="24"/>
  <c r="AM184" i="24"/>
  <c r="AM175" i="24"/>
  <c r="AM197" i="24"/>
  <c r="AM192" i="24"/>
  <c r="AM38" i="24"/>
  <c r="AM224" i="24"/>
  <c r="AF2" i="24"/>
  <c r="AF5" i="24"/>
  <c r="AF4" i="24"/>
  <c r="AF73" i="24"/>
  <c r="AF8" i="24"/>
  <c r="AF50" i="24"/>
  <c r="AF69" i="24"/>
  <c r="AF47" i="24"/>
  <c r="AF6" i="24"/>
  <c r="AF9" i="24"/>
  <c r="AF11" i="24"/>
  <c r="AF97" i="24"/>
  <c r="AF23" i="24"/>
  <c r="AF58" i="24"/>
  <c r="AF15" i="24"/>
  <c r="AF40" i="24"/>
  <c r="AF39" i="24"/>
  <c r="AF95" i="24"/>
  <c r="AF26" i="24"/>
  <c r="AF45" i="24"/>
  <c r="AF21" i="24"/>
  <c r="AF27" i="24"/>
  <c r="AF7" i="24"/>
  <c r="AF102" i="24"/>
  <c r="AF31" i="24"/>
  <c r="AF72" i="24"/>
  <c r="AF34" i="24"/>
  <c r="AF82" i="24"/>
  <c r="AF162" i="24"/>
  <c r="AF90" i="24"/>
  <c r="AF19" i="24"/>
  <c r="AF180" i="24"/>
  <c r="AF87" i="24"/>
  <c r="AF42" i="24"/>
  <c r="AF24" i="24"/>
  <c r="AF80" i="24"/>
  <c r="AF12" i="24"/>
  <c r="AF107" i="24"/>
  <c r="AF46" i="24"/>
  <c r="AF13" i="24"/>
  <c r="AF144" i="24"/>
  <c r="AF149" i="24"/>
  <c r="AF129" i="24"/>
  <c r="AF155" i="24"/>
  <c r="AF37" i="24"/>
  <c r="AF219" i="24"/>
  <c r="AF88" i="24"/>
  <c r="AF77" i="24"/>
  <c r="AF136" i="24"/>
  <c r="AF99" i="24"/>
  <c r="AF137" i="24"/>
  <c r="AF10" i="24"/>
  <c r="AF199" i="24"/>
  <c r="AF52" i="24"/>
  <c r="AF62" i="24"/>
  <c r="AF225" i="24"/>
  <c r="AF17" i="24"/>
  <c r="AF91" i="24"/>
  <c r="AF85" i="24"/>
  <c r="AF22" i="24"/>
  <c r="AF101" i="24"/>
  <c r="AF65" i="24"/>
  <c r="AF154" i="24"/>
  <c r="AF14" i="24"/>
  <c r="AF106" i="24"/>
  <c r="AF33" i="24"/>
  <c r="AF153" i="24"/>
  <c r="AF119" i="24"/>
  <c r="AF114" i="24"/>
  <c r="AF89" i="24"/>
  <c r="AF29" i="24"/>
  <c r="AF56" i="24"/>
  <c r="AF215" i="24"/>
  <c r="AF111" i="24"/>
  <c r="AF66" i="24"/>
  <c r="AF84" i="24"/>
  <c r="AF25" i="24"/>
  <c r="AF214" i="24"/>
  <c r="AF158" i="24"/>
  <c r="AF127" i="24"/>
  <c r="AF170" i="24"/>
  <c r="AF112" i="24"/>
  <c r="AF186" i="24"/>
  <c r="AF94" i="24"/>
  <c r="AF108" i="24"/>
  <c r="AF166" i="24"/>
  <c r="AF146" i="24"/>
  <c r="AF171" i="24"/>
  <c r="AF18" i="24"/>
  <c r="AF201" i="24"/>
  <c r="AF30" i="24"/>
  <c r="AF78" i="24"/>
  <c r="AF28" i="24"/>
  <c r="AF55" i="24"/>
  <c r="AF120" i="24"/>
  <c r="AF178" i="24"/>
  <c r="AF165" i="24"/>
  <c r="AF61" i="24"/>
  <c r="AF20" i="24"/>
  <c r="AF49" i="24"/>
  <c r="AF207" i="24"/>
  <c r="AF131" i="24"/>
  <c r="AF16" i="24"/>
  <c r="AF35" i="24"/>
  <c r="AF193" i="24"/>
  <c r="AF32" i="24"/>
  <c r="AF132" i="24"/>
  <c r="AF96" i="24"/>
  <c r="AF183" i="24"/>
  <c r="AF53" i="24"/>
  <c r="AF63" i="24"/>
  <c r="AF134" i="24"/>
  <c r="AF181" i="24"/>
  <c r="AF228" i="24"/>
  <c r="AF116" i="24"/>
  <c r="AF208" i="24"/>
  <c r="AF226" i="24"/>
  <c r="AF223" i="24"/>
  <c r="AF202" i="24"/>
  <c r="AF105" i="24"/>
  <c r="AF57" i="24"/>
  <c r="AF110" i="24"/>
  <c r="AF81" i="24"/>
  <c r="AF216" i="24"/>
  <c r="AF67" i="24"/>
  <c r="AF196" i="24"/>
  <c r="AF142" i="24"/>
  <c r="AF174" i="24"/>
  <c r="AF86" i="24"/>
  <c r="AF123" i="24"/>
  <c r="AF100" i="24"/>
  <c r="AF125" i="24"/>
  <c r="AF177" i="24"/>
  <c r="AF104" i="24"/>
  <c r="AF152" i="24"/>
  <c r="AF71" i="24"/>
  <c r="AF70" i="24"/>
  <c r="AF41" i="24"/>
  <c r="AF93" i="24"/>
  <c r="AF138" i="24"/>
  <c r="AF92" i="24"/>
  <c r="AF150" i="24"/>
  <c r="AF133" i="24"/>
  <c r="AF159" i="24"/>
  <c r="AF176" i="24"/>
  <c r="AF118" i="24"/>
  <c r="AF44" i="24"/>
  <c r="AF124" i="24"/>
  <c r="AF167" i="24"/>
  <c r="AF187" i="24"/>
  <c r="AF195" i="24"/>
  <c r="AF206" i="24"/>
  <c r="AF168" i="24"/>
  <c r="AF227" i="24"/>
  <c r="AF172" i="24"/>
  <c r="AF3" i="24"/>
  <c r="AF182" i="24"/>
  <c r="AF147" i="24"/>
  <c r="AF209" i="24"/>
  <c r="AF103" i="24"/>
  <c r="AF194" i="24"/>
  <c r="AF59" i="24"/>
  <c r="AF122" i="24"/>
  <c r="AF157" i="24"/>
  <c r="AF143" i="24"/>
  <c r="AF191" i="24"/>
  <c r="AF173" i="24"/>
  <c r="AF139" i="24"/>
  <c r="AF203" i="24"/>
  <c r="AF210" i="24"/>
  <c r="AF229" i="24"/>
  <c r="AF164" i="24"/>
  <c r="AF115" i="24"/>
  <c r="AF130" i="24"/>
  <c r="AF217" i="24"/>
  <c r="AF211" i="24"/>
  <c r="AF212" i="24"/>
  <c r="AF163" i="24"/>
  <c r="AF188" i="24"/>
  <c r="AF198" i="24"/>
  <c r="AF140" i="24"/>
  <c r="AF151" i="24"/>
  <c r="AF156" i="24"/>
  <c r="AF51" i="24"/>
  <c r="AF60" i="24"/>
  <c r="AF83" i="24"/>
  <c r="AF121" i="24"/>
  <c r="AF189" i="24"/>
  <c r="AF117" i="24"/>
  <c r="AF74" i="24"/>
  <c r="AF148" i="24"/>
  <c r="AF200" i="24"/>
  <c r="AF160" i="24"/>
  <c r="AF64" i="24"/>
  <c r="AF220" i="24"/>
  <c r="AF204" i="24"/>
  <c r="AF54" i="24"/>
  <c r="AF68" i="24"/>
  <c r="AF79" i="24"/>
  <c r="AF43" i="24"/>
  <c r="AF222" i="24"/>
  <c r="AF169" i="24"/>
  <c r="AF141" i="24"/>
  <c r="AF185" i="24"/>
  <c r="AF161" i="24"/>
  <c r="AF218" i="24"/>
  <c r="AF128" i="24"/>
  <c r="AF126" i="24"/>
  <c r="AF179" i="24"/>
  <c r="AF48" i="24"/>
  <c r="AF205" i="24"/>
  <c r="AF109" i="24"/>
  <c r="AF213" i="24"/>
  <c r="AF98" i="24"/>
  <c r="AF75" i="24"/>
  <c r="AF184" i="24"/>
  <c r="AF175" i="24"/>
  <c r="AF197" i="24"/>
  <c r="AF192" i="24"/>
  <c r="AF38" i="24"/>
  <c r="AF224" i="24"/>
  <c r="AJ37" i="27" l="1"/>
  <c r="AK37" i="27" s="1"/>
  <c r="AF25" i="23"/>
  <c r="AJ15" i="23" s="1"/>
  <c r="AK15" i="23" s="1"/>
  <c r="AF26" i="25"/>
  <c r="AJ22" i="25" s="1"/>
  <c r="AK22" i="25" s="1"/>
  <c r="AL26" i="25"/>
  <c r="AH26" i="25"/>
  <c r="AJ8" i="27"/>
  <c r="AK8" i="27" s="1"/>
  <c r="AJ44" i="27"/>
  <c r="AK44" i="27" s="1"/>
  <c r="AJ12" i="27"/>
  <c r="AK12" i="27" s="1"/>
  <c r="AJ19" i="27"/>
  <c r="AK19" i="27" s="1"/>
  <c r="AJ38" i="27"/>
  <c r="AK38" i="27" s="1"/>
  <c r="AJ50" i="28"/>
  <c r="AK2" i="28"/>
  <c r="AK50" i="28" s="1"/>
  <c r="AJ14" i="27"/>
  <c r="AK14" i="27" s="1"/>
  <c r="AJ33" i="27"/>
  <c r="AK33" i="27" s="1"/>
  <c r="AJ40" i="27"/>
  <c r="AK40" i="27" s="1"/>
  <c r="AJ28" i="27"/>
  <c r="AK28" i="27" s="1"/>
  <c r="AJ6" i="27"/>
  <c r="AK6" i="27" s="1"/>
  <c r="AJ36" i="27"/>
  <c r="AK36" i="27" s="1"/>
  <c r="AJ3" i="27"/>
  <c r="AK3" i="27" s="1"/>
  <c r="AJ22" i="27"/>
  <c r="AK22" i="27" s="1"/>
  <c r="AJ29" i="27"/>
  <c r="AK29" i="27" s="1"/>
  <c r="AJ25" i="27"/>
  <c r="AK25" i="27" s="1"/>
  <c r="AJ24" i="27"/>
  <c r="AK24" i="27" s="1"/>
  <c r="AJ21" i="27"/>
  <c r="AK21" i="27" s="1"/>
  <c r="AJ4" i="27"/>
  <c r="AK4" i="27" s="1"/>
  <c r="AJ42" i="27"/>
  <c r="AK42" i="27" s="1"/>
  <c r="AJ27" i="27"/>
  <c r="AK27" i="27" s="1"/>
  <c r="AJ13" i="27"/>
  <c r="AK13" i="27" s="1"/>
  <c r="AJ16" i="27"/>
  <c r="AK16" i="27" s="1"/>
  <c r="AJ34" i="27"/>
  <c r="AK34" i="27" s="1"/>
  <c r="AJ2" i="27"/>
  <c r="AK2" i="27" s="1"/>
  <c r="AJ32" i="27"/>
  <c r="AK32" i="27" s="1"/>
  <c r="AJ10" i="27"/>
  <c r="AK10" i="27" s="1"/>
  <c r="AJ26" i="27"/>
  <c r="AJ15" i="27"/>
  <c r="AK15" i="27" s="1"/>
  <c r="AJ18" i="27"/>
  <c r="AK18" i="27" s="1"/>
  <c r="AJ20" i="27"/>
  <c r="AK20" i="27" s="1"/>
  <c r="AJ17" i="27"/>
  <c r="AK17" i="27" s="1"/>
  <c r="AJ23" i="27"/>
  <c r="AK23" i="27" s="1"/>
  <c r="AJ9" i="27"/>
  <c r="AK9" i="27" s="1"/>
  <c r="AJ11" i="27"/>
  <c r="AK11" i="27" s="1"/>
  <c r="AJ35" i="27"/>
  <c r="AK35" i="27" s="1"/>
  <c r="AJ5" i="27"/>
  <c r="AK5" i="27" s="1"/>
  <c r="AJ30" i="27"/>
  <c r="AK30" i="27" s="1"/>
  <c r="AJ39" i="27"/>
  <c r="AK39" i="27" s="1"/>
  <c r="AJ43" i="27"/>
  <c r="AK43" i="27" s="1"/>
  <c r="AJ7" i="27"/>
  <c r="AK7" i="27" s="1"/>
  <c r="AJ41" i="27"/>
  <c r="AK41" i="27" s="1"/>
  <c r="AF70" i="26"/>
  <c r="AJ64" i="26" s="1"/>
  <c r="AK64" i="26" s="1"/>
  <c r="AF230" i="24"/>
  <c r="AJ205" i="24" s="1"/>
  <c r="AK205" i="24" s="1"/>
  <c r="AM15" i="23"/>
  <c r="AM23" i="23"/>
  <c r="AM5" i="23"/>
  <c r="AM21" i="23"/>
  <c r="AM18" i="23"/>
  <c r="AM16" i="23"/>
  <c r="AM6" i="23"/>
  <c r="AM24" i="23"/>
  <c r="AM8" i="23"/>
  <c r="AM11" i="23"/>
  <c r="AM20" i="23"/>
  <c r="AM14" i="23"/>
  <c r="AM7" i="23"/>
  <c r="AM2" i="26"/>
  <c r="AM70" i="26" s="1"/>
  <c r="AI29" i="26"/>
  <c r="AI70" i="26" s="1"/>
  <c r="AM29" i="26"/>
  <c r="AM2" i="24"/>
  <c r="AM230" i="24" s="1"/>
  <c r="AI2" i="24"/>
  <c r="AI230" i="24" s="1"/>
  <c r="AI2" i="23"/>
  <c r="AM2" i="25"/>
  <c r="AM26" i="25" s="1"/>
  <c r="AI2" i="25"/>
  <c r="AI26" i="25" s="1"/>
  <c r="AI2" i="22"/>
  <c r="AI3" i="22"/>
  <c r="AI9" i="22"/>
  <c r="AI12" i="22"/>
  <c r="AI13" i="22"/>
  <c r="AI4" i="22"/>
  <c r="AI5" i="22"/>
  <c r="AI7" i="22"/>
  <c r="AI10" i="22"/>
  <c r="AF2" i="22"/>
  <c r="AF4" i="22"/>
  <c r="AF3" i="22"/>
  <c r="AF5" i="22"/>
  <c r="AF9" i="22"/>
  <c r="AF7" i="22"/>
  <c r="AF12" i="22"/>
  <c r="AF10" i="22"/>
  <c r="AF13" i="22"/>
  <c r="AI5" i="21"/>
  <c r="AI16" i="21"/>
  <c r="AI9" i="21"/>
  <c r="AI13" i="21"/>
  <c r="AI3" i="21"/>
  <c r="AI8" i="21"/>
  <c r="AI21" i="21"/>
  <c r="AI7" i="21"/>
  <c r="AI19" i="21"/>
  <c r="AI25" i="21"/>
  <c r="AI6" i="21"/>
  <c r="AI11" i="21"/>
  <c r="AI12" i="21"/>
  <c r="AI27" i="21"/>
  <c r="AI32" i="21"/>
  <c r="AI29" i="21"/>
  <c r="AI34" i="21"/>
  <c r="AI10" i="21"/>
  <c r="AI15" i="21"/>
  <c r="AI17" i="21"/>
  <c r="AI30" i="21"/>
  <c r="AI22" i="21"/>
  <c r="AI33" i="21"/>
  <c r="AI14" i="21"/>
  <c r="AI28" i="21"/>
  <c r="AM5" i="21"/>
  <c r="AM16" i="21"/>
  <c r="AM9" i="21"/>
  <c r="AM13" i="21"/>
  <c r="AM3" i="21"/>
  <c r="AM8" i="21"/>
  <c r="AM21" i="21"/>
  <c r="AM7" i="21"/>
  <c r="AM19" i="21"/>
  <c r="AM25" i="21"/>
  <c r="AM6" i="21"/>
  <c r="AM11" i="21"/>
  <c r="AM12" i="21"/>
  <c r="AM27" i="21"/>
  <c r="AM32" i="21"/>
  <c r="AM29" i="21"/>
  <c r="AM34" i="21"/>
  <c r="AM10" i="21"/>
  <c r="AM15" i="21"/>
  <c r="AM17" i="21"/>
  <c r="AM30" i="21"/>
  <c r="AM22" i="21"/>
  <c r="AM33" i="21"/>
  <c r="AM14" i="21"/>
  <c r="AM28" i="21"/>
  <c r="AF2" i="21"/>
  <c r="AF5" i="21"/>
  <c r="AF16" i="21"/>
  <c r="AF9" i="21"/>
  <c r="AF13" i="21"/>
  <c r="AF3" i="21"/>
  <c r="AF8" i="21"/>
  <c r="AF21" i="21"/>
  <c r="AF7" i="21"/>
  <c r="AF19" i="21"/>
  <c r="AF25" i="21"/>
  <c r="AF6" i="21"/>
  <c r="AF11" i="21"/>
  <c r="AF12" i="21"/>
  <c r="AF27" i="21"/>
  <c r="AF32" i="21"/>
  <c r="AF29" i="21"/>
  <c r="AF34" i="21"/>
  <c r="AF10" i="21"/>
  <c r="AF15" i="21"/>
  <c r="AF17" i="21"/>
  <c r="AF30" i="21"/>
  <c r="AF22" i="21"/>
  <c r="AF33" i="21"/>
  <c r="AF14" i="21"/>
  <c r="AF28" i="21"/>
  <c r="AI13" i="20"/>
  <c r="AI28" i="20"/>
  <c r="AI22" i="20"/>
  <c r="AI32" i="20"/>
  <c r="AI20" i="20"/>
  <c r="AI26" i="20"/>
  <c r="AI14" i="20"/>
  <c r="AI39" i="20"/>
  <c r="AI9" i="20"/>
  <c r="AI10" i="20"/>
  <c r="AI37" i="20"/>
  <c r="AI19" i="20"/>
  <c r="AI27" i="20"/>
  <c r="AI16" i="20"/>
  <c r="AI25" i="20"/>
  <c r="AI31" i="20"/>
  <c r="AI33" i="20"/>
  <c r="AI46" i="20"/>
  <c r="AI60" i="20"/>
  <c r="AI52" i="20"/>
  <c r="AI50" i="20"/>
  <c r="AI40" i="20"/>
  <c r="AI17" i="20"/>
  <c r="AI57" i="20"/>
  <c r="AI58" i="20"/>
  <c r="AI61" i="20"/>
  <c r="AI24" i="20"/>
  <c r="AI56" i="20"/>
  <c r="AI45" i="20"/>
  <c r="AI42" i="20"/>
  <c r="AI59" i="20"/>
  <c r="AI29" i="20"/>
  <c r="AI2" i="20"/>
  <c r="AI18" i="20"/>
  <c r="AI30" i="20"/>
  <c r="AI34" i="20"/>
  <c r="AI11" i="20"/>
  <c r="AI43" i="20"/>
  <c r="AI38" i="20"/>
  <c r="AI53" i="20"/>
  <c r="AI51" i="20"/>
  <c r="AI4" i="20"/>
  <c r="AI5" i="20"/>
  <c r="AI3" i="20"/>
  <c r="AI15" i="20"/>
  <c r="AI12" i="20"/>
  <c r="AI6" i="20"/>
  <c r="AI66" i="20"/>
  <c r="AI7" i="20"/>
  <c r="AI21" i="20"/>
  <c r="AI23" i="20"/>
  <c r="AI35" i="20"/>
  <c r="AI36" i="20"/>
  <c r="AI41" i="20"/>
  <c r="AI47" i="20"/>
  <c r="AI64" i="20"/>
  <c r="AI44" i="20"/>
  <c r="AI48" i="20"/>
  <c r="AI62" i="20"/>
  <c r="AI63" i="20"/>
  <c r="AI55" i="20"/>
  <c r="AI54" i="20"/>
  <c r="AI49" i="20"/>
  <c r="AI8" i="20"/>
  <c r="AI65" i="20"/>
  <c r="AF2" i="20"/>
  <c r="AF4" i="20"/>
  <c r="AF13" i="20"/>
  <c r="AF18" i="20"/>
  <c r="AF28" i="20"/>
  <c r="AF5" i="20"/>
  <c r="AF3" i="20"/>
  <c r="AF30" i="20"/>
  <c r="AF15" i="20"/>
  <c r="AF12" i="20"/>
  <c r="AF22" i="20"/>
  <c r="AF32" i="20"/>
  <c r="AF20" i="20"/>
  <c r="AF6" i="20"/>
  <c r="AF26" i="20"/>
  <c r="AF14" i="20"/>
  <c r="AF39" i="20"/>
  <c r="AF66" i="20"/>
  <c r="AF9" i="20"/>
  <c r="AF34" i="20"/>
  <c r="AF10" i="20"/>
  <c r="AF7" i="20"/>
  <c r="AF37" i="20"/>
  <c r="AF11" i="20"/>
  <c r="AF21" i="20"/>
  <c r="AF23" i="20"/>
  <c r="AF35" i="20"/>
  <c r="AF19" i="20"/>
  <c r="AF27" i="20"/>
  <c r="AF36" i="20"/>
  <c r="AF16" i="20"/>
  <c r="AF25" i="20"/>
  <c r="AF31" i="20"/>
  <c r="AF41" i="20"/>
  <c r="AF47" i="20"/>
  <c r="AF43" i="20"/>
  <c r="AF33" i="20"/>
  <c r="AF64" i="20"/>
  <c r="AF46" i="20"/>
  <c r="AF38" i="20"/>
  <c r="AF44" i="20"/>
  <c r="AF48" i="20"/>
  <c r="AF60" i="20"/>
  <c r="AF52" i="20"/>
  <c r="AF50" i="20"/>
  <c r="AF62" i="20"/>
  <c r="AF40" i="20"/>
  <c r="AF17" i="20"/>
  <c r="AF57" i="20"/>
  <c r="AF63" i="20"/>
  <c r="AF58" i="20"/>
  <c r="AF53" i="20"/>
  <c r="AF61" i="20"/>
  <c r="AF55" i="20"/>
  <c r="AF24" i="20"/>
  <c r="AF51" i="20"/>
  <c r="AF54" i="20"/>
  <c r="AF49" i="20"/>
  <c r="AF56" i="20"/>
  <c r="AF45" i="20"/>
  <c r="AF42" i="20"/>
  <c r="AF8" i="20"/>
  <c r="AF65" i="20"/>
  <c r="AF59" i="20"/>
  <c r="AF29" i="20"/>
  <c r="AI14" i="19"/>
  <c r="AI5" i="19"/>
  <c r="AI3" i="19"/>
  <c r="AI10" i="19"/>
  <c r="AI4" i="19"/>
  <c r="AI15" i="19"/>
  <c r="AI8" i="19"/>
  <c r="AI35" i="19"/>
  <c r="AI6" i="19"/>
  <c r="AI9" i="19"/>
  <c r="AI47" i="19"/>
  <c r="AI13" i="19"/>
  <c r="AI16" i="19"/>
  <c r="AI7" i="19"/>
  <c r="AI23" i="19"/>
  <c r="AI12" i="19"/>
  <c r="AI26" i="19"/>
  <c r="AI22" i="19"/>
  <c r="AI37" i="19"/>
  <c r="AI18" i="19"/>
  <c r="AI44" i="19"/>
  <c r="AI24" i="19"/>
  <c r="AI45" i="19"/>
  <c r="AI17" i="19"/>
  <c r="AI182" i="19"/>
  <c r="AI81" i="19"/>
  <c r="AI30" i="19"/>
  <c r="AI40" i="19"/>
  <c r="AI49" i="19"/>
  <c r="AI74" i="19"/>
  <c r="AI32" i="19"/>
  <c r="AI27" i="19"/>
  <c r="AI19" i="19"/>
  <c r="AI151" i="19"/>
  <c r="AI82" i="19"/>
  <c r="AI186" i="19"/>
  <c r="AI105" i="19"/>
  <c r="AI38" i="19"/>
  <c r="AI63" i="19"/>
  <c r="AI57" i="19"/>
  <c r="AI21" i="19"/>
  <c r="AI31" i="19"/>
  <c r="AI102" i="19"/>
  <c r="AI39" i="19"/>
  <c r="AI358" i="19"/>
  <c r="AI76" i="19"/>
  <c r="AI25" i="19"/>
  <c r="AI415" i="19"/>
  <c r="AI56" i="19"/>
  <c r="AI48" i="19"/>
  <c r="AI33" i="19"/>
  <c r="AI142" i="19"/>
  <c r="AI240" i="19"/>
  <c r="AI97" i="19"/>
  <c r="AI152" i="19"/>
  <c r="AI68" i="19"/>
  <c r="AI85" i="19"/>
  <c r="AI92" i="19"/>
  <c r="AI127" i="19"/>
  <c r="AI400" i="19"/>
  <c r="AI91" i="19"/>
  <c r="AI88" i="19"/>
  <c r="AI11" i="19"/>
  <c r="AI185" i="19"/>
  <c r="AI132" i="19"/>
  <c r="AI106" i="19"/>
  <c r="AI34" i="19"/>
  <c r="AI230" i="19"/>
  <c r="AI124" i="19"/>
  <c r="AI36" i="19"/>
  <c r="AI78" i="19"/>
  <c r="AI343" i="19"/>
  <c r="AI126" i="19"/>
  <c r="AI193" i="19"/>
  <c r="AI160" i="19"/>
  <c r="AI58" i="19"/>
  <c r="AI243" i="19"/>
  <c r="AI120" i="19"/>
  <c r="AI108" i="19"/>
  <c r="AI115" i="19"/>
  <c r="AI134" i="19"/>
  <c r="AI62" i="19"/>
  <c r="AI113" i="19"/>
  <c r="AI143" i="19"/>
  <c r="AI139" i="19"/>
  <c r="AI70" i="19"/>
  <c r="AI69" i="19"/>
  <c r="AI173" i="19"/>
  <c r="AI83" i="19"/>
  <c r="AI191" i="19"/>
  <c r="AI148" i="19"/>
  <c r="AI84" i="19"/>
  <c r="AI211" i="19"/>
  <c r="AI242" i="19"/>
  <c r="AI42" i="19"/>
  <c r="AI162" i="19"/>
  <c r="AI408" i="19"/>
  <c r="AI77" i="19"/>
  <c r="AI163" i="19"/>
  <c r="AI144" i="19"/>
  <c r="AI254" i="19"/>
  <c r="AI207" i="19"/>
  <c r="AI220" i="19"/>
  <c r="AI86" i="19"/>
  <c r="AI101" i="19"/>
  <c r="AI164" i="19"/>
  <c r="AI228" i="19"/>
  <c r="AI28" i="19"/>
  <c r="AI250" i="19"/>
  <c r="AI336" i="19"/>
  <c r="AI65" i="19"/>
  <c r="AI302" i="19"/>
  <c r="AI93" i="19"/>
  <c r="AI175" i="19"/>
  <c r="AI131" i="19"/>
  <c r="AI133" i="19"/>
  <c r="AI221" i="19"/>
  <c r="AI308" i="19"/>
  <c r="AI41" i="19"/>
  <c r="AI54" i="19"/>
  <c r="AI289" i="19"/>
  <c r="AI170" i="19"/>
  <c r="AI432" i="19"/>
  <c r="AI246" i="19"/>
  <c r="AI252" i="19"/>
  <c r="AI52" i="19"/>
  <c r="AI213" i="19"/>
  <c r="AI176" i="19"/>
  <c r="AI71" i="19"/>
  <c r="AI67" i="19"/>
  <c r="AI236" i="19"/>
  <c r="AI218" i="19"/>
  <c r="AI103" i="19"/>
  <c r="AI366" i="19"/>
  <c r="AI135" i="19"/>
  <c r="AI110" i="19"/>
  <c r="AI306" i="19"/>
  <c r="AI61" i="19"/>
  <c r="AI273" i="19"/>
  <c r="AI117" i="19"/>
  <c r="AI338" i="19"/>
  <c r="AI349" i="19"/>
  <c r="AI202" i="19"/>
  <c r="AI72" i="19"/>
  <c r="AI214" i="19"/>
  <c r="AI392" i="19"/>
  <c r="AI73" i="19"/>
  <c r="AI267" i="19"/>
  <c r="AI224" i="19"/>
  <c r="AI233" i="19"/>
  <c r="AI443" i="19"/>
  <c r="AI279" i="19"/>
  <c r="AI192" i="19"/>
  <c r="AI180" i="19"/>
  <c r="AI278" i="19"/>
  <c r="AI437" i="19"/>
  <c r="AI274" i="19"/>
  <c r="AI262" i="19"/>
  <c r="AI247" i="19"/>
  <c r="AI345" i="19"/>
  <c r="AI172" i="19"/>
  <c r="AI119" i="19"/>
  <c r="AI447" i="19"/>
  <c r="AI178" i="19"/>
  <c r="AI158" i="19"/>
  <c r="AI87" i="19"/>
  <c r="AI100" i="19"/>
  <c r="AI326" i="19"/>
  <c r="AI111" i="19"/>
  <c r="AI206" i="19"/>
  <c r="AI222" i="19"/>
  <c r="AI390" i="19"/>
  <c r="AI260" i="19"/>
  <c r="AI141" i="19"/>
  <c r="AI269" i="19"/>
  <c r="AI64" i="19"/>
  <c r="AI122" i="19"/>
  <c r="AI384" i="19"/>
  <c r="AI51" i="19"/>
  <c r="AI80" i="19"/>
  <c r="AI79" i="19"/>
  <c r="AI99" i="19"/>
  <c r="AI288" i="19"/>
  <c r="AI305" i="19"/>
  <c r="AI195" i="19"/>
  <c r="AI439" i="19"/>
  <c r="AI256" i="19"/>
  <c r="AI168" i="19"/>
  <c r="AI190" i="19"/>
  <c r="AI294" i="19"/>
  <c r="AI251" i="19"/>
  <c r="AI53" i="19"/>
  <c r="AI137" i="19"/>
  <c r="AI442" i="19"/>
  <c r="AI241" i="19"/>
  <c r="AI121" i="19"/>
  <c r="AI231" i="19"/>
  <c r="AI281" i="19"/>
  <c r="AI330" i="19"/>
  <c r="AI266" i="19"/>
  <c r="AI316" i="19"/>
  <c r="AI420" i="19"/>
  <c r="AI140" i="19"/>
  <c r="AI50" i="19"/>
  <c r="AI184" i="19"/>
  <c r="AI43" i="19"/>
  <c r="AI204" i="19"/>
  <c r="AI129" i="19"/>
  <c r="AI118" i="19"/>
  <c r="AI194" i="19"/>
  <c r="AI300" i="19"/>
  <c r="AI145" i="19"/>
  <c r="AI109" i="19"/>
  <c r="AI318" i="19"/>
  <c r="AI283" i="19"/>
  <c r="AI396" i="19"/>
  <c r="AI29" i="19"/>
  <c r="AI395" i="19"/>
  <c r="AI225" i="19"/>
  <c r="AI319" i="19"/>
  <c r="AI292" i="19"/>
  <c r="AI66" i="19"/>
  <c r="AI116" i="19"/>
  <c r="AI359" i="19"/>
  <c r="AI324" i="19"/>
  <c r="AI123" i="19"/>
  <c r="AI312" i="19"/>
  <c r="AI189" i="19"/>
  <c r="AI238" i="19"/>
  <c r="AI291" i="19"/>
  <c r="AI200" i="19"/>
  <c r="AI263" i="19"/>
  <c r="AI149" i="19"/>
  <c r="AI210" i="19"/>
  <c r="AI436" i="19"/>
  <c r="AI270" i="19"/>
  <c r="AI90" i="19"/>
  <c r="AI203" i="19"/>
  <c r="AI355" i="19"/>
  <c r="AI153" i="19"/>
  <c r="AI154" i="19"/>
  <c r="AI323" i="19"/>
  <c r="AI322" i="19"/>
  <c r="AI219" i="19"/>
  <c r="AI183" i="19"/>
  <c r="AI55" i="19"/>
  <c r="AI412" i="19"/>
  <c r="AI188" i="19"/>
  <c r="AI286" i="19"/>
  <c r="AI331" i="19"/>
  <c r="AI339" i="19"/>
  <c r="AI293" i="19"/>
  <c r="AI197" i="19"/>
  <c r="AI229" i="19"/>
  <c r="AI376" i="19"/>
  <c r="AI401" i="19"/>
  <c r="AI275" i="19"/>
  <c r="AI368" i="19"/>
  <c r="AI287" i="19"/>
  <c r="AI315" i="19"/>
  <c r="AI112" i="19"/>
  <c r="AI128" i="19"/>
  <c r="AI385" i="19"/>
  <c r="AI181" i="19"/>
  <c r="AI370" i="19"/>
  <c r="AI335" i="19"/>
  <c r="AI138" i="19"/>
  <c r="AI361" i="19"/>
  <c r="AI179" i="19"/>
  <c r="AI290" i="19"/>
  <c r="AI357" i="19"/>
  <c r="AI157" i="19"/>
  <c r="AI257" i="19"/>
  <c r="AI234" i="19"/>
  <c r="AI352" i="19"/>
  <c r="AI272" i="19"/>
  <c r="AI407" i="19"/>
  <c r="AI59" i="19"/>
  <c r="AI409" i="19"/>
  <c r="AI98" i="19"/>
  <c r="AI445" i="19"/>
  <c r="AI104" i="19"/>
  <c r="AI430" i="19"/>
  <c r="AI215" i="19"/>
  <c r="AI419" i="19"/>
  <c r="AI399" i="19"/>
  <c r="AI199" i="19"/>
  <c r="AI364" i="19"/>
  <c r="AI313" i="19"/>
  <c r="AI196" i="19"/>
  <c r="AI201" i="19"/>
  <c r="AI255" i="19"/>
  <c r="AI226" i="19"/>
  <c r="AI264" i="19"/>
  <c r="AI404" i="19"/>
  <c r="AI353" i="19"/>
  <c r="AI373" i="19"/>
  <c r="AI245" i="19"/>
  <c r="AI223" i="19"/>
  <c r="AI155" i="19"/>
  <c r="AI440" i="19"/>
  <c r="AI388" i="19"/>
  <c r="AI295" i="19"/>
  <c r="AI311" i="19"/>
  <c r="AI435" i="19"/>
  <c r="AI310" i="19"/>
  <c r="AI321" i="19"/>
  <c r="AI95" i="19"/>
  <c r="AI325" i="19"/>
  <c r="AI205" i="19"/>
  <c r="AI258" i="19"/>
  <c r="AI381" i="19"/>
  <c r="AI398" i="19"/>
  <c r="AI136" i="19"/>
  <c r="AI329" i="19"/>
  <c r="AI299" i="19"/>
  <c r="AI167" i="19"/>
  <c r="AI216" i="19"/>
  <c r="AI114" i="19"/>
  <c r="AI362" i="19"/>
  <c r="AI298" i="19"/>
  <c r="AI307" i="19"/>
  <c r="AI146" i="19"/>
  <c r="AI393" i="19"/>
  <c r="AI334" i="19"/>
  <c r="AI314" i="19"/>
  <c r="AI130" i="19"/>
  <c r="AI271" i="19"/>
  <c r="AI320" i="19"/>
  <c r="AI394" i="19"/>
  <c r="AI296" i="19"/>
  <c r="AI405" i="19"/>
  <c r="AI161" i="19"/>
  <c r="AI125" i="19"/>
  <c r="AI150" i="19"/>
  <c r="AI276" i="19"/>
  <c r="AI147" i="19"/>
  <c r="AI212" i="19"/>
  <c r="AI156" i="19"/>
  <c r="AI382" i="19"/>
  <c r="AI208" i="19"/>
  <c r="AI239" i="19"/>
  <c r="AI423" i="19"/>
  <c r="AI344" i="19"/>
  <c r="AI227" i="19"/>
  <c r="AI277" i="19"/>
  <c r="AI268" i="19"/>
  <c r="AI413" i="19"/>
  <c r="AI342" i="19"/>
  <c r="AI249" i="19"/>
  <c r="AI346" i="19"/>
  <c r="AI96" i="19"/>
  <c r="AI159" i="19"/>
  <c r="AI418" i="19"/>
  <c r="AI387" i="19"/>
  <c r="AI304" i="19"/>
  <c r="AI425" i="19"/>
  <c r="AI351" i="19"/>
  <c r="AI165" i="19"/>
  <c r="AI248" i="19"/>
  <c r="AI46" i="19"/>
  <c r="AI282" i="19"/>
  <c r="AI369" i="19"/>
  <c r="AI427" i="19"/>
  <c r="AI333" i="19"/>
  <c r="AI383" i="19"/>
  <c r="AI386" i="19"/>
  <c r="AI416" i="19"/>
  <c r="AI217" i="19"/>
  <c r="AI402" i="19"/>
  <c r="AI356" i="19"/>
  <c r="AI350" i="19"/>
  <c r="AI441" i="19"/>
  <c r="AI411" i="19"/>
  <c r="AI107" i="19"/>
  <c r="AI414" i="19"/>
  <c r="AI446" i="19"/>
  <c r="AI375" i="19"/>
  <c r="AI429" i="19"/>
  <c r="AI372" i="19"/>
  <c r="AI426" i="19"/>
  <c r="AI377" i="19"/>
  <c r="AI379" i="19"/>
  <c r="AI406" i="19"/>
  <c r="AI309" i="19"/>
  <c r="AI332" i="19"/>
  <c r="AI428" i="19"/>
  <c r="AI422" i="19"/>
  <c r="AI317" i="19"/>
  <c r="AI75" i="19"/>
  <c r="AI365" i="19"/>
  <c r="AI244" i="19"/>
  <c r="AI198" i="19"/>
  <c r="AI297" i="19"/>
  <c r="AI284" i="19"/>
  <c r="AI259" i="19"/>
  <c r="AI410" i="19"/>
  <c r="AI337" i="19"/>
  <c r="AI417" i="19"/>
  <c r="AI354" i="19"/>
  <c r="AI434" i="19"/>
  <c r="AI301" i="19"/>
  <c r="AI397" i="19"/>
  <c r="AI303" i="19"/>
  <c r="AI327" i="19"/>
  <c r="AI431" i="19"/>
  <c r="AI187" i="19"/>
  <c r="AI421" i="19"/>
  <c r="AI424" i="19"/>
  <c r="AI280" i="19"/>
  <c r="AI20" i="19"/>
  <c r="AI374" i="19"/>
  <c r="AI261" i="19"/>
  <c r="AI169" i="19"/>
  <c r="AI60" i="19"/>
  <c r="AI378" i="19"/>
  <c r="AI389" i="19"/>
  <c r="AI341" i="19"/>
  <c r="AI177" i="19"/>
  <c r="AI444" i="19"/>
  <c r="AI438" i="19"/>
  <c r="AI433" i="19"/>
  <c r="AI347" i="19"/>
  <c r="AI371" i="19"/>
  <c r="AI403" i="19"/>
  <c r="AM14" i="19"/>
  <c r="AM5" i="19"/>
  <c r="AM3" i="19"/>
  <c r="AM10" i="19"/>
  <c r="AM4" i="19"/>
  <c r="AM15" i="19"/>
  <c r="AM8" i="19"/>
  <c r="AM35" i="19"/>
  <c r="AM6" i="19"/>
  <c r="AM9" i="19"/>
  <c r="AM47" i="19"/>
  <c r="AM13" i="19"/>
  <c r="AM16" i="19"/>
  <c r="AM7" i="19"/>
  <c r="AM23" i="19"/>
  <c r="AM12" i="19"/>
  <c r="AM26" i="19"/>
  <c r="AM22" i="19"/>
  <c r="AM37" i="19"/>
  <c r="AM18" i="19"/>
  <c r="AM44" i="19"/>
  <c r="AM24" i="19"/>
  <c r="AM45" i="19"/>
  <c r="AM17" i="19"/>
  <c r="AM182" i="19"/>
  <c r="AM81" i="19"/>
  <c r="AM30" i="19"/>
  <c r="AM40" i="19"/>
  <c r="AM49" i="19"/>
  <c r="AM74" i="19"/>
  <c r="AM32" i="19"/>
  <c r="AM27" i="19"/>
  <c r="AM19" i="19"/>
  <c r="AM151" i="19"/>
  <c r="AM82" i="19"/>
  <c r="AM186" i="19"/>
  <c r="AM105" i="19"/>
  <c r="AM38" i="19"/>
  <c r="AM63" i="19"/>
  <c r="AM57" i="19"/>
  <c r="AM21" i="19"/>
  <c r="AM31" i="19"/>
  <c r="AM102" i="19"/>
  <c r="AM39" i="19"/>
  <c r="AM358" i="19"/>
  <c r="AM76" i="19"/>
  <c r="AM25" i="19"/>
  <c r="AM415" i="19"/>
  <c r="AM56" i="19"/>
  <c r="AM48" i="19"/>
  <c r="AM33" i="19"/>
  <c r="AM142" i="19"/>
  <c r="AM240" i="19"/>
  <c r="AM97" i="19"/>
  <c r="AM152" i="19"/>
  <c r="AM68" i="19"/>
  <c r="AM85" i="19"/>
  <c r="AM92" i="19"/>
  <c r="AM127" i="19"/>
  <c r="AM400" i="19"/>
  <c r="AM91" i="19"/>
  <c r="AM88" i="19"/>
  <c r="AM11" i="19"/>
  <c r="AM185" i="19"/>
  <c r="AM132" i="19"/>
  <c r="AM106" i="19"/>
  <c r="AM34" i="19"/>
  <c r="AM230" i="19"/>
  <c r="AM124" i="19"/>
  <c r="AM36" i="19"/>
  <c r="AM78" i="19"/>
  <c r="AM343" i="19"/>
  <c r="AM126" i="19"/>
  <c r="AM193" i="19"/>
  <c r="AM160" i="19"/>
  <c r="AM58" i="19"/>
  <c r="AM243" i="19"/>
  <c r="AM120" i="19"/>
  <c r="AM108" i="19"/>
  <c r="AM115" i="19"/>
  <c r="AM134" i="19"/>
  <c r="AM62" i="19"/>
  <c r="AM113" i="19"/>
  <c r="AM143" i="19"/>
  <c r="AM139" i="19"/>
  <c r="AM70" i="19"/>
  <c r="AM69" i="19"/>
  <c r="AM173" i="19"/>
  <c r="AM83" i="19"/>
  <c r="AM191" i="19"/>
  <c r="AM148" i="19"/>
  <c r="AM84" i="19"/>
  <c r="AM211" i="19"/>
  <c r="AM242" i="19"/>
  <c r="AM42" i="19"/>
  <c r="AM162" i="19"/>
  <c r="AM408" i="19"/>
  <c r="AM77" i="19"/>
  <c r="AM163" i="19"/>
  <c r="AM144" i="19"/>
  <c r="AM254" i="19"/>
  <c r="AM207" i="19"/>
  <c r="AM220" i="19"/>
  <c r="AM86" i="19"/>
  <c r="AM101" i="19"/>
  <c r="AM164" i="19"/>
  <c r="AM228" i="19"/>
  <c r="AM28" i="19"/>
  <c r="AM250" i="19"/>
  <c r="AM336" i="19"/>
  <c r="AM65" i="19"/>
  <c r="AM302" i="19"/>
  <c r="AM93" i="19"/>
  <c r="AM175" i="19"/>
  <c r="AM131" i="19"/>
  <c r="AM133" i="19"/>
  <c r="AM221" i="19"/>
  <c r="AM308" i="19"/>
  <c r="AM41" i="19"/>
  <c r="AM54" i="19"/>
  <c r="AM289" i="19"/>
  <c r="AM170" i="19"/>
  <c r="AM432" i="19"/>
  <c r="AM246" i="19"/>
  <c r="AM252" i="19"/>
  <c r="AM52" i="19"/>
  <c r="AM213" i="19"/>
  <c r="AM176" i="19"/>
  <c r="AM71" i="19"/>
  <c r="AM67" i="19"/>
  <c r="AM236" i="19"/>
  <c r="AM218" i="19"/>
  <c r="AM103" i="19"/>
  <c r="AM366" i="19"/>
  <c r="AM135" i="19"/>
  <c r="AM110" i="19"/>
  <c r="AM306" i="19"/>
  <c r="AM61" i="19"/>
  <c r="AM273" i="19"/>
  <c r="AM117" i="19"/>
  <c r="AM338" i="19"/>
  <c r="AM349" i="19"/>
  <c r="AM202" i="19"/>
  <c r="AM72" i="19"/>
  <c r="AM214" i="19"/>
  <c r="AM392" i="19"/>
  <c r="AM73" i="19"/>
  <c r="AM267" i="19"/>
  <c r="AM224" i="19"/>
  <c r="AM233" i="19"/>
  <c r="AM443" i="19"/>
  <c r="AM279" i="19"/>
  <c r="AM192" i="19"/>
  <c r="AM180" i="19"/>
  <c r="AM278" i="19"/>
  <c r="AM437" i="19"/>
  <c r="AM274" i="19"/>
  <c r="AM262" i="19"/>
  <c r="AM247" i="19"/>
  <c r="AM345" i="19"/>
  <c r="AM172" i="19"/>
  <c r="AM119" i="19"/>
  <c r="AM447" i="19"/>
  <c r="AM178" i="19"/>
  <c r="AM158" i="19"/>
  <c r="AM87" i="19"/>
  <c r="AM100" i="19"/>
  <c r="AM326" i="19"/>
  <c r="AM111" i="19"/>
  <c r="AM206" i="19"/>
  <c r="AM222" i="19"/>
  <c r="AM390" i="19"/>
  <c r="AM260" i="19"/>
  <c r="AM141" i="19"/>
  <c r="AM269" i="19"/>
  <c r="AM64" i="19"/>
  <c r="AM122" i="19"/>
  <c r="AM384" i="19"/>
  <c r="AM51" i="19"/>
  <c r="AM80" i="19"/>
  <c r="AM79" i="19"/>
  <c r="AM99" i="19"/>
  <c r="AM288" i="19"/>
  <c r="AM305" i="19"/>
  <c r="AM195" i="19"/>
  <c r="AM439" i="19"/>
  <c r="AM256" i="19"/>
  <c r="AM168" i="19"/>
  <c r="AM190" i="19"/>
  <c r="AM294" i="19"/>
  <c r="AM251" i="19"/>
  <c r="AM53" i="19"/>
  <c r="AM137" i="19"/>
  <c r="AM442" i="19"/>
  <c r="AM241" i="19"/>
  <c r="AM121" i="19"/>
  <c r="AM231" i="19"/>
  <c r="AM281" i="19"/>
  <c r="AM330" i="19"/>
  <c r="AM266" i="19"/>
  <c r="AM316" i="19"/>
  <c r="AM420" i="19"/>
  <c r="AM140" i="19"/>
  <c r="AM50" i="19"/>
  <c r="AM184" i="19"/>
  <c r="AM43" i="19"/>
  <c r="AM204" i="19"/>
  <c r="AM129" i="19"/>
  <c r="AM118" i="19"/>
  <c r="AM194" i="19"/>
  <c r="AM300" i="19"/>
  <c r="AM145" i="19"/>
  <c r="AM109" i="19"/>
  <c r="AM318" i="19"/>
  <c r="AM283" i="19"/>
  <c r="AM396" i="19"/>
  <c r="AM29" i="19"/>
  <c r="AM395" i="19"/>
  <c r="AM225" i="19"/>
  <c r="AM319" i="19"/>
  <c r="AM292" i="19"/>
  <c r="AM66" i="19"/>
  <c r="AM116" i="19"/>
  <c r="AM359" i="19"/>
  <c r="AM324" i="19"/>
  <c r="AM123" i="19"/>
  <c r="AM312" i="19"/>
  <c r="AM189" i="19"/>
  <c r="AM238" i="19"/>
  <c r="AM291" i="19"/>
  <c r="AM200" i="19"/>
  <c r="AM263" i="19"/>
  <c r="AM149" i="19"/>
  <c r="AM210" i="19"/>
  <c r="AM436" i="19"/>
  <c r="AM270" i="19"/>
  <c r="AM90" i="19"/>
  <c r="AM203" i="19"/>
  <c r="AM355" i="19"/>
  <c r="AM153" i="19"/>
  <c r="AM154" i="19"/>
  <c r="AM323" i="19"/>
  <c r="AM322" i="19"/>
  <c r="AM219" i="19"/>
  <c r="AM183" i="19"/>
  <c r="AM55" i="19"/>
  <c r="AM412" i="19"/>
  <c r="AM188" i="19"/>
  <c r="AM286" i="19"/>
  <c r="AM331" i="19"/>
  <c r="AM339" i="19"/>
  <c r="AM293" i="19"/>
  <c r="AM197" i="19"/>
  <c r="AM229" i="19"/>
  <c r="AM376" i="19"/>
  <c r="AM401" i="19"/>
  <c r="AM275" i="19"/>
  <c r="AM368" i="19"/>
  <c r="AM287" i="19"/>
  <c r="AM315" i="19"/>
  <c r="AM112" i="19"/>
  <c r="AM128" i="19"/>
  <c r="AM385" i="19"/>
  <c r="AM181" i="19"/>
  <c r="AM370" i="19"/>
  <c r="AM335" i="19"/>
  <c r="AM138" i="19"/>
  <c r="AM361" i="19"/>
  <c r="AM179" i="19"/>
  <c r="AM290" i="19"/>
  <c r="AM357" i="19"/>
  <c r="AM157" i="19"/>
  <c r="AM257" i="19"/>
  <c r="AM234" i="19"/>
  <c r="AM352" i="19"/>
  <c r="AM272" i="19"/>
  <c r="AM407" i="19"/>
  <c r="AM59" i="19"/>
  <c r="AM409" i="19"/>
  <c r="AM98" i="19"/>
  <c r="AM445" i="19"/>
  <c r="AM104" i="19"/>
  <c r="AM430" i="19"/>
  <c r="AM215" i="19"/>
  <c r="AM419" i="19"/>
  <c r="AM399" i="19"/>
  <c r="AM199" i="19"/>
  <c r="AM364" i="19"/>
  <c r="AM313" i="19"/>
  <c r="AM196" i="19"/>
  <c r="AM201" i="19"/>
  <c r="AM255" i="19"/>
  <c r="AM226" i="19"/>
  <c r="AM264" i="19"/>
  <c r="AM404" i="19"/>
  <c r="AM353" i="19"/>
  <c r="AM373" i="19"/>
  <c r="AM245" i="19"/>
  <c r="AM223" i="19"/>
  <c r="AM155" i="19"/>
  <c r="AM440" i="19"/>
  <c r="AM388" i="19"/>
  <c r="AM295" i="19"/>
  <c r="AM311" i="19"/>
  <c r="AM435" i="19"/>
  <c r="AM310" i="19"/>
  <c r="AM321" i="19"/>
  <c r="AM95" i="19"/>
  <c r="AM325" i="19"/>
  <c r="AM205" i="19"/>
  <c r="AM258" i="19"/>
  <c r="AM381" i="19"/>
  <c r="AM398" i="19"/>
  <c r="AM136" i="19"/>
  <c r="AM329" i="19"/>
  <c r="AM299" i="19"/>
  <c r="AM167" i="19"/>
  <c r="AM216" i="19"/>
  <c r="AM114" i="19"/>
  <c r="AM362" i="19"/>
  <c r="AM298" i="19"/>
  <c r="AM307" i="19"/>
  <c r="AM146" i="19"/>
  <c r="AM393" i="19"/>
  <c r="AM334" i="19"/>
  <c r="AM314" i="19"/>
  <c r="AM130" i="19"/>
  <c r="AM271" i="19"/>
  <c r="AM320" i="19"/>
  <c r="AM394" i="19"/>
  <c r="AM296" i="19"/>
  <c r="AM405" i="19"/>
  <c r="AM161" i="19"/>
  <c r="AM125" i="19"/>
  <c r="AM150" i="19"/>
  <c r="AM276" i="19"/>
  <c r="AM147" i="19"/>
  <c r="AM212" i="19"/>
  <c r="AM156" i="19"/>
  <c r="AM382" i="19"/>
  <c r="AM208" i="19"/>
  <c r="AM239" i="19"/>
  <c r="AM423" i="19"/>
  <c r="AM344" i="19"/>
  <c r="AM227" i="19"/>
  <c r="AM277" i="19"/>
  <c r="AM268" i="19"/>
  <c r="AM413" i="19"/>
  <c r="AM342" i="19"/>
  <c r="AM249" i="19"/>
  <c r="AM346" i="19"/>
  <c r="AM96" i="19"/>
  <c r="AM159" i="19"/>
  <c r="AM418" i="19"/>
  <c r="AM387" i="19"/>
  <c r="AM304" i="19"/>
  <c r="AM425" i="19"/>
  <c r="AM351" i="19"/>
  <c r="AM165" i="19"/>
  <c r="AM248" i="19"/>
  <c r="AM46" i="19"/>
  <c r="AM282" i="19"/>
  <c r="AM369" i="19"/>
  <c r="AM427" i="19"/>
  <c r="AM333" i="19"/>
  <c r="AM383" i="19"/>
  <c r="AM386" i="19"/>
  <c r="AM416" i="19"/>
  <c r="AM217" i="19"/>
  <c r="AM402" i="19"/>
  <c r="AM356" i="19"/>
  <c r="AM350" i="19"/>
  <c r="AM441" i="19"/>
  <c r="AM411" i="19"/>
  <c r="AM107" i="19"/>
  <c r="AM414" i="19"/>
  <c r="AM446" i="19"/>
  <c r="AM375" i="19"/>
  <c r="AM429" i="19"/>
  <c r="AM372" i="19"/>
  <c r="AM426" i="19"/>
  <c r="AM377" i="19"/>
  <c r="AM379" i="19"/>
  <c r="AM406" i="19"/>
  <c r="AM309" i="19"/>
  <c r="AM332" i="19"/>
  <c r="AM428" i="19"/>
  <c r="AM422" i="19"/>
  <c r="AM317" i="19"/>
  <c r="AM75" i="19"/>
  <c r="AM365" i="19"/>
  <c r="AM244" i="19"/>
  <c r="AM198" i="19"/>
  <c r="AM297" i="19"/>
  <c r="AM284" i="19"/>
  <c r="AM259" i="19"/>
  <c r="AM410" i="19"/>
  <c r="AM337" i="19"/>
  <c r="AM417" i="19"/>
  <c r="AM354" i="19"/>
  <c r="AM434" i="19"/>
  <c r="AM301" i="19"/>
  <c r="AM397" i="19"/>
  <c r="AM303" i="19"/>
  <c r="AM327" i="19"/>
  <c r="AM431" i="19"/>
  <c r="AM187" i="19"/>
  <c r="AM421" i="19"/>
  <c r="AM424" i="19"/>
  <c r="AM280" i="19"/>
  <c r="AM20" i="19"/>
  <c r="AM374" i="19"/>
  <c r="AM261" i="19"/>
  <c r="AM169" i="19"/>
  <c r="AM60" i="19"/>
  <c r="AM378" i="19"/>
  <c r="AM389" i="19"/>
  <c r="AM341" i="19"/>
  <c r="AM177" i="19"/>
  <c r="AM444" i="19"/>
  <c r="AM438" i="19"/>
  <c r="AM433" i="19"/>
  <c r="AM347" i="19"/>
  <c r="AM371" i="19"/>
  <c r="AM403" i="19"/>
  <c r="AF2" i="19"/>
  <c r="AF14" i="19"/>
  <c r="AF5" i="19"/>
  <c r="AF3" i="19"/>
  <c r="AF10" i="19"/>
  <c r="AF4" i="19"/>
  <c r="AF15" i="19"/>
  <c r="AF8" i="19"/>
  <c r="AF35" i="19"/>
  <c r="AF6" i="19"/>
  <c r="AF9" i="19"/>
  <c r="AF47" i="19"/>
  <c r="AF13" i="19"/>
  <c r="AF16" i="19"/>
  <c r="AF7" i="19"/>
  <c r="AF23" i="19"/>
  <c r="AF12" i="19"/>
  <c r="AF26" i="19"/>
  <c r="AF22" i="19"/>
  <c r="AF37" i="19"/>
  <c r="AF18" i="19"/>
  <c r="AF44" i="19"/>
  <c r="AF24" i="19"/>
  <c r="AF45" i="19"/>
  <c r="AF17" i="19"/>
  <c r="AF182" i="19"/>
  <c r="AF81" i="19"/>
  <c r="AF30" i="19"/>
  <c r="AF40" i="19"/>
  <c r="AF49" i="19"/>
  <c r="AF74" i="19"/>
  <c r="AF32" i="19"/>
  <c r="AF27" i="19"/>
  <c r="AF19" i="19"/>
  <c r="AF151" i="19"/>
  <c r="AF82" i="19"/>
  <c r="AF186" i="19"/>
  <c r="AF105" i="19"/>
  <c r="AF38" i="19"/>
  <c r="AF63" i="19"/>
  <c r="AF57" i="19"/>
  <c r="AF21" i="19"/>
  <c r="AF31" i="19"/>
  <c r="AF102" i="19"/>
  <c r="AF39" i="19"/>
  <c r="AF358" i="19"/>
  <c r="AF76" i="19"/>
  <c r="AF25" i="19"/>
  <c r="AF415" i="19"/>
  <c r="AF56" i="19"/>
  <c r="AF48" i="19"/>
  <c r="AF33" i="19"/>
  <c r="AF142" i="19"/>
  <c r="AF240" i="19"/>
  <c r="AF97" i="19"/>
  <c r="AF152" i="19"/>
  <c r="AF68" i="19"/>
  <c r="AF85" i="19"/>
  <c r="AF92" i="19"/>
  <c r="AF127" i="19"/>
  <c r="AF400" i="19"/>
  <c r="AF91" i="19"/>
  <c r="AF88" i="19"/>
  <c r="AF11" i="19"/>
  <c r="AF185" i="19"/>
  <c r="AF132" i="19"/>
  <c r="AF106" i="19"/>
  <c r="AF34" i="19"/>
  <c r="AF230" i="19"/>
  <c r="AF124" i="19"/>
  <c r="AF36" i="19"/>
  <c r="AF78" i="19"/>
  <c r="AF343" i="19"/>
  <c r="AF126" i="19"/>
  <c r="AF193" i="19"/>
  <c r="AF160" i="19"/>
  <c r="AF58" i="19"/>
  <c r="AF243" i="19"/>
  <c r="AF120" i="19"/>
  <c r="AF108" i="19"/>
  <c r="AF115" i="19"/>
  <c r="AF134" i="19"/>
  <c r="AF62" i="19"/>
  <c r="AF113" i="19"/>
  <c r="AF143" i="19"/>
  <c r="AF139" i="19"/>
  <c r="AF70" i="19"/>
  <c r="AF69" i="19"/>
  <c r="AF173" i="19"/>
  <c r="AF83" i="19"/>
  <c r="AF191" i="19"/>
  <c r="AF148" i="19"/>
  <c r="AF84" i="19"/>
  <c r="AF211" i="19"/>
  <c r="AF242" i="19"/>
  <c r="AF42" i="19"/>
  <c r="AF162" i="19"/>
  <c r="AF408" i="19"/>
  <c r="AF77" i="19"/>
  <c r="AF163" i="19"/>
  <c r="AF144" i="19"/>
  <c r="AF254" i="19"/>
  <c r="AF207" i="19"/>
  <c r="AF220" i="19"/>
  <c r="AF86" i="19"/>
  <c r="AF101" i="19"/>
  <c r="AF164" i="19"/>
  <c r="AF228" i="19"/>
  <c r="AF28" i="19"/>
  <c r="AF250" i="19"/>
  <c r="AF336" i="19"/>
  <c r="AF65" i="19"/>
  <c r="AF302" i="19"/>
  <c r="AF93" i="19"/>
  <c r="AF175" i="19"/>
  <c r="AF131" i="19"/>
  <c r="AF133" i="19"/>
  <c r="AF221" i="19"/>
  <c r="AF308" i="19"/>
  <c r="AF41" i="19"/>
  <c r="AF54" i="19"/>
  <c r="AF289" i="19"/>
  <c r="AF170" i="19"/>
  <c r="AF432" i="19"/>
  <c r="AF246" i="19"/>
  <c r="AF252" i="19"/>
  <c r="AF52" i="19"/>
  <c r="AF213" i="19"/>
  <c r="AF176" i="19"/>
  <c r="AF71" i="19"/>
  <c r="AF67" i="19"/>
  <c r="AF236" i="19"/>
  <c r="AF218" i="19"/>
  <c r="AF103" i="19"/>
  <c r="AF366" i="19"/>
  <c r="AF135" i="19"/>
  <c r="AF110" i="19"/>
  <c r="AF306" i="19"/>
  <c r="AF61" i="19"/>
  <c r="AF273" i="19"/>
  <c r="AF117" i="19"/>
  <c r="AF338" i="19"/>
  <c r="AF349" i="19"/>
  <c r="AF202" i="19"/>
  <c r="AF72" i="19"/>
  <c r="AF214" i="19"/>
  <c r="AF392" i="19"/>
  <c r="AF73" i="19"/>
  <c r="AF267" i="19"/>
  <c r="AF224" i="19"/>
  <c r="AF233" i="19"/>
  <c r="AF443" i="19"/>
  <c r="AF279" i="19"/>
  <c r="AF192" i="19"/>
  <c r="AF180" i="19"/>
  <c r="AF278" i="19"/>
  <c r="AF437" i="19"/>
  <c r="AF274" i="19"/>
  <c r="AF262" i="19"/>
  <c r="AF247" i="19"/>
  <c r="AF345" i="19"/>
  <c r="AF172" i="19"/>
  <c r="AF119" i="19"/>
  <c r="AF447" i="19"/>
  <c r="AF178" i="19"/>
  <c r="AF158" i="19"/>
  <c r="AF87" i="19"/>
  <c r="AF100" i="19"/>
  <c r="AF326" i="19"/>
  <c r="AF111" i="19"/>
  <c r="AF206" i="19"/>
  <c r="AF222" i="19"/>
  <c r="AF390" i="19"/>
  <c r="AF260" i="19"/>
  <c r="AF141" i="19"/>
  <c r="AF269" i="19"/>
  <c r="AF64" i="19"/>
  <c r="AF122" i="19"/>
  <c r="AF384" i="19"/>
  <c r="AF51" i="19"/>
  <c r="AF80" i="19"/>
  <c r="AF79" i="19"/>
  <c r="AF99" i="19"/>
  <c r="AF288" i="19"/>
  <c r="AF305" i="19"/>
  <c r="AF195" i="19"/>
  <c r="AF439" i="19"/>
  <c r="AF256" i="19"/>
  <c r="AF168" i="19"/>
  <c r="AF190" i="19"/>
  <c r="AF294" i="19"/>
  <c r="AF251" i="19"/>
  <c r="AF53" i="19"/>
  <c r="AF137" i="19"/>
  <c r="AF442" i="19"/>
  <c r="AF241" i="19"/>
  <c r="AF121" i="19"/>
  <c r="AF231" i="19"/>
  <c r="AF281" i="19"/>
  <c r="AF330" i="19"/>
  <c r="AF266" i="19"/>
  <c r="AF316" i="19"/>
  <c r="AF420" i="19"/>
  <c r="AF140" i="19"/>
  <c r="AF50" i="19"/>
  <c r="AF184" i="19"/>
  <c r="AF43" i="19"/>
  <c r="AF204" i="19"/>
  <c r="AF129" i="19"/>
  <c r="AF118" i="19"/>
  <c r="AF194" i="19"/>
  <c r="AF300" i="19"/>
  <c r="AF145" i="19"/>
  <c r="AF109" i="19"/>
  <c r="AF318" i="19"/>
  <c r="AF283" i="19"/>
  <c r="AF396" i="19"/>
  <c r="AF29" i="19"/>
  <c r="AF395" i="19"/>
  <c r="AF225" i="19"/>
  <c r="AF319" i="19"/>
  <c r="AF292" i="19"/>
  <c r="AF66" i="19"/>
  <c r="AF116" i="19"/>
  <c r="AF359" i="19"/>
  <c r="AF324" i="19"/>
  <c r="AF123" i="19"/>
  <c r="AF312" i="19"/>
  <c r="AF189" i="19"/>
  <c r="AF238" i="19"/>
  <c r="AF291" i="19"/>
  <c r="AF200" i="19"/>
  <c r="AF263" i="19"/>
  <c r="AF149" i="19"/>
  <c r="AF210" i="19"/>
  <c r="AF436" i="19"/>
  <c r="AF270" i="19"/>
  <c r="AF90" i="19"/>
  <c r="AF203" i="19"/>
  <c r="AF355" i="19"/>
  <c r="AF153" i="19"/>
  <c r="AF154" i="19"/>
  <c r="AF323" i="19"/>
  <c r="AF322" i="19"/>
  <c r="AF219" i="19"/>
  <c r="AF183" i="19"/>
  <c r="AF55" i="19"/>
  <c r="AF412" i="19"/>
  <c r="AF188" i="19"/>
  <c r="AF286" i="19"/>
  <c r="AF331" i="19"/>
  <c r="AF339" i="19"/>
  <c r="AF293" i="19"/>
  <c r="AF197" i="19"/>
  <c r="AF229" i="19"/>
  <c r="AF376" i="19"/>
  <c r="AF401" i="19"/>
  <c r="AF275" i="19"/>
  <c r="AF368" i="19"/>
  <c r="AF287" i="19"/>
  <c r="AF315" i="19"/>
  <c r="AF112" i="19"/>
  <c r="AF128" i="19"/>
  <c r="AF385" i="19"/>
  <c r="AF181" i="19"/>
  <c r="AF370" i="19"/>
  <c r="AF335" i="19"/>
  <c r="AF138" i="19"/>
  <c r="AF361" i="19"/>
  <c r="AF179" i="19"/>
  <c r="AF290" i="19"/>
  <c r="AF357" i="19"/>
  <c r="AF157" i="19"/>
  <c r="AF257" i="19"/>
  <c r="AF234" i="19"/>
  <c r="AF352" i="19"/>
  <c r="AF272" i="19"/>
  <c r="AF407" i="19"/>
  <c r="AF59" i="19"/>
  <c r="AF409" i="19"/>
  <c r="AF98" i="19"/>
  <c r="AF445" i="19"/>
  <c r="AF104" i="19"/>
  <c r="AF430" i="19"/>
  <c r="AF215" i="19"/>
  <c r="AF419" i="19"/>
  <c r="AF399" i="19"/>
  <c r="AF199" i="19"/>
  <c r="AF364" i="19"/>
  <c r="AF313" i="19"/>
  <c r="AF196" i="19"/>
  <c r="AF201" i="19"/>
  <c r="AF255" i="19"/>
  <c r="AF226" i="19"/>
  <c r="AF264" i="19"/>
  <c r="AF404" i="19"/>
  <c r="AF353" i="19"/>
  <c r="AF373" i="19"/>
  <c r="AF245" i="19"/>
  <c r="AF223" i="19"/>
  <c r="AF155" i="19"/>
  <c r="AF440" i="19"/>
  <c r="AF388" i="19"/>
  <c r="AF295" i="19"/>
  <c r="AF311" i="19"/>
  <c r="AF435" i="19"/>
  <c r="AF310" i="19"/>
  <c r="AF321" i="19"/>
  <c r="AF95" i="19"/>
  <c r="AF325" i="19"/>
  <c r="AF205" i="19"/>
  <c r="AF258" i="19"/>
  <c r="AF381" i="19"/>
  <c r="AF398" i="19"/>
  <c r="AF136" i="19"/>
  <c r="AF329" i="19"/>
  <c r="AF299" i="19"/>
  <c r="AF167" i="19"/>
  <c r="AF216" i="19"/>
  <c r="AF114" i="19"/>
  <c r="AF362" i="19"/>
  <c r="AF298" i="19"/>
  <c r="AF307" i="19"/>
  <c r="AF146" i="19"/>
  <c r="AF393" i="19"/>
  <c r="AF334" i="19"/>
  <c r="AF314" i="19"/>
  <c r="AF130" i="19"/>
  <c r="AF271" i="19"/>
  <c r="AF320" i="19"/>
  <c r="AF394" i="19"/>
  <c r="AF296" i="19"/>
  <c r="AF405" i="19"/>
  <c r="AF161" i="19"/>
  <c r="AF125" i="19"/>
  <c r="AF150" i="19"/>
  <c r="AF276" i="19"/>
  <c r="AF147" i="19"/>
  <c r="AF212" i="19"/>
  <c r="AF156" i="19"/>
  <c r="AF382" i="19"/>
  <c r="AF208" i="19"/>
  <c r="AF239" i="19"/>
  <c r="AF423" i="19"/>
  <c r="AF344" i="19"/>
  <c r="AF227" i="19"/>
  <c r="AF277" i="19"/>
  <c r="AF268" i="19"/>
  <c r="AF413" i="19"/>
  <c r="AF342" i="19"/>
  <c r="AF249" i="19"/>
  <c r="AF346" i="19"/>
  <c r="AF96" i="19"/>
  <c r="AF159" i="19"/>
  <c r="AF418" i="19"/>
  <c r="AF387" i="19"/>
  <c r="AF304" i="19"/>
  <c r="AF425" i="19"/>
  <c r="AF351" i="19"/>
  <c r="AF165" i="19"/>
  <c r="AF248" i="19"/>
  <c r="AF46" i="19"/>
  <c r="AF282" i="19"/>
  <c r="AF369" i="19"/>
  <c r="AF427" i="19"/>
  <c r="AF333" i="19"/>
  <c r="AF383" i="19"/>
  <c r="AF386" i="19"/>
  <c r="AF416" i="19"/>
  <c r="AF217" i="19"/>
  <c r="AF402" i="19"/>
  <c r="AF356" i="19"/>
  <c r="AF350" i="19"/>
  <c r="AF441" i="19"/>
  <c r="AF411" i="19"/>
  <c r="AF107" i="19"/>
  <c r="AF414" i="19"/>
  <c r="AF446" i="19"/>
  <c r="AF375" i="19"/>
  <c r="AF429" i="19"/>
  <c r="AF372" i="19"/>
  <c r="AF426" i="19"/>
  <c r="AF377" i="19"/>
  <c r="AF379" i="19"/>
  <c r="AF406" i="19"/>
  <c r="AF309" i="19"/>
  <c r="AF332" i="19"/>
  <c r="AF428" i="19"/>
  <c r="AF422" i="19"/>
  <c r="AF317" i="19"/>
  <c r="AF75" i="19"/>
  <c r="AF365" i="19"/>
  <c r="AF244" i="19"/>
  <c r="AF198" i="19"/>
  <c r="AF297" i="19"/>
  <c r="AF284" i="19"/>
  <c r="AF259" i="19"/>
  <c r="AF410" i="19"/>
  <c r="AF337" i="19"/>
  <c r="AF417" i="19"/>
  <c r="AF354" i="19"/>
  <c r="AF434" i="19"/>
  <c r="AF301" i="19"/>
  <c r="AF397" i="19"/>
  <c r="AF303" i="19"/>
  <c r="AF327" i="19"/>
  <c r="AF431" i="19"/>
  <c r="AF187" i="19"/>
  <c r="AF421" i="19"/>
  <c r="AF424" i="19"/>
  <c r="AF280" i="19"/>
  <c r="AF20" i="19"/>
  <c r="AF374" i="19"/>
  <c r="AF261" i="19"/>
  <c r="AF169" i="19"/>
  <c r="AF60" i="19"/>
  <c r="AF378" i="19"/>
  <c r="AF389" i="19"/>
  <c r="AF341" i="19"/>
  <c r="AF177" i="19"/>
  <c r="AF444" i="19"/>
  <c r="AF438" i="19"/>
  <c r="AF433" i="19"/>
  <c r="AF347" i="19"/>
  <c r="AF371" i="19"/>
  <c r="AF403" i="19"/>
  <c r="AI2" i="18"/>
  <c r="AI4" i="18"/>
  <c r="AI7" i="18"/>
  <c r="AI17" i="18"/>
  <c r="AI11" i="18"/>
  <c r="AI10" i="18"/>
  <c r="AI5" i="18"/>
  <c r="AI9" i="18"/>
  <c r="AI34" i="18"/>
  <c r="AI8" i="18"/>
  <c r="AI13" i="18"/>
  <c r="AI16" i="18"/>
  <c r="AI12" i="18"/>
  <c r="AI43" i="18"/>
  <c r="AI30" i="18"/>
  <c r="AI33" i="18"/>
  <c r="AI21" i="18"/>
  <c r="AI19" i="18"/>
  <c r="AI40" i="18"/>
  <c r="AI27" i="18"/>
  <c r="AI6" i="18"/>
  <c r="AI15" i="18"/>
  <c r="AI22" i="18"/>
  <c r="AI31" i="18"/>
  <c r="AI29" i="18"/>
  <c r="AI24" i="18"/>
  <c r="AI51" i="18"/>
  <c r="AI35" i="18"/>
  <c r="AI32" i="18"/>
  <c r="AI46" i="18"/>
  <c r="AI47" i="18"/>
  <c r="AI20" i="18"/>
  <c r="AI41" i="18"/>
  <c r="AI65" i="18"/>
  <c r="AI45" i="18"/>
  <c r="AI28" i="18"/>
  <c r="AI66" i="18"/>
  <c r="AI48" i="18"/>
  <c r="AI53" i="18"/>
  <c r="AI58" i="18"/>
  <c r="AI52" i="18"/>
  <c r="AI59" i="18"/>
  <c r="AI39" i="18"/>
  <c r="AI38" i="18"/>
  <c r="AI36" i="18"/>
  <c r="AI62" i="18"/>
  <c r="AI37" i="18"/>
  <c r="AI56" i="18"/>
  <c r="AI44" i="18"/>
  <c r="AI49" i="18"/>
  <c r="AI54" i="18"/>
  <c r="AI25" i="18"/>
  <c r="AI55" i="18"/>
  <c r="AI42" i="18"/>
  <c r="AI69" i="18"/>
  <c r="AI63" i="18"/>
  <c r="AI60" i="18"/>
  <c r="AI26" i="18"/>
  <c r="AI57" i="18"/>
  <c r="AI61" i="18"/>
  <c r="AI68" i="18"/>
  <c r="AI64" i="18"/>
  <c r="AI50" i="18"/>
  <c r="AI67" i="18"/>
  <c r="AF2" i="18"/>
  <c r="AF4" i="18"/>
  <c r="AF7" i="18"/>
  <c r="AF17" i="18"/>
  <c r="AF11" i="18"/>
  <c r="AF10" i="18"/>
  <c r="AF5" i="18"/>
  <c r="AF9" i="18"/>
  <c r="AF34" i="18"/>
  <c r="AF8" i="18"/>
  <c r="AF13" i="18"/>
  <c r="AF16" i="18"/>
  <c r="AF12" i="18"/>
  <c r="AF43" i="18"/>
  <c r="AF30" i="18"/>
  <c r="AF33" i="18"/>
  <c r="AF21" i="18"/>
  <c r="AF19" i="18"/>
  <c r="AF40" i="18"/>
  <c r="AF27" i="18"/>
  <c r="AF6" i="18"/>
  <c r="AF15" i="18"/>
  <c r="AF22" i="18"/>
  <c r="AF31" i="18"/>
  <c r="AF29" i="18"/>
  <c r="AF24" i="18"/>
  <c r="AF51" i="18"/>
  <c r="AF35" i="18"/>
  <c r="AF32" i="18"/>
  <c r="AF46" i="18"/>
  <c r="AF47" i="18"/>
  <c r="AF20" i="18"/>
  <c r="AF41" i="18"/>
  <c r="AF65" i="18"/>
  <c r="AF45" i="18"/>
  <c r="AF28" i="18"/>
  <c r="AF66" i="18"/>
  <c r="AF48" i="18"/>
  <c r="AF53" i="18"/>
  <c r="AF58" i="18"/>
  <c r="AF52" i="18"/>
  <c r="AF59" i="18"/>
  <c r="AF39" i="18"/>
  <c r="AF38" i="18"/>
  <c r="AF36" i="18"/>
  <c r="AF62" i="18"/>
  <c r="AF37" i="18"/>
  <c r="AF56" i="18"/>
  <c r="AF44" i="18"/>
  <c r="AF49" i="18"/>
  <c r="AF54" i="18"/>
  <c r="AF25" i="18"/>
  <c r="AF55" i="18"/>
  <c r="AF42" i="18"/>
  <c r="AF69" i="18"/>
  <c r="AF63" i="18"/>
  <c r="AF60" i="18"/>
  <c r="AF26" i="18"/>
  <c r="AF57" i="18"/>
  <c r="AF61" i="18"/>
  <c r="AF68" i="18"/>
  <c r="AF64" i="18"/>
  <c r="AF50" i="18"/>
  <c r="AF67" i="18"/>
  <c r="AI3" i="17"/>
  <c r="AI4" i="17"/>
  <c r="AI7" i="17"/>
  <c r="AI6" i="17"/>
  <c r="AI5" i="17"/>
  <c r="AI9" i="17"/>
  <c r="AI53" i="17"/>
  <c r="AI11" i="17"/>
  <c r="AI15" i="17"/>
  <c r="AI13" i="17"/>
  <c r="AI21" i="17"/>
  <c r="AI27" i="17"/>
  <c r="AI30" i="17"/>
  <c r="AI18" i="17"/>
  <c r="AI42" i="17"/>
  <c r="AI8" i="17"/>
  <c r="AI24" i="17"/>
  <c r="AI25" i="17"/>
  <c r="AI16" i="17"/>
  <c r="AI17" i="17"/>
  <c r="AI19" i="17"/>
  <c r="AI37" i="17"/>
  <c r="AI12" i="17"/>
  <c r="AI14" i="17"/>
  <c r="AI47" i="17"/>
  <c r="AI22" i="17"/>
  <c r="AI60" i="17"/>
  <c r="AI52" i="17"/>
  <c r="AI41" i="17"/>
  <c r="AI28" i="17"/>
  <c r="AI51" i="17"/>
  <c r="AI63" i="17"/>
  <c r="AI56" i="17"/>
  <c r="AI64" i="17"/>
  <c r="AI58" i="17"/>
  <c r="AI44" i="17"/>
  <c r="AI54" i="17"/>
  <c r="AI35" i="17"/>
  <c r="AI36" i="17"/>
  <c r="AI23" i="17"/>
  <c r="AI81" i="17"/>
  <c r="AI40" i="17"/>
  <c r="AI79" i="17"/>
  <c r="AI45" i="17"/>
  <c r="AI84" i="17"/>
  <c r="AI26" i="17"/>
  <c r="AI61" i="17"/>
  <c r="AI31" i="17"/>
  <c r="AI20" i="17"/>
  <c r="AI29" i="17"/>
  <c r="AI85" i="17"/>
  <c r="AI48" i="17"/>
  <c r="AI73" i="17"/>
  <c r="AI74" i="17"/>
  <c r="AI46" i="17"/>
  <c r="AI39" i="17"/>
  <c r="AI10" i="17"/>
  <c r="AI57" i="17"/>
  <c r="AI65" i="17"/>
  <c r="AI78" i="17"/>
  <c r="AI59" i="17"/>
  <c r="AI32" i="17"/>
  <c r="AI33" i="17"/>
  <c r="AI67" i="17"/>
  <c r="AI43" i="17"/>
  <c r="AI89" i="17"/>
  <c r="AI75" i="17"/>
  <c r="AI55" i="17"/>
  <c r="AI82" i="17"/>
  <c r="AI68" i="17"/>
  <c r="AI76" i="17"/>
  <c r="AI70" i="17"/>
  <c r="AI49" i="17"/>
  <c r="AI71" i="17"/>
  <c r="AI62" i="17"/>
  <c r="AI50" i="17"/>
  <c r="AI77" i="17"/>
  <c r="AI72" i="17"/>
  <c r="AI66" i="17"/>
  <c r="AI88" i="17"/>
  <c r="AI86" i="17"/>
  <c r="AI83" i="17"/>
  <c r="AI38" i="17"/>
  <c r="AI34" i="17"/>
  <c r="AI90" i="17"/>
  <c r="AI69" i="17"/>
  <c r="AI87" i="17"/>
  <c r="AI80" i="17"/>
  <c r="AM42" i="17"/>
  <c r="AM17" i="17"/>
  <c r="AM3" i="17"/>
  <c r="AM4" i="17"/>
  <c r="AM7" i="17"/>
  <c r="AM6" i="17"/>
  <c r="AM9" i="17"/>
  <c r="AM15" i="17"/>
  <c r="AM11" i="17"/>
  <c r="AM30" i="17"/>
  <c r="AM8" i="17"/>
  <c r="AM53" i="17"/>
  <c r="AM27" i="17"/>
  <c r="AM21" i="17"/>
  <c r="AM13" i="17"/>
  <c r="AM25" i="17"/>
  <c r="AM19" i="17"/>
  <c r="AM16" i="17"/>
  <c r="AM24" i="17"/>
  <c r="AM22" i="17"/>
  <c r="AM12" i="17"/>
  <c r="AM14" i="17"/>
  <c r="AM18" i="17"/>
  <c r="AM37" i="17"/>
  <c r="AM58" i="17"/>
  <c r="AM28" i="17"/>
  <c r="AM51" i="17"/>
  <c r="AM44" i="17"/>
  <c r="AM60" i="17"/>
  <c r="AM52" i="17"/>
  <c r="AM41" i="17"/>
  <c r="AM26" i="17"/>
  <c r="AM54" i="17"/>
  <c r="AM65" i="17"/>
  <c r="AM29" i="17"/>
  <c r="AM46" i="17"/>
  <c r="AM47" i="17"/>
  <c r="AM31" i="17"/>
  <c r="AM61" i="17"/>
  <c r="AM59" i="17"/>
  <c r="AM84" i="17"/>
  <c r="AM36" i="17"/>
  <c r="AM57" i="17"/>
  <c r="AM77" i="17"/>
  <c r="AM73" i="17"/>
  <c r="AM39" i="17"/>
  <c r="AM85" i="17"/>
  <c r="AM48" i="17"/>
  <c r="AM63" i="17"/>
  <c r="AM74" i="17"/>
  <c r="AM67" i="17"/>
  <c r="AM33" i="17"/>
  <c r="AM10" i="17"/>
  <c r="AM62" i="17"/>
  <c r="AM40" i="17"/>
  <c r="AM55" i="17"/>
  <c r="AM43" i="17"/>
  <c r="AM76" i="17"/>
  <c r="AM56" i="17"/>
  <c r="AM79" i="17"/>
  <c r="AM75" i="17"/>
  <c r="AM89" i="17"/>
  <c r="AM82" i="17"/>
  <c r="AM35" i="17"/>
  <c r="AM49" i="17"/>
  <c r="AM45" i="17"/>
  <c r="AM72" i="17"/>
  <c r="AM83" i="17"/>
  <c r="AM68" i="17"/>
  <c r="AM66" i="17"/>
  <c r="AM50" i="17"/>
  <c r="AM70" i="17"/>
  <c r="AM71" i="17"/>
  <c r="AM88" i="17"/>
  <c r="AM78" i="17"/>
  <c r="AM34" i="17"/>
  <c r="AM38" i="17"/>
  <c r="AM86" i="17"/>
  <c r="AM69" i="17"/>
  <c r="AM90" i="17"/>
  <c r="AM87" i="17"/>
  <c r="AM80" i="17"/>
  <c r="AM32" i="17"/>
  <c r="AM23" i="17"/>
  <c r="AM5" i="17"/>
  <c r="AF42" i="17"/>
  <c r="AF2" i="17"/>
  <c r="AF4" i="17"/>
  <c r="AF6" i="17"/>
  <c r="AF9" i="17"/>
  <c r="AF11" i="17"/>
  <c r="AF8" i="17"/>
  <c r="AF53" i="17"/>
  <c r="AF27" i="17"/>
  <c r="AF21" i="17"/>
  <c r="AF25" i="17"/>
  <c r="AF28" i="17"/>
  <c r="AF51" i="17"/>
  <c r="AF52" i="17"/>
  <c r="AF41" i="17"/>
  <c r="AF54" i="17"/>
  <c r="AF29" i="17"/>
  <c r="AF47" i="17"/>
  <c r="AF59" i="17"/>
  <c r="AF84" i="17"/>
  <c r="AF36" i="17"/>
  <c r="AF57" i="17"/>
  <c r="AF73" i="17"/>
  <c r="AF85" i="17"/>
  <c r="AF48" i="17"/>
  <c r="AF63" i="17"/>
  <c r="AF74" i="17"/>
  <c r="AF67" i="17"/>
  <c r="AF33" i="17"/>
  <c r="AF40" i="17"/>
  <c r="AF55" i="17"/>
  <c r="AF43" i="17"/>
  <c r="AF76" i="17"/>
  <c r="AF56" i="17"/>
  <c r="AF79" i="17"/>
  <c r="AF89" i="17"/>
  <c r="AF82" i="17"/>
  <c r="AF35" i="17"/>
  <c r="AF49" i="17"/>
  <c r="AF45" i="17"/>
  <c r="AF72" i="17"/>
  <c r="AF83" i="17"/>
  <c r="AF66" i="17"/>
  <c r="AF50" i="17"/>
  <c r="AF71" i="17"/>
  <c r="AF88" i="17"/>
  <c r="AF38" i="17"/>
  <c r="AF69" i="17"/>
  <c r="AF90" i="17"/>
  <c r="AI11" i="14"/>
  <c r="AI5" i="14"/>
  <c r="AI9" i="14"/>
  <c r="AI2" i="14"/>
  <c r="AI8" i="14"/>
  <c r="AI10" i="14"/>
  <c r="AI14" i="14"/>
  <c r="AI24" i="14"/>
  <c r="AI23" i="14"/>
  <c r="AI4" i="14"/>
  <c r="AI16" i="14"/>
  <c r="AI6" i="14"/>
  <c r="AI12" i="14"/>
  <c r="AI19" i="14"/>
  <c r="AI15" i="14"/>
  <c r="AI22" i="14"/>
  <c r="AI13" i="14"/>
  <c r="AI20" i="14"/>
  <c r="AI18" i="14"/>
  <c r="AI28" i="14"/>
  <c r="AI27" i="14"/>
  <c r="AI26" i="14"/>
  <c r="AI29" i="14"/>
  <c r="AI17" i="14"/>
  <c r="AI34" i="14"/>
  <c r="AI42" i="14"/>
  <c r="AI44" i="14"/>
  <c r="AI45" i="14"/>
  <c r="AI38" i="14"/>
  <c r="AI46" i="14"/>
  <c r="AI40" i="14"/>
  <c r="AI41" i="14"/>
  <c r="AI39" i="14"/>
  <c r="AI30" i="14"/>
  <c r="AF3" i="14"/>
  <c r="AF11" i="14"/>
  <c r="AF5" i="14"/>
  <c r="AF9" i="14"/>
  <c r="AF2" i="14"/>
  <c r="AF8" i="14"/>
  <c r="AF10" i="14"/>
  <c r="AF14" i="14"/>
  <c r="AF24" i="14"/>
  <c r="AF23" i="14"/>
  <c r="AF4" i="14"/>
  <c r="AF16" i="14"/>
  <c r="AF6" i="14"/>
  <c r="AF12" i="14"/>
  <c r="AF19" i="14"/>
  <c r="AF15" i="14"/>
  <c r="AF22" i="14"/>
  <c r="AF13" i="14"/>
  <c r="AF20" i="14"/>
  <c r="AF18" i="14"/>
  <c r="AF28" i="14"/>
  <c r="AF27" i="14"/>
  <c r="AF26" i="14"/>
  <c r="AF29" i="14"/>
  <c r="AF17" i="14"/>
  <c r="AF34" i="14"/>
  <c r="AF42" i="14"/>
  <c r="AF44" i="14"/>
  <c r="AF45" i="14"/>
  <c r="AF38" i="14"/>
  <c r="AF46" i="14"/>
  <c r="AF40" i="14"/>
  <c r="AF41" i="14"/>
  <c r="AF39" i="14"/>
  <c r="AF30" i="14"/>
  <c r="AI3" i="15"/>
  <c r="AI4" i="15"/>
  <c r="AM4" i="15"/>
  <c r="AF2" i="15"/>
  <c r="AF3" i="15"/>
  <c r="AF4" i="15"/>
  <c r="AI2" i="13"/>
  <c r="AI50" i="13" s="1"/>
  <c r="AM2" i="13"/>
  <c r="AM20" i="13"/>
  <c r="AM5" i="13"/>
  <c r="AM8" i="13"/>
  <c r="AM19" i="13"/>
  <c r="AM22" i="13"/>
  <c r="AM13" i="13"/>
  <c r="AM15" i="13"/>
  <c r="AM21" i="13"/>
  <c r="AM33" i="13"/>
  <c r="AM14" i="13"/>
  <c r="AM32" i="13"/>
  <c r="AM11" i="13"/>
  <c r="AM17" i="13"/>
  <c r="AM9" i="13"/>
  <c r="AM37" i="13"/>
  <c r="AM7" i="13"/>
  <c r="AM3" i="13"/>
  <c r="AM38" i="13"/>
  <c r="AM35" i="13"/>
  <c r="AM24" i="13"/>
  <c r="AM27" i="13"/>
  <c r="AM10" i="13"/>
  <c r="AM34" i="13"/>
  <c r="AM30" i="13"/>
  <c r="AM36" i="13"/>
  <c r="AM28" i="13"/>
  <c r="AM47" i="13"/>
  <c r="AM43" i="13"/>
  <c r="AM41" i="13"/>
  <c r="AM49" i="13"/>
  <c r="AM18" i="13"/>
  <c r="AM6" i="13"/>
  <c r="AM26" i="13"/>
  <c r="AM45" i="13"/>
  <c r="AM39" i="13"/>
  <c r="AM42" i="13"/>
  <c r="AM16" i="13"/>
  <c r="AM46" i="13"/>
  <c r="AM44" i="13"/>
  <c r="AM48" i="13"/>
  <c r="AF2" i="13"/>
  <c r="AF20" i="13"/>
  <c r="AF5" i="13"/>
  <c r="AF8" i="13"/>
  <c r="AF19" i="13"/>
  <c r="AF22" i="13"/>
  <c r="AF13" i="13"/>
  <c r="AF15" i="13"/>
  <c r="AF21" i="13"/>
  <c r="AF33" i="13"/>
  <c r="AF14" i="13"/>
  <c r="AF32" i="13"/>
  <c r="AF11" i="13"/>
  <c r="AF17" i="13"/>
  <c r="AF9" i="13"/>
  <c r="AF37" i="13"/>
  <c r="AF7" i="13"/>
  <c r="AF29" i="13"/>
  <c r="AF3" i="13"/>
  <c r="AF38" i="13"/>
  <c r="AF35" i="13"/>
  <c r="AF24" i="13"/>
  <c r="AF27" i="13"/>
  <c r="AF10" i="13"/>
  <c r="AF34" i="13"/>
  <c r="AF30" i="13"/>
  <c r="AF36" i="13"/>
  <c r="AF28" i="13"/>
  <c r="AF47" i="13"/>
  <c r="AF43" i="13"/>
  <c r="AF41" i="13"/>
  <c r="AF49" i="13"/>
  <c r="AF18" i="13"/>
  <c r="AF6" i="13"/>
  <c r="AF26" i="13"/>
  <c r="AF45" i="13"/>
  <c r="AF39" i="13"/>
  <c r="AF42" i="13"/>
  <c r="AF16" i="13"/>
  <c r="AF46" i="13"/>
  <c r="AF44" i="13"/>
  <c r="AF48" i="13"/>
  <c r="AI10" i="12"/>
  <c r="AI3" i="12"/>
  <c r="AI11" i="12"/>
  <c r="AI2" i="12"/>
  <c r="AI12" i="12"/>
  <c r="AI29" i="12"/>
  <c r="AI34" i="12"/>
  <c r="AI22" i="12"/>
  <c r="AI13" i="12"/>
  <c r="AI17" i="12"/>
  <c r="AI9" i="12"/>
  <c r="AI15" i="12"/>
  <c r="AI8" i="12"/>
  <c r="AI30" i="12"/>
  <c r="AI36" i="12"/>
  <c r="AI24" i="12"/>
  <c r="AI35" i="12"/>
  <c r="AI44" i="12"/>
  <c r="AI6" i="12"/>
  <c r="AI14" i="12"/>
  <c r="AI16" i="12"/>
  <c r="AI42" i="12"/>
  <c r="AI21" i="12"/>
  <c r="AI28" i="12"/>
  <c r="AI19" i="12"/>
  <c r="AI33" i="12"/>
  <c r="AI23" i="12"/>
  <c r="AI45" i="12"/>
  <c r="AI43" i="12"/>
  <c r="AI4" i="12"/>
  <c r="AI32" i="12"/>
  <c r="AI41" i="12"/>
  <c r="AI38" i="12"/>
  <c r="AI40" i="12"/>
  <c r="AI27" i="12"/>
  <c r="AI39" i="12"/>
  <c r="AI37" i="12"/>
  <c r="AI31" i="12"/>
  <c r="AI20" i="12"/>
  <c r="AI26" i="12"/>
  <c r="AI25" i="12"/>
  <c r="AF10" i="12"/>
  <c r="AF3" i="12"/>
  <c r="AF5" i="12"/>
  <c r="AF11" i="12"/>
  <c r="AF2" i="12"/>
  <c r="AF12" i="12"/>
  <c r="AF29" i="12"/>
  <c r="AF34" i="12"/>
  <c r="AF22" i="12"/>
  <c r="AF13" i="12"/>
  <c r="AF17" i="12"/>
  <c r="AF9" i="12"/>
  <c r="AF15" i="12"/>
  <c r="AF8" i="12"/>
  <c r="AF30" i="12"/>
  <c r="AF36" i="12"/>
  <c r="AF24" i="12"/>
  <c r="AF35" i="12"/>
  <c r="AF44" i="12"/>
  <c r="AF6" i="12"/>
  <c r="AF14" i="12"/>
  <c r="AF16" i="12"/>
  <c r="AF42" i="12"/>
  <c r="AF21" i="12"/>
  <c r="AF28" i="12"/>
  <c r="AF19" i="12"/>
  <c r="AF33" i="12"/>
  <c r="AF23" i="12"/>
  <c r="AF45" i="12"/>
  <c r="AF43" i="12"/>
  <c r="AF4" i="12"/>
  <c r="AF32" i="12"/>
  <c r="AF41" i="12"/>
  <c r="AF38" i="12"/>
  <c r="AF40" i="12"/>
  <c r="AF27" i="12"/>
  <c r="AF39" i="12"/>
  <c r="AF37" i="12"/>
  <c r="AF31" i="12"/>
  <c r="AF20" i="12"/>
  <c r="AF26" i="12"/>
  <c r="AF25" i="12"/>
  <c r="AI2" i="11"/>
  <c r="AI3" i="11"/>
  <c r="AI7" i="11"/>
  <c r="AI5" i="11"/>
  <c r="AI15" i="11"/>
  <c r="AI6" i="11"/>
  <c r="AI14" i="11"/>
  <c r="AI4" i="11"/>
  <c r="AI19" i="11"/>
  <c r="AI9" i="11"/>
  <c r="AI8" i="11"/>
  <c r="AI18" i="11"/>
  <c r="AI16" i="11"/>
  <c r="AI17" i="11"/>
  <c r="AI20" i="11"/>
  <c r="AI23" i="11"/>
  <c r="AI12" i="11"/>
  <c r="AI21" i="11"/>
  <c r="AI22" i="11"/>
  <c r="AI13" i="11"/>
  <c r="AI27" i="11"/>
  <c r="AI25" i="11"/>
  <c r="AI11" i="11"/>
  <c r="AI26" i="11"/>
  <c r="AI10" i="11"/>
  <c r="AI24" i="11"/>
  <c r="AM3" i="11"/>
  <c r="AM7" i="11"/>
  <c r="AM5" i="11"/>
  <c r="AM15" i="11"/>
  <c r="AM6" i="11"/>
  <c r="AM14" i="11"/>
  <c r="AM4" i="11"/>
  <c r="AM19" i="11"/>
  <c r="AM9" i="11"/>
  <c r="AM8" i="11"/>
  <c r="AM18" i="11"/>
  <c r="AM16" i="11"/>
  <c r="AM17" i="11"/>
  <c r="AM20" i="11"/>
  <c r="AM23" i="11"/>
  <c r="AM12" i="11"/>
  <c r="AM21" i="11"/>
  <c r="AM22" i="11"/>
  <c r="AM13" i="11"/>
  <c r="AM27" i="11"/>
  <c r="AM25" i="11"/>
  <c r="AM11" i="11"/>
  <c r="AM26" i="11"/>
  <c r="AM10" i="11"/>
  <c r="AM24" i="11"/>
  <c r="AF2" i="11"/>
  <c r="AF3" i="11"/>
  <c r="AF7" i="11"/>
  <c r="AF5" i="11"/>
  <c r="AF15" i="11"/>
  <c r="AF6" i="11"/>
  <c r="AF14" i="11"/>
  <c r="AF4" i="11"/>
  <c r="AF19" i="11"/>
  <c r="AF9" i="11"/>
  <c r="AF8" i="11"/>
  <c r="AF18" i="11"/>
  <c r="AF16" i="11"/>
  <c r="AF17" i="11"/>
  <c r="AF20" i="11"/>
  <c r="AF23" i="11"/>
  <c r="AF12" i="11"/>
  <c r="AF21" i="11"/>
  <c r="AF22" i="11"/>
  <c r="AF13" i="11"/>
  <c r="AF27" i="11"/>
  <c r="AF25" i="11"/>
  <c r="AF11" i="11"/>
  <c r="AF26" i="11"/>
  <c r="AF10" i="11"/>
  <c r="AF24" i="11"/>
  <c r="AI5" i="6"/>
  <c r="AI7" i="6"/>
  <c r="AI4" i="6"/>
  <c r="AI14" i="6"/>
  <c r="AI16" i="6"/>
  <c r="AI15" i="6"/>
  <c r="AI33" i="6"/>
  <c r="AI24" i="6"/>
  <c r="AI9" i="6"/>
  <c r="AI28" i="6"/>
  <c r="AI37" i="6"/>
  <c r="AI27" i="6"/>
  <c r="AI29" i="6"/>
  <c r="AI25" i="6"/>
  <c r="AI40" i="6"/>
  <c r="AI23" i="6"/>
  <c r="AI43" i="6"/>
  <c r="AI21" i="6"/>
  <c r="AI22" i="6"/>
  <c r="AI26" i="6"/>
  <c r="AI3" i="6"/>
  <c r="AI41" i="6"/>
  <c r="AI42" i="6"/>
  <c r="AI13" i="6"/>
  <c r="AI10" i="6"/>
  <c r="AI8" i="6"/>
  <c r="AI17" i="6"/>
  <c r="AI6" i="6"/>
  <c r="AI32" i="6"/>
  <c r="AI36" i="6"/>
  <c r="AI34" i="6"/>
  <c r="AI39" i="6"/>
  <c r="AI12" i="6"/>
  <c r="AI18" i="6"/>
  <c r="AI19" i="6"/>
  <c r="AI20" i="6"/>
  <c r="AI11" i="6"/>
  <c r="AI30" i="6"/>
  <c r="AI38" i="6"/>
  <c r="AM5" i="6"/>
  <c r="AM7" i="6"/>
  <c r="AM4" i="6"/>
  <c r="AM14" i="6"/>
  <c r="AM16" i="6"/>
  <c r="AM15" i="6"/>
  <c r="AM33" i="6"/>
  <c r="AM24" i="6"/>
  <c r="AM9" i="6"/>
  <c r="AM28" i="6"/>
  <c r="AM37" i="6"/>
  <c r="AM27" i="6"/>
  <c r="AM29" i="6"/>
  <c r="AM25" i="6"/>
  <c r="AM40" i="6"/>
  <c r="AM23" i="6"/>
  <c r="AM43" i="6"/>
  <c r="AM21" i="6"/>
  <c r="AM22" i="6"/>
  <c r="AM26" i="6"/>
  <c r="AM3" i="6"/>
  <c r="AM41" i="6"/>
  <c r="AM42" i="6"/>
  <c r="AM13" i="6"/>
  <c r="AM10" i="6"/>
  <c r="AM8" i="6"/>
  <c r="AM17" i="6"/>
  <c r="AM6" i="6"/>
  <c r="AM32" i="6"/>
  <c r="AM36" i="6"/>
  <c r="AM34" i="6"/>
  <c r="AM39" i="6"/>
  <c r="AM12" i="6"/>
  <c r="AM18" i="6"/>
  <c r="AM19" i="6"/>
  <c r="AM20" i="6"/>
  <c r="AM11" i="6"/>
  <c r="AM30" i="6"/>
  <c r="AM38" i="6"/>
  <c r="AF5" i="6"/>
  <c r="AF7" i="6"/>
  <c r="AF2" i="6"/>
  <c r="AF4" i="6"/>
  <c r="AF14" i="6"/>
  <c r="AF16" i="6"/>
  <c r="AF15" i="6"/>
  <c r="AF33" i="6"/>
  <c r="AF24" i="6"/>
  <c r="AF9" i="6"/>
  <c r="AF28" i="6"/>
  <c r="AF37" i="6"/>
  <c r="AF27" i="6"/>
  <c r="AF29" i="6"/>
  <c r="AF25" i="6"/>
  <c r="AF40" i="6"/>
  <c r="AF23" i="6"/>
  <c r="AF43" i="6"/>
  <c r="AF21" i="6"/>
  <c r="AF22" i="6"/>
  <c r="AF26" i="6"/>
  <c r="AF3" i="6"/>
  <c r="AF41" i="6"/>
  <c r="AF42" i="6"/>
  <c r="AF13" i="6"/>
  <c r="AF10" i="6"/>
  <c r="AF8" i="6"/>
  <c r="AF17" i="6"/>
  <c r="AF6" i="6"/>
  <c r="AF32" i="6"/>
  <c r="AF36" i="6"/>
  <c r="AF34" i="6"/>
  <c r="AF39" i="6"/>
  <c r="AF12" i="6"/>
  <c r="AF18" i="6"/>
  <c r="AF19" i="6"/>
  <c r="AF20" i="6"/>
  <c r="AF11" i="6"/>
  <c r="AF30" i="6"/>
  <c r="AF38" i="6"/>
  <c r="AF3" i="8"/>
  <c r="AM3" i="9"/>
  <c r="AM6" i="9"/>
  <c r="AM4" i="9"/>
  <c r="AM8" i="9"/>
  <c r="AM16" i="9"/>
  <c r="AM11" i="9"/>
  <c r="AM12" i="9"/>
  <c r="AM13" i="9"/>
  <c r="AM17" i="9"/>
  <c r="AM18" i="9"/>
  <c r="AM9" i="9"/>
  <c r="AM19" i="9"/>
  <c r="AF2" i="9"/>
  <c r="AF3" i="9"/>
  <c r="AF5" i="9"/>
  <c r="AF6" i="9"/>
  <c r="AF4" i="9"/>
  <c r="AF8" i="9"/>
  <c r="AF16" i="9"/>
  <c r="AF11" i="9"/>
  <c r="AF12" i="9"/>
  <c r="AF13" i="9"/>
  <c r="AF17" i="9"/>
  <c r="AF18" i="9"/>
  <c r="AF9" i="9"/>
  <c r="AF19" i="9"/>
  <c r="AI3" i="9"/>
  <c r="AI5" i="9"/>
  <c r="AI6" i="9"/>
  <c r="AI4" i="9"/>
  <c r="AI8" i="9"/>
  <c r="AI16" i="9"/>
  <c r="AI11" i="9"/>
  <c r="AI12" i="9"/>
  <c r="AI13" i="9"/>
  <c r="AI17" i="9"/>
  <c r="AI18" i="9"/>
  <c r="AI9" i="9"/>
  <c r="AI19" i="9"/>
  <c r="AI4" i="8"/>
  <c r="AI7" i="8"/>
  <c r="AI6" i="8"/>
  <c r="AI10" i="8"/>
  <c r="AI2" i="8"/>
  <c r="AI8" i="8"/>
  <c r="AI14" i="8"/>
  <c r="AI20" i="8"/>
  <c r="AI11" i="8"/>
  <c r="AI22" i="8"/>
  <c r="AI9" i="8"/>
  <c r="AI17" i="8"/>
  <c r="AI16" i="8"/>
  <c r="AI15" i="8"/>
  <c r="AI19" i="8"/>
  <c r="AI24" i="8"/>
  <c r="AI5" i="8"/>
  <c r="AI23" i="8"/>
  <c r="AI13" i="8"/>
  <c r="AI26" i="8"/>
  <c r="AI18" i="8"/>
  <c r="AI12" i="8"/>
  <c r="AI21" i="8"/>
  <c r="AI25" i="8"/>
  <c r="AI27" i="8"/>
  <c r="AM2" i="8"/>
  <c r="AM7" i="8"/>
  <c r="AM6" i="8"/>
  <c r="AM10" i="8"/>
  <c r="AM11" i="8"/>
  <c r="AM8" i="8"/>
  <c r="AM20" i="8"/>
  <c r="AM14" i="8"/>
  <c r="AM16" i="8"/>
  <c r="AM22" i="8"/>
  <c r="AM17" i="8"/>
  <c r="AM9" i="8"/>
  <c r="AM15" i="8"/>
  <c r="AM19" i="8"/>
  <c r="AM13" i="8"/>
  <c r="AM24" i="8"/>
  <c r="AM23" i="8"/>
  <c r="AM5" i="8"/>
  <c r="AM26" i="8"/>
  <c r="AM18" i="8"/>
  <c r="AM21" i="8"/>
  <c r="AM27" i="8"/>
  <c r="AM25" i="8"/>
  <c r="AM12" i="8"/>
  <c r="AF4" i="8"/>
  <c r="AF2" i="8"/>
  <c r="AF7" i="8"/>
  <c r="AF6" i="8"/>
  <c r="AF10" i="8"/>
  <c r="AF11" i="8"/>
  <c r="AF8" i="8"/>
  <c r="AF20" i="8"/>
  <c r="AF14" i="8"/>
  <c r="AF16" i="8"/>
  <c r="AF22" i="8"/>
  <c r="AF17" i="8"/>
  <c r="AF9" i="8"/>
  <c r="AF15" i="8"/>
  <c r="AF19" i="8"/>
  <c r="AF13" i="8"/>
  <c r="AF24" i="8"/>
  <c r="AF23" i="8"/>
  <c r="AF5" i="8"/>
  <c r="AF26" i="8"/>
  <c r="AF18" i="8"/>
  <c r="AF21" i="8"/>
  <c r="AF27" i="8"/>
  <c r="AF25" i="8"/>
  <c r="AF12" i="8"/>
  <c r="AJ4" i="25" l="1"/>
  <c r="AK4" i="25" s="1"/>
  <c r="AJ25" i="25"/>
  <c r="AK25" i="25" s="1"/>
  <c r="AJ9" i="25"/>
  <c r="AK9" i="25" s="1"/>
  <c r="AJ11" i="25"/>
  <c r="AK11" i="25" s="1"/>
  <c r="AJ19" i="25"/>
  <c r="AK19" i="25" s="1"/>
  <c r="AJ15" i="25"/>
  <c r="AK15" i="25" s="1"/>
  <c r="AJ17" i="25"/>
  <c r="AK17" i="25" s="1"/>
  <c r="AJ5" i="25"/>
  <c r="AK5" i="25" s="1"/>
  <c r="AJ20" i="25"/>
  <c r="AK20" i="25" s="1"/>
  <c r="AJ14" i="25"/>
  <c r="AK14" i="25" s="1"/>
  <c r="AJ18" i="25"/>
  <c r="AK18" i="25" s="1"/>
  <c r="AJ2" i="25"/>
  <c r="AJ12" i="25"/>
  <c r="AK12" i="25" s="1"/>
  <c r="AJ23" i="25"/>
  <c r="AK23" i="25" s="1"/>
  <c r="AJ3" i="25"/>
  <c r="AJ7" i="25"/>
  <c r="AK7" i="25" s="1"/>
  <c r="AJ24" i="25"/>
  <c r="AK24" i="25" s="1"/>
  <c r="AJ6" i="25"/>
  <c r="AK6" i="25" s="1"/>
  <c r="AJ13" i="25"/>
  <c r="AK13" i="25" s="1"/>
  <c r="AJ21" i="25"/>
  <c r="AK21" i="25" s="1"/>
  <c r="AJ10" i="25"/>
  <c r="AK10" i="25" s="1"/>
  <c r="AJ16" i="25"/>
  <c r="AK16" i="25" s="1"/>
  <c r="AJ8" i="25"/>
  <c r="AK8" i="25" s="1"/>
  <c r="AJ20" i="26"/>
  <c r="AK20" i="26" s="1"/>
  <c r="AJ38" i="26"/>
  <c r="AK38" i="26" s="1"/>
  <c r="AJ29" i="24"/>
  <c r="AK29" i="24" s="1"/>
  <c r="AJ69" i="24"/>
  <c r="AK69" i="24" s="1"/>
  <c r="AJ134" i="24"/>
  <c r="AK134" i="24" s="1"/>
  <c r="AJ152" i="24"/>
  <c r="AK152" i="24" s="1"/>
  <c r="AJ79" i="24"/>
  <c r="AK79" i="24" s="1"/>
  <c r="AJ85" i="24"/>
  <c r="AK85" i="24" s="1"/>
  <c r="AJ81" i="24"/>
  <c r="AK81" i="24" s="1"/>
  <c r="AJ121" i="24"/>
  <c r="AK121" i="24" s="1"/>
  <c r="AJ127" i="24"/>
  <c r="AK127" i="24" s="1"/>
  <c r="AJ126" i="24"/>
  <c r="AK126" i="24" s="1"/>
  <c r="AJ7" i="24"/>
  <c r="AK7" i="24" s="1"/>
  <c r="AJ146" i="24"/>
  <c r="AK146" i="24" s="1"/>
  <c r="AJ195" i="24"/>
  <c r="AK195" i="24" s="1"/>
  <c r="AJ40" i="24"/>
  <c r="AK40" i="24" s="1"/>
  <c r="AJ159" i="24"/>
  <c r="AK159" i="24" s="1"/>
  <c r="AJ88" i="24"/>
  <c r="AK88" i="24" s="1"/>
  <c r="AJ63" i="24"/>
  <c r="AK63" i="24" s="1"/>
  <c r="AJ217" i="24"/>
  <c r="AK217" i="24" s="1"/>
  <c r="AJ77" i="24"/>
  <c r="AK77" i="24" s="1"/>
  <c r="AJ211" i="24"/>
  <c r="AK211" i="24" s="1"/>
  <c r="AJ8" i="23"/>
  <c r="AK8" i="23" s="1"/>
  <c r="AJ18" i="23"/>
  <c r="AK18" i="23" s="1"/>
  <c r="AJ19" i="23"/>
  <c r="AK19" i="23" s="1"/>
  <c r="AJ12" i="23"/>
  <c r="AK12" i="23" s="1"/>
  <c r="AJ9" i="23"/>
  <c r="AK9" i="23" s="1"/>
  <c r="AJ22" i="23"/>
  <c r="AK22" i="23" s="1"/>
  <c r="AJ10" i="23"/>
  <c r="AK10" i="23" s="1"/>
  <c r="AJ13" i="23"/>
  <c r="AK13" i="23" s="1"/>
  <c r="AJ3" i="23"/>
  <c r="AK3" i="23" s="1"/>
  <c r="AJ4" i="23"/>
  <c r="AK4" i="23" s="1"/>
  <c r="AJ17" i="23"/>
  <c r="AK17" i="23" s="1"/>
  <c r="AJ24" i="23"/>
  <c r="AK24" i="23" s="1"/>
  <c r="AJ21" i="23"/>
  <c r="AK21" i="23" s="1"/>
  <c r="AJ7" i="23"/>
  <c r="AK7" i="23" s="1"/>
  <c r="AJ2" i="23"/>
  <c r="AJ6" i="23"/>
  <c r="AK6" i="23" s="1"/>
  <c r="AJ5" i="23"/>
  <c r="AK5" i="23" s="1"/>
  <c r="AJ14" i="23"/>
  <c r="AK14" i="23" s="1"/>
  <c r="AJ11" i="23"/>
  <c r="AK11" i="23" s="1"/>
  <c r="AJ16" i="23"/>
  <c r="AK16" i="23" s="1"/>
  <c r="AJ23" i="23"/>
  <c r="AK23" i="23" s="1"/>
  <c r="AJ20" i="23"/>
  <c r="AK20" i="23" s="1"/>
  <c r="AI2" i="15"/>
  <c r="AI8" i="15" s="1"/>
  <c r="AH8" i="15"/>
  <c r="AM2" i="15"/>
  <c r="AL8" i="15"/>
  <c r="AF8" i="15"/>
  <c r="AJ2" i="15" s="1"/>
  <c r="AF14" i="22"/>
  <c r="AJ4" i="22" s="1"/>
  <c r="AI14" i="22"/>
  <c r="AF50" i="13"/>
  <c r="AJ43" i="13" s="1"/>
  <c r="AK43" i="13" s="1"/>
  <c r="AJ24" i="26"/>
  <c r="AK24" i="26" s="1"/>
  <c r="AJ30" i="26"/>
  <c r="AK30" i="26" s="1"/>
  <c r="AJ15" i="26"/>
  <c r="AK15" i="26" s="1"/>
  <c r="AJ60" i="26"/>
  <c r="AK60" i="26" s="1"/>
  <c r="AJ59" i="26"/>
  <c r="AK59" i="26" s="1"/>
  <c r="AJ13" i="26"/>
  <c r="AK13" i="26" s="1"/>
  <c r="AJ11" i="24"/>
  <c r="AK11" i="24" s="1"/>
  <c r="AJ24" i="24"/>
  <c r="AK24" i="24" s="1"/>
  <c r="AJ137" i="24"/>
  <c r="AK137" i="24" s="1"/>
  <c r="AJ154" i="24"/>
  <c r="AK154" i="24" s="1"/>
  <c r="AJ66" i="24"/>
  <c r="AK66" i="24" s="1"/>
  <c r="AJ20" i="24"/>
  <c r="AK20" i="24" s="1"/>
  <c r="AJ116" i="24"/>
  <c r="AK116" i="24" s="1"/>
  <c r="AJ142" i="24"/>
  <c r="AK142" i="24" s="1"/>
  <c r="AJ93" i="24"/>
  <c r="AK93" i="24" s="1"/>
  <c r="AJ122" i="24"/>
  <c r="AK122" i="24" s="1"/>
  <c r="AJ188" i="24"/>
  <c r="AK188" i="24" s="1"/>
  <c r="AJ148" i="24"/>
  <c r="AK148" i="24" s="1"/>
  <c r="AJ141" i="24"/>
  <c r="AK141" i="24" s="1"/>
  <c r="AJ102" i="24"/>
  <c r="AK102" i="24" s="1"/>
  <c r="AJ225" i="24"/>
  <c r="AK225" i="24" s="1"/>
  <c r="AJ171" i="24"/>
  <c r="AK171" i="24" s="1"/>
  <c r="AJ105" i="24"/>
  <c r="AK105" i="24" s="1"/>
  <c r="AJ206" i="24"/>
  <c r="AK206" i="24" s="1"/>
  <c r="AJ51" i="24"/>
  <c r="AK51" i="24" s="1"/>
  <c r="AJ184" i="24"/>
  <c r="AK184" i="24" s="1"/>
  <c r="AJ15" i="24"/>
  <c r="AK15" i="24" s="1"/>
  <c r="AJ34" i="24"/>
  <c r="AK34" i="24" s="1"/>
  <c r="AJ46" i="24"/>
  <c r="AK46" i="24" s="1"/>
  <c r="AJ62" i="24"/>
  <c r="AK62" i="24" s="1"/>
  <c r="AJ158" i="24"/>
  <c r="AK158" i="24" s="1"/>
  <c r="AJ30" i="24"/>
  <c r="AK30" i="24" s="1"/>
  <c r="AJ16" i="24"/>
  <c r="AK16" i="24" s="1"/>
  <c r="AJ202" i="24"/>
  <c r="AK202" i="24" s="1"/>
  <c r="AJ133" i="24"/>
  <c r="AK133" i="24" s="1"/>
  <c r="AJ172" i="24"/>
  <c r="AK172" i="24" s="1"/>
  <c r="AJ173" i="24"/>
  <c r="AK173" i="24" s="1"/>
  <c r="AJ156" i="24"/>
  <c r="AK156" i="24" s="1"/>
  <c r="AJ128" i="24"/>
  <c r="AK128" i="24" s="1"/>
  <c r="AJ180" i="24"/>
  <c r="AK180" i="24" s="1"/>
  <c r="AJ14" i="24"/>
  <c r="AK14" i="24" s="1"/>
  <c r="AJ178" i="24"/>
  <c r="AK178" i="24" s="1"/>
  <c r="AJ174" i="24"/>
  <c r="AK174" i="24" s="1"/>
  <c r="AJ103" i="24"/>
  <c r="AK103" i="24" s="1"/>
  <c r="AJ200" i="24"/>
  <c r="AK200" i="24" s="1"/>
  <c r="AJ218" i="24"/>
  <c r="AK218" i="24" s="1"/>
  <c r="AJ4" i="24"/>
  <c r="AK4" i="24" s="1"/>
  <c r="AJ26" i="24"/>
  <c r="AK26" i="24" s="1"/>
  <c r="AJ19" i="24"/>
  <c r="AK19" i="24" s="1"/>
  <c r="AJ129" i="24"/>
  <c r="AK129" i="24" s="1"/>
  <c r="AJ153" i="24"/>
  <c r="AK153" i="24" s="1"/>
  <c r="AJ186" i="24"/>
  <c r="AK186" i="24" s="1"/>
  <c r="AJ120" i="24"/>
  <c r="AK120" i="24" s="1"/>
  <c r="AJ132" i="24"/>
  <c r="AK132" i="24" s="1"/>
  <c r="AJ100" i="24"/>
  <c r="AK100" i="24" s="1"/>
  <c r="AJ44" i="24"/>
  <c r="AK44" i="24" s="1"/>
  <c r="AJ209" i="24"/>
  <c r="AK209" i="24" s="1"/>
  <c r="AJ229" i="24"/>
  <c r="AK229" i="24" s="1"/>
  <c r="AJ220" i="24"/>
  <c r="AK220" i="24" s="1"/>
  <c r="AJ47" i="24"/>
  <c r="AK47" i="24" s="1"/>
  <c r="AJ13" i="24"/>
  <c r="AK13" i="24" s="1"/>
  <c r="AJ56" i="24"/>
  <c r="AK56" i="24" s="1"/>
  <c r="AJ35" i="24"/>
  <c r="AK35" i="24" s="1"/>
  <c r="AJ71" i="24"/>
  <c r="AK71" i="24" s="1"/>
  <c r="AJ139" i="24"/>
  <c r="AK139" i="24" s="1"/>
  <c r="AJ43" i="24"/>
  <c r="AK43" i="24" s="1"/>
  <c r="AF448" i="19"/>
  <c r="AJ276" i="19" s="1"/>
  <c r="AK276" i="19" s="1"/>
  <c r="AF35" i="21"/>
  <c r="AJ6" i="21" s="1"/>
  <c r="AK6" i="21" s="1"/>
  <c r="AK45" i="27"/>
  <c r="AJ45" i="27"/>
  <c r="AK26" i="27"/>
  <c r="AJ3" i="26"/>
  <c r="AK3" i="26" s="1"/>
  <c r="AJ16" i="26"/>
  <c r="AK16" i="26" s="1"/>
  <c r="AJ21" i="26"/>
  <c r="AK21" i="26" s="1"/>
  <c r="AJ31" i="26"/>
  <c r="AK31" i="26" s="1"/>
  <c r="AJ9" i="26"/>
  <c r="AK9" i="26" s="1"/>
  <c r="AJ63" i="26"/>
  <c r="AK63" i="26" s="1"/>
  <c r="AJ36" i="26"/>
  <c r="AK36" i="26" s="1"/>
  <c r="AJ27" i="26"/>
  <c r="AK27" i="26" s="1"/>
  <c r="AJ40" i="26"/>
  <c r="AK40" i="26" s="1"/>
  <c r="AJ10" i="26"/>
  <c r="AK10" i="26" s="1"/>
  <c r="AJ6" i="26"/>
  <c r="AK6" i="26" s="1"/>
  <c r="AJ43" i="26"/>
  <c r="AK43" i="26" s="1"/>
  <c r="AJ28" i="26"/>
  <c r="AK28" i="26" s="1"/>
  <c r="AJ42" i="26"/>
  <c r="AK42" i="26" s="1"/>
  <c r="AJ47" i="26"/>
  <c r="AK47" i="26" s="1"/>
  <c r="AJ46" i="26"/>
  <c r="AK46" i="26" s="1"/>
  <c r="AJ32" i="26"/>
  <c r="AK32" i="26" s="1"/>
  <c r="AJ29" i="26"/>
  <c r="AK29" i="26" s="1"/>
  <c r="AJ33" i="26"/>
  <c r="AK33" i="26" s="1"/>
  <c r="AJ19" i="26"/>
  <c r="AK19" i="26" s="1"/>
  <c r="AJ52" i="26"/>
  <c r="AK52" i="26" s="1"/>
  <c r="AJ49" i="26"/>
  <c r="AK49" i="26" s="1"/>
  <c r="AJ41" i="26"/>
  <c r="AK41" i="26" s="1"/>
  <c r="AJ62" i="26"/>
  <c r="AK62" i="26" s="1"/>
  <c r="AJ57" i="26"/>
  <c r="AK57" i="26" s="1"/>
  <c r="AJ45" i="26"/>
  <c r="AK45" i="26" s="1"/>
  <c r="AJ11" i="26"/>
  <c r="AK11" i="26" s="1"/>
  <c r="AJ22" i="26"/>
  <c r="AK22" i="26" s="1"/>
  <c r="AJ51" i="26"/>
  <c r="AK51" i="26" s="1"/>
  <c r="AJ48" i="26"/>
  <c r="AK48" i="26" s="1"/>
  <c r="AJ8" i="26"/>
  <c r="AK8" i="26" s="1"/>
  <c r="AJ56" i="26"/>
  <c r="AK56" i="26" s="1"/>
  <c r="AJ65" i="26"/>
  <c r="AK65" i="26" s="1"/>
  <c r="AJ69" i="26"/>
  <c r="AK69" i="26" s="1"/>
  <c r="AJ5" i="26"/>
  <c r="AK5" i="26" s="1"/>
  <c r="AJ53" i="26"/>
  <c r="AK53" i="26" s="1"/>
  <c r="AJ61" i="26"/>
  <c r="AK61" i="26" s="1"/>
  <c r="AJ35" i="26"/>
  <c r="AK35" i="26" s="1"/>
  <c r="AJ23" i="26"/>
  <c r="AK23" i="26" s="1"/>
  <c r="AJ54" i="26"/>
  <c r="AK54" i="26" s="1"/>
  <c r="AJ17" i="26"/>
  <c r="AK17" i="26" s="1"/>
  <c r="AJ50" i="26"/>
  <c r="AK50" i="26" s="1"/>
  <c r="AJ68" i="26"/>
  <c r="AK68" i="26" s="1"/>
  <c r="AJ2" i="26"/>
  <c r="AJ7" i="26"/>
  <c r="AK7" i="26" s="1"/>
  <c r="AJ26" i="26"/>
  <c r="AK26" i="26" s="1"/>
  <c r="AJ12" i="26"/>
  <c r="AK12" i="26" s="1"/>
  <c r="AJ25" i="26"/>
  <c r="AK25" i="26" s="1"/>
  <c r="AJ34" i="26"/>
  <c r="AK34" i="26" s="1"/>
  <c r="AJ4" i="26"/>
  <c r="AK4" i="26" s="1"/>
  <c r="AJ67" i="26"/>
  <c r="AK67" i="26" s="1"/>
  <c r="AJ55" i="26"/>
  <c r="AK55" i="26" s="1"/>
  <c r="AJ44" i="26"/>
  <c r="AK44" i="26" s="1"/>
  <c r="AJ39" i="26"/>
  <c r="AK39" i="26" s="1"/>
  <c r="AJ37" i="26"/>
  <c r="AK37" i="26" s="1"/>
  <c r="AJ18" i="26"/>
  <c r="AK18" i="26" s="1"/>
  <c r="AJ14" i="26"/>
  <c r="AK14" i="26" s="1"/>
  <c r="AJ58" i="26"/>
  <c r="AK58" i="26" s="1"/>
  <c r="AJ66" i="26"/>
  <c r="AK66" i="26" s="1"/>
  <c r="AJ190" i="24"/>
  <c r="AK190" i="24" s="1"/>
  <c r="AJ145" i="24"/>
  <c r="AK145" i="24" s="1"/>
  <c r="AJ36" i="24"/>
  <c r="AK36" i="24" s="1"/>
  <c r="AJ76" i="24"/>
  <c r="AK76" i="24" s="1"/>
  <c r="AJ221" i="24"/>
  <c r="AK221" i="24" s="1"/>
  <c r="AJ113" i="24"/>
  <c r="AK113" i="24" s="1"/>
  <c r="AJ135" i="24"/>
  <c r="AK135" i="24" s="1"/>
  <c r="AJ6" i="24"/>
  <c r="AK6" i="24" s="1"/>
  <c r="AJ39" i="24"/>
  <c r="AK39" i="24" s="1"/>
  <c r="AJ31" i="24"/>
  <c r="AK31" i="24" s="1"/>
  <c r="AJ87" i="24"/>
  <c r="AK87" i="24" s="1"/>
  <c r="AJ144" i="24"/>
  <c r="AK144" i="24" s="1"/>
  <c r="AJ136" i="24"/>
  <c r="AK136" i="24" s="1"/>
  <c r="AJ17" i="24"/>
  <c r="AK17" i="24" s="1"/>
  <c r="AJ106" i="24"/>
  <c r="AK106" i="24" s="1"/>
  <c r="AJ215" i="24"/>
  <c r="AK215" i="24" s="1"/>
  <c r="AJ170" i="24"/>
  <c r="AK170" i="24" s="1"/>
  <c r="AJ18" i="24"/>
  <c r="AK18" i="24" s="1"/>
  <c r="AJ165" i="24"/>
  <c r="AK165" i="24" s="1"/>
  <c r="AJ193" i="24"/>
  <c r="AK193" i="24" s="1"/>
  <c r="AJ181" i="24"/>
  <c r="AK181" i="24" s="1"/>
  <c r="AJ57" i="24"/>
  <c r="AK57" i="24" s="1"/>
  <c r="AJ86" i="24"/>
  <c r="AK86" i="24" s="1"/>
  <c r="AJ70" i="24"/>
  <c r="AK70" i="24" s="1"/>
  <c r="AJ176" i="24"/>
  <c r="AK176" i="24" s="1"/>
  <c r="AJ168" i="24"/>
  <c r="AK168" i="24" s="1"/>
  <c r="AJ194" i="24"/>
  <c r="AK194" i="24" s="1"/>
  <c r="AJ203" i="24"/>
  <c r="AK203" i="24" s="1"/>
  <c r="AJ212" i="24"/>
  <c r="AK212" i="24" s="1"/>
  <c r="AJ60" i="24"/>
  <c r="AK60" i="24" s="1"/>
  <c r="AJ160" i="24"/>
  <c r="AK160" i="24" s="1"/>
  <c r="AJ222" i="24"/>
  <c r="AK222" i="24" s="1"/>
  <c r="AJ179" i="24"/>
  <c r="AK179" i="24" s="1"/>
  <c r="AJ175" i="24"/>
  <c r="AK175" i="24" s="1"/>
  <c r="AJ68" i="24"/>
  <c r="AK68" i="24" s="1"/>
  <c r="AJ75" i="24"/>
  <c r="AK75" i="24" s="1"/>
  <c r="AJ50" i="24"/>
  <c r="AK50" i="24" s="1"/>
  <c r="AJ58" i="24"/>
  <c r="AK58" i="24" s="1"/>
  <c r="AJ27" i="24"/>
  <c r="AK27" i="24" s="1"/>
  <c r="AJ90" i="24"/>
  <c r="AK90" i="24" s="1"/>
  <c r="AJ107" i="24"/>
  <c r="AK107" i="24" s="1"/>
  <c r="AJ219" i="24"/>
  <c r="AK219" i="24" s="1"/>
  <c r="AJ52" i="24"/>
  <c r="AK52" i="24" s="1"/>
  <c r="AJ65" i="24"/>
  <c r="AK65" i="24" s="1"/>
  <c r="AJ89" i="24"/>
  <c r="AK89" i="24" s="1"/>
  <c r="AJ214" i="24"/>
  <c r="AK214" i="24" s="1"/>
  <c r="AJ166" i="24"/>
  <c r="AK166" i="24" s="1"/>
  <c r="AJ55" i="24"/>
  <c r="AK55" i="24" s="1"/>
  <c r="AJ131" i="24"/>
  <c r="AK131" i="24" s="1"/>
  <c r="AJ53" i="24"/>
  <c r="AK53" i="24" s="1"/>
  <c r="AJ223" i="24"/>
  <c r="AK223" i="24" s="1"/>
  <c r="AJ196" i="24"/>
  <c r="AK196" i="24" s="1"/>
  <c r="AJ104" i="24"/>
  <c r="AK104" i="24" s="1"/>
  <c r="AJ150" i="24"/>
  <c r="AK150" i="24" s="1"/>
  <c r="AJ187" i="24"/>
  <c r="AK187" i="24" s="1"/>
  <c r="AJ147" i="24"/>
  <c r="AK147" i="24" s="1"/>
  <c r="AJ191" i="24"/>
  <c r="AK191" i="24" s="1"/>
  <c r="AJ130" i="24"/>
  <c r="AK130" i="24" s="1"/>
  <c r="AJ151" i="24"/>
  <c r="AK151" i="24" s="1"/>
  <c r="AJ74" i="24"/>
  <c r="AK74" i="24" s="1"/>
  <c r="AJ169" i="24"/>
  <c r="AK169" i="24" s="1"/>
  <c r="AJ2" i="24"/>
  <c r="AK2" i="24" s="1"/>
  <c r="AJ73" i="24"/>
  <c r="AK73" i="24" s="1"/>
  <c r="AJ97" i="24"/>
  <c r="AK97" i="24" s="1"/>
  <c r="AJ45" i="24"/>
  <c r="AK45" i="24" s="1"/>
  <c r="AJ82" i="24"/>
  <c r="AK82" i="24" s="1"/>
  <c r="AJ80" i="24"/>
  <c r="AK80" i="24" s="1"/>
  <c r="AJ155" i="24"/>
  <c r="AK155" i="24" s="1"/>
  <c r="AJ10" i="24"/>
  <c r="AK10" i="24" s="1"/>
  <c r="AJ22" i="24"/>
  <c r="AK22" i="24" s="1"/>
  <c r="AJ119" i="24"/>
  <c r="AK119" i="24" s="1"/>
  <c r="AJ84" i="24"/>
  <c r="AK84" i="24" s="1"/>
  <c r="AJ94" i="24"/>
  <c r="AK94" i="24" s="1"/>
  <c r="AJ78" i="24"/>
  <c r="AK78" i="24" s="1"/>
  <c r="AJ49" i="24"/>
  <c r="AK49" i="24" s="1"/>
  <c r="AJ96" i="24"/>
  <c r="AK96" i="24" s="1"/>
  <c r="AJ208" i="24"/>
  <c r="AK208" i="24" s="1"/>
  <c r="AJ216" i="24"/>
  <c r="AK216" i="24" s="1"/>
  <c r="AJ125" i="24"/>
  <c r="AK125" i="24" s="1"/>
  <c r="AJ138" i="24"/>
  <c r="AK138" i="24" s="1"/>
  <c r="AJ124" i="24"/>
  <c r="AK124" i="24" s="1"/>
  <c r="AJ3" i="24"/>
  <c r="AK3" i="24" s="1"/>
  <c r="AJ157" i="24"/>
  <c r="AK157" i="24" s="1"/>
  <c r="AJ164" i="24"/>
  <c r="AK164" i="24" s="1"/>
  <c r="AJ198" i="24"/>
  <c r="AK198" i="24" s="1"/>
  <c r="AJ189" i="24"/>
  <c r="AK189" i="24" s="1"/>
  <c r="AJ204" i="24"/>
  <c r="AK204" i="24" s="1"/>
  <c r="AJ185" i="24"/>
  <c r="AK185" i="24" s="1"/>
  <c r="AJ109" i="24"/>
  <c r="AK109" i="24" s="1"/>
  <c r="AJ38" i="24"/>
  <c r="AK38" i="24" s="1"/>
  <c r="AJ98" i="24"/>
  <c r="AK98" i="24" s="1"/>
  <c r="AJ192" i="24"/>
  <c r="AK192" i="24" s="1"/>
  <c r="AJ8" i="24"/>
  <c r="AJ23" i="24"/>
  <c r="AK23" i="24" s="1"/>
  <c r="AJ21" i="24"/>
  <c r="AK21" i="24" s="1"/>
  <c r="AJ162" i="24"/>
  <c r="AK162" i="24" s="1"/>
  <c r="AJ12" i="24"/>
  <c r="AK12" i="24" s="1"/>
  <c r="AJ37" i="24"/>
  <c r="AK37" i="24" s="1"/>
  <c r="AJ199" i="24"/>
  <c r="AK199" i="24" s="1"/>
  <c r="AJ101" i="24"/>
  <c r="AK101" i="24" s="1"/>
  <c r="AJ114" i="24"/>
  <c r="AK114" i="24" s="1"/>
  <c r="AJ25" i="24"/>
  <c r="AK25" i="24" s="1"/>
  <c r="AJ108" i="24"/>
  <c r="AK108" i="24" s="1"/>
  <c r="AJ28" i="24"/>
  <c r="AK28" i="24" s="1"/>
  <c r="AJ207" i="24"/>
  <c r="AK207" i="24" s="1"/>
  <c r="AJ183" i="24"/>
  <c r="AK183" i="24" s="1"/>
  <c r="AJ226" i="24"/>
  <c r="AK226" i="24" s="1"/>
  <c r="AJ67" i="24"/>
  <c r="AK67" i="24" s="1"/>
  <c r="AJ177" i="24"/>
  <c r="AK177" i="24" s="1"/>
  <c r="AJ92" i="24"/>
  <c r="AK92" i="24" s="1"/>
  <c r="AJ167" i="24"/>
  <c r="AK167" i="24" s="1"/>
  <c r="AJ182" i="24"/>
  <c r="AK182" i="24" s="1"/>
  <c r="AJ143" i="24"/>
  <c r="AK143" i="24" s="1"/>
  <c r="AJ115" i="24"/>
  <c r="AK115" i="24" s="1"/>
  <c r="AJ140" i="24"/>
  <c r="AK140" i="24" s="1"/>
  <c r="AJ117" i="24"/>
  <c r="AK117" i="24" s="1"/>
  <c r="AJ54" i="24"/>
  <c r="AK54" i="24" s="1"/>
  <c r="AJ161" i="24"/>
  <c r="AK161" i="24" s="1"/>
  <c r="AJ213" i="24"/>
  <c r="AK213" i="24" s="1"/>
  <c r="AJ224" i="24"/>
  <c r="AK224" i="24" s="1"/>
  <c r="AJ48" i="24"/>
  <c r="AK48" i="24" s="1"/>
  <c r="AJ5" i="24"/>
  <c r="AK5" i="24" s="1"/>
  <c r="AJ9" i="24"/>
  <c r="AK9" i="24" s="1"/>
  <c r="AJ95" i="24"/>
  <c r="AK95" i="24" s="1"/>
  <c r="AJ72" i="24"/>
  <c r="AK72" i="24" s="1"/>
  <c r="AJ42" i="24"/>
  <c r="AK42" i="24" s="1"/>
  <c r="AJ149" i="24"/>
  <c r="AK149" i="24" s="1"/>
  <c r="AJ99" i="24"/>
  <c r="AK99" i="24" s="1"/>
  <c r="AJ91" i="24"/>
  <c r="AK91" i="24" s="1"/>
  <c r="AJ33" i="24"/>
  <c r="AK33" i="24" s="1"/>
  <c r="AJ111" i="24"/>
  <c r="AK111" i="24" s="1"/>
  <c r="AJ112" i="24"/>
  <c r="AK112" i="24" s="1"/>
  <c r="AJ201" i="24"/>
  <c r="AK201" i="24" s="1"/>
  <c r="AJ61" i="24"/>
  <c r="AK61" i="24" s="1"/>
  <c r="AJ32" i="24"/>
  <c r="AK32" i="24" s="1"/>
  <c r="AJ228" i="24"/>
  <c r="AK228" i="24" s="1"/>
  <c r="AJ110" i="24"/>
  <c r="AK110" i="24" s="1"/>
  <c r="AJ123" i="24"/>
  <c r="AK123" i="24" s="1"/>
  <c r="AJ41" i="24"/>
  <c r="AK41" i="24" s="1"/>
  <c r="AJ118" i="24"/>
  <c r="AK118" i="24" s="1"/>
  <c r="AJ227" i="24"/>
  <c r="AK227" i="24" s="1"/>
  <c r="AJ59" i="24"/>
  <c r="AK59" i="24" s="1"/>
  <c r="AJ210" i="24"/>
  <c r="AK210" i="24" s="1"/>
  <c r="AJ163" i="24"/>
  <c r="AK163" i="24" s="1"/>
  <c r="AJ83" i="24"/>
  <c r="AK83" i="24" s="1"/>
  <c r="AJ64" i="24"/>
  <c r="AK64" i="24" s="1"/>
  <c r="AJ197" i="24"/>
  <c r="AK197" i="24" s="1"/>
  <c r="AF47" i="14"/>
  <c r="AJ34" i="14" s="1"/>
  <c r="AK34" i="14" s="1"/>
  <c r="AI70" i="18"/>
  <c r="AF70" i="18"/>
  <c r="AF91" i="17"/>
  <c r="AJ35" i="17" s="1"/>
  <c r="AK35" i="17" s="1"/>
  <c r="AH91" i="17"/>
  <c r="AF28" i="11"/>
  <c r="AJ10" i="11" s="1"/>
  <c r="AK10" i="11" s="1"/>
  <c r="AI28" i="11"/>
  <c r="AF21" i="9"/>
  <c r="AJ9" i="9" s="1"/>
  <c r="AK9" i="9" s="1"/>
  <c r="AF44" i="6"/>
  <c r="AF28" i="8"/>
  <c r="AJ2" i="8" s="1"/>
  <c r="AM2" i="23"/>
  <c r="AL70" i="18"/>
  <c r="AM46" i="14"/>
  <c r="AM42" i="14"/>
  <c r="AM18" i="14"/>
  <c r="AM15" i="14"/>
  <c r="AM16" i="14"/>
  <c r="AM14" i="14"/>
  <c r="AM9" i="14"/>
  <c r="AM30" i="14"/>
  <c r="AM40" i="14"/>
  <c r="AM38" i="14"/>
  <c r="AM34" i="14"/>
  <c r="AM26" i="14"/>
  <c r="AM20" i="14"/>
  <c r="AM19" i="14"/>
  <c r="AM4" i="14"/>
  <c r="AM10" i="14"/>
  <c r="AM5" i="14"/>
  <c r="AM39" i="14"/>
  <c r="AM45" i="14"/>
  <c r="AM17" i="14"/>
  <c r="AM27" i="14"/>
  <c r="AM13" i="14"/>
  <c r="AM12" i="14"/>
  <c r="AM23" i="14"/>
  <c r="AM8" i="14"/>
  <c r="AM11" i="14"/>
  <c r="AM41" i="14"/>
  <c r="AM44" i="14"/>
  <c r="AM29" i="14"/>
  <c r="AM28" i="14"/>
  <c r="AM22" i="14"/>
  <c r="AM6" i="14"/>
  <c r="AM24" i="14"/>
  <c r="AM2" i="14"/>
  <c r="AM3" i="15"/>
  <c r="AI2" i="21"/>
  <c r="AI35" i="21" s="1"/>
  <c r="AM2" i="21"/>
  <c r="AM35" i="21" s="1"/>
  <c r="AI67" i="20"/>
  <c r="AH67" i="20"/>
  <c r="AF67" i="20"/>
  <c r="AJ8" i="20" s="1"/>
  <c r="AK8" i="20" s="1"/>
  <c r="AM2" i="9"/>
  <c r="AM5" i="9"/>
  <c r="AM21" i="9" s="1"/>
  <c r="AI2" i="9"/>
  <c r="AI21" i="9" s="1"/>
  <c r="AM3" i="14"/>
  <c r="AF46" i="12"/>
  <c r="AJ33" i="12" s="1"/>
  <c r="AK33" i="12" s="1"/>
  <c r="AG46" i="12"/>
  <c r="AI5" i="12"/>
  <c r="AI46" i="12" s="1"/>
  <c r="AM64" i="18"/>
  <c r="AM42" i="18"/>
  <c r="AM52" i="18"/>
  <c r="AM65" i="18"/>
  <c r="AM24" i="18"/>
  <c r="AM19" i="18"/>
  <c r="AM8" i="18"/>
  <c r="AM4" i="18"/>
  <c r="AM67" i="18"/>
  <c r="AM68" i="18"/>
  <c r="AM60" i="18"/>
  <c r="AM55" i="18"/>
  <c r="AM44" i="18"/>
  <c r="AM37" i="18"/>
  <c r="AM39" i="18"/>
  <c r="AM66" i="18"/>
  <c r="AM41" i="18"/>
  <c r="AM32" i="18"/>
  <c r="AM29" i="18"/>
  <c r="AM6" i="18"/>
  <c r="AM21" i="18"/>
  <c r="AM12" i="18"/>
  <c r="AM34" i="18"/>
  <c r="AM11" i="18"/>
  <c r="AM2" i="18"/>
  <c r="AM50" i="18"/>
  <c r="AM61" i="18"/>
  <c r="AM63" i="18"/>
  <c r="AM25" i="18"/>
  <c r="AM56" i="18"/>
  <c r="AM62" i="18"/>
  <c r="AM59" i="18"/>
  <c r="AM58" i="18"/>
  <c r="AM28" i="18"/>
  <c r="AM20" i="18"/>
  <c r="AM35" i="18"/>
  <c r="AM31" i="18"/>
  <c r="AM27" i="18"/>
  <c r="AM33" i="18"/>
  <c r="AM16" i="18"/>
  <c r="AM9" i="18"/>
  <c r="AM17" i="18"/>
  <c r="AM26" i="18"/>
  <c r="AM49" i="18"/>
  <c r="AM38" i="18"/>
  <c r="AM48" i="18"/>
  <c r="AM46" i="18"/>
  <c r="AM15" i="18"/>
  <c r="AM43" i="18"/>
  <c r="AM10" i="18"/>
  <c r="AM57" i="18"/>
  <c r="AM69" i="18"/>
  <c r="AM54" i="18"/>
  <c r="AM36" i="18"/>
  <c r="AM53" i="18"/>
  <c r="AM45" i="18"/>
  <c r="AM47" i="18"/>
  <c r="AM51" i="18"/>
  <c r="AM22" i="18"/>
  <c r="AM40" i="18"/>
  <c r="AM30" i="18"/>
  <c r="AM13" i="18"/>
  <c r="AM5" i="18"/>
  <c r="AM7" i="18"/>
  <c r="AK2" i="25"/>
  <c r="AI2" i="6"/>
  <c r="AI44" i="6" s="1"/>
  <c r="AM3" i="8"/>
  <c r="AM28" i="8" s="1"/>
  <c r="AM4" i="8"/>
  <c r="AI3" i="8"/>
  <c r="AI28" i="8" s="1"/>
  <c r="AG67" i="20"/>
  <c r="AM2" i="19"/>
  <c r="AM448" i="19" s="1"/>
  <c r="AI2" i="19"/>
  <c r="AI448" i="19" s="1"/>
  <c r="AL91" i="17"/>
  <c r="AI2" i="17"/>
  <c r="AI91" i="17" s="1"/>
  <c r="AI3" i="14"/>
  <c r="AI47" i="14" s="1"/>
  <c r="AM29" i="13"/>
  <c r="AM50" i="13" s="1"/>
  <c r="AM2" i="11"/>
  <c r="AM28" i="11" s="1"/>
  <c r="AK26" i="25" l="1"/>
  <c r="AK3" i="25"/>
  <c r="AJ26" i="25"/>
  <c r="AJ42" i="14"/>
  <c r="AK42" i="14" s="1"/>
  <c r="AJ29" i="14"/>
  <c r="AK29" i="14" s="1"/>
  <c r="AJ4" i="14"/>
  <c r="AK4" i="14" s="1"/>
  <c r="AJ54" i="17"/>
  <c r="AK54" i="17" s="1"/>
  <c r="AJ73" i="17"/>
  <c r="AK73" i="17" s="1"/>
  <c r="AJ79" i="17"/>
  <c r="AK79" i="17" s="1"/>
  <c r="AJ6" i="17"/>
  <c r="AK6" i="17" s="1"/>
  <c r="AJ47" i="17"/>
  <c r="AK47" i="17" s="1"/>
  <c r="AJ55" i="17"/>
  <c r="AK55" i="17" s="1"/>
  <c r="AJ8" i="17"/>
  <c r="AK8" i="17" s="1"/>
  <c r="AJ36" i="17"/>
  <c r="AK36" i="17" s="1"/>
  <c r="AJ43" i="17"/>
  <c r="AK43" i="17" s="1"/>
  <c r="AJ71" i="17"/>
  <c r="AK71" i="17" s="1"/>
  <c r="AJ90" i="17"/>
  <c r="AK90" i="17" s="1"/>
  <c r="AJ4" i="17"/>
  <c r="AK4" i="17" s="1"/>
  <c r="AJ25" i="17"/>
  <c r="AK25" i="17" s="1"/>
  <c r="AJ57" i="17"/>
  <c r="AK57" i="17" s="1"/>
  <c r="AJ45" i="17"/>
  <c r="AK45" i="17" s="1"/>
  <c r="AJ88" i="17"/>
  <c r="AK88" i="17" s="1"/>
  <c r="AJ29" i="17"/>
  <c r="AK29" i="17" s="1"/>
  <c r="AJ89" i="17"/>
  <c r="AK89" i="17" s="1"/>
  <c r="AJ27" i="17"/>
  <c r="AK27" i="17" s="1"/>
  <c r="AJ48" i="17"/>
  <c r="AK48" i="17" s="1"/>
  <c r="AJ40" i="17"/>
  <c r="AK40" i="17" s="1"/>
  <c r="AJ82" i="17"/>
  <c r="AK82" i="17" s="1"/>
  <c r="AJ50" i="17"/>
  <c r="AK50" i="17" s="1"/>
  <c r="AJ2" i="17"/>
  <c r="AJ28" i="17"/>
  <c r="AK28" i="17" s="1"/>
  <c r="AJ84" i="17"/>
  <c r="AK84" i="17" s="1"/>
  <c r="AJ33" i="17"/>
  <c r="AK33" i="17" s="1"/>
  <c r="AJ83" i="17"/>
  <c r="AK83" i="17" s="1"/>
  <c r="AJ21" i="17"/>
  <c r="AK21" i="17" s="1"/>
  <c r="AJ63" i="17"/>
  <c r="AK63" i="17" s="1"/>
  <c r="AJ70" i="17"/>
  <c r="AK70" i="17" s="1"/>
  <c r="AJ58" i="17"/>
  <c r="AK58" i="17" s="1"/>
  <c r="AJ87" i="17"/>
  <c r="AK87" i="17" s="1"/>
  <c r="AJ30" i="17"/>
  <c r="AK30" i="17" s="1"/>
  <c r="AJ31" i="17"/>
  <c r="AK31" i="17" s="1"/>
  <c r="AJ77" i="17"/>
  <c r="AK77" i="17" s="1"/>
  <c r="AJ75" i="17"/>
  <c r="AK75" i="17" s="1"/>
  <c r="AJ80" i="17"/>
  <c r="AK80" i="17" s="1"/>
  <c r="AJ78" i="17"/>
  <c r="AK78" i="17" s="1"/>
  <c r="AJ17" i="17"/>
  <c r="AK17" i="17" s="1"/>
  <c r="AJ19" i="17"/>
  <c r="AK19" i="17" s="1"/>
  <c r="AJ20" i="17"/>
  <c r="AK20" i="17" s="1"/>
  <c r="AJ10" i="17"/>
  <c r="AK10" i="17" s="1"/>
  <c r="AJ65" i="17"/>
  <c r="AK65" i="17" s="1"/>
  <c r="AJ68" i="17"/>
  <c r="AK68" i="17" s="1"/>
  <c r="AJ15" i="17"/>
  <c r="AK15" i="17" s="1"/>
  <c r="AJ34" i="17"/>
  <c r="AK34" i="17" s="1"/>
  <c r="AJ18" i="17"/>
  <c r="AK18" i="17" s="1"/>
  <c r="AJ39" i="17"/>
  <c r="AK39" i="17" s="1"/>
  <c r="AJ32" i="17"/>
  <c r="AK32" i="17" s="1"/>
  <c r="AJ62" i="17"/>
  <c r="AK62" i="17" s="1"/>
  <c r="AJ61" i="17"/>
  <c r="AK61" i="17" s="1"/>
  <c r="AJ64" i="17"/>
  <c r="AK64" i="17" s="1"/>
  <c r="AJ22" i="17"/>
  <c r="AK22" i="17" s="1"/>
  <c r="AJ46" i="17"/>
  <c r="AK46" i="17" s="1"/>
  <c r="AJ23" i="17"/>
  <c r="AK23" i="17" s="1"/>
  <c r="AJ7" i="17"/>
  <c r="AK7" i="17" s="1"/>
  <c r="AJ3" i="17"/>
  <c r="AK3" i="17" s="1"/>
  <c r="AJ26" i="17"/>
  <c r="AK26" i="17" s="1"/>
  <c r="AJ60" i="17"/>
  <c r="AK60" i="17" s="1"/>
  <c r="AJ16" i="17"/>
  <c r="AK16" i="17" s="1"/>
  <c r="AJ24" i="17"/>
  <c r="AK24" i="17" s="1"/>
  <c r="AJ44" i="17"/>
  <c r="AK44" i="17" s="1"/>
  <c r="AJ81" i="17"/>
  <c r="AK81" i="17" s="1"/>
  <c r="AJ37" i="17"/>
  <c r="AK37" i="17" s="1"/>
  <c r="AJ5" i="17"/>
  <c r="AK5" i="17" s="1"/>
  <c r="AJ13" i="17"/>
  <c r="AK13" i="17" s="1"/>
  <c r="AJ12" i="17"/>
  <c r="AK12" i="17" s="1"/>
  <c r="AJ86" i="17"/>
  <c r="AK86" i="17" s="1"/>
  <c r="AJ14" i="17"/>
  <c r="AK14" i="17" s="1"/>
  <c r="AJ9" i="17"/>
  <c r="AK9" i="17" s="1"/>
  <c r="AJ52" i="17"/>
  <c r="AK52" i="17" s="1"/>
  <c r="AJ74" i="17"/>
  <c r="AK74" i="17" s="1"/>
  <c r="AJ49" i="17"/>
  <c r="AK49" i="17" s="1"/>
  <c r="AJ38" i="17"/>
  <c r="AK38" i="17" s="1"/>
  <c r="AJ42" i="17"/>
  <c r="AK42" i="17" s="1"/>
  <c r="AJ53" i="17"/>
  <c r="AK53" i="17" s="1"/>
  <c r="AJ41" i="17"/>
  <c r="AK41" i="17" s="1"/>
  <c r="AJ76" i="17"/>
  <c r="AK76" i="17" s="1"/>
  <c r="AJ66" i="17"/>
  <c r="AK66" i="17" s="1"/>
  <c r="AJ51" i="17"/>
  <c r="AK51" i="17" s="1"/>
  <c r="AJ85" i="17"/>
  <c r="AK85" i="17" s="1"/>
  <c r="AJ11" i="17"/>
  <c r="AK11" i="17" s="1"/>
  <c r="AJ59" i="17"/>
  <c r="AK59" i="17" s="1"/>
  <c r="AJ67" i="17"/>
  <c r="AK67" i="17" s="1"/>
  <c r="AJ56" i="17"/>
  <c r="AK56" i="17" s="1"/>
  <c r="AJ72" i="17"/>
  <c r="AK72" i="17" s="1"/>
  <c r="AJ69" i="17"/>
  <c r="AK69" i="17" s="1"/>
  <c r="AJ27" i="13"/>
  <c r="AK27" i="13" s="1"/>
  <c r="AJ8" i="13"/>
  <c r="AK8" i="13" s="1"/>
  <c r="AJ10" i="13"/>
  <c r="AK10" i="13" s="1"/>
  <c r="AJ9" i="13"/>
  <c r="AK9" i="13" s="1"/>
  <c r="AJ16" i="13"/>
  <c r="AK16" i="13" s="1"/>
  <c r="AJ38" i="13"/>
  <c r="AK38" i="13" s="1"/>
  <c r="AJ46" i="13"/>
  <c r="AK46" i="13" s="1"/>
  <c r="AJ35" i="13"/>
  <c r="AK35" i="13" s="1"/>
  <c r="AJ13" i="13"/>
  <c r="AK13" i="13" s="1"/>
  <c r="AJ36" i="13"/>
  <c r="AK36" i="13" s="1"/>
  <c r="AJ15" i="13"/>
  <c r="AK15" i="13" s="1"/>
  <c r="AJ49" i="13"/>
  <c r="AK49" i="13" s="1"/>
  <c r="AJ19" i="13"/>
  <c r="AK19" i="13" s="1"/>
  <c r="AJ14" i="13"/>
  <c r="AK14" i="13" s="1"/>
  <c r="AJ41" i="13"/>
  <c r="AK41" i="13" s="1"/>
  <c r="AJ37" i="13"/>
  <c r="AK37" i="13" s="1"/>
  <c r="AJ45" i="13"/>
  <c r="AK45" i="13" s="1"/>
  <c r="AJ7" i="13"/>
  <c r="AK7" i="13" s="1"/>
  <c r="AJ7" i="15"/>
  <c r="AK7" i="15" s="1"/>
  <c r="AJ6" i="15"/>
  <c r="AK6" i="15" s="1"/>
  <c r="AJ5" i="15"/>
  <c r="AK5" i="15" s="1"/>
  <c r="AJ4" i="15"/>
  <c r="AK4" i="15" s="1"/>
  <c r="AJ3" i="15"/>
  <c r="AK3" i="15" s="1"/>
  <c r="AJ25" i="23"/>
  <c r="AK2" i="23"/>
  <c r="AM8" i="15"/>
  <c r="AK2" i="15"/>
  <c r="AJ5" i="22"/>
  <c r="AJ13" i="22"/>
  <c r="AJ10" i="22"/>
  <c r="AJ7" i="22"/>
  <c r="AJ9" i="22"/>
  <c r="AJ12" i="22"/>
  <c r="AJ2" i="22"/>
  <c r="AJ6" i="22"/>
  <c r="AK6" i="22" s="1"/>
  <c r="AJ8" i="22"/>
  <c r="AK8" i="22" s="1"/>
  <c r="AJ11" i="22"/>
  <c r="AJ3" i="22"/>
  <c r="AJ15" i="21"/>
  <c r="AK15" i="21" s="1"/>
  <c r="AJ9" i="21"/>
  <c r="AK9" i="21" s="1"/>
  <c r="AJ5" i="13"/>
  <c r="AJ3" i="13"/>
  <c r="AK3" i="13" s="1"/>
  <c r="AJ26" i="13"/>
  <c r="AK26" i="13" s="1"/>
  <c r="AJ32" i="13"/>
  <c r="AK32" i="13" s="1"/>
  <c r="AJ28" i="13"/>
  <c r="AK28" i="13" s="1"/>
  <c r="AJ2" i="13"/>
  <c r="AK2" i="13" s="1"/>
  <c r="AJ21" i="13"/>
  <c r="AK21" i="13" s="1"/>
  <c r="AJ34" i="13"/>
  <c r="AK34" i="13" s="1"/>
  <c r="AJ44" i="13"/>
  <c r="AK44" i="13" s="1"/>
  <c r="AJ17" i="13"/>
  <c r="AK17" i="13" s="1"/>
  <c r="AJ4" i="13"/>
  <c r="AK4" i="13" s="1"/>
  <c r="AJ12" i="13"/>
  <c r="AK12" i="13" s="1"/>
  <c r="AJ25" i="13"/>
  <c r="AK25" i="13" s="1"/>
  <c r="AJ23" i="13"/>
  <c r="AK23" i="13" s="1"/>
  <c r="AJ31" i="13"/>
  <c r="AK31" i="13" s="1"/>
  <c r="AJ40" i="13"/>
  <c r="AK40" i="13" s="1"/>
  <c r="AJ11" i="13"/>
  <c r="AK11" i="13" s="1"/>
  <c r="AJ47" i="13"/>
  <c r="AK47" i="13" s="1"/>
  <c r="AJ20" i="13"/>
  <c r="AK20" i="13" s="1"/>
  <c r="AJ29" i="13"/>
  <c r="AK29" i="13" s="1"/>
  <c r="AJ6" i="13"/>
  <c r="AK6" i="13" s="1"/>
  <c r="AJ18" i="13"/>
  <c r="AK18" i="13" s="1"/>
  <c r="AJ22" i="13"/>
  <c r="AK22" i="13" s="1"/>
  <c r="AJ24" i="13"/>
  <c r="AK24" i="13" s="1"/>
  <c r="AJ42" i="13"/>
  <c r="AK42" i="13" s="1"/>
  <c r="AJ39" i="13"/>
  <c r="AK39" i="13" s="1"/>
  <c r="AJ33" i="13"/>
  <c r="AK33" i="13" s="1"/>
  <c r="AJ30" i="13"/>
  <c r="AK30" i="13" s="1"/>
  <c r="AJ48" i="13"/>
  <c r="AK48" i="13" s="1"/>
  <c r="AJ35" i="19"/>
  <c r="AK35" i="19" s="1"/>
  <c r="AJ27" i="19"/>
  <c r="AK27" i="19" s="1"/>
  <c r="AJ68" i="19"/>
  <c r="AK68" i="19" s="1"/>
  <c r="AJ343" i="19"/>
  <c r="AK343" i="19" s="1"/>
  <c r="AJ173" i="19"/>
  <c r="AK173" i="19" s="1"/>
  <c r="AJ86" i="19"/>
  <c r="AK86" i="19" s="1"/>
  <c r="AJ54" i="19"/>
  <c r="AK54" i="19" s="1"/>
  <c r="AJ176" i="19"/>
  <c r="AK176" i="19" s="1"/>
  <c r="AJ110" i="19"/>
  <c r="AK110" i="19" s="1"/>
  <c r="AJ72" i="19"/>
  <c r="AK72" i="19" s="1"/>
  <c r="AJ279" i="19"/>
  <c r="AK279" i="19" s="1"/>
  <c r="AJ345" i="19"/>
  <c r="AK345" i="19" s="1"/>
  <c r="AJ326" i="19"/>
  <c r="AK326" i="19" s="1"/>
  <c r="AJ64" i="19"/>
  <c r="AK64" i="19" s="1"/>
  <c r="AJ53" i="19"/>
  <c r="AK53" i="19" s="1"/>
  <c r="AJ266" i="19"/>
  <c r="AK266" i="19" s="1"/>
  <c r="AJ129" i="19"/>
  <c r="AK129" i="19" s="1"/>
  <c r="AJ396" i="19"/>
  <c r="AK396" i="19" s="1"/>
  <c r="AJ359" i="19"/>
  <c r="AK359" i="19" s="1"/>
  <c r="AJ263" i="19"/>
  <c r="AK263" i="19" s="1"/>
  <c r="AJ153" i="19"/>
  <c r="AK153" i="19" s="1"/>
  <c r="AJ188" i="19"/>
  <c r="AK188" i="19" s="1"/>
  <c r="AJ401" i="19"/>
  <c r="AK401" i="19" s="1"/>
  <c r="AJ181" i="19"/>
  <c r="AK181" i="19" s="1"/>
  <c r="AJ157" i="19"/>
  <c r="AK157" i="19" s="1"/>
  <c r="AJ98" i="19"/>
  <c r="AK98" i="19" s="1"/>
  <c r="AJ364" i="19"/>
  <c r="AK364" i="19" s="1"/>
  <c r="AJ353" i="19"/>
  <c r="AK353" i="19" s="1"/>
  <c r="AJ311" i="19"/>
  <c r="AK311" i="19" s="1"/>
  <c r="AJ381" i="19"/>
  <c r="AK381" i="19" s="1"/>
  <c r="AJ362" i="19"/>
  <c r="AK362" i="19" s="1"/>
  <c r="AJ271" i="19"/>
  <c r="AK271" i="19" s="1"/>
  <c r="AJ232" i="19"/>
  <c r="AK232" i="19" s="1"/>
  <c r="AJ89" i="19"/>
  <c r="AK89" i="19" s="1"/>
  <c r="AJ235" i="19"/>
  <c r="AK235" i="19" s="1"/>
  <c r="AJ348" i="19"/>
  <c r="AK348" i="19" s="1"/>
  <c r="AJ328" i="19"/>
  <c r="AK328" i="19" s="1"/>
  <c r="AJ209" i="19"/>
  <c r="AK209" i="19" s="1"/>
  <c r="AJ166" i="19"/>
  <c r="AK166" i="19" s="1"/>
  <c r="AJ363" i="19"/>
  <c r="AK363" i="19" s="1"/>
  <c r="AJ391" i="19"/>
  <c r="AK391" i="19" s="1"/>
  <c r="AJ380" i="19"/>
  <c r="AK380" i="19" s="1"/>
  <c r="AJ360" i="19"/>
  <c r="AK360" i="19" s="1"/>
  <c r="AJ237" i="19"/>
  <c r="AK237" i="19" s="1"/>
  <c r="AJ367" i="19"/>
  <c r="AK367" i="19" s="1"/>
  <c r="AJ174" i="19"/>
  <c r="AK174" i="19" s="1"/>
  <c r="AJ171" i="19"/>
  <c r="AK171" i="19" s="1"/>
  <c r="AJ265" i="19"/>
  <c r="AK265" i="19" s="1"/>
  <c r="AJ285" i="19"/>
  <c r="AK285" i="19" s="1"/>
  <c r="AJ340" i="19"/>
  <c r="AK340" i="19" s="1"/>
  <c r="AJ94" i="19"/>
  <c r="AK94" i="19" s="1"/>
  <c r="AJ253" i="19"/>
  <c r="AK253" i="19" s="1"/>
  <c r="AJ347" i="19"/>
  <c r="AK347" i="19" s="1"/>
  <c r="AJ60" i="19"/>
  <c r="AK60" i="19" s="1"/>
  <c r="AJ187" i="19"/>
  <c r="AK187" i="19" s="1"/>
  <c r="AJ417" i="19"/>
  <c r="AK417" i="19" s="1"/>
  <c r="AJ365" i="19"/>
  <c r="AK365" i="19" s="1"/>
  <c r="AJ379" i="19"/>
  <c r="AK379" i="19" s="1"/>
  <c r="AJ107" i="19"/>
  <c r="AK107" i="19" s="1"/>
  <c r="AJ386" i="19"/>
  <c r="AK386" i="19" s="1"/>
  <c r="AJ165" i="19"/>
  <c r="AK165" i="19" s="1"/>
  <c r="AJ346" i="19"/>
  <c r="AK346" i="19" s="1"/>
  <c r="AJ423" i="19"/>
  <c r="AK423" i="19" s="1"/>
  <c r="AJ150" i="19"/>
  <c r="AK150" i="19" s="1"/>
  <c r="AJ130" i="19"/>
  <c r="AK130" i="19" s="1"/>
  <c r="AJ114" i="19"/>
  <c r="AK114" i="19" s="1"/>
  <c r="AJ258" i="19"/>
  <c r="AK258" i="19" s="1"/>
  <c r="AJ295" i="19"/>
  <c r="AK295" i="19" s="1"/>
  <c r="AJ404" i="19"/>
  <c r="AK404" i="19" s="1"/>
  <c r="AJ199" i="19"/>
  <c r="AK199" i="19" s="1"/>
  <c r="AJ409" i="19"/>
  <c r="AK409" i="19" s="1"/>
  <c r="AJ357" i="19"/>
  <c r="AK357" i="19" s="1"/>
  <c r="AJ385" i="19"/>
  <c r="AK385" i="19" s="1"/>
  <c r="AJ376" i="19"/>
  <c r="AK376" i="19" s="1"/>
  <c r="AJ412" i="19"/>
  <c r="AK412" i="19" s="1"/>
  <c r="AJ355" i="19"/>
  <c r="AK355" i="19" s="1"/>
  <c r="AJ200" i="19"/>
  <c r="AK200" i="19" s="1"/>
  <c r="AJ116" i="19"/>
  <c r="AK116" i="19" s="1"/>
  <c r="AJ283" i="19"/>
  <c r="AK283" i="19" s="1"/>
  <c r="AJ204" i="19"/>
  <c r="AK204" i="19" s="1"/>
  <c r="AJ330" i="19"/>
  <c r="AK330" i="19" s="1"/>
  <c r="AJ251" i="19"/>
  <c r="AK251" i="19" s="1"/>
  <c r="AJ288" i="19"/>
  <c r="AK288" i="19" s="1"/>
  <c r="AJ269" i="19"/>
  <c r="AK269" i="19" s="1"/>
  <c r="AJ100" i="19"/>
  <c r="AK100" i="19" s="1"/>
  <c r="AJ247" i="19"/>
  <c r="AK247" i="19" s="1"/>
  <c r="AJ443" i="19"/>
  <c r="AK443" i="19" s="1"/>
  <c r="AJ202" i="19"/>
  <c r="AK202" i="19" s="1"/>
  <c r="AJ135" i="19"/>
  <c r="AK135" i="19" s="1"/>
  <c r="AJ213" i="19"/>
  <c r="AK213" i="19" s="1"/>
  <c r="AJ41" i="19"/>
  <c r="AK41" i="19" s="1"/>
  <c r="AJ65" i="19"/>
  <c r="AK65" i="19" s="1"/>
  <c r="AJ220" i="19"/>
  <c r="AK220" i="19" s="1"/>
  <c r="AJ42" i="19"/>
  <c r="AK42" i="19" s="1"/>
  <c r="AJ69" i="19"/>
  <c r="AK69" i="19" s="1"/>
  <c r="AJ108" i="19"/>
  <c r="AK108" i="19" s="1"/>
  <c r="AJ78" i="19"/>
  <c r="AK78" i="19" s="1"/>
  <c r="AJ11" i="19"/>
  <c r="AK11" i="19" s="1"/>
  <c r="AJ152" i="19"/>
  <c r="AK152" i="19" s="1"/>
  <c r="AJ25" i="19"/>
  <c r="AK25" i="19" s="1"/>
  <c r="AJ63" i="19"/>
  <c r="AK63" i="19" s="1"/>
  <c r="AJ32" i="19"/>
  <c r="AK32" i="19" s="1"/>
  <c r="AJ45" i="19"/>
  <c r="AK45" i="19" s="1"/>
  <c r="AJ23" i="19"/>
  <c r="AK23" i="19" s="1"/>
  <c r="AJ8" i="19"/>
  <c r="AK8" i="19" s="1"/>
  <c r="AJ433" i="19"/>
  <c r="AK433" i="19" s="1"/>
  <c r="AJ169" i="19"/>
  <c r="AK169" i="19" s="1"/>
  <c r="AJ431" i="19"/>
  <c r="AK431" i="19" s="1"/>
  <c r="AJ337" i="19"/>
  <c r="AK337" i="19" s="1"/>
  <c r="AJ75" i="19"/>
  <c r="AK75" i="19" s="1"/>
  <c r="AJ377" i="19"/>
  <c r="AK377" i="19" s="1"/>
  <c r="AJ411" i="19"/>
  <c r="AK411" i="19" s="1"/>
  <c r="AJ383" i="19"/>
  <c r="AK383" i="19" s="1"/>
  <c r="AJ351" i="19"/>
  <c r="AK351" i="19" s="1"/>
  <c r="AJ249" i="19"/>
  <c r="AK249" i="19" s="1"/>
  <c r="AJ239" i="19"/>
  <c r="AK239" i="19" s="1"/>
  <c r="AJ125" i="19"/>
  <c r="AK125" i="19" s="1"/>
  <c r="AJ314" i="19"/>
  <c r="AK314" i="19" s="1"/>
  <c r="AJ216" i="19"/>
  <c r="AK216" i="19" s="1"/>
  <c r="AJ205" i="19"/>
  <c r="AK205" i="19" s="1"/>
  <c r="AJ388" i="19"/>
  <c r="AK388" i="19" s="1"/>
  <c r="AJ264" i="19"/>
  <c r="AK264" i="19" s="1"/>
  <c r="AJ399" i="19"/>
  <c r="AK399" i="19" s="1"/>
  <c r="AJ59" i="19"/>
  <c r="AK59" i="19" s="1"/>
  <c r="AJ290" i="19"/>
  <c r="AK290" i="19" s="1"/>
  <c r="AJ128" i="19"/>
  <c r="AK128" i="19" s="1"/>
  <c r="AJ229" i="19"/>
  <c r="AK229" i="19" s="1"/>
  <c r="AJ55" i="19"/>
  <c r="AK55" i="19" s="1"/>
  <c r="AJ203" i="19"/>
  <c r="AK203" i="19" s="1"/>
  <c r="AJ291" i="19"/>
  <c r="AK291" i="19" s="1"/>
  <c r="AJ66" i="19"/>
  <c r="AK66" i="19" s="1"/>
  <c r="AJ318" i="19"/>
  <c r="AK318" i="19" s="1"/>
  <c r="AJ43" i="19"/>
  <c r="AK43" i="19" s="1"/>
  <c r="AJ281" i="19"/>
  <c r="AK281" i="19" s="1"/>
  <c r="AJ294" i="19"/>
  <c r="AK294" i="19" s="1"/>
  <c r="AJ99" i="19"/>
  <c r="AK99" i="19" s="1"/>
  <c r="AJ141" i="19"/>
  <c r="AK141" i="19" s="1"/>
  <c r="AJ87" i="19"/>
  <c r="AK87" i="19" s="1"/>
  <c r="AJ262" i="19"/>
  <c r="AK262" i="19" s="1"/>
  <c r="AJ233" i="19"/>
  <c r="AK233" i="19" s="1"/>
  <c r="AJ349" i="19"/>
  <c r="AK349" i="19" s="1"/>
  <c r="AJ366" i="19"/>
  <c r="AK366" i="19" s="1"/>
  <c r="AJ52" i="19"/>
  <c r="AK52" i="19" s="1"/>
  <c r="AJ308" i="19"/>
  <c r="AK308" i="19" s="1"/>
  <c r="AJ336" i="19"/>
  <c r="AK336" i="19" s="1"/>
  <c r="AJ207" i="19"/>
  <c r="AK207" i="19" s="1"/>
  <c r="AJ242" i="19"/>
  <c r="AK242" i="19" s="1"/>
  <c r="AJ70" i="19"/>
  <c r="AK70" i="19" s="1"/>
  <c r="AJ120" i="19"/>
  <c r="AK120" i="19" s="1"/>
  <c r="AJ36" i="19"/>
  <c r="AK36" i="19" s="1"/>
  <c r="AJ88" i="19"/>
  <c r="AK88" i="19" s="1"/>
  <c r="AJ97" i="19"/>
  <c r="AK97" i="19" s="1"/>
  <c r="AJ76" i="19"/>
  <c r="AK76" i="19" s="1"/>
  <c r="AJ38" i="19"/>
  <c r="AK38" i="19" s="1"/>
  <c r="AJ74" i="19"/>
  <c r="AK74" i="19" s="1"/>
  <c r="AJ24" i="19"/>
  <c r="AK24" i="19" s="1"/>
  <c r="AJ7" i="19"/>
  <c r="AK7" i="19" s="1"/>
  <c r="AJ15" i="19"/>
  <c r="AK15" i="19" s="1"/>
  <c r="AJ403" i="19"/>
  <c r="AK403" i="19" s="1"/>
  <c r="AJ389" i="19"/>
  <c r="AK389" i="19" s="1"/>
  <c r="AJ424" i="19"/>
  <c r="AK424" i="19" s="1"/>
  <c r="AJ434" i="19"/>
  <c r="AK434" i="19" s="1"/>
  <c r="AJ198" i="19"/>
  <c r="AK198" i="19" s="1"/>
  <c r="AJ309" i="19"/>
  <c r="AK309" i="19" s="1"/>
  <c r="AJ446" i="19"/>
  <c r="AK446" i="19" s="1"/>
  <c r="AJ217" i="19"/>
  <c r="AK217" i="19" s="1"/>
  <c r="AJ46" i="19"/>
  <c r="AK46" i="19" s="1"/>
  <c r="AJ159" i="19"/>
  <c r="AK159" i="19" s="1"/>
  <c r="AJ227" i="19"/>
  <c r="AK227" i="19" s="1"/>
  <c r="AJ147" i="19"/>
  <c r="AK147" i="19" s="1"/>
  <c r="AJ320" i="19"/>
  <c r="AK320" i="19" s="1"/>
  <c r="AJ298" i="19"/>
  <c r="AK298" i="19" s="1"/>
  <c r="AJ398" i="19"/>
  <c r="AK398" i="19" s="1"/>
  <c r="AJ435" i="19"/>
  <c r="AK435" i="19" s="1"/>
  <c r="AJ373" i="19"/>
  <c r="AK373" i="19" s="1"/>
  <c r="AJ313" i="19"/>
  <c r="AK313" i="19" s="1"/>
  <c r="AJ445" i="19"/>
  <c r="AK445" i="19" s="1"/>
  <c r="AJ257" i="19"/>
  <c r="AK257" i="19" s="1"/>
  <c r="AJ370" i="19"/>
  <c r="AK370" i="19" s="1"/>
  <c r="AJ275" i="19"/>
  <c r="AK275" i="19" s="1"/>
  <c r="AJ286" i="19"/>
  <c r="AK286" i="19" s="1"/>
  <c r="AJ154" i="19"/>
  <c r="AK154" i="19" s="1"/>
  <c r="AJ149" i="19"/>
  <c r="AK149" i="19" s="1"/>
  <c r="AJ324" i="19"/>
  <c r="AK324" i="19" s="1"/>
  <c r="AJ29" i="19"/>
  <c r="AK29" i="19" s="1"/>
  <c r="AJ118" i="19"/>
  <c r="AK118" i="19" s="1"/>
  <c r="AJ316" i="19"/>
  <c r="AK316" i="19" s="1"/>
  <c r="AJ137" i="19"/>
  <c r="AK137" i="19" s="1"/>
  <c r="AJ195" i="19"/>
  <c r="AK195" i="19" s="1"/>
  <c r="AJ122" i="19"/>
  <c r="AK122" i="19" s="1"/>
  <c r="AJ111" i="19"/>
  <c r="AK111" i="19" s="1"/>
  <c r="AJ172" i="19"/>
  <c r="AK172" i="19" s="1"/>
  <c r="AJ192" i="19"/>
  <c r="AK192" i="19" s="1"/>
  <c r="AJ214" i="19"/>
  <c r="AK214" i="19" s="1"/>
  <c r="AJ306" i="19"/>
  <c r="AK306" i="19" s="1"/>
  <c r="AJ71" i="19"/>
  <c r="AK71" i="19" s="1"/>
  <c r="AJ289" i="19"/>
  <c r="AK289" i="19" s="1"/>
  <c r="AJ93" i="19"/>
  <c r="AK93" i="19" s="1"/>
  <c r="AJ101" i="19"/>
  <c r="AK101" i="19" s="1"/>
  <c r="AJ408" i="19"/>
  <c r="AK408" i="19" s="1"/>
  <c r="AJ83" i="19"/>
  <c r="AK83" i="19" s="1"/>
  <c r="AJ134" i="19"/>
  <c r="AK134" i="19" s="1"/>
  <c r="AJ126" i="19"/>
  <c r="AK126" i="19" s="1"/>
  <c r="AJ132" i="19"/>
  <c r="AK132" i="19" s="1"/>
  <c r="AJ85" i="19"/>
  <c r="AK85" i="19" s="1"/>
  <c r="AJ56" i="19"/>
  <c r="AK56" i="19" s="1"/>
  <c r="AJ21" i="19"/>
  <c r="AK21" i="19" s="1"/>
  <c r="AJ19" i="19"/>
  <c r="AK19" i="19" s="1"/>
  <c r="AJ182" i="19"/>
  <c r="AK182" i="19" s="1"/>
  <c r="AJ26" i="19"/>
  <c r="AK26" i="19" s="1"/>
  <c r="AJ6" i="19"/>
  <c r="AK6" i="19" s="1"/>
  <c r="AJ14" i="19"/>
  <c r="AK14" i="19" s="1"/>
  <c r="AJ444" i="19"/>
  <c r="AK444" i="19" s="1"/>
  <c r="AJ374" i="19"/>
  <c r="AK374" i="19" s="1"/>
  <c r="AJ303" i="19"/>
  <c r="AK303" i="19" s="1"/>
  <c r="AJ259" i="19"/>
  <c r="AK259" i="19" s="1"/>
  <c r="AJ422" i="19"/>
  <c r="AK422" i="19" s="1"/>
  <c r="AJ372" i="19"/>
  <c r="AK372" i="19" s="1"/>
  <c r="AJ350" i="19"/>
  <c r="AK350" i="19" s="1"/>
  <c r="AJ427" i="19"/>
  <c r="AK427" i="19" s="1"/>
  <c r="AJ304" i="19"/>
  <c r="AK304" i="19" s="1"/>
  <c r="AJ413" i="19"/>
  <c r="AK413" i="19" s="1"/>
  <c r="AJ177" i="19"/>
  <c r="AK177" i="19" s="1"/>
  <c r="AJ20" i="19"/>
  <c r="AK20" i="19" s="1"/>
  <c r="AJ397" i="19"/>
  <c r="AK397" i="19" s="1"/>
  <c r="AJ284" i="19"/>
  <c r="AK284" i="19" s="1"/>
  <c r="AJ428" i="19"/>
  <c r="AK428" i="19" s="1"/>
  <c r="AJ429" i="19"/>
  <c r="AK429" i="19" s="1"/>
  <c r="AJ356" i="19"/>
  <c r="AK356" i="19" s="1"/>
  <c r="AJ369" i="19"/>
  <c r="AK369" i="19" s="1"/>
  <c r="AJ387" i="19"/>
  <c r="AK387" i="19" s="1"/>
  <c r="AJ268" i="19"/>
  <c r="AK268" i="19" s="1"/>
  <c r="AJ156" i="19"/>
  <c r="AK156" i="19" s="1"/>
  <c r="AJ296" i="19"/>
  <c r="AK296" i="19" s="1"/>
  <c r="AJ146" i="19"/>
  <c r="AK146" i="19" s="1"/>
  <c r="AJ329" i="19"/>
  <c r="AK329" i="19" s="1"/>
  <c r="AJ321" i="19"/>
  <c r="AK321" i="19" s="1"/>
  <c r="AJ223" i="19"/>
  <c r="AK223" i="19" s="1"/>
  <c r="AJ201" i="19"/>
  <c r="AK201" i="19" s="1"/>
  <c r="AJ430" i="19"/>
  <c r="AK430" i="19" s="1"/>
  <c r="AJ352" i="19"/>
  <c r="AK352" i="19" s="1"/>
  <c r="AJ138" i="19"/>
  <c r="AK138" i="19" s="1"/>
  <c r="AJ287" i="19"/>
  <c r="AK287" i="19" s="1"/>
  <c r="AJ339" i="19"/>
  <c r="AK339" i="19" s="1"/>
  <c r="AJ322" i="19"/>
  <c r="AK322" i="19" s="1"/>
  <c r="AJ436" i="19"/>
  <c r="AK436" i="19" s="1"/>
  <c r="AJ312" i="19"/>
  <c r="AK312" i="19" s="1"/>
  <c r="AJ225" i="19"/>
  <c r="AK225" i="19" s="1"/>
  <c r="AJ300" i="19"/>
  <c r="AK300" i="19" s="1"/>
  <c r="AJ140" i="19"/>
  <c r="AK140" i="19" s="1"/>
  <c r="AJ241" i="19"/>
  <c r="AK241" i="19" s="1"/>
  <c r="AJ256" i="19"/>
  <c r="AK256" i="19" s="1"/>
  <c r="AJ51" i="19"/>
  <c r="AK51" i="19" s="1"/>
  <c r="AJ222" i="19"/>
  <c r="AK222" i="19" s="1"/>
  <c r="AJ447" i="19"/>
  <c r="AK447" i="19" s="1"/>
  <c r="AJ278" i="19"/>
  <c r="AK278" i="19" s="1"/>
  <c r="AJ73" i="19"/>
  <c r="AK73" i="19" s="1"/>
  <c r="AJ273" i="19"/>
  <c r="AK273" i="19" s="1"/>
  <c r="AJ236" i="19"/>
  <c r="AK236" i="19" s="1"/>
  <c r="AJ432" i="19"/>
  <c r="AK432" i="19" s="1"/>
  <c r="AJ131" i="19"/>
  <c r="AK131" i="19" s="1"/>
  <c r="AJ228" i="19"/>
  <c r="AK228" i="19" s="1"/>
  <c r="AJ163" i="19"/>
  <c r="AK163" i="19" s="1"/>
  <c r="AJ148" i="19"/>
  <c r="AK148" i="19" s="1"/>
  <c r="AJ113" i="19"/>
  <c r="AK113" i="19" s="1"/>
  <c r="AJ160" i="19"/>
  <c r="AK160" i="19" s="1"/>
  <c r="AJ34" i="19"/>
  <c r="AK34" i="19" s="1"/>
  <c r="AJ127" i="19"/>
  <c r="AK127" i="19" s="1"/>
  <c r="AJ33" i="19"/>
  <c r="AK33" i="19" s="1"/>
  <c r="AJ102" i="19"/>
  <c r="AK102" i="19" s="1"/>
  <c r="AJ82" i="19"/>
  <c r="AK82" i="19" s="1"/>
  <c r="AJ30" i="19"/>
  <c r="AK30" i="19" s="1"/>
  <c r="AJ37" i="19"/>
  <c r="AK37" i="19" s="1"/>
  <c r="AJ47" i="19"/>
  <c r="AK47" i="19" s="1"/>
  <c r="AJ3" i="19"/>
  <c r="AK3" i="19" s="1"/>
  <c r="AJ341" i="19"/>
  <c r="AK341" i="19" s="1"/>
  <c r="AJ280" i="19"/>
  <c r="AK280" i="19" s="1"/>
  <c r="AJ301" i="19"/>
  <c r="AK301" i="19" s="1"/>
  <c r="AJ297" i="19"/>
  <c r="AK297" i="19" s="1"/>
  <c r="AJ332" i="19"/>
  <c r="AK332" i="19" s="1"/>
  <c r="AJ375" i="19"/>
  <c r="AK375" i="19" s="1"/>
  <c r="AJ402" i="19"/>
  <c r="AK402" i="19" s="1"/>
  <c r="AJ282" i="19"/>
  <c r="AK282" i="19" s="1"/>
  <c r="AJ418" i="19"/>
  <c r="AK418" i="19" s="1"/>
  <c r="AJ277" i="19"/>
  <c r="AK277" i="19" s="1"/>
  <c r="AJ212" i="19"/>
  <c r="AK212" i="19" s="1"/>
  <c r="AJ394" i="19"/>
  <c r="AK394" i="19" s="1"/>
  <c r="AJ307" i="19"/>
  <c r="AK307" i="19" s="1"/>
  <c r="AJ136" i="19"/>
  <c r="AK136" i="19" s="1"/>
  <c r="AJ310" i="19"/>
  <c r="AK310" i="19" s="1"/>
  <c r="AJ245" i="19"/>
  <c r="AK245" i="19" s="1"/>
  <c r="AJ196" i="19"/>
  <c r="AK196" i="19" s="1"/>
  <c r="AJ104" i="19"/>
  <c r="AK104" i="19" s="1"/>
  <c r="AJ234" i="19"/>
  <c r="AK234" i="19" s="1"/>
  <c r="AJ335" i="19"/>
  <c r="AK335" i="19" s="1"/>
  <c r="AJ368" i="19"/>
  <c r="AK368" i="19" s="1"/>
  <c r="AJ331" i="19"/>
  <c r="AK331" i="19" s="1"/>
  <c r="AJ323" i="19"/>
  <c r="AK323" i="19" s="1"/>
  <c r="AJ210" i="19"/>
  <c r="AK210" i="19" s="1"/>
  <c r="AJ123" i="19"/>
  <c r="AK123" i="19" s="1"/>
  <c r="AJ395" i="19"/>
  <c r="AK395" i="19" s="1"/>
  <c r="AJ194" i="19"/>
  <c r="AK194" i="19" s="1"/>
  <c r="AJ420" i="19"/>
  <c r="AK420" i="19" s="1"/>
  <c r="AJ442" i="19"/>
  <c r="AK442" i="19" s="1"/>
  <c r="AJ439" i="19"/>
  <c r="AK439" i="19" s="1"/>
  <c r="AJ384" i="19"/>
  <c r="AK384" i="19" s="1"/>
  <c r="AJ206" i="19"/>
  <c r="AK206" i="19" s="1"/>
  <c r="AJ119" i="19"/>
  <c r="AK119" i="19" s="1"/>
  <c r="AJ180" i="19"/>
  <c r="AK180" i="19" s="1"/>
  <c r="AJ392" i="19"/>
  <c r="AK392" i="19" s="1"/>
  <c r="AJ61" i="19"/>
  <c r="AK61" i="19" s="1"/>
  <c r="AJ67" i="19"/>
  <c r="AK67" i="19" s="1"/>
  <c r="AJ170" i="19"/>
  <c r="AK170" i="19" s="1"/>
  <c r="AJ175" i="19"/>
  <c r="AK175" i="19" s="1"/>
  <c r="AJ164" i="19"/>
  <c r="AK164" i="19" s="1"/>
  <c r="AJ77" i="19"/>
  <c r="AK77" i="19" s="1"/>
  <c r="AJ191" i="19"/>
  <c r="AK191" i="19" s="1"/>
  <c r="AJ62" i="19"/>
  <c r="AK62" i="19" s="1"/>
  <c r="AJ193" i="19"/>
  <c r="AK193" i="19" s="1"/>
  <c r="AJ106" i="19"/>
  <c r="AK106" i="19" s="1"/>
  <c r="AJ92" i="19"/>
  <c r="AK92" i="19" s="1"/>
  <c r="AJ48" i="19"/>
  <c r="AK48" i="19" s="1"/>
  <c r="AJ31" i="19"/>
  <c r="AK31" i="19" s="1"/>
  <c r="AJ151" i="19"/>
  <c r="AK151" i="19" s="1"/>
  <c r="AJ81" i="19"/>
  <c r="AK81" i="19" s="1"/>
  <c r="AJ22" i="19"/>
  <c r="AK22" i="19" s="1"/>
  <c r="AJ9" i="19"/>
  <c r="AK9" i="19" s="1"/>
  <c r="AJ5" i="19"/>
  <c r="AK5" i="19" s="1"/>
  <c r="AJ438" i="19"/>
  <c r="AK438" i="19" s="1"/>
  <c r="AJ261" i="19"/>
  <c r="AK261" i="19" s="1"/>
  <c r="AJ327" i="19"/>
  <c r="AK327" i="19" s="1"/>
  <c r="AJ410" i="19"/>
  <c r="AK410" i="19" s="1"/>
  <c r="AJ317" i="19"/>
  <c r="AK317" i="19" s="1"/>
  <c r="AJ426" i="19"/>
  <c r="AK426" i="19" s="1"/>
  <c r="AJ441" i="19"/>
  <c r="AK441" i="19" s="1"/>
  <c r="AJ333" i="19"/>
  <c r="AK333" i="19" s="1"/>
  <c r="AJ425" i="19"/>
  <c r="AK425" i="19" s="1"/>
  <c r="AJ342" i="19"/>
  <c r="AK342" i="19" s="1"/>
  <c r="AJ208" i="19"/>
  <c r="AK208" i="19" s="1"/>
  <c r="AJ161" i="19"/>
  <c r="AK161" i="19" s="1"/>
  <c r="AJ334" i="19"/>
  <c r="AK334" i="19" s="1"/>
  <c r="AJ167" i="19"/>
  <c r="AK167" i="19" s="1"/>
  <c r="AJ325" i="19"/>
  <c r="AK325" i="19" s="1"/>
  <c r="AJ440" i="19"/>
  <c r="AK440" i="19" s="1"/>
  <c r="AJ226" i="19"/>
  <c r="AK226" i="19" s="1"/>
  <c r="AJ419" i="19"/>
  <c r="AK419" i="19" s="1"/>
  <c r="AJ407" i="19"/>
  <c r="AK407" i="19" s="1"/>
  <c r="AJ179" i="19"/>
  <c r="AK179" i="19" s="1"/>
  <c r="AJ112" i="19"/>
  <c r="AK112" i="19" s="1"/>
  <c r="AJ197" i="19"/>
  <c r="AK197" i="19" s="1"/>
  <c r="AJ183" i="19"/>
  <c r="AK183" i="19" s="1"/>
  <c r="AJ90" i="19"/>
  <c r="AK90" i="19" s="1"/>
  <c r="AJ238" i="19"/>
  <c r="AK238" i="19" s="1"/>
  <c r="AJ292" i="19"/>
  <c r="AK292" i="19" s="1"/>
  <c r="AJ109" i="19"/>
  <c r="AK109" i="19" s="1"/>
  <c r="AJ184" i="19"/>
  <c r="AK184" i="19" s="1"/>
  <c r="AJ231" i="19"/>
  <c r="AK231" i="19" s="1"/>
  <c r="AJ190" i="19"/>
  <c r="AK190" i="19" s="1"/>
  <c r="AJ79" i="19"/>
  <c r="AK79" i="19" s="1"/>
  <c r="AJ260" i="19"/>
  <c r="AK260" i="19" s="1"/>
  <c r="AJ158" i="19"/>
  <c r="AK158" i="19" s="1"/>
  <c r="AJ274" i="19"/>
  <c r="AK274" i="19" s="1"/>
  <c r="AJ224" i="19"/>
  <c r="AK224" i="19" s="1"/>
  <c r="AJ338" i="19"/>
  <c r="AK338" i="19" s="1"/>
  <c r="AJ103" i="19"/>
  <c r="AK103" i="19" s="1"/>
  <c r="AJ252" i="19"/>
  <c r="AK252" i="19" s="1"/>
  <c r="AJ221" i="19"/>
  <c r="AK221" i="19" s="1"/>
  <c r="AJ250" i="19"/>
  <c r="AK250" i="19" s="1"/>
  <c r="AJ254" i="19"/>
  <c r="AK254" i="19" s="1"/>
  <c r="AJ211" i="19"/>
  <c r="AK211" i="19" s="1"/>
  <c r="AJ139" i="19"/>
  <c r="AK139" i="19" s="1"/>
  <c r="AJ243" i="19"/>
  <c r="AK243" i="19" s="1"/>
  <c r="AJ124" i="19"/>
  <c r="AK124" i="19" s="1"/>
  <c r="AJ91" i="19"/>
  <c r="AK91" i="19" s="1"/>
  <c r="AJ240" i="19"/>
  <c r="AK240" i="19" s="1"/>
  <c r="AJ358" i="19"/>
  <c r="AK358" i="19" s="1"/>
  <c r="AJ105" i="19"/>
  <c r="AK105" i="19" s="1"/>
  <c r="AJ49" i="19"/>
  <c r="AK49" i="19" s="1"/>
  <c r="AJ44" i="19"/>
  <c r="AK44" i="19" s="1"/>
  <c r="AJ16" i="19"/>
  <c r="AK16" i="19" s="1"/>
  <c r="AJ4" i="19"/>
  <c r="AK4" i="19" s="1"/>
  <c r="AJ371" i="19"/>
  <c r="AK371" i="19" s="1"/>
  <c r="AJ378" i="19"/>
  <c r="AK378" i="19" s="1"/>
  <c r="AJ421" i="19"/>
  <c r="AK421" i="19" s="1"/>
  <c r="AJ354" i="19"/>
  <c r="AK354" i="19" s="1"/>
  <c r="AJ244" i="19"/>
  <c r="AK244" i="19" s="1"/>
  <c r="AJ406" i="19"/>
  <c r="AK406" i="19" s="1"/>
  <c r="AJ414" i="19"/>
  <c r="AK414" i="19" s="1"/>
  <c r="AJ416" i="19"/>
  <c r="AK416" i="19" s="1"/>
  <c r="AJ248" i="19"/>
  <c r="AK248" i="19" s="1"/>
  <c r="AJ96" i="19"/>
  <c r="AK96" i="19" s="1"/>
  <c r="AJ344" i="19"/>
  <c r="AK344" i="19" s="1"/>
  <c r="AJ12" i="19"/>
  <c r="AK12" i="19" s="1"/>
  <c r="AJ17" i="19"/>
  <c r="AK17" i="19" s="1"/>
  <c r="AJ57" i="19"/>
  <c r="AK57" i="19" s="1"/>
  <c r="AJ415" i="19"/>
  <c r="AK415" i="19" s="1"/>
  <c r="AJ185" i="19"/>
  <c r="AK185" i="19" s="1"/>
  <c r="AJ115" i="19"/>
  <c r="AK115" i="19" s="1"/>
  <c r="AJ162" i="19"/>
  <c r="AK162" i="19" s="1"/>
  <c r="AJ302" i="19"/>
  <c r="AK302" i="19" s="1"/>
  <c r="AJ305" i="19"/>
  <c r="AK305" i="19" s="1"/>
  <c r="AJ2" i="19"/>
  <c r="AJ10" i="19"/>
  <c r="AK10" i="19" s="1"/>
  <c r="AJ13" i="19"/>
  <c r="AK13" i="19" s="1"/>
  <c r="AJ18" i="19"/>
  <c r="AK18" i="19" s="1"/>
  <c r="AJ40" i="19"/>
  <c r="AK40" i="19" s="1"/>
  <c r="AJ186" i="19"/>
  <c r="AK186" i="19" s="1"/>
  <c r="AJ39" i="19"/>
  <c r="AK39" i="19" s="1"/>
  <c r="AJ142" i="19"/>
  <c r="AK142" i="19" s="1"/>
  <c r="AJ400" i="19"/>
  <c r="AK400" i="19" s="1"/>
  <c r="AJ230" i="19"/>
  <c r="AK230" i="19" s="1"/>
  <c r="AJ58" i="19"/>
  <c r="AK58" i="19" s="1"/>
  <c r="AJ143" i="19"/>
  <c r="AK143" i="19" s="1"/>
  <c r="AJ84" i="19"/>
  <c r="AK84" i="19" s="1"/>
  <c r="AJ144" i="19"/>
  <c r="AK144" i="19" s="1"/>
  <c r="AJ28" i="19"/>
  <c r="AK28" i="19" s="1"/>
  <c r="AJ133" i="19"/>
  <c r="AK133" i="19" s="1"/>
  <c r="AJ246" i="19"/>
  <c r="AK246" i="19" s="1"/>
  <c r="AJ218" i="19"/>
  <c r="AK218" i="19" s="1"/>
  <c r="AJ117" i="19"/>
  <c r="AK117" i="19" s="1"/>
  <c r="AJ267" i="19"/>
  <c r="AK267" i="19" s="1"/>
  <c r="AJ437" i="19"/>
  <c r="AK437" i="19" s="1"/>
  <c r="AJ178" i="19"/>
  <c r="AK178" i="19" s="1"/>
  <c r="AJ390" i="19"/>
  <c r="AK390" i="19" s="1"/>
  <c r="AJ80" i="19"/>
  <c r="AK80" i="19" s="1"/>
  <c r="AJ168" i="19"/>
  <c r="AK168" i="19" s="1"/>
  <c r="AJ121" i="19"/>
  <c r="AK121" i="19" s="1"/>
  <c r="AJ50" i="19"/>
  <c r="AK50" i="19" s="1"/>
  <c r="AJ145" i="19"/>
  <c r="AK145" i="19" s="1"/>
  <c r="AJ319" i="19"/>
  <c r="AK319" i="19" s="1"/>
  <c r="AJ189" i="19"/>
  <c r="AK189" i="19" s="1"/>
  <c r="AJ270" i="19"/>
  <c r="AK270" i="19" s="1"/>
  <c r="AJ219" i="19"/>
  <c r="AK219" i="19" s="1"/>
  <c r="AJ293" i="19"/>
  <c r="AK293" i="19" s="1"/>
  <c r="AJ315" i="19"/>
  <c r="AK315" i="19" s="1"/>
  <c r="AJ361" i="19"/>
  <c r="AK361" i="19" s="1"/>
  <c r="AJ272" i="19"/>
  <c r="AK272" i="19" s="1"/>
  <c r="AJ215" i="19"/>
  <c r="AK215" i="19" s="1"/>
  <c r="AJ255" i="19"/>
  <c r="AK255" i="19" s="1"/>
  <c r="AJ155" i="19"/>
  <c r="AK155" i="19" s="1"/>
  <c r="AJ95" i="19"/>
  <c r="AK95" i="19" s="1"/>
  <c r="AJ299" i="19"/>
  <c r="AK299" i="19" s="1"/>
  <c r="AJ393" i="19"/>
  <c r="AK393" i="19" s="1"/>
  <c r="AJ405" i="19"/>
  <c r="AK405" i="19" s="1"/>
  <c r="AJ382" i="19"/>
  <c r="AK382" i="19" s="1"/>
  <c r="AJ14" i="14"/>
  <c r="AK14" i="14" s="1"/>
  <c r="AJ3" i="18"/>
  <c r="AK3" i="18" s="1"/>
  <c r="AJ14" i="18"/>
  <c r="AK14" i="18" s="1"/>
  <c r="AJ18" i="18"/>
  <c r="AK18" i="18" s="1"/>
  <c r="AJ23" i="18"/>
  <c r="AK23" i="18" s="1"/>
  <c r="AJ7" i="18"/>
  <c r="AK7" i="18" s="1"/>
  <c r="AJ40" i="18"/>
  <c r="AK40" i="18" s="1"/>
  <c r="AJ45" i="18"/>
  <c r="AK45" i="18" s="1"/>
  <c r="AJ54" i="18"/>
  <c r="AK54" i="18" s="1"/>
  <c r="AJ17" i="18"/>
  <c r="AK17" i="18" s="1"/>
  <c r="AJ27" i="18"/>
  <c r="AK27" i="18" s="1"/>
  <c r="AJ28" i="18"/>
  <c r="AK28" i="18" s="1"/>
  <c r="AJ25" i="18"/>
  <c r="AK25" i="18" s="1"/>
  <c r="AJ2" i="18"/>
  <c r="AJ21" i="18"/>
  <c r="AK21" i="18" s="1"/>
  <c r="AJ41" i="18"/>
  <c r="AK41" i="18" s="1"/>
  <c r="AJ44" i="18"/>
  <c r="AK44" i="18" s="1"/>
  <c r="AJ4" i="18"/>
  <c r="AK4" i="18" s="1"/>
  <c r="AJ19" i="18"/>
  <c r="AK19" i="18" s="1"/>
  <c r="AJ65" i="18"/>
  <c r="AK65" i="18" s="1"/>
  <c r="AJ49" i="18"/>
  <c r="AK49" i="18" s="1"/>
  <c r="AJ5" i="18"/>
  <c r="AK5" i="18" s="1"/>
  <c r="AJ22" i="18"/>
  <c r="AK22" i="18" s="1"/>
  <c r="AJ53" i="18"/>
  <c r="AK53" i="18" s="1"/>
  <c r="AJ69" i="18"/>
  <c r="AK69" i="18" s="1"/>
  <c r="AJ9" i="18"/>
  <c r="AK9" i="18" s="1"/>
  <c r="AJ31" i="18"/>
  <c r="AK31" i="18" s="1"/>
  <c r="AJ58" i="18"/>
  <c r="AK58" i="18" s="1"/>
  <c r="AJ63" i="18"/>
  <c r="AK63" i="18" s="1"/>
  <c r="AJ11" i="18"/>
  <c r="AK11" i="18" s="1"/>
  <c r="AJ6" i="18"/>
  <c r="AK6" i="18" s="1"/>
  <c r="AJ66" i="18"/>
  <c r="AK66" i="18" s="1"/>
  <c r="AJ55" i="18"/>
  <c r="AK55" i="18" s="1"/>
  <c r="AJ10" i="18"/>
  <c r="AK10" i="18" s="1"/>
  <c r="AJ15" i="18"/>
  <c r="AK15" i="18" s="1"/>
  <c r="AJ48" i="18"/>
  <c r="AK48" i="18" s="1"/>
  <c r="AJ42" i="18"/>
  <c r="AK42" i="18" s="1"/>
  <c r="AJ13" i="18"/>
  <c r="AK13" i="18" s="1"/>
  <c r="AJ51" i="18"/>
  <c r="AK51" i="18" s="1"/>
  <c r="AJ39" i="18"/>
  <c r="AK39" i="18" s="1"/>
  <c r="AJ57" i="18"/>
  <c r="AK57" i="18" s="1"/>
  <c r="AJ16" i="18"/>
  <c r="AK16" i="18" s="1"/>
  <c r="AJ35" i="18"/>
  <c r="AK35" i="18" s="1"/>
  <c r="AJ38" i="18"/>
  <c r="AK38" i="18" s="1"/>
  <c r="AJ61" i="18"/>
  <c r="AK61" i="18" s="1"/>
  <c r="AJ34" i="18"/>
  <c r="AK34" i="18" s="1"/>
  <c r="AJ29" i="18"/>
  <c r="AK29" i="18" s="1"/>
  <c r="AJ52" i="18"/>
  <c r="AK52" i="18" s="1"/>
  <c r="AJ60" i="18"/>
  <c r="AK60" i="18" s="1"/>
  <c r="AJ8" i="18"/>
  <c r="AK8" i="18" s="1"/>
  <c r="AJ24" i="18"/>
  <c r="AK24" i="18" s="1"/>
  <c r="AJ59" i="18"/>
  <c r="AK59" i="18" s="1"/>
  <c r="AJ26" i="18"/>
  <c r="AK26" i="18" s="1"/>
  <c r="AJ30" i="18"/>
  <c r="AK30" i="18" s="1"/>
  <c r="AJ47" i="18"/>
  <c r="AK47" i="18" s="1"/>
  <c r="AJ37" i="18"/>
  <c r="AK37" i="18" s="1"/>
  <c r="AJ50" i="18"/>
  <c r="AK50" i="18" s="1"/>
  <c r="AJ33" i="18"/>
  <c r="AK33" i="18" s="1"/>
  <c r="AJ20" i="18"/>
  <c r="AK20" i="18" s="1"/>
  <c r="AJ56" i="18"/>
  <c r="AK56" i="18" s="1"/>
  <c r="AJ67" i="18"/>
  <c r="AK67" i="18" s="1"/>
  <c r="AJ12" i="18"/>
  <c r="AK12" i="18" s="1"/>
  <c r="AJ32" i="18"/>
  <c r="AK32" i="18" s="1"/>
  <c r="AJ36" i="18"/>
  <c r="AK36" i="18" s="1"/>
  <c r="AJ68" i="18"/>
  <c r="AK68" i="18" s="1"/>
  <c r="AJ43" i="18"/>
  <c r="AK43" i="18" s="1"/>
  <c r="AJ46" i="18"/>
  <c r="AK46" i="18" s="1"/>
  <c r="AJ62" i="18"/>
  <c r="AK62" i="18" s="1"/>
  <c r="AJ64" i="18"/>
  <c r="AK64" i="18" s="1"/>
  <c r="AJ13" i="9"/>
  <c r="AK13" i="9" s="1"/>
  <c r="AJ5" i="9"/>
  <c r="AK5" i="9" s="1"/>
  <c r="AJ17" i="9"/>
  <c r="AK17" i="9" s="1"/>
  <c r="AJ3" i="9"/>
  <c r="AK3" i="9" s="1"/>
  <c r="AJ11" i="9"/>
  <c r="AK11" i="9" s="1"/>
  <c r="AJ23" i="21"/>
  <c r="AK23" i="21" s="1"/>
  <c r="AJ24" i="21"/>
  <c r="AK24" i="21" s="1"/>
  <c r="AJ18" i="21"/>
  <c r="AK18" i="21" s="1"/>
  <c r="AJ4" i="21"/>
  <c r="AK4" i="21" s="1"/>
  <c r="AJ26" i="21"/>
  <c r="AK26" i="21" s="1"/>
  <c r="AJ20" i="21"/>
  <c r="AK20" i="21" s="1"/>
  <c r="AJ31" i="21"/>
  <c r="AK31" i="21" s="1"/>
  <c r="AJ7" i="21"/>
  <c r="AK7" i="21" s="1"/>
  <c r="AJ29" i="21"/>
  <c r="AK29" i="21" s="1"/>
  <c r="AJ14" i="21"/>
  <c r="AK14" i="21" s="1"/>
  <c r="AJ3" i="21"/>
  <c r="AK3" i="21" s="1"/>
  <c r="AJ12" i="21"/>
  <c r="AK12" i="21" s="1"/>
  <c r="AJ30" i="21"/>
  <c r="AK30" i="21" s="1"/>
  <c r="AJ16" i="21"/>
  <c r="AK16" i="21" s="1"/>
  <c r="AJ25" i="21"/>
  <c r="AK25" i="21" s="1"/>
  <c r="AJ10" i="21"/>
  <c r="AK10" i="21" s="1"/>
  <c r="AJ2" i="21"/>
  <c r="AJ21" i="21"/>
  <c r="AK21" i="21" s="1"/>
  <c r="AJ32" i="21"/>
  <c r="AK32" i="21" s="1"/>
  <c r="AJ33" i="21"/>
  <c r="AK33" i="21" s="1"/>
  <c r="AJ13" i="21"/>
  <c r="AK13" i="21" s="1"/>
  <c r="AJ11" i="21"/>
  <c r="AK11" i="21" s="1"/>
  <c r="AJ17" i="21"/>
  <c r="AK17" i="21" s="1"/>
  <c r="AJ5" i="21"/>
  <c r="AK5" i="21" s="1"/>
  <c r="AJ19" i="21"/>
  <c r="AK19" i="21" s="1"/>
  <c r="AJ34" i="21"/>
  <c r="AK34" i="21" s="1"/>
  <c r="AJ28" i="21"/>
  <c r="AK28" i="21" s="1"/>
  <c r="AJ8" i="21"/>
  <c r="AK8" i="21" s="1"/>
  <c r="AJ27" i="21"/>
  <c r="AJ22" i="21"/>
  <c r="AK22" i="21" s="1"/>
  <c r="AJ22" i="20"/>
  <c r="AK22" i="20" s="1"/>
  <c r="AJ35" i="20"/>
  <c r="AK35" i="20" s="1"/>
  <c r="AJ60" i="20"/>
  <c r="AK60" i="20" s="1"/>
  <c r="AJ56" i="20"/>
  <c r="AK56" i="20" s="1"/>
  <c r="AJ32" i="20"/>
  <c r="AK32" i="20" s="1"/>
  <c r="AJ19" i="20"/>
  <c r="AK19" i="20" s="1"/>
  <c r="AJ52" i="20"/>
  <c r="AK52" i="20" s="1"/>
  <c r="AJ45" i="20"/>
  <c r="AK45" i="20" s="1"/>
  <c r="AJ28" i="20"/>
  <c r="AK28" i="20" s="1"/>
  <c r="AJ20" i="20"/>
  <c r="AK20" i="20" s="1"/>
  <c r="AJ10" i="20"/>
  <c r="AK10" i="20" s="1"/>
  <c r="AJ27" i="20"/>
  <c r="AK27" i="20" s="1"/>
  <c r="AJ33" i="20"/>
  <c r="AK33" i="20" s="1"/>
  <c r="AJ50" i="20"/>
  <c r="AK50" i="20" s="1"/>
  <c r="AJ61" i="20"/>
  <c r="AK61" i="20" s="1"/>
  <c r="AJ42" i="20"/>
  <c r="AK42" i="20" s="1"/>
  <c r="AJ4" i="20"/>
  <c r="AK4" i="20" s="1"/>
  <c r="AJ66" i="20"/>
  <c r="AK66" i="20" s="1"/>
  <c r="AJ41" i="20"/>
  <c r="AK41" i="20" s="1"/>
  <c r="AJ63" i="20"/>
  <c r="AK63" i="20" s="1"/>
  <c r="AL64" i="20"/>
  <c r="AM64" i="20" s="1"/>
  <c r="AL48" i="20"/>
  <c r="AM48" i="20" s="1"/>
  <c r="AL32" i="20"/>
  <c r="AM32" i="20" s="1"/>
  <c r="AL16" i="20"/>
  <c r="AM16" i="20" s="1"/>
  <c r="AL2" i="20"/>
  <c r="AM2" i="20" s="1"/>
  <c r="AL51" i="20"/>
  <c r="AM51" i="20" s="1"/>
  <c r="AL35" i="20"/>
  <c r="AM35" i="20" s="1"/>
  <c r="AL19" i="20"/>
  <c r="AM19" i="20" s="1"/>
  <c r="AL3" i="20"/>
  <c r="AM3" i="20" s="1"/>
  <c r="AL54" i="20"/>
  <c r="AM54" i="20" s="1"/>
  <c r="AL38" i="20"/>
  <c r="AM38" i="20" s="1"/>
  <c r="AL22" i="20"/>
  <c r="AM22" i="20" s="1"/>
  <c r="AL6" i="20"/>
  <c r="AM6" i="20" s="1"/>
  <c r="AL53" i="20"/>
  <c r="AM53" i="20" s="1"/>
  <c r="AL37" i="20"/>
  <c r="AM37" i="20" s="1"/>
  <c r="AL21" i="20"/>
  <c r="AM21" i="20" s="1"/>
  <c r="AL5" i="20"/>
  <c r="AM5" i="20" s="1"/>
  <c r="AL60" i="20"/>
  <c r="AM60" i="20" s="1"/>
  <c r="AL44" i="20"/>
  <c r="AM44" i="20" s="1"/>
  <c r="AL28" i="20"/>
  <c r="AM28" i="20" s="1"/>
  <c r="AL12" i="20"/>
  <c r="AM12" i="20" s="1"/>
  <c r="AL63" i="20"/>
  <c r="AM63" i="20" s="1"/>
  <c r="AL47" i="20"/>
  <c r="AM47" i="20" s="1"/>
  <c r="AL31" i="20"/>
  <c r="AM31" i="20" s="1"/>
  <c r="AL15" i="20"/>
  <c r="AM15" i="20" s="1"/>
  <c r="AL66" i="20"/>
  <c r="AM66" i="20" s="1"/>
  <c r="AL50" i="20"/>
  <c r="AM50" i="20" s="1"/>
  <c r="AL34" i="20"/>
  <c r="AM34" i="20" s="1"/>
  <c r="AL18" i="20"/>
  <c r="AM18" i="20" s="1"/>
  <c r="AL65" i="20"/>
  <c r="AM65" i="20" s="1"/>
  <c r="AL49" i="20"/>
  <c r="AM49" i="20" s="1"/>
  <c r="AL33" i="20"/>
  <c r="AM33" i="20" s="1"/>
  <c r="AL17" i="20"/>
  <c r="AM17" i="20" s="1"/>
  <c r="AL56" i="20"/>
  <c r="AM56" i="20" s="1"/>
  <c r="AL40" i="20"/>
  <c r="AM40" i="20" s="1"/>
  <c r="AL24" i="20"/>
  <c r="AM24" i="20" s="1"/>
  <c r="AL8" i="20"/>
  <c r="AM8" i="20" s="1"/>
  <c r="AL59" i="20"/>
  <c r="AM59" i="20" s="1"/>
  <c r="AL43" i="20"/>
  <c r="AM43" i="20" s="1"/>
  <c r="AL27" i="20"/>
  <c r="AM27" i="20" s="1"/>
  <c r="AL11" i="20"/>
  <c r="AM11" i="20" s="1"/>
  <c r="AL62" i="20"/>
  <c r="AM62" i="20" s="1"/>
  <c r="AL46" i="20"/>
  <c r="AM46" i="20" s="1"/>
  <c r="AL30" i="20"/>
  <c r="AM30" i="20" s="1"/>
  <c r="AL14" i="20"/>
  <c r="AM14" i="20" s="1"/>
  <c r="AL61" i="20"/>
  <c r="AM61" i="20" s="1"/>
  <c r="AL45" i="20"/>
  <c r="AM45" i="20" s="1"/>
  <c r="AL29" i="20"/>
  <c r="AM29" i="20" s="1"/>
  <c r="AL13" i="20"/>
  <c r="AM13" i="20" s="1"/>
  <c r="AL52" i="20"/>
  <c r="AM52" i="20" s="1"/>
  <c r="AL36" i="20"/>
  <c r="AM36" i="20" s="1"/>
  <c r="AL20" i="20"/>
  <c r="AM20" i="20" s="1"/>
  <c r="AL4" i="20"/>
  <c r="AM4" i="20" s="1"/>
  <c r="AL55" i="20"/>
  <c r="AM55" i="20" s="1"/>
  <c r="AL39" i="20"/>
  <c r="AM39" i="20" s="1"/>
  <c r="AL23" i="20"/>
  <c r="AM23" i="20" s="1"/>
  <c r="AL7" i="20"/>
  <c r="AM7" i="20" s="1"/>
  <c r="AL57" i="20"/>
  <c r="AM57" i="20" s="1"/>
  <c r="AL42" i="20"/>
  <c r="AM42" i="20" s="1"/>
  <c r="AL26" i="20"/>
  <c r="AM26" i="20" s="1"/>
  <c r="AL10" i="20"/>
  <c r="AM10" i="20" s="1"/>
  <c r="AL58" i="20"/>
  <c r="AM58" i="20" s="1"/>
  <c r="AL41" i="20"/>
  <c r="AM41" i="20" s="1"/>
  <c r="AL25" i="20"/>
  <c r="AM25" i="20" s="1"/>
  <c r="AL9" i="20"/>
  <c r="AM9" i="20" s="1"/>
  <c r="AJ26" i="20"/>
  <c r="AK26" i="20" s="1"/>
  <c r="AJ16" i="20"/>
  <c r="AK16" i="20" s="1"/>
  <c r="AJ40" i="20"/>
  <c r="AK40" i="20" s="1"/>
  <c r="AJ65" i="20"/>
  <c r="AK65" i="20" s="1"/>
  <c r="AJ14" i="20"/>
  <c r="AK14" i="20" s="1"/>
  <c r="AJ25" i="20"/>
  <c r="AK25" i="20" s="1"/>
  <c r="AJ17" i="20"/>
  <c r="AK17" i="20" s="1"/>
  <c r="AJ59" i="20"/>
  <c r="AK59" i="20" s="1"/>
  <c r="AJ5" i="20"/>
  <c r="AK5" i="20" s="1"/>
  <c r="AJ7" i="20"/>
  <c r="AK7" i="20" s="1"/>
  <c r="AJ64" i="20"/>
  <c r="AK64" i="20" s="1"/>
  <c r="AJ55" i="20"/>
  <c r="AK55" i="20" s="1"/>
  <c r="AJ13" i="20"/>
  <c r="AK13" i="20" s="1"/>
  <c r="AJ9" i="20"/>
  <c r="AK9" i="20" s="1"/>
  <c r="AJ47" i="20"/>
  <c r="AK47" i="20" s="1"/>
  <c r="AJ58" i="20"/>
  <c r="AK58" i="20" s="1"/>
  <c r="AJ18" i="20"/>
  <c r="AK18" i="20" s="1"/>
  <c r="AJ34" i="20"/>
  <c r="AK34" i="20" s="1"/>
  <c r="AJ43" i="20"/>
  <c r="AK43" i="20" s="1"/>
  <c r="AJ53" i="20"/>
  <c r="AK53" i="20" s="1"/>
  <c r="AJ2" i="20"/>
  <c r="AK2" i="20" s="1"/>
  <c r="AJ15" i="20"/>
  <c r="AK15" i="20" s="1"/>
  <c r="AJ39" i="20"/>
  <c r="AK39" i="20" s="1"/>
  <c r="AJ21" i="20"/>
  <c r="AK21" i="20" s="1"/>
  <c r="AJ31" i="20"/>
  <c r="AK31" i="20" s="1"/>
  <c r="AJ44" i="20"/>
  <c r="AK44" i="20" s="1"/>
  <c r="AJ57" i="20"/>
  <c r="AK57" i="20" s="1"/>
  <c r="AJ54" i="20"/>
  <c r="AK54" i="20" s="1"/>
  <c r="AJ29" i="20"/>
  <c r="AK29" i="20" s="1"/>
  <c r="AJ12" i="20"/>
  <c r="AK12" i="20" s="1"/>
  <c r="AJ23" i="20"/>
  <c r="AK23" i="20" s="1"/>
  <c r="AJ48" i="20"/>
  <c r="AK48" i="20" s="1"/>
  <c r="AJ49" i="20"/>
  <c r="AK49" i="20" s="1"/>
  <c r="AJ3" i="20"/>
  <c r="AK3" i="20" s="1"/>
  <c r="AJ37" i="20"/>
  <c r="AK37" i="20" s="1"/>
  <c r="AJ46" i="20"/>
  <c r="AK46" i="20" s="1"/>
  <c r="AJ24" i="20"/>
  <c r="AK24" i="20" s="1"/>
  <c r="AJ30" i="20"/>
  <c r="AK30" i="20" s="1"/>
  <c r="AJ11" i="20"/>
  <c r="AK11" i="20" s="1"/>
  <c r="AJ38" i="20"/>
  <c r="AK38" i="20" s="1"/>
  <c r="AJ51" i="20"/>
  <c r="AK51" i="20" s="1"/>
  <c r="AJ6" i="20"/>
  <c r="AK6" i="20" s="1"/>
  <c r="AJ36" i="20"/>
  <c r="AK36" i="20" s="1"/>
  <c r="AJ62" i="20"/>
  <c r="AK62" i="20" s="1"/>
  <c r="AJ70" i="26"/>
  <c r="AK2" i="26"/>
  <c r="AK70" i="26" s="1"/>
  <c r="AK230" i="24"/>
  <c r="AJ230" i="24"/>
  <c r="AK8" i="24"/>
  <c r="AJ5" i="14"/>
  <c r="AK5" i="14" s="1"/>
  <c r="AJ20" i="14"/>
  <c r="AK20" i="14" s="1"/>
  <c r="AJ30" i="14"/>
  <c r="AK30" i="14" s="1"/>
  <c r="AJ15" i="14"/>
  <c r="AK15" i="14" s="1"/>
  <c r="AJ40" i="14"/>
  <c r="AK40" i="14" s="1"/>
  <c r="AJ24" i="14"/>
  <c r="AK24" i="14" s="1"/>
  <c r="AJ17" i="14"/>
  <c r="AK17" i="14" s="1"/>
  <c r="AJ8" i="14"/>
  <c r="AK8" i="14" s="1"/>
  <c r="AJ27" i="14"/>
  <c r="AK27" i="14" s="1"/>
  <c r="AJ10" i="14"/>
  <c r="AK10" i="14" s="1"/>
  <c r="AJ26" i="14"/>
  <c r="AK26" i="14" s="1"/>
  <c r="AJ9" i="14"/>
  <c r="AK9" i="14" s="1"/>
  <c r="AJ18" i="14"/>
  <c r="AK18" i="14" s="1"/>
  <c r="AJ3" i="14"/>
  <c r="AK3" i="14" s="1"/>
  <c r="AJ6" i="14"/>
  <c r="AK6" i="14" s="1"/>
  <c r="AJ45" i="14"/>
  <c r="AK45" i="14" s="1"/>
  <c r="AJ23" i="14"/>
  <c r="AK23" i="14" s="1"/>
  <c r="AJ33" i="14"/>
  <c r="AK33" i="14" s="1"/>
  <c r="AJ36" i="14"/>
  <c r="AK36" i="14" s="1"/>
  <c r="AJ35" i="14"/>
  <c r="AK35" i="14" s="1"/>
  <c r="AJ25" i="14"/>
  <c r="AK25" i="14" s="1"/>
  <c r="AJ37" i="14"/>
  <c r="AK37" i="14" s="1"/>
  <c r="AJ21" i="14"/>
  <c r="AK21" i="14" s="1"/>
  <c r="AJ7" i="14"/>
  <c r="AK7" i="14" s="1"/>
  <c r="AJ31" i="14"/>
  <c r="AK31" i="14" s="1"/>
  <c r="AJ43" i="14"/>
  <c r="AK43" i="14" s="1"/>
  <c r="AJ32" i="14"/>
  <c r="AK32" i="14" s="1"/>
  <c r="AJ22" i="14"/>
  <c r="AJ41" i="14"/>
  <c r="AK41" i="14" s="1"/>
  <c r="AJ12" i="14"/>
  <c r="AK12" i="14" s="1"/>
  <c r="AJ38" i="14"/>
  <c r="AK38" i="14" s="1"/>
  <c r="AJ19" i="14"/>
  <c r="AK19" i="14" s="1"/>
  <c r="AJ46" i="14"/>
  <c r="AK46" i="14" s="1"/>
  <c r="AJ16" i="14"/>
  <c r="AK16" i="14" s="1"/>
  <c r="AJ44" i="14"/>
  <c r="AK44" i="14" s="1"/>
  <c r="AJ2" i="14"/>
  <c r="AK2" i="14" s="1"/>
  <c r="AJ28" i="14"/>
  <c r="AK28" i="14" s="1"/>
  <c r="AJ11" i="14"/>
  <c r="AK11" i="14" s="1"/>
  <c r="AJ13" i="14"/>
  <c r="AK13" i="14" s="1"/>
  <c r="AJ39" i="14"/>
  <c r="AK39" i="14" s="1"/>
  <c r="AM47" i="14"/>
  <c r="AM70" i="18"/>
  <c r="AJ9" i="12"/>
  <c r="AK9" i="12" s="1"/>
  <c r="AJ23" i="12"/>
  <c r="AK23" i="12" s="1"/>
  <c r="AJ10" i="12"/>
  <c r="AK10" i="12" s="1"/>
  <c r="AJ24" i="12"/>
  <c r="AK24" i="12" s="1"/>
  <c r="AJ41" i="12"/>
  <c r="AK41" i="12" s="1"/>
  <c r="AJ12" i="12"/>
  <c r="AK12" i="12" s="1"/>
  <c r="AJ16" i="12"/>
  <c r="AK16" i="12" s="1"/>
  <c r="AJ37" i="12"/>
  <c r="AK37" i="12" s="1"/>
  <c r="AJ17" i="12"/>
  <c r="AK17" i="12" s="1"/>
  <c r="AJ18" i="12"/>
  <c r="AK18" i="12" s="1"/>
  <c r="AJ7" i="12"/>
  <c r="AK7" i="12" s="1"/>
  <c r="AJ36" i="12"/>
  <c r="AK36" i="12" s="1"/>
  <c r="AJ32" i="12"/>
  <c r="AK32" i="12" s="1"/>
  <c r="AJ2" i="12"/>
  <c r="AJ14" i="12"/>
  <c r="AK14" i="12" s="1"/>
  <c r="AJ39" i="12"/>
  <c r="AK39" i="12" s="1"/>
  <c r="AJ13" i="12"/>
  <c r="AK13" i="12" s="1"/>
  <c r="AJ19" i="12"/>
  <c r="AK19" i="12" s="1"/>
  <c r="AJ25" i="12"/>
  <c r="AK25" i="12" s="1"/>
  <c r="AJ30" i="12"/>
  <c r="AK30" i="12" s="1"/>
  <c r="AJ4" i="12"/>
  <c r="AK4" i="12" s="1"/>
  <c r="AJ11" i="12"/>
  <c r="AK11" i="12" s="1"/>
  <c r="AJ6" i="12"/>
  <c r="AK6" i="12" s="1"/>
  <c r="AJ27" i="12"/>
  <c r="AK27" i="12" s="1"/>
  <c r="AJ22" i="12"/>
  <c r="AK22" i="12" s="1"/>
  <c r="AJ28" i="12"/>
  <c r="AK28" i="12" s="1"/>
  <c r="AJ26" i="12"/>
  <c r="AK26" i="12" s="1"/>
  <c r="AJ8" i="12"/>
  <c r="AK8" i="12" s="1"/>
  <c r="AJ43" i="12"/>
  <c r="AK43" i="12" s="1"/>
  <c r="AJ5" i="12"/>
  <c r="AK5" i="12" s="1"/>
  <c r="AJ44" i="12"/>
  <c r="AK44" i="12" s="1"/>
  <c r="AJ40" i="12"/>
  <c r="AK40" i="12" s="1"/>
  <c r="AL33" i="12"/>
  <c r="AM33" i="12" s="1"/>
  <c r="AL16" i="12"/>
  <c r="AM16" i="12" s="1"/>
  <c r="AL23" i="12"/>
  <c r="AM23" i="12" s="1"/>
  <c r="AL2" i="12"/>
  <c r="AL34" i="12"/>
  <c r="AM34" i="12" s="1"/>
  <c r="AL26" i="12"/>
  <c r="AM26" i="12" s="1"/>
  <c r="AL6" i="12"/>
  <c r="AM6" i="12" s="1"/>
  <c r="AL41" i="12"/>
  <c r="AM41" i="12" s="1"/>
  <c r="AL14" i="12"/>
  <c r="AM14" i="12" s="1"/>
  <c r="AL7" i="12"/>
  <c r="AM7" i="12" s="1"/>
  <c r="AL42" i="12"/>
  <c r="AM42" i="12" s="1"/>
  <c r="AL44" i="12"/>
  <c r="AM44" i="12" s="1"/>
  <c r="AL11" i="12"/>
  <c r="AM11" i="12" s="1"/>
  <c r="AL21" i="12"/>
  <c r="AM21" i="12" s="1"/>
  <c r="AL17" i="12"/>
  <c r="AM17" i="12" s="1"/>
  <c r="AL20" i="12"/>
  <c r="AM20" i="12" s="1"/>
  <c r="AL5" i="12"/>
  <c r="AM5" i="12" s="1"/>
  <c r="AL37" i="12"/>
  <c r="AM37" i="12" s="1"/>
  <c r="AL4" i="12"/>
  <c r="AM4" i="12" s="1"/>
  <c r="AL12" i="12"/>
  <c r="AM12" i="12" s="1"/>
  <c r="AL8" i="12"/>
  <c r="AM8" i="12" s="1"/>
  <c r="AL29" i="12"/>
  <c r="AM29" i="12" s="1"/>
  <c r="AL30" i="12"/>
  <c r="AM30" i="12" s="1"/>
  <c r="AL39" i="12"/>
  <c r="AM39" i="12" s="1"/>
  <c r="AL38" i="12"/>
  <c r="AM38" i="12" s="1"/>
  <c r="AL19" i="12"/>
  <c r="AM19" i="12" s="1"/>
  <c r="AL22" i="12"/>
  <c r="AM22" i="12" s="1"/>
  <c r="AL10" i="12"/>
  <c r="AM10" i="12" s="1"/>
  <c r="AL40" i="12"/>
  <c r="AM40" i="12" s="1"/>
  <c r="AL24" i="12"/>
  <c r="AM24" i="12" s="1"/>
  <c r="AL31" i="12"/>
  <c r="AM31" i="12" s="1"/>
  <c r="AL28" i="12"/>
  <c r="AM28" i="12" s="1"/>
  <c r="AL36" i="12"/>
  <c r="AM36" i="12" s="1"/>
  <c r="AL43" i="12"/>
  <c r="AM43" i="12" s="1"/>
  <c r="AL27" i="12"/>
  <c r="AM27" i="12" s="1"/>
  <c r="AL35" i="12"/>
  <c r="AM35" i="12" s="1"/>
  <c r="AL18" i="12"/>
  <c r="AM18" i="12" s="1"/>
  <c r="AL32" i="12"/>
  <c r="AM32" i="12" s="1"/>
  <c r="AL13" i="12"/>
  <c r="AM13" i="12" s="1"/>
  <c r="AL15" i="12"/>
  <c r="AM15" i="12" s="1"/>
  <c r="AL45" i="12"/>
  <c r="AM45" i="12" s="1"/>
  <c r="AL25" i="12"/>
  <c r="AM25" i="12" s="1"/>
  <c r="AL9" i="12"/>
  <c r="AM9" i="12" s="1"/>
  <c r="AL3" i="12"/>
  <c r="AM3" i="12" s="1"/>
  <c r="AJ34" i="12"/>
  <c r="AK34" i="12" s="1"/>
  <c r="AJ21" i="12"/>
  <c r="AK21" i="12" s="1"/>
  <c r="AJ20" i="12"/>
  <c r="AK20" i="12" s="1"/>
  <c r="AJ15" i="12"/>
  <c r="AK15" i="12" s="1"/>
  <c r="AJ45" i="12"/>
  <c r="AK45" i="12" s="1"/>
  <c r="AJ3" i="12"/>
  <c r="AJ35" i="12"/>
  <c r="AK35" i="12" s="1"/>
  <c r="AJ38" i="12"/>
  <c r="AK38" i="12" s="1"/>
  <c r="AJ29" i="12"/>
  <c r="AK29" i="12" s="1"/>
  <c r="AJ42" i="12"/>
  <c r="AK42" i="12" s="1"/>
  <c r="AJ31" i="12"/>
  <c r="AK31" i="12" s="1"/>
  <c r="AJ3" i="11"/>
  <c r="AK3" i="11" s="1"/>
  <c r="AJ9" i="11"/>
  <c r="AK9" i="11" s="1"/>
  <c r="AJ21" i="11"/>
  <c r="AK21" i="11" s="1"/>
  <c r="AJ24" i="11"/>
  <c r="AK24" i="11" s="1"/>
  <c r="AJ14" i="11"/>
  <c r="AK14" i="11" s="1"/>
  <c r="AJ20" i="11"/>
  <c r="AK20" i="11" s="1"/>
  <c r="AJ11" i="11"/>
  <c r="AK11" i="11" s="1"/>
  <c r="AJ4" i="11"/>
  <c r="AK4" i="11" s="1"/>
  <c r="AJ23" i="11"/>
  <c r="AK23" i="11" s="1"/>
  <c r="AJ26" i="11"/>
  <c r="AK26" i="11" s="1"/>
  <c r="AJ15" i="11"/>
  <c r="AK15" i="11" s="1"/>
  <c r="AJ16" i="11"/>
  <c r="AK16" i="11" s="1"/>
  <c r="AJ27" i="11"/>
  <c r="AK27" i="11" s="1"/>
  <c r="AJ6" i="11"/>
  <c r="AK6" i="11" s="1"/>
  <c r="AJ17" i="11"/>
  <c r="AK17" i="11" s="1"/>
  <c r="AJ25" i="11"/>
  <c r="AK25" i="11" s="1"/>
  <c r="AJ7" i="11"/>
  <c r="AK7" i="11" s="1"/>
  <c r="AJ8" i="11"/>
  <c r="AK8" i="11" s="1"/>
  <c r="AJ22" i="11"/>
  <c r="AK22" i="11" s="1"/>
  <c r="AJ5" i="11"/>
  <c r="AK5" i="11" s="1"/>
  <c r="AJ18" i="11"/>
  <c r="AK18" i="11" s="1"/>
  <c r="AJ13" i="11"/>
  <c r="AK13" i="11" s="1"/>
  <c r="AJ2" i="11"/>
  <c r="AJ19" i="11"/>
  <c r="AK19" i="11" s="1"/>
  <c r="AJ12" i="11"/>
  <c r="AK12" i="11" s="1"/>
  <c r="AJ2" i="9"/>
  <c r="AK2" i="9" s="1"/>
  <c r="AJ12" i="9"/>
  <c r="AK12" i="9" s="1"/>
  <c r="AJ8" i="9"/>
  <c r="AK8" i="9" s="1"/>
  <c r="AJ19" i="9"/>
  <c r="AK19" i="9" s="1"/>
  <c r="AJ16" i="9"/>
  <c r="AK16" i="9" s="1"/>
  <c r="AJ6" i="9"/>
  <c r="AK6" i="9" s="1"/>
  <c r="AJ18" i="9"/>
  <c r="AK18" i="9" s="1"/>
  <c r="AJ4" i="9"/>
  <c r="AK4" i="9" s="1"/>
  <c r="AJ15" i="9"/>
  <c r="AK15" i="9" s="1"/>
  <c r="AJ20" i="9"/>
  <c r="AK20" i="9" s="1"/>
  <c r="AJ14" i="9"/>
  <c r="AK14" i="9" s="1"/>
  <c r="AJ7" i="9"/>
  <c r="AK7" i="9" s="1"/>
  <c r="AJ10" i="9"/>
  <c r="AK10" i="9" s="1"/>
  <c r="AJ31" i="6"/>
  <c r="AK31" i="6" s="1"/>
  <c r="AJ35" i="6"/>
  <c r="AK35" i="6" s="1"/>
  <c r="AJ28" i="6"/>
  <c r="AK28" i="6" s="1"/>
  <c r="AJ21" i="6"/>
  <c r="AK21" i="6" s="1"/>
  <c r="AJ8" i="6"/>
  <c r="AK8" i="6" s="1"/>
  <c r="AJ18" i="6"/>
  <c r="AK18" i="6" s="1"/>
  <c r="AJ4" i="6"/>
  <c r="AK4" i="6" s="1"/>
  <c r="AJ37" i="6"/>
  <c r="AK37" i="6" s="1"/>
  <c r="AJ22" i="6"/>
  <c r="AK22" i="6" s="1"/>
  <c r="AJ17" i="6"/>
  <c r="AK17" i="6" s="1"/>
  <c r="AJ19" i="6"/>
  <c r="AK19" i="6" s="1"/>
  <c r="AJ5" i="6"/>
  <c r="AK5" i="6" s="1"/>
  <c r="AJ24" i="6"/>
  <c r="AK24" i="6" s="1"/>
  <c r="AJ23" i="6"/>
  <c r="AK23" i="6" s="1"/>
  <c r="AJ13" i="6"/>
  <c r="AK13" i="6" s="1"/>
  <c r="AJ39" i="6"/>
  <c r="AK39" i="6" s="1"/>
  <c r="AJ7" i="6"/>
  <c r="AK7" i="6" s="1"/>
  <c r="AJ9" i="6"/>
  <c r="AK9" i="6" s="1"/>
  <c r="AJ43" i="6"/>
  <c r="AK43" i="6" s="1"/>
  <c r="AJ10" i="6"/>
  <c r="AK10" i="6" s="1"/>
  <c r="AJ12" i="6"/>
  <c r="AK12" i="6" s="1"/>
  <c r="AJ2" i="6"/>
  <c r="AJ15" i="6"/>
  <c r="AK15" i="6" s="1"/>
  <c r="AJ25" i="6"/>
  <c r="AK25" i="6" s="1"/>
  <c r="AJ41" i="6"/>
  <c r="AK41" i="6" s="1"/>
  <c r="AJ36" i="6"/>
  <c r="AK36" i="6" s="1"/>
  <c r="AJ30" i="6"/>
  <c r="AK30" i="6" s="1"/>
  <c r="AJ33" i="6"/>
  <c r="AK33" i="6" s="1"/>
  <c r="AJ40" i="6"/>
  <c r="AK40" i="6" s="1"/>
  <c r="AJ42" i="6"/>
  <c r="AK42" i="6" s="1"/>
  <c r="AJ34" i="6"/>
  <c r="AK34" i="6" s="1"/>
  <c r="AJ38" i="6"/>
  <c r="AK38" i="6" s="1"/>
  <c r="AJ14" i="6"/>
  <c r="AK14" i="6" s="1"/>
  <c r="AJ27" i="6"/>
  <c r="AK27" i="6" s="1"/>
  <c r="AJ26" i="6"/>
  <c r="AK26" i="6" s="1"/>
  <c r="AJ6" i="6"/>
  <c r="AK6" i="6" s="1"/>
  <c r="AJ20" i="6"/>
  <c r="AK20" i="6" s="1"/>
  <c r="AJ16" i="6"/>
  <c r="AK16" i="6" s="1"/>
  <c r="AJ29" i="6"/>
  <c r="AK29" i="6" s="1"/>
  <c r="AJ3" i="6"/>
  <c r="AK3" i="6" s="1"/>
  <c r="AJ32" i="6"/>
  <c r="AK32" i="6" s="1"/>
  <c r="AJ11" i="6"/>
  <c r="AK11" i="6" s="1"/>
  <c r="AK2" i="8"/>
  <c r="AJ16" i="8"/>
  <c r="AK16" i="8" s="1"/>
  <c r="AJ23" i="8"/>
  <c r="AK23" i="8" s="1"/>
  <c r="AJ8" i="8"/>
  <c r="AK8" i="8" s="1"/>
  <c r="AJ19" i="8"/>
  <c r="AK19" i="8" s="1"/>
  <c r="AJ27" i="8"/>
  <c r="AK27" i="8" s="1"/>
  <c r="AJ20" i="8"/>
  <c r="AK20" i="8" s="1"/>
  <c r="AJ13" i="8"/>
  <c r="AK13" i="8" s="1"/>
  <c r="AJ25" i="8"/>
  <c r="AK25" i="8" s="1"/>
  <c r="AJ10" i="8"/>
  <c r="AK10" i="8" s="1"/>
  <c r="AJ9" i="8"/>
  <c r="AK9" i="8" s="1"/>
  <c r="AJ18" i="8"/>
  <c r="AK18" i="8" s="1"/>
  <c r="AJ3" i="8"/>
  <c r="AK3" i="8" s="1"/>
  <c r="AJ11" i="8"/>
  <c r="AK11" i="8" s="1"/>
  <c r="AJ15" i="8"/>
  <c r="AK15" i="8" s="1"/>
  <c r="AJ21" i="8"/>
  <c r="AK21" i="8" s="1"/>
  <c r="AJ7" i="8"/>
  <c r="AK7" i="8" s="1"/>
  <c r="AJ22" i="8"/>
  <c r="AK22" i="8" s="1"/>
  <c r="AJ5" i="8"/>
  <c r="AK5" i="8" s="1"/>
  <c r="AJ6" i="8"/>
  <c r="AK6" i="8" s="1"/>
  <c r="AJ17" i="8"/>
  <c r="AK17" i="8" s="1"/>
  <c r="AJ26" i="8"/>
  <c r="AK26" i="8" s="1"/>
  <c r="AJ4" i="8"/>
  <c r="AK4" i="8" s="1"/>
  <c r="AJ14" i="8"/>
  <c r="AK14" i="8" s="1"/>
  <c r="AJ24" i="8"/>
  <c r="AK24" i="8" s="1"/>
  <c r="AJ12" i="8"/>
  <c r="AK12" i="8" s="1"/>
  <c r="AM10" i="22"/>
  <c r="AM12" i="22"/>
  <c r="AM9" i="22"/>
  <c r="AM2" i="22"/>
  <c r="AM5" i="22"/>
  <c r="AM3" i="22"/>
  <c r="AM11" i="22"/>
  <c r="AM13" i="22"/>
  <c r="AM4" i="22"/>
  <c r="AM7" i="22"/>
  <c r="AK4" i="22"/>
  <c r="AK11" i="22"/>
  <c r="AK9" i="22"/>
  <c r="AK5" i="22"/>
  <c r="AK12" i="22"/>
  <c r="AK3" i="22"/>
  <c r="AK2" i="22"/>
  <c r="AK7" i="22"/>
  <c r="AK13" i="22"/>
  <c r="AK10" i="22"/>
  <c r="AK3" i="12"/>
  <c r="AK2" i="21"/>
  <c r="AL67" i="20"/>
  <c r="AM2" i="6"/>
  <c r="AM44" i="6" s="1"/>
  <c r="AK2" i="6"/>
  <c r="AM2" i="17"/>
  <c r="AM91" i="17" s="1"/>
  <c r="AK2" i="17"/>
  <c r="AK91" i="17" s="1"/>
  <c r="AJ91" i="17" l="1"/>
  <c r="AK14" i="22"/>
  <c r="AM67" i="20"/>
  <c r="AK67" i="20"/>
  <c r="AJ67" i="20"/>
  <c r="AJ8" i="15"/>
  <c r="AK8" i="15"/>
  <c r="AM14" i="22"/>
  <c r="AJ14" i="22"/>
  <c r="AK50" i="13"/>
  <c r="AJ50" i="13"/>
  <c r="AK5" i="13"/>
  <c r="AJ448" i="19"/>
  <c r="AK2" i="19"/>
  <c r="AK448" i="19" s="1"/>
  <c r="AK2" i="18"/>
  <c r="AK70" i="18" s="1"/>
  <c r="AJ70" i="18"/>
  <c r="AJ35" i="21"/>
  <c r="AK27" i="21"/>
  <c r="AK35" i="21" s="1"/>
  <c r="AJ47" i="14"/>
  <c r="AK22" i="14"/>
  <c r="AK47" i="14" s="1"/>
  <c r="AM2" i="12"/>
  <c r="AM46" i="12" s="1"/>
  <c r="AL46" i="12"/>
  <c r="AJ46" i="12"/>
  <c r="AK2" i="12"/>
  <c r="AK46" i="12" s="1"/>
  <c r="AJ28" i="11"/>
  <c r="AK2" i="11"/>
  <c r="AK28" i="11" s="1"/>
  <c r="AJ21" i="9"/>
  <c r="AK21" i="9"/>
  <c r="AK44" i="6"/>
  <c r="AJ44" i="6"/>
  <c r="AK28" i="8"/>
  <c r="AJ28" i="8"/>
</calcChain>
</file>

<file path=xl/sharedStrings.xml><?xml version="1.0" encoding="utf-8"?>
<sst xmlns="http://schemas.openxmlformats.org/spreadsheetml/2006/main" count="37634" uniqueCount="5363">
  <si>
    <t xml:space="preserve">ایلام </t>
  </si>
  <si>
    <t>mobone.ir</t>
  </si>
  <si>
    <t>civilservice.ir</t>
  </si>
  <si>
    <t>payamsara.com</t>
  </si>
  <si>
    <t>azmoon.in</t>
  </si>
  <si>
    <t>mefile.ir</t>
  </si>
  <si>
    <t>mobilearena.ir</t>
  </si>
  <si>
    <t>instaliker.ir</t>
  </si>
  <si>
    <t>بویر احمد</t>
  </si>
  <si>
    <t>tabnakweb.ir</t>
  </si>
  <si>
    <t>7learn.com</t>
  </si>
  <si>
    <t>talahost.com</t>
  </si>
  <si>
    <t>pishgammobile.com</t>
  </si>
  <si>
    <t>سیستان</t>
  </si>
  <si>
    <t>adsltcsb.ir</t>
  </si>
  <si>
    <t>1000dokan.com</t>
  </si>
  <si>
    <t>ibitdefender.ir</t>
  </si>
  <si>
    <t>parsgraphic.ir</t>
  </si>
  <si>
    <t>خ شمالی</t>
  </si>
  <si>
    <t>چهار محال</t>
  </si>
  <si>
    <t>khalilan.ir</t>
  </si>
  <si>
    <t>mokamelshop.com</t>
  </si>
  <si>
    <t>babart.ir</t>
  </si>
  <si>
    <t>لرستان</t>
  </si>
  <si>
    <t>خ جنوبی</t>
  </si>
  <si>
    <t>hejabstore.ir</t>
  </si>
  <si>
    <t>isanat.com</t>
  </si>
  <si>
    <t>giftgift.ir</t>
  </si>
  <si>
    <t>daneshjooyar.com</t>
  </si>
  <si>
    <t>learnfiles.com</t>
  </si>
  <si>
    <t>office-learning.ir</t>
  </si>
  <si>
    <t>pazhang.ir</t>
  </si>
  <si>
    <t>tlearn.ir</t>
  </si>
  <si>
    <t>uspace.ir</t>
  </si>
  <si>
    <t>moorchebook.ir</t>
  </si>
  <si>
    <t>romfa.ir</t>
  </si>
  <si>
    <t>filebooker.com</t>
  </si>
  <si>
    <t>shopirani.ir</t>
  </si>
  <si>
    <t>filedc.com</t>
  </si>
  <si>
    <t>sorenakala.ir</t>
  </si>
  <si>
    <t>yasinsoft.ir</t>
  </si>
  <si>
    <t>radiologyha.com</t>
  </si>
  <si>
    <t>ghalamtarash.ir</t>
  </si>
  <si>
    <t>nobat.ir</t>
  </si>
  <si>
    <t>chb-nezam.ir</t>
  </si>
  <si>
    <t>nikanadv.ir</t>
  </si>
  <si>
    <t>parsipdf.ir</t>
  </si>
  <si>
    <t>xzn.ir</t>
  </si>
  <si>
    <t>joomaria.ir</t>
  </si>
  <si>
    <t>parsdigitall.com</t>
  </si>
  <si>
    <t>bazar4h.ir</t>
  </si>
  <si>
    <t>gahartranslation.com</t>
  </si>
  <si>
    <t>art-lux.ir</t>
  </si>
  <si>
    <t>negar-khaneh.ir</t>
  </si>
  <si>
    <t>dayiran.com</t>
  </si>
  <si>
    <t>zgig.ir</t>
  </si>
  <si>
    <t>fanzo.ir</t>
  </si>
  <si>
    <t>khasfile.ir</t>
  </si>
  <si>
    <t>masterkala.com</t>
  </si>
  <si>
    <t>git.ir</t>
  </si>
  <si>
    <t>cafesaffron.ir</t>
  </si>
  <si>
    <t>parsiansys.ir</t>
  </si>
  <si>
    <t>sanafa.ir</t>
  </si>
  <si>
    <t>orpf.ir</t>
  </si>
  <si>
    <t>nakhsozan.ir</t>
  </si>
  <si>
    <t>irprogram.com</t>
  </si>
  <si>
    <t>birjand.net</t>
  </si>
  <si>
    <t>etarh.com</t>
  </si>
  <si>
    <t>tetismarket.com</t>
  </si>
  <si>
    <t>key98.ir</t>
  </si>
  <si>
    <t>heilton.com</t>
  </si>
  <si>
    <t>wprahnama.com</t>
  </si>
  <si>
    <t>nhz.ir</t>
  </si>
  <si>
    <t>farsino.com</t>
  </si>
  <si>
    <t>ronakweb.com</t>
  </si>
  <si>
    <t>iran4all.ir</t>
  </si>
  <si>
    <t>badkonakha.com</t>
  </si>
  <si>
    <t>iran-rom.ir</t>
  </si>
  <si>
    <t>karkoo.ir</t>
  </si>
  <si>
    <t>postgah.com</t>
  </si>
  <si>
    <t>ebl1.ir</t>
  </si>
  <si>
    <t>mehvar.com</t>
  </si>
  <si>
    <t>زنجان</t>
  </si>
  <si>
    <t>dgcatalog.com</t>
  </si>
  <si>
    <t>moghaan.com</t>
  </si>
  <si>
    <t>padidehshop.com</t>
  </si>
  <si>
    <t>azoon.ir</t>
  </si>
  <si>
    <t>sheedantivirus.ir</t>
  </si>
  <si>
    <t>webdivar.com</t>
  </si>
  <si>
    <t>filux.ir</t>
  </si>
  <si>
    <t>سمنان</t>
  </si>
  <si>
    <t>tikweb.ir</t>
  </si>
  <si>
    <t>eyc.ac.ir</t>
  </si>
  <si>
    <t>metafekr.com</t>
  </si>
  <si>
    <t>naz.ir</t>
  </si>
  <si>
    <t>dayoffer.ir</t>
  </si>
  <si>
    <t>otab.ir</t>
  </si>
  <si>
    <t>stockmachin.com</t>
  </si>
  <si>
    <t>parzar.com</t>
  </si>
  <si>
    <t>rbiran.ir</t>
  </si>
  <si>
    <t>shoval.ir</t>
  </si>
  <si>
    <t>iranganj.com</t>
  </si>
  <si>
    <t>skin-shop.ir</t>
  </si>
  <si>
    <t>mihanstore.net</t>
  </si>
  <si>
    <t>afagh.info</t>
  </si>
  <si>
    <t>sitesazz.ir</t>
  </si>
  <si>
    <t>rahanet.com</t>
  </si>
  <si>
    <t>host3nter.com</t>
  </si>
  <si>
    <t>dcanon.ir</t>
  </si>
  <si>
    <t>shop.iranget.com</t>
  </si>
  <si>
    <t>kiyanet.ir</t>
  </si>
  <si>
    <t>dornanet.net</t>
  </si>
  <si>
    <t>appleid24.ir</t>
  </si>
  <si>
    <t>anars.ir</t>
  </si>
  <si>
    <t>irantplink.com</t>
  </si>
  <si>
    <t>sim-power.ir</t>
  </si>
  <si>
    <t>p3020.com</t>
  </si>
  <si>
    <t>mahtaonline.ir</t>
  </si>
  <si>
    <t>cyberconnect.ir</t>
  </si>
  <si>
    <t>karyab.net</t>
  </si>
  <si>
    <t>softaria.ir</t>
  </si>
  <si>
    <t>kord-gsm.ir</t>
  </si>
  <si>
    <t>3dmaxfarsi.ir</t>
  </si>
  <si>
    <t>7themes.ir</t>
  </si>
  <si>
    <t>followershop.net</t>
  </si>
  <si>
    <t>کرمانشاه</t>
  </si>
  <si>
    <t>bespar.net</t>
  </si>
  <si>
    <t>taknet.ir</t>
  </si>
  <si>
    <t>xenonmarket.ir</t>
  </si>
  <si>
    <t>cctvsystem.ir</t>
  </si>
  <si>
    <t>ghooch.com</t>
  </si>
  <si>
    <t>mihanbana.com</t>
  </si>
  <si>
    <t>xenonstore.ir</t>
  </si>
  <si>
    <t>kifabzar.com</t>
  </si>
  <si>
    <t>sinbod.com</t>
  </si>
  <si>
    <t>albalooo.com</t>
  </si>
  <si>
    <t>ihome.ir</t>
  </si>
  <si>
    <t>jph.ir</t>
  </si>
  <si>
    <t>sarmayegan.com</t>
  </si>
  <si>
    <t>perperook.ir</t>
  </si>
  <si>
    <t>civilhouse.ir</t>
  </si>
  <si>
    <t>rocoland.com</t>
  </si>
  <si>
    <t>persianapple.ir</t>
  </si>
  <si>
    <t>parsmizban.com</t>
  </si>
  <si>
    <t>freepaper.me</t>
  </si>
  <si>
    <t>papgroup.ir</t>
  </si>
  <si>
    <t>pegahsystem.com</t>
  </si>
  <si>
    <t>candelliran.com</t>
  </si>
  <si>
    <t>shygunsys.com</t>
  </si>
  <si>
    <t>lavazemjanebi.com</t>
  </si>
  <si>
    <t>تهران</t>
  </si>
  <si>
    <t>zoodel.com</t>
  </si>
  <si>
    <t>sonyiran.com</t>
  </si>
  <si>
    <t>istgah.com</t>
  </si>
  <si>
    <t>kamiran.asia</t>
  </si>
  <si>
    <t>khanesarmaye.com</t>
  </si>
  <si>
    <t>tejaratinsurance.com</t>
  </si>
  <si>
    <t>rayansaipa.com</t>
  </si>
  <si>
    <t>vistahome.ir</t>
  </si>
  <si>
    <t>persium.com</t>
  </si>
  <si>
    <t>partbuy.ir</t>
  </si>
  <si>
    <t>bitervan.com</t>
  </si>
  <si>
    <t>car.ir</t>
  </si>
  <si>
    <t>hiradenglish.com</t>
  </si>
  <si>
    <t>alikmusic.ir</t>
  </si>
  <si>
    <t>kowsarinsurance.ir</t>
  </si>
  <si>
    <t>atrakair.com</t>
  </si>
  <si>
    <t>naskavar.com</t>
  </si>
  <si>
    <t>cakesaz.com</t>
  </si>
  <si>
    <t>mesbroker.com</t>
  </si>
  <si>
    <t>prjelec.com</t>
  </si>
  <si>
    <t>sanamel.com</t>
  </si>
  <si>
    <t>aoa.ir</t>
  </si>
  <si>
    <t>akasi.net</t>
  </si>
  <si>
    <t>yatay.ir</t>
  </si>
  <si>
    <t>e-akhavan.com</t>
  </si>
  <si>
    <t>ekado.ir</t>
  </si>
  <si>
    <t>drgilaki.com</t>
  </si>
  <si>
    <t>kamva.ir</t>
  </si>
  <si>
    <t>payla.ir</t>
  </si>
  <si>
    <t>notary.ir</t>
  </si>
  <si>
    <t>visakaran.com</t>
  </si>
  <si>
    <t>venizkala.com</t>
  </si>
  <si>
    <t>esara.ir</t>
  </si>
  <si>
    <t>shablon.ir</t>
  </si>
  <si>
    <t>pishkhaan.net</t>
  </si>
  <si>
    <t>eways.co</t>
  </si>
  <si>
    <t>namayeshgah.com</t>
  </si>
  <si>
    <t>hamshahriphoto.ir</t>
  </si>
  <si>
    <t>kamrang.com</t>
  </si>
  <si>
    <t>olgoobooks.ir</t>
  </si>
  <si>
    <t>cloudfire.ir</t>
  </si>
  <si>
    <t>royalmobl.ir</t>
  </si>
  <si>
    <t>3sootkado.com</t>
  </si>
  <si>
    <t>asapardazesh.ir</t>
  </si>
  <si>
    <t>cafekado.ir</t>
  </si>
  <si>
    <t>bita24.com</t>
  </si>
  <si>
    <t>noornegar.com</t>
  </si>
  <si>
    <t>ershaco.com</t>
  </si>
  <si>
    <t>smartmall.ir</t>
  </si>
  <si>
    <t>iransargarmi.com</t>
  </si>
  <si>
    <t>vaavak.com</t>
  </si>
  <si>
    <t>hsp724.ir</t>
  </si>
  <si>
    <t>ebarez.com</t>
  </si>
  <si>
    <t>liliome.ir</t>
  </si>
  <si>
    <t>behseema.tv</t>
  </si>
  <si>
    <t>asrarezehn.ir</t>
  </si>
  <si>
    <t>eavar.com</t>
  </si>
  <si>
    <t>digikala.com</t>
  </si>
  <si>
    <t>iranecar.com</t>
  </si>
  <si>
    <t>shahrvand.ir</t>
  </si>
  <si>
    <t>fardabook.com</t>
  </si>
  <si>
    <t>chare.ir</t>
  </si>
  <si>
    <t>donyacomputer.com</t>
  </si>
  <si>
    <t>tehrankala.com</t>
  </si>
  <si>
    <t>lapbuy.com</t>
  </si>
  <si>
    <t>darmankala.com</t>
  </si>
  <si>
    <t>gooshishop.com</t>
  </si>
  <si>
    <t>roobinaserver.ir</t>
  </si>
  <si>
    <t>tablet.ir</t>
  </si>
  <si>
    <t>shopcar.ir</t>
  </si>
  <si>
    <t>bazarmazar.com</t>
  </si>
  <si>
    <t>pdnco.ir</t>
  </si>
  <si>
    <t>ordou.ir</t>
  </si>
  <si>
    <t>vandahost.net</t>
  </si>
  <si>
    <t>efeh.com</t>
  </si>
  <si>
    <t>pixel.ir</t>
  </si>
  <si>
    <t>varchin.com</t>
  </si>
  <si>
    <t>irlanguage.com</t>
  </si>
  <si>
    <t>irannotebook.com</t>
  </si>
  <si>
    <t>tanagholat.com</t>
  </si>
  <si>
    <t>tokakey.com</t>
  </si>
  <si>
    <t>nikpak.com</t>
  </si>
  <si>
    <t>radpardazesh.com</t>
  </si>
  <si>
    <t>newshanik.ir</t>
  </si>
  <si>
    <t>ictpishro.com</t>
  </si>
  <si>
    <t>tabiatshop.com</t>
  </si>
  <si>
    <t>emersunshop.com</t>
  </si>
  <si>
    <t>nilimarket.com</t>
  </si>
  <si>
    <t>banktalar.com</t>
  </si>
  <si>
    <t>bazijoo.com</t>
  </si>
  <si>
    <t>ir-dr.com</t>
  </si>
  <si>
    <t>sportbrand.ir</t>
  </si>
  <si>
    <t>yasyar.ir</t>
  </si>
  <si>
    <t>kook.ir</t>
  </si>
  <si>
    <t>setadiran.ir</t>
  </si>
  <si>
    <t>shatel.ir</t>
  </si>
  <si>
    <t>5040.ir</t>
  </si>
  <si>
    <t>farsaran.com</t>
  </si>
  <si>
    <t>shadyab.com</t>
  </si>
  <si>
    <t>ecb.ir</t>
  </si>
  <si>
    <t>akkasee.com</t>
  </si>
  <si>
    <t>palizct.com</t>
  </si>
  <si>
    <t>salamatpardis.ir</t>
  </si>
  <si>
    <t>servic.ir</t>
  </si>
  <si>
    <t>internetbazar.ir</t>
  </si>
  <si>
    <t>bazeh.com</t>
  </si>
  <si>
    <t>parsdata.com</t>
  </si>
  <si>
    <t>khanehfarda.com</t>
  </si>
  <si>
    <t>iranshahrshop.com</t>
  </si>
  <si>
    <t>websamin.com</t>
  </si>
  <si>
    <t>zanbil.ir</t>
  </si>
  <si>
    <t>iranmc.com</t>
  </si>
  <si>
    <t>koodakoo.com</t>
  </si>
  <si>
    <t>behtarinideh.com</t>
  </si>
  <si>
    <t>naghashbashi.com</t>
  </si>
  <si>
    <t>aryanic.com</t>
  </si>
  <si>
    <t>jetkharid.com</t>
  </si>
  <si>
    <t>bertina.ir</t>
  </si>
  <si>
    <t>nikan.ir</t>
  </si>
  <si>
    <t>faraso.org</t>
  </si>
  <si>
    <t>ashja.com</t>
  </si>
  <si>
    <t>pet-land.ir</t>
  </si>
  <si>
    <t>yeka.ir</t>
  </si>
  <si>
    <t>petdata.ir</t>
  </si>
  <si>
    <t>eranico.com</t>
  </si>
  <si>
    <t>offyab.com</t>
  </si>
  <si>
    <t>pendarepars.com</t>
  </si>
  <si>
    <t>webyad.com</t>
  </si>
  <si>
    <t>botick.com</t>
  </si>
  <si>
    <t>200200.ir</t>
  </si>
  <si>
    <t>parsianinsurance.ir</t>
  </si>
  <si>
    <t>84200.ir</t>
  </si>
  <si>
    <t>qcpage.com</t>
  </si>
  <si>
    <t>refahiran.com</t>
  </si>
  <si>
    <t>myket.ir</t>
  </si>
  <si>
    <t>nanosun.ir</t>
  </si>
  <si>
    <t>kimiastone.com</t>
  </si>
  <si>
    <t>moin-publisher.com</t>
  </si>
  <si>
    <t>popstereo.ir</t>
  </si>
  <si>
    <t>hafezehparsian.com</t>
  </si>
  <si>
    <t>1000network.com</t>
  </si>
  <si>
    <t>hseexpert.com</t>
  </si>
  <si>
    <t>viewtech.ir</t>
  </si>
  <si>
    <t>original-key.com</t>
  </si>
  <si>
    <t>exchanging.ir</t>
  </si>
  <si>
    <t>tahrirforoosh.com</t>
  </si>
  <si>
    <t>sonystar.ir</t>
  </si>
  <si>
    <t>roobeno.com</t>
  </si>
  <si>
    <t>niksms.com</t>
  </si>
  <si>
    <t>pishkooh.com</t>
  </si>
  <si>
    <t>iran-micro.com</t>
  </si>
  <si>
    <t>doman.ir</t>
  </si>
  <si>
    <t>danabroker.com</t>
  </si>
  <si>
    <t>atrara.ir</t>
  </si>
  <si>
    <t>isibook.ir</t>
  </si>
  <si>
    <t>tarjomeh24.com</t>
  </si>
  <si>
    <t>taraziran.com</t>
  </si>
  <si>
    <t>saniaz.com</t>
  </si>
  <si>
    <t>commaxcenter.com</t>
  </si>
  <si>
    <t>azhandservice.com</t>
  </si>
  <si>
    <t>bvaseteh.com</t>
  </si>
  <si>
    <t>athena.ir</t>
  </si>
  <si>
    <t>neda.net</t>
  </si>
  <si>
    <t>wachar.ir</t>
  </si>
  <si>
    <t>tar-nama.com</t>
  </si>
  <si>
    <t>arman-ati.com</t>
  </si>
  <si>
    <t>beeptunes.com</t>
  </si>
  <si>
    <t>bizmlm.ir</t>
  </si>
  <si>
    <t>perfumeshoping.com</t>
  </si>
  <si>
    <t>dorbinshop.com</t>
  </si>
  <si>
    <t>bazarha.ir</t>
  </si>
  <si>
    <t>webone.co</t>
  </si>
  <si>
    <t>arvin-bookstore.com</t>
  </si>
  <si>
    <t>ez-bazar.com</t>
  </si>
  <si>
    <t>emalls.ir</t>
  </si>
  <si>
    <t>khabshop.com</t>
  </si>
  <si>
    <t>keyiran.com</t>
  </si>
  <si>
    <t>daftareshoma.com</t>
  </si>
  <si>
    <t>hostiran.net</t>
  </si>
  <si>
    <t>bigbazaar.ir</t>
  </si>
  <si>
    <t>abtinweb.com</t>
  </si>
  <si>
    <t>shop.asrebazi.com</t>
  </si>
  <si>
    <t>farapayamak.ir</t>
  </si>
  <si>
    <t>kadobazar.ir</t>
  </si>
  <si>
    <t>omranpooya.com</t>
  </si>
  <si>
    <t>shot4u.com</t>
  </si>
  <si>
    <t>worldtranslators.net</t>
  </si>
  <si>
    <t>mikhak.ir</t>
  </si>
  <si>
    <t>chilivery.com</t>
  </si>
  <si>
    <t>iranhost.com</t>
  </si>
  <si>
    <t>kianpub.com</t>
  </si>
  <si>
    <t>netbarg.com</t>
  </si>
  <si>
    <t>ninilazem.com</t>
  </si>
  <si>
    <t>esam.ir</t>
  </si>
  <si>
    <t>ahanonline.com</t>
  </si>
  <si>
    <t>tfshops.com</t>
  </si>
  <si>
    <t>takhfifan.com</t>
  </si>
  <si>
    <t>ebazar.post.ir</t>
  </si>
  <si>
    <t>farshonline.com</t>
  </si>
  <si>
    <t>melat.ir</t>
  </si>
  <si>
    <t>alzahra.ac.ir</t>
  </si>
  <si>
    <t>torob.ir</t>
  </si>
  <si>
    <t>gabric.ir</t>
  </si>
  <si>
    <t>digitechseo.com</t>
  </si>
  <si>
    <t>shokouh.com</t>
  </si>
  <si>
    <t>melkforoush.com</t>
  </si>
  <si>
    <t>aaligasht.com</t>
  </si>
  <si>
    <t>artatrading.com</t>
  </si>
  <si>
    <t>fidilio.com</t>
  </si>
  <si>
    <t>aionet.ir</t>
  </si>
  <si>
    <t>payampress.com</t>
  </si>
  <si>
    <t>mahanteymouri.ir</t>
  </si>
  <si>
    <t>keyhan-kh.ir</t>
  </si>
  <si>
    <t>emaco.pro</t>
  </si>
  <si>
    <t>ritmo.ir</t>
  </si>
  <si>
    <t>fidibo.com</t>
  </si>
  <si>
    <t>bakesanat.com</t>
  </si>
  <si>
    <t>polymeran.com</t>
  </si>
  <si>
    <t>pingbaz.ir</t>
  </si>
  <si>
    <t>bilitkade.com</t>
  </si>
  <si>
    <t>e-estekhdam.com</t>
  </si>
  <si>
    <t>janebi.com</t>
  </si>
  <si>
    <t>afrangdigital.com</t>
  </si>
  <si>
    <t>iranconcert.com</t>
  </si>
  <si>
    <t>modir.ir</t>
  </si>
  <si>
    <t>learninweb.com</t>
  </si>
  <si>
    <t>niroensani.ir</t>
  </si>
  <si>
    <t>ekbatanonline.com</t>
  </si>
  <si>
    <t>abcxyz.ir</t>
  </si>
  <si>
    <t>ghahremanzadeh.ir</t>
  </si>
  <si>
    <t>hamechiiz.com</t>
  </si>
  <si>
    <t>bazidan.com</t>
  </si>
  <si>
    <t>parsasaze.com</t>
  </si>
  <si>
    <t>shop.parandco.com</t>
  </si>
  <si>
    <t>iranianskin.com</t>
  </si>
  <si>
    <t>b15.ir</t>
  </si>
  <si>
    <t>mahaksoft.com</t>
  </si>
  <si>
    <t>takhtegaz.com</t>
  </si>
  <si>
    <t>paperandwood.com</t>
  </si>
  <si>
    <t>hamshahriagahi.com</t>
  </si>
  <si>
    <t>holooshop.ir</t>
  </si>
  <si>
    <t>drentezari.com</t>
  </si>
  <si>
    <t>axprint.com</t>
  </si>
  <si>
    <t>lotuslaptop.com</t>
  </si>
  <si>
    <t>rojelab.com</t>
  </si>
  <si>
    <t>mashinbazar.com</t>
  </si>
  <si>
    <t>zimabi.com</t>
  </si>
  <si>
    <t>iprotect.ir</t>
  </si>
  <si>
    <t>shahr24.com</t>
  </si>
  <si>
    <t>niniset.com</t>
  </si>
  <si>
    <t>alljobs.ir</t>
  </si>
  <si>
    <t>sahamyab.com</t>
  </si>
  <si>
    <t>sooremehr.ir</t>
  </si>
  <si>
    <t>dolathost.com</t>
  </si>
  <si>
    <t>elevery.com</t>
  </si>
  <si>
    <t>zaeemflowers.com</t>
  </si>
  <si>
    <t>menegin.com</t>
  </si>
  <si>
    <t>autocharge.ir</t>
  </si>
  <si>
    <t>damanama.com</t>
  </si>
  <si>
    <t>kahkeshan.com</t>
  </si>
  <si>
    <t>irantimer.com</t>
  </si>
  <si>
    <t>civilica.com</t>
  </si>
  <si>
    <t>alobatis.ir</t>
  </si>
  <si>
    <t>imencms.com</t>
  </si>
  <si>
    <t>jaaar.com</t>
  </si>
  <si>
    <t>kooleposhti.net</t>
  </si>
  <si>
    <t>dabi.ir</t>
  </si>
  <si>
    <t>nikruyan.com</t>
  </si>
  <si>
    <t>adinasport.com</t>
  </si>
  <si>
    <t>sabanet.ir</t>
  </si>
  <si>
    <t>bazargardi.com</t>
  </si>
  <si>
    <t>irsahosting.ir</t>
  </si>
  <si>
    <t>hodoliva.com</t>
  </si>
  <si>
    <t>nedashop1.com</t>
  </si>
  <si>
    <t>behsazanhost.com</t>
  </si>
  <si>
    <t>hotelbama.com</t>
  </si>
  <si>
    <t>talarebourse.com</t>
  </si>
  <si>
    <t>berimsafar.com</t>
  </si>
  <si>
    <t>armanica.ir</t>
  </si>
  <si>
    <t>noarous.com</t>
  </si>
  <si>
    <t>locopoc.com</t>
  </si>
  <si>
    <t>irdomain.com</t>
  </si>
  <si>
    <t>hamirayane.com</t>
  </si>
  <si>
    <t>takro.net</t>
  </si>
  <si>
    <t>sms.ir</t>
  </si>
  <si>
    <t>tip-ticket.com</t>
  </si>
  <si>
    <t>aparat.com</t>
  </si>
  <si>
    <t>karzar.ir</t>
  </si>
  <si>
    <t>sabzcenter.com</t>
  </si>
  <si>
    <t>banisport.com</t>
  </si>
  <si>
    <t>santuri.ir</t>
  </si>
  <si>
    <t>hubco.ir</t>
  </si>
  <si>
    <t>dsit.org.ir</t>
  </si>
  <si>
    <t>splendor.ir</t>
  </si>
  <si>
    <t>cysec.ir</t>
  </si>
  <si>
    <t>sedanmed.com</t>
  </si>
  <si>
    <t>eligasht.com</t>
  </si>
  <si>
    <t>naroon.com</t>
  </si>
  <si>
    <t>kamancomputer.com</t>
  </si>
  <si>
    <t>simayedanesh.ir</t>
  </si>
  <si>
    <t>cafejoomla.com</t>
  </si>
  <si>
    <t>persiantools.com</t>
  </si>
  <si>
    <t>iran-booking.com</t>
  </si>
  <si>
    <t>ketabrah.ir</t>
  </si>
  <si>
    <t>voip-iran.com</t>
  </si>
  <si>
    <t>farayand-pasokh.com</t>
  </si>
  <si>
    <t>tiwall.com</t>
  </si>
  <si>
    <t>khanoumi.com</t>
  </si>
  <si>
    <t>parsegard.com</t>
  </si>
  <si>
    <t>mbartar.ir</t>
  </si>
  <si>
    <t>telewebion.com</t>
  </si>
  <si>
    <t>chitahost.com</t>
  </si>
  <si>
    <t>bookgolden.ir</t>
  </si>
  <si>
    <t>electronic724.com</t>
  </si>
  <si>
    <t>madarclub.com</t>
  </si>
  <si>
    <t>gisgolabetoon.ir</t>
  </si>
  <si>
    <t>tehranvisacard.com</t>
  </si>
  <si>
    <t>doctop.ir</t>
  </si>
  <si>
    <t>memarimarket.com</t>
  </si>
  <si>
    <t>mci.ir</t>
  </si>
  <si>
    <t>nbpars.ir</t>
  </si>
  <si>
    <t>tala.ir</t>
  </si>
  <si>
    <t>iranamlaak.ir</t>
  </si>
  <si>
    <t>themeyab.com</t>
  </si>
  <si>
    <t>onlineservers.ir</t>
  </si>
  <si>
    <t>manomaman.com</t>
  </si>
  <si>
    <t>ecasb.com</t>
  </si>
  <si>
    <t>7gardoon.com</t>
  </si>
  <si>
    <t>242.ir</t>
  </si>
  <si>
    <t>zagrio.com</t>
  </si>
  <si>
    <t>melipayamak.com</t>
  </si>
  <si>
    <t>downloadmanager.ir</t>
  </si>
  <si>
    <t>safar724.com</t>
  </si>
  <si>
    <t>iranrahjoo.com</t>
  </si>
  <si>
    <t>modforosh.com</t>
  </si>
  <si>
    <t>webramz.com</t>
  </si>
  <si>
    <t>parsbank.ir</t>
  </si>
  <si>
    <t>yphc.ir</t>
  </si>
  <si>
    <t>irancell.ir</t>
  </si>
  <si>
    <t>rojashop.com</t>
  </si>
  <si>
    <t>shemshad.com</t>
  </si>
  <si>
    <t>rayanehkomak.com</t>
  </si>
  <si>
    <t>mediana.ir</t>
  </si>
  <si>
    <t>hoor.ir</t>
  </si>
  <si>
    <t>asankala.ir</t>
  </si>
  <si>
    <t>irysc.com</t>
  </si>
  <si>
    <t>parsfestival.com</t>
  </si>
  <si>
    <t>ebpnovin.com</t>
  </si>
  <si>
    <t>irantourinfo.com</t>
  </si>
  <si>
    <t>persiangulfcup.org</t>
  </si>
  <si>
    <t>nic.ir</t>
  </si>
  <si>
    <t>kitchenoogle.com</t>
  </si>
  <si>
    <t>iransote.com</t>
  </si>
  <si>
    <t>lachini.com</t>
  </si>
  <si>
    <t>yektaketab.ir</t>
  </si>
  <si>
    <t>mftvanak.com</t>
  </si>
  <si>
    <t>mftnarmak.com</t>
  </si>
  <si>
    <t>persiansaze.com</t>
  </si>
  <si>
    <t>zibabox.com</t>
  </si>
  <si>
    <t>adibavers.ir</t>
  </si>
  <si>
    <t>araxmtb.com</t>
  </si>
  <si>
    <t>speed-bicycle.com</t>
  </si>
  <si>
    <t>nsup.com</t>
  </si>
  <si>
    <t>bazarkhanegi.com</t>
  </si>
  <si>
    <t>chapchi.com</t>
  </si>
  <si>
    <t>alo.ir</t>
  </si>
  <si>
    <t>navaar.ir</t>
  </si>
  <si>
    <t>naghsh.net</t>
  </si>
  <si>
    <t>ganjafzar.com</t>
  </si>
  <si>
    <t>norikoptic.com</t>
  </si>
  <si>
    <t>gemz.ir</t>
  </si>
  <si>
    <t>rond.ir</t>
  </si>
  <si>
    <t>tga-arsh.ir</t>
  </si>
  <si>
    <t>hamnavaz.com</t>
  </si>
  <si>
    <t>doctorkala.com</t>
  </si>
  <si>
    <t>iibazar.com</t>
  </si>
  <si>
    <t>irangol.com</t>
  </si>
  <si>
    <t>naminic.com</t>
  </si>
  <si>
    <t>namaava.com</t>
  </si>
  <si>
    <t>rahafilm.ir</t>
  </si>
  <si>
    <t>boorsika.com</t>
  </si>
  <si>
    <t>dolphiran.com</t>
  </si>
  <si>
    <t>laklakgroup.com</t>
  </si>
  <si>
    <t>fordummies.ir</t>
  </si>
  <si>
    <t>emalekan.com</t>
  </si>
  <si>
    <t>dede.ir</t>
  </si>
  <si>
    <t>iran-carpet.com</t>
  </si>
  <si>
    <t>samsungcenter.ir</t>
  </si>
  <si>
    <t>tvkala.com</t>
  </si>
  <si>
    <t>irandh.ir</t>
  </si>
  <si>
    <t>ulduztourism.com</t>
  </si>
  <si>
    <t>panberes.ir</t>
  </si>
  <si>
    <t>opilo.com</t>
  </si>
  <si>
    <t>takrayan.ir</t>
  </si>
  <si>
    <t>iranbook-shop.com</t>
  </si>
  <si>
    <t>shixon.com</t>
  </si>
  <si>
    <t>petiak.com</t>
  </si>
  <si>
    <t>cckala.com</t>
  </si>
  <si>
    <t>niazacc.com</t>
  </si>
  <si>
    <t>parsnamaddata.com</t>
  </si>
  <si>
    <t>bookciti.ir</t>
  </si>
  <si>
    <t>partodesign.com</t>
  </si>
  <si>
    <t>prestastore.ir</t>
  </si>
  <si>
    <t>jahankitshop.com</t>
  </si>
  <si>
    <t>amnpardaz.com</t>
  </si>
  <si>
    <t>mihanwebhosting.com</t>
  </si>
  <si>
    <t>itpnews.com</t>
  </si>
  <si>
    <t>sheypoor.com</t>
  </si>
  <si>
    <t>wallet.ir</t>
  </si>
  <si>
    <t>paytakhtkhodro.com</t>
  </si>
  <si>
    <t>sarekooche.com</t>
  </si>
  <si>
    <t>abzaryab.com</t>
  </si>
  <si>
    <t>shop.vmusic.ir</t>
  </si>
  <si>
    <t>limon.ir</t>
  </si>
  <si>
    <t>karal.ir</t>
  </si>
  <si>
    <t>atrume.com</t>
  </si>
  <si>
    <t>agribourse.com</t>
  </si>
  <si>
    <t>niazerooz.com</t>
  </si>
  <si>
    <t>qoqnoosp.com</t>
  </si>
  <si>
    <t>mellatbroker.com</t>
  </si>
  <si>
    <t>webii.ir</t>
  </si>
  <si>
    <t>samanbourse.com</t>
  </si>
  <si>
    <t>drjabbari.com</t>
  </si>
  <si>
    <t>saharsms.com</t>
  </si>
  <si>
    <t>niazmandiha.net</t>
  </si>
  <si>
    <t>yadakico.com</t>
  </si>
  <si>
    <t>zirend.ir</t>
  </si>
  <si>
    <t>mahanserver.ir</t>
  </si>
  <si>
    <t>tidbit.ir</t>
  </si>
  <si>
    <t>pilife.ir</t>
  </si>
  <si>
    <t>abzarhamed.com</t>
  </si>
  <si>
    <t>parsgift.ir</t>
  </si>
  <si>
    <t>artakam.com</t>
  </si>
  <si>
    <t>rastinbazar.com</t>
  </si>
  <si>
    <t>tehranmelody.com</t>
  </si>
  <si>
    <t>shaghayegh2.com</t>
  </si>
  <si>
    <t>nowaroos.com</t>
  </si>
  <si>
    <t>irbroker.com</t>
  </si>
  <si>
    <t>anjammidam.com</t>
  </si>
  <si>
    <t>ajansbook.com</t>
  </si>
  <si>
    <t>sepidarsystem.com</t>
  </si>
  <si>
    <t>adinehbook.com</t>
  </si>
  <si>
    <t>radinmlm.ir</t>
  </si>
  <si>
    <t>parsgooshi.ir</t>
  </si>
  <si>
    <t>sabt24.com</t>
  </si>
  <si>
    <t>vajehyab.com</t>
  </si>
  <si>
    <t>hafezbrokerage.com</t>
  </si>
  <si>
    <t>edarikala.com</t>
  </si>
  <si>
    <t>e-modiran.com</t>
  </si>
  <si>
    <t>irdc.ir</t>
  </si>
  <si>
    <t>komoddivari.ir</t>
  </si>
  <si>
    <t>tigerbio.com</t>
  </si>
  <si>
    <t>memaran.ir</t>
  </si>
  <si>
    <t>ouriran.com</t>
  </si>
  <si>
    <t>chiccoiran.net</t>
  </si>
  <si>
    <t>dalahoo.com</t>
  </si>
  <si>
    <t>baxar.ir</t>
  </si>
  <si>
    <t>rishtarash.com</t>
  </si>
  <si>
    <t>myrond.com</t>
  </si>
  <si>
    <t>antikkala.com</t>
  </si>
  <si>
    <t>apstour.ir</t>
  </si>
  <si>
    <t>iranic.com</t>
  </si>
  <si>
    <t>nargil.ir</t>
  </si>
  <si>
    <t>allsport.ir</t>
  </si>
  <si>
    <t>hafezbourse.com</t>
  </si>
  <si>
    <t>tamashakhaneh.ir</t>
  </si>
  <si>
    <t>iranheadphone.com</t>
  </si>
  <si>
    <t>shop.mehromah.ir</t>
  </si>
  <si>
    <t>cafebazaar.ir</t>
  </si>
  <si>
    <t>ibmp.ir</t>
  </si>
  <si>
    <t>drzaban.com</t>
  </si>
  <si>
    <t>mtplus.mobi</t>
  </si>
  <si>
    <t>brandslink.ir</t>
  </si>
  <si>
    <t>pajoohyar.ir</t>
  </si>
  <si>
    <t>autosystem.ir</t>
  </si>
  <si>
    <t>saazbuzz.com</t>
  </si>
  <si>
    <t>armcade.com</t>
  </si>
  <si>
    <t>doradu.com</t>
  </si>
  <si>
    <t>samenyadak.ir</t>
  </si>
  <si>
    <t>kalouttravel.com</t>
  </si>
  <si>
    <t>bkkala.com</t>
  </si>
  <si>
    <t>tamizkala.com</t>
  </si>
  <si>
    <t>store.steelalborz.com</t>
  </si>
  <si>
    <t>gholeghaf.ir</t>
  </si>
  <si>
    <t>shopled.ir</t>
  </si>
  <si>
    <t>icat.ir</t>
  </si>
  <si>
    <t>mftmirdamad.com</t>
  </si>
  <si>
    <t>narcissoft.com</t>
  </si>
  <si>
    <t>bazaretv.com</t>
  </si>
  <si>
    <t>epolice.ir</t>
  </si>
  <si>
    <t>spshayan.com</t>
  </si>
  <si>
    <t>ranandegi.com</t>
  </si>
  <si>
    <t>iranmotorola.ir</t>
  </si>
  <si>
    <t>yadakicar.com</t>
  </si>
  <si>
    <t>esmfamil.com</t>
  </si>
  <si>
    <t>saniplastic.com</t>
  </si>
  <si>
    <t>pars-hotels.com</t>
  </si>
  <si>
    <t>partlist.ir</t>
  </si>
  <si>
    <t>afrazbook.com</t>
  </si>
  <si>
    <t>razi24.ir</t>
  </si>
  <si>
    <t>wireshop-co.com</t>
  </si>
  <si>
    <t>karafarinenab.ir</t>
  </si>
  <si>
    <t>phd-management.ir</t>
  </si>
  <si>
    <t>natoos.com</t>
  </si>
  <si>
    <t>miztahrir.ir</t>
  </si>
  <si>
    <t>irantracking.com</t>
  </si>
  <si>
    <t>himobil.com</t>
  </si>
  <si>
    <t>elemarket.ir</t>
  </si>
  <si>
    <t>bt-broker.com</t>
  </si>
  <si>
    <t>alindas.com</t>
  </si>
  <si>
    <t>teimourzadeh.com</t>
  </si>
  <si>
    <t>ghadyani.org</t>
  </si>
  <si>
    <t>mehrbroker.com</t>
  </si>
  <si>
    <t>fanasan.com</t>
  </si>
  <si>
    <t>ofoghsms.ir</t>
  </si>
  <si>
    <t>khoshkhan.ir</t>
  </si>
  <si>
    <t>manamotor.ir</t>
  </si>
  <si>
    <t>ariasys.ir</t>
  </si>
  <si>
    <t>bamilo.com</t>
  </si>
  <si>
    <t>simorghmlm.ir</t>
  </si>
  <si>
    <t>farafile.ir</t>
  </si>
  <si>
    <t>amiricshop.ir</t>
  </si>
  <si>
    <t>cdigit.com</t>
  </si>
  <si>
    <t>novininsurance.com</t>
  </si>
  <si>
    <t>parsiprint.com</t>
  </si>
  <si>
    <t>safirperfum.ir</t>
  </si>
  <si>
    <t>cabintajhiz.com</t>
  </si>
  <si>
    <t>lioncomputer.ir</t>
  </si>
  <si>
    <t>iranapps.ir</t>
  </si>
  <si>
    <t>etminansahm.com</t>
  </si>
  <si>
    <t>royall.ir</t>
  </si>
  <si>
    <t>yeknam.com</t>
  </si>
  <si>
    <t>bazartahrir.com</t>
  </si>
  <si>
    <t>samaninsurance.ir</t>
  </si>
  <si>
    <t>royamattress.com</t>
  </si>
  <si>
    <t>aryasat.ir</t>
  </si>
  <si>
    <t>shop.iapplecenter.com</t>
  </si>
  <si>
    <t>gemperfume.com</t>
  </si>
  <si>
    <t>melkban24.ir</t>
  </si>
  <si>
    <t>hdsac.net</t>
  </si>
  <si>
    <t>choobmarket.ir</t>
  </si>
  <si>
    <t>dreamkala.com</t>
  </si>
  <si>
    <t>shop.hbio.ir</t>
  </si>
  <si>
    <t>sahandbroker.com</t>
  </si>
  <si>
    <t>jayino.com</t>
  </si>
  <si>
    <t>mabnadp.com</t>
  </si>
  <si>
    <t>hafez-print.com</t>
  </si>
  <si>
    <t>edbibroker.com</t>
  </si>
  <si>
    <t>iransafebox.com</t>
  </si>
  <si>
    <t>itresearches.ir</t>
  </si>
  <si>
    <t>pouran.net</t>
  </si>
  <si>
    <t>transis.ir</t>
  </si>
  <si>
    <t>daycomputer.com</t>
  </si>
  <si>
    <t>sms20.ir</t>
  </si>
  <si>
    <t>1544.ir</t>
  </si>
  <si>
    <t>bachehayeaseman.org</t>
  </si>
  <si>
    <t>sepahbourse.com</t>
  </si>
  <si>
    <t>kabirtools.com</t>
  </si>
  <si>
    <t>tandisrayan.co</t>
  </si>
  <si>
    <t>sibazar.ir</t>
  </si>
  <si>
    <t>isghaem.ir</t>
  </si>
  <si>
    <t>matnbook.ir</t>
  </si>
  <si>
    <t>digichoob.com</t>
  </si>
  <si>
    <t>refahbroker.com</t>
  </si>
  <si>
    <t>sportavaran.com</t>
  </si>
  <si>
    <t>no-avaran.com</t>
  </si>
  <si>
    <t>interspire.ir</t>
  </si>
  <si>
    <t>oibourse.com</t>
  </si>
  <si>
    <t>iranfso.com</t>
  </si>
  <si>
    <t>bimehma.ir</t>
  </si>
  <si>
    <t>ariketejarat.com</t>
  </si>
  <si>
    <t>50b50.com</t>
  </si>
  <si>
    <t>energy-ind.com</t>
  </si>
  <si>
    <t>intex-site.com</t>
  </si>
  <si>
    <t>dorsa.net</t>
  </si>
  <si>
    <t>shop.matris.co.ir</t>
  </si>
  <si>
    <t>pardis-chapgar-baran.ir</t>
  </si>
  <si>
    <t>seba.ir</t>
  </si>
  <si>
    <t>iranlustr.com</t>
  </si>
  <si>
    <t>dkg.ir</t>
  </si>
  <si>
    <t>rahianarshad.com</t>
  </si>
  <si>
    <t>piltanshop.com</t>
  </si>
  <si>
    <t>faranet-co.ir</t>
  </si>
  <si>
    <t>npshop.net</t>
  </si>
  <si>
    <t>saderatbourse.com</t>
  </si>
  <si>
    <t>khobreganonline.com</t>
  </si>
  <si>
    <t>parsianel.com</t>
  </si>
  <si>
    <t>tablighkar.com</t>
  </si>
  <si>
    <t>childf.com</t>
  </si>
  <si>
    <t>1000bazi.com</t>
  </si>
  <si>
    <t>abtingasht.ir</t>
  </si>
  <si>
    <t>neyestanbook.com</t>
  </si>
  <si>
    <t>takhfifbaran.com</t>
  </si>
  <si>
    <t>iransamaneh.com</t>
  </si>
  <si>
    <t>etmarket.ir</t>
  </si>
  <si>
    <t>3gaam.com</t>
  </si>
  <si>
    <t>rcebay.ir</t>
  </si>
  <si>
    <t>24gds.com</t>
  </si>
  <si>
    <t>sedabazar.com</t>
  </si>
  <si>
    <t>landaelectronic.com</t>
  </si>
  <si>
    <t>tahlilha.com</t>
  </si>
  <si>
    <t>jaheshbook.com</t>
  </si>
  <si>
    <t>bitdefenderme.ir</t>
  </si>
  <si>
    <t>kahrizak.com</t>
  </si>
  <si>
    <t>dast2.com</t>
  </si>
  <si>
    <t>dalano.com</t>
  </si>
  <si>
    <t>uast34.ac.ir</t>
  </si>
  <si>
    <t>cinemamarket.ir</t>
  </si>
  <si>
    <t>behesht.info</t>
  </si>
  <si>
    <t>missland.com</t>
  </si>
  <si>
    <t>elac.ir</t>
  </si>
  <si>
    <t>iran-tejarat.com</t>
  </si>
  <si>
    <t>akairan.com</t>
  </si>
  <si>
    <t>mobinnet.ir</t>
  </si>
  <si>
    <t>itna.ir</t>
  </si>
  <si>
    <t>kosargasht.ir</t>
  </si>
  <si>
    <t>parsoptics.com</t>
  </si>
  <si>
    <t>webgold.ir</t>
  </si>
  <si>
    <t>sarafiroyal.com</t>
  </si>
  <si>
    <t>seirosafar.ir</t>
  </si>
  <si>
    <t>gerdoo.net</t>
  </si>
  <si>
    <t>damatajhiz.com</t>
  </si>
  <si>
    <t>catc.ac.ir</t>
  </si>
  <si>
    <t>azarinweb.com</t>
  </si>
  <si>
    <t>antivirusiran.com</t>
  </si>
  <si>
    <t>arefrayaneh.com</t>
  </si>
  <si>
    <t>shetabe.ir</t>
  </si>
  <si>
    <t>suntech.ir</t>
  </si>
  <si>
    <t>e-seminar.ir</t>
  </si>
  <si>
    <t>arioparvaz.com</t>
  </si>
  <si>
    <t>irkaspersky.com</t>
  </si>
  <si>
    <t>seeiran.ir</t>
  </si>
  <si>
    <t>giftha.com</t>
  </si>
  <si>
    <t>kishperfume.com</t>
  </si>
  <si>
    <t>day.ir</t>
  </si>
  <si>
    <t>nh1.ir</t>
  </si>
  <si>
    <t>mihanmizban.com</t>
  </si>
  <si>
    <t>ref4.com</t>
  </si>
  <si>
    <t>afranet.com</t>
  </si>
  <si>
    <t>ariyansms.ir</t>
  </si>
  <si>
    <t>ravanyab.ir</t>
  </si>
  <si>
    <t>adad.ir</t>
  </si>
  <si>
    <t>mashadcarpet.com</t>
  </si>
  <si>
    <t>brandpooshan.ir</t>
  </si>
  <si>
    <t>khooger.com</t>
  </si>
  <si>
    <t>akan.co</t>
  </si>
  <si>
    <t>cafeyab.com</t>
  </si>
  <si>
    <t>wikiooz.ir</t>
  </si>
  <si>
    <t>edmancenter.com</t>
  </si>
  <si>
    <t>ابزار</t>
  </si>
  <si>
    <t>dhshop.ir</t>
  </si>
  <si>
    <t>gadgetcenter.ir</t>
  </si>
  <si>
    <t>alibaba.ir</t>
  </si>
  <si>
    <t>seokhane.com</t>
  </si>
  <si>
    <t>meetneed.ir</t>
  </si>
  <si>
    <t>hemmat110.com</t>
  </si>
  <si>
    <t>rayanehamrah.com</t>
  </si>
  <si>
    <t>novinhost.org</t>
  </si>
  <si>
    <t>dayere.ir</t>
  </si>
  <si>
    <t>niazpardaz.com</t>
  </si>
  <si>
    <t>rahco.ir</t>
  </si>
  <si>
    <t>yadakyar.com</t>
  </si>
  <si>
    <t>charmnegar.ir</t>
  </si>
  <si>
    <t>sematec-co.com</t>
  </si>
  <si>
    <t>topsun.ir</t>
  </si>
  <si>
    <t>almasp.com</t>
  </si>
  <si>
    <t>cctvplus.ir</t>
  </si>
  <si>
    <t>tehran-intex.com</t>
  </si>
  <si>
    <t>abasmanesh.com</t>
  </si>
  <si>
    <t>rayanonline.com</t>
  </si>
  <si>
    <t>publish.srttu.edu</t>
  </si>
  <si>
    <t>behnamcharity.org.ir</t>
  </si>
  <si>
    <t>rightel.ir</t>
  </si>
  <si>
    <t>dfmrendering.com</t>
  </si>
  <si>
    <t>dnnsoftware.ir</t>
  </si>
  <si>
    <t>fnxshipping.com</t>
  </si>
  <si>
    <t>khaneirany.com</t>
  </si>
  <si>
    <t>ttac.ir</t>
  </si>
  <si>
    <t>hezarsoo.com</t>
  </si>
  <si>
    <t>farhangmoaser.com</t>
  </si>
  <si>
    <t>lozistore.com</t>
  </si>
  <si>
    <t>iafi.ir</t>
  </si>
  <si>
    <t>shop.tebyan.net</t>
  </si>
  <si>
    <t>shop.torfehnegar.ir</t>
  </si>
  <si>
    <t>erosshop.ir</t>
  </si>
  <si>
    <t>novindiet.com</t>
  </si>
  <si>
    <t>ghotbravandi.ac.ir</t>
  </si>
  <si>
    <t>iriran.net</t>
  </si>
  <si>
    <t>darwebbazar.com</t>
  </si>
  <si>
    <t>iparsmedia.com</t>
  </si>
  <si>
    <t>falno.com</t>
  </si>
  <si>
    <t>datakala.com</t>
  </si>
  <si>
    <t>danesheyoga.com</t>
  </si>
  <si>
    <t>faranoshop.com</t>
  </si>
  <si>
    <t>radiomosbat.com</t>
  </si>
  <si>
    <t>dayabarg.com</t>
  </si>
  <si>
    <t>aryanabook.com</t>
  </si>
  <si>
    <t>webpoosh.com</t>
  </si>
  <si>
    <t>emdadsaipa.ir</t>
  </si>
  <si>
    <t>hotelux.com</t>
  </si>
  <si>
    <t>gloryshop.ir</t>
  </si>
  <si>
    <t>caspian.aero</t>
  </si>
  <si>
    <t>atrfam.com</t>
  </si>
  <si>
    <t>delta.ir</t>
  </si>
  <si>
    <t>sinjeronline.com</t>
  </si>
  <si>
    <t>mehrpardaz.net</t>
  </si>
  <si>
    <t>atrintc.com</t>
  </si>
  <si>
    <t>ircomposite.ir</t>
  </si>
  <si>
    <t>arzunbazar.ir</t>
  </si>
  <si>
    <t>atramart.com</t>
  </si>
  <si>
    <t>familakala.com</t>
  </si>
  <si>
    <t>20rayan.com</t>
  </si>
  <si>
    <t>melocoffee.com</t>
  </si>
  <si>
    <t>sabavision.com</t>
  </si>
  <si>
    <t>whsaraa.ir</t>
  </si>
  <si>
    <t>zofachoob.ir</t>
  </si>
  <si>
    <t>icsa.ir</t>
  </si>
  <si>
    <t>khorjinak.com</t>
  </si>
  <si>
    <t>parsme.com</t>
  </si>
  <si>
    <t>ariatender.com</t>
  </si>
  <si>
    <t>zabanbook.com</t>
  </si>
  <si>
    <t>apple360.ir</t>
  </si>
  <si>
    <t>en45.com</t>
  </si>
  <si>
    <t>filimo.com</t>
  </si>
  <si>
    <t>offbon.com</t>
  </si>
  <si>
    <t>sakhteman24.com</t>
  </si>
  <si>
    <t>abrserver.com</t>
  </si>
  <si>
    <t>dcakala.com</t>
  </si>
  <si>
    <t>ebargesabz.ir</t>
  </si>
  <si>
    <t>iran-shenasi.com</t>
  </si>
  <si>
    <t>atrsara.ir</t>
  </si>
  <si>
    <t>abacusiran.com</t>
  </si>
  <si>
    <t>bazareshabake.com</t>
  </si>
  <si>
    <t>paytakhteketab.com</t>
  </si>
  <si>
    <t>petibox.com</t>
  </si>
  <si>
    <t>sazgaronline.com</t>
  </si>
  <si>
    <t>iranpolymer.com</t>
  </si>
  <si>
    <t>miliyarder.com</t>
  </si>
  <si>
    <t>iraneset.ir</t>
  </si>
  <si>
    <t>ariasalamat.com</t>
  </si>
  <si>
    <t>sanisawatch.com</t>
  </si>
  <si>
    <t>soorati.com</t>
  </si>
  <si>
    <t>aryanor.com</t>
  </si>
  <si>
    <t>blackberryiran.com</t>
  </si>
  <si>
    <t>yektaweb.com</t>
  </si>
  <si>
    <t>mobinhost.com</t>
  </si>
  <si>
    <t>e-gol.ir</t>
  </si>
  <si>
    <t>darukhune.com</t>
  </si>
  <si>
    <t>bmibourse.com</t>
  </si>
  <si>
    <t>vilo.ir</t>
  </si>
  <si>
    <t>nrd.ir</t>
  </si>
  <si>
    <t>gamelectronics.com</t>
  </si>
  <si>
    <t>darukade.com</t>
  </si>
  <si>
    <t>appforall.ir</t>
  </si>
  <si>
    <t>paravid.com</t>
  </si>
  <si>
    <t>iranmarcopolo.com</t>
  </si>
  <si>
    <t>sanazsania.ir</t>
  </si>
  <si>
    <t>udriver.ir</t>
  </si>
  <si>
    <t>robotabzar.ir</t>
  </si>
  <si>
    <t>golbazar.net</t>
  </si>
  <si>
    <t>divar.ir</t>
  </si>
  <si>
    <t>nobisservice.com</t>
  </si>
  <si>
    <t>syas.ir</t>
  </si>
  <si>
    <t>revexon.com</t>
  </si>
  <si>
    <t>jahanrc.com</t>
  </si>
  <si>
    <t>khanwars.ir</t>
  </si>
  <si>
    <t>mobilestan.net</t>
  </si>
  <si>
    <t>nekohesab.com</t>
  </si>
  <si>
    <t>havayar.com</t>
  </si>
  <si>
    <t>zoodfood.com</t>
  </si>
  <si>
    <t>modir-shabake.com</t>
  </si>
  <si>
    <t>kimkala.com</t>
  </si>
  <si>
    <t>irantypist.com</t>
  </si>
  <si>
    <t>technolife.ir</t>
  </si>
  <si>
    <t>spilet.com</t>
  </si>
  <si>
    <t>promak.ir</t>
  </si>
  <si>
    <t>jeeb.ir</t>
  </si>
  <si>
    <t>7tara.com</t>
  </si>
  <si>
    <t>digistaronline.ir</t>
  </si>
  <si>
    <t>bazikala.com</t>
  </si>
  <si>
    <t>noorkala.com</t>
  </si>
  <si>
    <t>zabanamoozan.com</t>
  </si>
  <si>
    <t>partmobile.ir</t>
  </si>
  <si>
    <t>nadercomputer.com</t>
  </si>
  <si>
    <t>meghdadit.com</t>
  </si>
  <si>
    <t>esys.ir</t>
  </si>
  <si>
    <t>parscenter.com</t>
  </si>
  <si>
    <t>behamooz.com</t>
  </si>
  <si>
    <t>wikibargh.com</t>
  </si>
  <si>
    <t>baadraan.ir</t>
  </si>
  <si>
    <t>sharpiran.com</t>
  </si>
  <si>
    <t>5m5.ir</t>
  </si>
  <si>
    <t>mahan.ac.ir</t>
  </si>
  <si>
    <t>0098sms.com</t>
  </si>
  <si>
    <t>021021.ir</t>
  </si>
  <si>
    <t>doniciran.com</t>
  </si>
  <si>
    <t>sabooit.com</t>
  </si>
  <si>
    <t>ariadl.com</t>
  </si>
  <si>
    <t>idenovin.com</t>
  </si>
  <si>
    <t>taksoo.ir</t>
  </si>
  <si>
    <t>telkachoob.com</t>
  </si>
  <si>
    <t>engarehnet.ir</t>
  </si>
  <si>
    <t>langlearn.net</t>
  </si>
  <si>
    <t>asr24.com</t>
  </si>
  <si>
    <t>sharifvisa.ir</t>
  </si>
  <si>
    <t>rohamart.net</t>
  </si>
  <si>
    <t>rayansaba.com</t>
  </si>
  <si>
    <t>digikharid.com</t>
  </si>
  <si>
    <t>behsazan.net</t>
  </si>
  <si>
    <t>kishmehr.org</t>
  </si>
  <si>
    <t>sazkala.com</t>
  </si>
  <si>
    <t>zeytoonco.ir</t>
  </si>
  <si>
    <t>negarkhaneh.ir</t>
  </si>
  <si>
    <t>cinematicket.org</t>
  </si>
  <si>
    <t>asanhost.com</t>
  </si>
  <si>
    <t>agahbroker.com</t>
  </si>
  <si>
    <t>melkeman.com</t>
  </si>
  <si>
    <t>sarasary.com</t>
  </si>
  <si>
    <t>crm.shahrad.com</t>
  </si>
  <si>
    <t>magiran.com</t>
  </si>
  <si>
    <t>tahlilgaran.org</t>
  </si>
  <si>
    <t>emdad.ir</t>
  </si>
  <si>
    <t>shopping.nooran.com</t>
  </si>
  <si>
    <t>tehrantarjomeh.com</t>
  </si>
  <si>
    <t>maker.ir</t>
  </si>
  <si>
    <t>shaparakgroup.com</t>
  </si>
  <si>
    <t>agahbookshop.com</t>
  </si>
  <si>
    <t>rayanhost.com</t>
  </si>
  <si>
    <t>dlmgroup.ir</t>
  </si>
  <si>
    <t>bfc.ir</t>
  </si>
  <si>
    <t>accounts.sepanta.com</t>
  </si>
  <si>
    <t>farasa.net</t>
  </si>
  <si>
    <t>payaname.com</t>
  </si>
  <si>
    <t>kermany.com</t>
  </si>
  <si>
    <t>bagnet.ir</t>
  </si>
  <si>
    <t>asarayan.com</t>
  </si>
  <si>
    <t>rayansazeh.com</t>
  </si>
  <si>
    <t>venuspub.ir</t>
  </si>
  <si>
    <t>raad-charity.org</t>
  </si>
  <si>
    <t>sari-tech.com</t>
  </si>
  <si>
    <t>eeeshop.ir</t>
  </si>
  <si>
    <t>3gam.ir</t>
  </si>
  <si>
    <t>mahan.aero</t>
  </si>
  <si>
    <t>shimiazma.ir</t>
  </si>
  <si>
    <t>laptopclub.ir</t>
  </si>
  <si>
    <t>nikamooz.com</t>
  </si>
  <si>
    <t>lent.ir</t>
  </si>
  <si>
    <t>booking.ir</t>
  </si>
  <si>
    <t>parskar.ir</t>
  </si>
  <si>
    <t>padidehtabar.com</t>
  </si>
  <si>
    <t>parspack.com</t>
  </si>
  <si>
    <t>goopas.com</t>
  </si>
  <si>
    <t>iranfile.ir</t>
  </si>
  <si>
    <t>abtinserver.com</t>
  </si>
  <si>
    <t>nashreghatreh.com</t>
  </si>
  <si>
    <t>my.navidiranian.ir</t>
  </si>
  <si>
    <t>instrucenter.com</t>
  </si>
  <si>
    <t>nikanlink.com</t>
  </si>
  <si>
    <t>parmisit.com</t>
  </si>
  <si>
    <t>shafajoo.com</t>
  </si>
  <si>
    <t>bitanet.net</t>
  </si>
  <si>
    <t>bulk.ir</t>
  </si>
  <si>
    <t>shahreketabonline.com</t>
  </si>
  <si>
    <t>ssmm.ir</t>
  </si>
  <si>
    <t>marketingshop.ir</t>
  </si>
  <si>
    <t>car.dahgan.ir</t>
  </si>
  <si>
    <t>d2k.ir</t>
  </si>
  <si>
    <t>irden.ir</t>
  </si>
  <si>
    <t>epage.ir</t>
  </si>
  <si>
    <t>joomir.com</t>
  </si>
  <si>
    <t>cartridgeworld.ir</t>
  </si>
  <si>
    <t>tisagol.com</t>
  </si>
  <si>
    <t>azaranweb.org</t>
  </si>
  <si>
    <t>opco.co.ir</t>
  </si>
  <si>
    <t>pishrokala.com</t>
  </si>
  <si>
    <t>isihome.ir</t>
  </si>
  <si>
    <t>junglepub.org</t>
  </si>
  <si>
    <t>smsonline.ir</t>
  </si>
  <si>
    <t>mandegarkala.com</t>
  </si>
  <si>
    <t>farsapple.com</t>
  </si>
  <si>
    <t>itrans.ir</t>
  </si>
  <si>
    <t>sorkhabishop.com</t>
  </si>
  <si>
    <t>antihiv.ir</t>
  </si>
  <si>
    <t>niaze-danesh.com</t>
  </si>
  <si>
    <t>applebazar.net</t>
  </si>
  <si>
    <t>behzisti.ir</t>
  </si>
  <si>
    <t>store.rahauav.com</t>
  </si>
  <si>
    <t>hodhod.com</t>
  </si>
  <si>
    <t>pishehvar.com</t>
  </si>
  <si>
    <t>atrafshan.ir</t>
  </si>
  <si>
    <t>sms1.ir</t>
  </si>
  <si>
    <t>isib.ir</t>
  </si>
  <si>
    <t>psi.ir</t>
  </si>
  <si>
    <t>beatscenter.ir</t>
  </si>
  <si>
    <t>attari24.ir</t>
  </si>
  <si>
    <t>pooshak-iran.ir</t>
  </si>
  <si>
    <t>procard.ir</t>
  </si>
  <si>
    <t>iranmiz.com</t>
  </si>
  <si>
    <t>motahari.ac.ir</t>
  </si>
  <si>
    <t>modat.ac.ir</t>
  </si>
  <si>
    <t>farhikhtegan.com</t>
  </si>
  <si>
    <t>kardasti.net</t>
  </si>
  <si>
    <t>hishop.center</t>
  </si>
  <si>
    <t>i-cctv.ir</t>
  </si>
  <si>
    <t>scale.ir</t>
  </si>
  <si>
    <t>melkfile.com</t>
  </si>
  <si>
    <t>ghadam.com</t>
  </si>
  <si>
    <t>rozanehshop.ir</t>
  </si>
  <si>
    <t>iranwebhost.ir</t>
  </si>
  <si>
    <t>hiprinter.com</t>
  </si>
  <si>
    <t>mahashop.ir</t>
  </si>
  <si>
    <t>faradars.org</t>
  </si>
  <si>
    <t>takshop91.biz</t>
  </si>
  <si>
    <t>etoranj.com</t>
  </si>
  <si>
    <t>shop.najrobotics.com</t>
  </si>
  <si>
    <t>charter-ticket.com</t>
  </si>
  <si>
    <t>techno2000.net</t>
  </si>
  <si>
    <t>cinemaclass.ir</t>
  </si>
  <si>
    <t>chargereseller.com</t>
  </si>
  <si>
    <t>javanelec.com</t>
  </si>
  <si>
    <t>deltaban24.net</t>
  </si>
  <si>
    <t>parsia.net</t>
  </si>
  <si>
    <t>atsignshop.ir</t>
  </si>
  <si>
    <t>fatemi.ir</t>
  </si>
  <si>
    <t>egolchin.ir</t>
  </si>
  <si>
    <t>panizcook.org</t>
  </si>
  <si>
    <t>sepian.ir</t>
  </si>
  <si>
    <t>rahyab.ir</t>
  </si>
  <si>
    <t>cinemazendegi.com</t>
  </si>
  <si>
    <t>digiseo.ir</t>
  </si>
  <si>
    <t>gaj.ir</t>
  </si>
  <si>
    <t>pardiskhodro.com</t>
  </si>
  <si>
    <t>mitakishmarket.com</t>
  </si>
  <si>
    <t>vazifeh.police.ir</t>
  </si>
  <si>
    <t>icleasing.ir</t>
  </si>
  <si>
    <t>campo.ir</t>
  </si>
  <si>
    <t>doctorwp.com</t>
  </si>
  <si>
    <t>echehreh.com</t>
  </si>
  <si>
    <t>tkdanesh.com</t>
  </si>
  <si>
    <t>pardismellat.com</t>
  </si>
  <si>
    <t>sarmadins.ir</t>
  </si>
  <si>
    <t>newkiteshop.com</t>
  </si>
  <si>
    <t>emofid.com</t>
  </si>
  <si>
    <t>ccli.ir</t>
  </si>
  <si>
    <t>kaelectronic.com</t>
  </si>
  <si>
    <t>spaceiran.com</t>
  </si>
  <si>
    <t>parsrasa.com</t>
  </si>
  <si>
    <t>shahedankowsar.com</t>
  </si>
  <si>
    <t>herfeh-honarmand.com</t>
  </si>
  <si>
    <t>momtazsport.com</t>
  </si>
  <si>
    <t>mahak-charity.org</t>
  </si>
  <si>
    <t>rbc.ir</t>
  </si>
  <si>
    <t>exif.ir</t>
  </si>
  <si>
    <t>arzan-safar.ir</t>
  </si>
  <si>
    <t>farasaze.ir</t>
  </si>
  <si>
    <t>gilaas.com</t>
  </si>
  <si>
    <t>arjang.ac.ir</t>
  </si>
  <si>
    <t>daryaserver.com</t>
  </si>
  <si>
    <t>toyinfo.ir</t>
  </si>
  <si>
    <t>instachap.com</t>
  </si>
  <si>
    <t>store.oghabha.com</t>
  </si>
  <si>
    <t>drmoney.ir</t>
  </si>
  <si>
    <t>xchap.com</t>
  </si>
  <si>
    <t>online.nibi.ir</t>
  </si>
  <si>
    <t>clicktools.ir</t>
  </si>
  <si>
    <t>abanmall.com</t>
  </si>
  <si>
    <t>arasbaran.org</t>
  </si>
  <si>
    <t>ketabkhon.ir</t>
  </si>
  <si>
    <t>armanic.com</t>
  </si>
  <si>
    <t>azarbadpub.ir</t>
  </si>
  <si>
    <t>olenz.ir</t>
  </si>
  <si>
    <t>shikotak.com</t>
  </si>
  <si>
    <t>rayka-co.ir</t>
  </si>
  <si>
    <t>pandora.ir</t>
  </si>
  <si>
    <t>hiweb.ir</t>
  </si>
  <si>
    <t>afra-tech.ir</t>
  </si>
  <si>
    <t>2bace.com</t>
  </si>
  <si>
    <t>qr-code.ir</t>
  </si>
  <si>
    <t>parsbtc.com</t>
  </si>
  <si>
    <t>azmoonphd.com</t>
  </si>
  <si>
    <t>toolsir.com</t>
  </si>
  <si>
    <t>datakey.ir</t>
  </si>
  <si>
    <t>kheilisabz.com</t>
  </si>
  <si>
    <t>parstranslator.com</t>
  </si>
  <si>
    <t>amirbahador.com</t>
  </si>
  <si>
    <t>arsangame.com</t>
  </si>
  <si>
    <t>khabarrazmavar.ir</t>
  </si>
  <si>
    <t>kavoshteam.net</t>
  </si>
  <si>
    <t>forosh.biz</t>
  </si>
  <si>
    <t>teamspeakiran.ir</t>
  </si>
  <si>
    <t>zhiwaar.com</t>
  </si>
  <si>
    <t>hddcaddy.ir</t>
  </si>
  <si>
    <t>zibarou.com</t>
  </si>
  <si>
    <t>parsasms.com</t>
  </si>
  <si>
    <t>balonagahi.com</t>
  </si>
  <si>
    <t>tik8.com</t>
  </si>
  <si>
    <t>booktvto.ir</t>
  </si>
  <si>
    <t>deliran.net</t>
  </si>
  <si>
    <t>ubarg.ir</t>
  </si>
  <si>
    <t>jahanbazar.com</t>
  </si>
  <si>
    <t>negins.com</t>
  </si>
  <si>
    <t>20dar100.com</t>
  </si>
  <si>
    <t>e-tablet.ir</t>
  </si>
  <si>
    <t>iseema.ir</t>
  </si>
  <si>
    <t>irssd.ir</t>
  </si>
  <si>
    <t>pishgamweb.net</t>
  </si>
  <si>
    <t>chekala.com</t>
  </si>
  <si>
    <t>albatross.ir</t>
  </si>
  <si>
    <t>icesi.ir</t>
  </si>
  <si>
    <t>movafaghiat.com</t>
  </si>
  <si>
    <t>nibb.ir</t>
  </si>
  <si>
    <t>edarishop.com</t>
  </si>
  <si>
    <t>tbrastak.com</t>
  </si>
  <si>
    <t>myfc.ir</t>
  </si>
  <si>
    <t>sjb.co.ir</t>
  </si>
  <si>
    <t>bestnik.ir</t>
  </si>
  <si>
    <t>eforosh.com</t>
  </si>
  <si>
    <t>sazinco.ir</t>
  </si>
  <si>
    <t>mellatbazar.ir</t>
  </si>
  <si>
    <t>janomeco.com</t>
  </si>
  <si>
    <t>bimeplus.com</t>
  </si>
  <si>
    <t>chameleon-drg.com</t>
  </si>
  <si>
    <t>happycard.ir</t>
  </si>
  <si>
    <t>camirancctv.com</t>
  </si>
  <si>
    <t>mrdizi.com</t>
  </si>
  <si>
    <t>jahanserver.com</t>
  </si>
  <si>
    <t>novinbook.com</t>
  </si>
  <si>
    <t>postagahi.com</t>
  </si>
  <si>
    <t>sibsketch.com</t>
  </si>
  <si>
    <t>golgis.com</t>
  </si>
  <si>
    <t>persianaviator.com</t>
  </si>
  <si>
    <t>mclc.ir</t>
  </si>
  <si>
    <t>abzarekar.com</t>
  </si>
  <si>
    <t>tehran-meshop.com</t>
  </si>
  <si>
    <t>bank-day.ir</t>
  </si>
  <si>
    <t>espt.ir</t>
  </si>
  <si>
    <t>mallofvoip.ir</t>
  </si>
  <si>
    <t>gem98.com</t>
  </si>
  <si>
    <t>30book.ir</t>
  </si>
  <si>
    <t>tasisat.ir</t>
  </si>
  <si>
    <t>bonyadbaran.com</t>
  </si>
  <si>
    <t>mahdyab.ir</t>
  </si>
  <si>
    <t>adminkala.com</t>
  </si>
  <si>
    <t>voipshop.ir</t>
  </si>
  <si>
    <t>kachiran.ir</t>
  </si>
  <si>
    <t>payamesaba24.ir</t>
  </si>
  <si>
    <t>banimode.com</t>
  </si>
  <si>
    <t>besttv.ir</t>
  </si>
  <si>
    <t>amaziran.com</t>
  </si>
  <si>
    <t>payeganltd.com</t>
  </si>
  <si>
    <t>zagrosairlines.com</t>
  </si>
  <si>
    <t>shabakekarino.ir</t>
  </si>
  <si>
    <t>shop.winphone.ir</t>
  </si>
  <si>
    <t>irancode.ir</t>
  </si>
  <si>
    <t>asarbook.com</t>
  </si>
  <si>
    <t>iranbook.ir</t>
  </si>
  <si>
    <t>blacklight.ir</t>
  </si>
  <si>
    <t>asics.ir</t>
  </si>
  <si>
    <t>ashraafi.com</t>
  </si>
  <si>
    <t>goodco.ir</t>
  </si>
  <si>
    <t>setarehvanak.com</t>
  </si>
  <si>
    <t>ghestikala.com</t>
  </si>
  <si>
    <t>mamashop.ir</t>
  </si>
  <si>
    <t>torkjameh.com</t>
  </si>
  <si>
    <t>megateb.com</t>
  </si>
  <si>
    <t>moaraghkar.ir</t>
  </si>
  <si>
    <t>fantazio.ir</t>
  </si>
  <si>
    <t>neonperse.com</t>
  </si>
  <si>
    <t>honari.com</t>
  </si>
  <si>
    <t>tirestore.ir</t>
  </si>
  <si>
    <t>zibamoj.ir</t>
  </si>
  <si>
    <t>tinokala.com</t>
  </si>
  <si>
    <t>parsstock.ir</t>
  </si>
  <si>
    <t>sanjeshetakmili.com</t>
  </si>
  <si>
    <t>sindad.com</t>
  </si>
  <si>
    <t>bayan.ir</t>
  </si>
  <si>
    <t>new.ksabz.net</t>
  </si>
  <si>
    <t>watchonline.ir</t>
  </si>
  <si>
    <t>asnafyab.ir</t>
  </si>
  <si>
    <t>shop.baban.ir</t>
  </si>
  <si>
    <t>irancharkh.com</t>
  </si>
  <si>
    <t>barayandshop.ir</t>
  </si>
  <si>
    <t>cpworld.ir</t>
  </si>
  <si>
    <t>hamyarwp.com</t>
  </si>
  <si>
    <t>qeshmvoltage.com</t>
  </si>
  <si>
    <t>takhfifbartar.com</t>
  </si>
  <si>
    <t>nano.ir</t>
  </si>
  <si>
    <t>ketabcity.com</t>
  </si>
  <si>
    <t>karafarin-insurance.ir</t>
  </si>
  <si>
    <t>student.ir</t>
  </si>
  <si>
    <t>abzar-yaragh.com</t>
  </si>
  <si>
    <t>amitis-group.com</t>
  </si>
  <si>
    <t>lcshop.ir</t>
  </si>
  <si>
    <t>arinakala.com</t>
  </si>
  <si>
    <t>motalesharif.com</t>
  </si>
  <si>
    <t>ics.ir</t>
  </si>
  <si>
    <t>hamshahrimarket.com</t>
  </si>
  <si>
    <t>cod.ir</t>
  </si>
  <si>
    <t>abzarsara.com</t>
  </si>
  <si>
    <t>chitgarha.com</t>
  </si>
  <si>
    <t>abzarjoosh.com</t>
  </si>
  <si>
    <t>mehrabane.ir</t>
  </si>
  <si>
    <t>jashnname.com</t>
  </si>
  <si>
    <t>csi.org.ir</t>
  </si>
  <si>
    <t>www.radtabligh.com</t>
  </si>
  <si>
    <t>papooli.ir</t>
  </si>
  <si>
    <t>touristore.ir</t>
  </si>
  <si>
    <t>delband.com</t>
  </si>
  <si>
    <t>nashreney.com</t>
  </si>
  <si>
    <t>karafarini.ir</t>
  </si>
  <si>
    <t>behsamanco.com</t>
  </si>
  <si>
    <t>tums.ac.ir</t>
  </si>
  <si>
    <t>tehrantire.com</t>
  </si>
  <si>
    <t>zoomkala.com</t>
  </si>
  <si>
    <t>irtextbook.com</t>
  </si>
  <si>
    <t>hipersia.com</t>
  </si>
  <si>
    <t>rahacarpet.com</t>
  </si>
  <si>
    <t>nbbiran.com</t>
  </si>
  <si>
    <t>violetiran.com</t>
  </si>
  <si>
    <t>puna.ir</t>
  </si>
  <si>
    <t>thaimassage.ir</t>
  </si>
  <si>
    <t>sib.ir</t>
  </si>
  <si>
    <t>icrc.ac.ir</t>
  </si>
  <si>
    <t>bimax.ir</t>
  </si>
  <si>
    <t>venusperfume.ir</t>
  </si>
  <si>
    <t>abzarmart.com</t>
  </si>
  <si>
    <t>ruban.com</t>
  </si>
  <si>
    <t>ealborzins.ir</t>
  </si>
  <si>
    <t>puzel.ir</t>
  </si>
  <si>
    <t>haliagency.com</t>
  </si>
  <si>
    <t>decoricor.com</t>
  </si>
  <si>
    <t>hamsane.com</t>
  </si>
  <si>
    <t>iacenter.ir</t>
  </si>
  <si>
    <t>filesell.ir</t>
  </si>
  <si>
    <t>ime.org.ir</t>
  </si>
  <si>
    <t>khoshdast.ir</t>
  </si>
  <si>
    <t>ketab.ir</t>
  </si>
  <si>
    <t>salembash.com</t>
  </si>
  <si>
    <t>iranibonsai.com</t>
  </si>
  <si>
    <t>parsish.com</t>
  </si>
  <si>
    <t>hadafhafez.com</t>
  </si>
  <si>
    <t>myapps.ir</t>
  </si>
  <si>
    <t>itsky.ir</t>
  </si>
  <si>
    <t>sharlion.ir</t>
  </si>
  <si>
    <t>icphone.ir</t>
  </si>
  <si>
    <t>tejanet.com</t>
  </si>
  <si>
    <t>simorqland.com</t>
  </si>
  <si>
    <t>irantextbook.ir</t>
  </si>
  <si>
    <t>graphiciran.net</t>
  </si>
  <si>
    <t>khoonat.com</t>
  </si>
  <si>
    <t>zimito.com</t>
  </si>
  <si>
    <t>disto.ir</t>
  </si>
  <si>
    <t>osmahabco.com</t>
  </si>
  <si>
    <t>pishgaman.net</t>
  </si>
  <si>
    <t>zarsam.com</t>
  </si>
  <si>
    <t>charsoonet.com</t>
  </si>
  <si>
    <t>chibile.ir</t>
  </si>
  <si>
    <t>m-mehraban.com</t>
  </si>
  <si>
    <t>karoj.com</t>
  </si>
  <si>
    <t>madaresabz.com</t>
  </si>
  <si>
    <t>nini-kala.ir</t>
  </si>
  <si>
    <t>homegrp.com</t>
  </si>
  <si>
    <t>iranfair.com</t>
  </si>
  <si>
    <t>mbazar.ir</t>
  </si>
  <si>
    <t>esteghlaljavan.ir</t>
  </si>
  <si>
    <t>rayabook.net</t>
  </si>
  <si>
    <t>cstore.ir</t>
  </si>
  <si>
    <t>ariabooking.ir</t>
  </si>
  <si>
    <t>joox.ir</t>
  </si>
  <si>
    <t>uniabroad.ir</t>
  </si>
  <si>
    <t>kmsco.ir</t>
  </si>
  <si>
    <t>mrchoobi.com</t>
  </si>
  <si>
    <t>iraniannespressoclub.ir</t>
  </si>
  <si>
    <t>bimehasia.com</t>
  </si>
  <si>
    <t>iranspca.com</t>
  </si>
  <si>
    <t>tehranhost.com</t>
  </si>
  <si>
    <t>taranesaz.com</t>
  </si>
  <si>
    <t>pawish.com</t>
  </si>
  <si>
    <t>safarestan.com</t>
  </si>
  <si>
    <t>server.ir</t>
  </si>
  <si>
    <t>psxshop.ir</t>
  </si>
  <si>
    <t>telobal.com</t>
  </si>
  <si>
    <t>hamrah-mechanic.com</t>
  </si>
  <si>
    <t>tehkala.ir</t>
  </si>
  <si>
    <t>soorano.com</t>
  </si>
  <si>
    <t>modiseh.com</t>
  </si>
  <si>
    <t>tamtaragh.com</t>
  </si>
  <si>
    <t>cybertechtraining.com</t>
  </si>
  <si>
    <t>sanatbazar.com</t>
  </si>
  <si>
    <t>virglass.ir</t>
  </si>
  <si>
    <t>payment24.ir</t>
  </si>
  <si>
    <t>emrouzkharid.com</t>
  </si>
  <si>
    <t>cafegardesh.com</t>
  </si>
  <si>
    <t>cargeek.ir</t>
  </si>
  <si>
    <t>pintapin.com</t>
  </si>
  <si>
    <t>hmobile.ir</t>
  </si>
  <si>
    <t>markettools.ir</t>
  </si>
  <si>
    <t>portal.ir</t>
  </si>
  <si>
    <t>alfamadarsanat.com</t>
  </si>
  <si>
    <t>scipers.com</t>
  </si>
  <si>
    <t>my7shop.com</t>
  </si>
  <si>
    <t>netaram.com</t>
  </si>
  <si>
    <t>parsianpay.com</t>
  </si>
  <si>
    <t>dcashop.ir</t>
  </si>
  <si>
    <t>retinakala.com</t>
  </si>
  <si>
    <t>dodoak.com</t>
  </si>
  <si>
    <t>varzeshan.com</t>
  </si>
  <si>
    <t>abzarmohsen.com</t>
  </si>
  <si>
    <t>anarpedia.com</t>
  </si>
  <si>
    <t>irankharid.com</t>
  </si>
  <si>
    <t>kanoon.ir</t>
  </si>
  <si>
    <t>mobtakeran.net</t>
  </si>
  <si>
    <t>bourse24.ir</t>
  </si>
  <si>
    <t>clubvarzesh.com</t>
  </si>
  <si>
    <t>webganje.com</t>
  </si>
  <si>
    <t>harasp.com</t>
  </si>
  <si>
    <t>rhino3dm.ir</t>
  </si>
  <si>
    <t>bodofo.com</t>
  </si>
  <si>
    <t>isaeeshop.com</t>
  </si>
  <si>
    <t>rahju.ir</t>
  </si>
  <si>
    <t>tovama.com</t>
  </si>
  <si>
    <t>speedup.ir</t>
  </si>
  <si>
    <t>chasbiran.com</t>
  </si>
  <si>
    <t>iranfactory.com</t>
  </si>
  <si>
    <t>microteb.com</t>
  </si>
  <si>
    <t>namadfinance.com</t>
  </si>
  <si>
    <t>digicenter.ir</t>
  </si>
  <si>
    <t>parsimperia.ir</t>
  </si>
  <si>
    <t>racfd.com</t>
  </si>
  <si>
    <t>allsamsung.ir</t>
  </si>
  <si>
    <t>ostadbank.com</t>
  </si>
  <si>
    <t>zoodweb.com</t>
  </si>
  <si>
    <t>gt724.com</t>
  </si>
  <si>
    <t>10bazar.com</t>
  </si>
  <si>
    <t>jooshtak.com</t>
  </si>
  <si>
    <t>cinemavaadabiat.com</t>
  </si>
  <si>
    <t>sharifngo.com</t>
  </si>
  <si>
    <t>bnco.ir</t>
  </si>
  <si>
    <t>rayanehmag.net</t>
  </si>
  <si>
    <t>foamiran.com</t>
  </si>
  <si>
    <t>vilajat.com</t>
  </si>
  <si>
    <t>zamanzeevar.ir</t>
  </si>
  <si>
    <t>instabot.ir</t>
  </si>
  <si>
    <t>nimkatbook.ir</t>
  </si>
  <si>
    <t>zoomland.ir</t>
  </si>
  <si>
    <t>daneshgostar.org</t>
  </si>
  <si>
    <t>iransetup.com</t>
  </si>
  <si>
    <t>sondosshop.com</t>
  </si>
  <si>
    <t>sonoof.com</t>
  </si>
  <si>
    <t>instagramiran.com</t>
  </si>
  <si>
    <t>microsoftco.ir</t>
  </si>
  <si>
    <t>manoketab.com</t>
  </si>
  <si>
    <t>samtik.com</t>
  </si>
  <si>
    <t>ketabkhaneh-farhang.ir</t>
  </si>
  <si>
    <t>mspsoft.com</t>
  </si>
  <si>
    <t>koleyn.com</t>
  </si>
  <si>
    <t>kilidkala.ir</t>
  </si>
  <si>
    <t>koolis.com</t>
  </si>
  <si>
    <t>npco.net</t>
  </si>
  <si>
    <t>magicar.ir</t>
  </si>
  <si>
    <t>nitaran.co</t>
  </si>
  <si>
    <t>p30web.org</t>
  </si>
  <si>
    <t>parsnafe.com</t>
  </si>
  <si>
    <t>mrsz.ir</t>
  </si>
  <si>
    <t>gajetcamp.in</t>
  </si>
  <si>
    <t>agahi.ir</t>
  </si>
  <si>
    <t>sarvserver.com</t>
  </si>
  <si>
    <t>appleidshop.com</t>
  </si>
  <si>
    <t>ninibazar.com</t>
  </si>
  <si>
    <t>iranaqua.ir</t>
  </si>
  <si>
    <t>reyhoon.com</t>
  </si>
  <si>
    <t>asg.ir</t>
  </si>
  <si>
    <t>naringol.com</t>
  </si>
  <si>
    <t>ipirani.ir</t>
  </si>
  <si>
    <t>iran-spe.com</t>
  </si>
  <si>
    <t>irstat.ir</t>
  </si>
  <si>
    <t>top10kala.ir</t>
  </si>
  <si>
    <t>ipvoip.ir</t>
  </si>
  <si>
    <t>bahmanbroker.com</t>
  </si>
  <si>
    <t>hamsteriran.com</t>
  </si>
  <si>
    <t>callfood.ir</t>
  </si>
  <si>
    <t>sakhtafzarmag.com</t>
  </si>
  <si>
    <t>tafrid.ir</t>
  </si>
  <si>
    <t>tkadak.com</t>
  </si>
  <si>
    <t>mizbaz.com</t>
  </si>
  <si>
    <t>ickala.com</t>
  </si>
  <si>
    <t>datisnetwork.com</t>
  </si>
  <si>
    <t>vilajar.com</t>
  </si>
  <si>
    <t>chipic.ir</t>
  </si>
  <si>
    <t>bamom.ir</t>
  </si>
  <si>
    <t>2bk.ir</t>
  </si>
  <si>
    <t>frooyesh.ir</t>
  </si>
  <si>
    <t>mamanpaz.ir</t>
  </si>
  <si>
    <t>tatmlm.ir</t>
  </si>
  <si>
    <t>rangeetar.com</t>
  </si>
  <si>
    <t>adnegah.net</t>
  </si>
  <si>
    <t>travelenter.com</t>
  </si>
  <si>
    <t>monta.ir</t>
  </si>
  <si>
    <t>p30template.com</t>
  </si>
  <si>
    <t>data98.com</t>
  </si>
  <si>
    <t>shetabhost.net</t>
  </si>
  <si>
    <t>nikootanpoosh.com</t>
  </si>
  <si>
    <t>varzesh3.com</t>
  </si>
  <si>
    <t>taaghche.ir</t>
  </si>
  <si>
    <t>faragostaresh.com</t>
  </si>
  <si>
    <t>webmoom.com</t>
  </si>
  <si>
    <t>tehranpayment.com</t>
  </si>
  <si>
    <t>matinsportshop.com</t>
  </si>
  <si>
    <t>ebags.ir</t>
  </si>
  <si>
    <t>tehranhse.com</t>
  </si>
  <si>
    <t>dobisell.com</t>
  </si>
  <si>
    <t>drhsnajafi.com</t>
  </si>
  <si>
    <t>tvarm.ir</t>
  </si>
  <si>
    <t>nayabmarket.com</t>
  </si>
  <si>
    <t>faragostar.net</t>
  </si>
  <si>
    <t>markazpakhsh.com</t>
  </si>
  <si>
    <t>kbaja.ir</t>
  </si>
  <si>
    <t>eventbox.ir</t>
  </si>
  <si>
    <t>ataland.com</t>
  </si>
  <si>
    <t>ssmt.ir</t>
  </si>
  <si>
    <t>mobilestan-gsm.com</t>
  </si>
  <si>
    <t>honarland.ir</t>
  </si>
  <si>
    <t>panypay.ir</t>
  </si>
  <si>
    <t>payamakyab.com</t>
  </si>
  <si>
    <t>koohsite.com</t>
  </si>
  <si>
    <t>83851.ir</t>
  </si>
  <si>
    <t>atenahost.ir</t>
  </si>
  <si>
    <t>irf1.com</t>
  </si>
  <si>
    <t>banikhodro.com</t>
  </si>
  <si>
    <t>tejareh.com</t>
  </si>
  <si>
    <t>chapagha.com</t>
  </si>
  <si>
    <t>toykala.com</t>
  </si>
  <si>
    <t>40bazar.com</t>
  </si>
  <si>
    <t>fanamoozan.com</t>
  </si>
  <si>
    <t>bestim.ir</t>
  </si>
  <si>
    <t>roshdpress.ir</t>
  </si>
  <si>
    <t>pav.ir</t>
  </si>
  <si>
    <t>osport.ir</t>
  </si>
  <si>
    <t>iranhsk-co.com</t>
  </si>
  <si>
    <t>saipayadak.org</t>
  </si>
  <si>
    <t>mihanmarket.com</t>
  </si>
  <si>
    <t>rahoja.com</t>
  </si>
  <si>
    <t>nadpco.com</t>
  </si>
  <si>
    <t>ahan20.com</t>
  </si>
  <si>
    <t>takantik.com</t>
  </si>
  <si>
    <t>khanepezeshkan.com</t>
  </si>
  <si>
    <t>toytoy.ir</t>
  </si>
  <si>
    <t>ziping.ir</t>
  </si>
  <si>
    <t>tileiran.co</t>
  </si>
  <si>
    <t>royaninstitute.org</t>
  </si>
  <si>
    <t>oict.ir</t>
  </si>
  <si>
    <t>itbazar.com</t>
  </si>
  <si>
    <t>barsammarket.com</t>
  </si>
  <si>
    <t>raja.ir</t>
  </si>
  <si>
    <t>faranesh.com</t>
  </si>
  <si>
    <t>tas.ir</t>
  </si>
  <si>
    <t>otol.me</t>
  </si>
  <si>
    <t>persianartpic.com</t>
  </si>
  <si>
    <t>sabtefarda.com</t>
  </si>
  <si>
    <t>irc.ac.ir</t>
  </si>
  <si>
    <t>hamino.ir</t>
  </si>
  <si>
    <t>saz24.ir</t>
  </si>
  <si>
    <t>sharifsoft.com</t>
  </si>
  <si>
    <t>apshen.com</t>
  </si>
  <si>
    <t>khodrobox.com</t>
  </si>
  <si>
    <t>tablighatii.ir</t>
  </si>
  <si>
    <t>iranpath.org</t>
  </si>
  <si>
    <t>mitranet.ir</t>
  </si>
  <si>
    <t>iranpelak.com</t>
  </si>
  <si>
    <t>anreo.com</t>
  </si>
  <si>
    <t>arzoonshop.com</t>
  </si>
  <si>
    <t>modirinfo.com</t>
  </si>
  <si>
    <t>star20.com</t>
  </si>
  <si>
    <t>charmikala.ir</t>
  </si>
  <si>
    <t>arvancloud.com</t>
  </si>
  <si>
    <t>anetwork.ir</t>
  </si>
  <si>
    <t>ninikala.com</t>
  </si>
  <si>
    <t>jibibazar.com</t>
  </si>
  <si>
    <t>mikrotikstore.ir</t>
  </si>
  <si>
    <t>abco.ir</t>
  </si>
  <si>
    <t>bankketab.com</t>
  </si>
  <si>
    <t>tarjomano.com</t>
  </si>
  <si>
    <t>pafcoerp.com</t>
  </si>
  <si>
    <t>tnmelectronics.com</t>
  </si>
  <si>
    <t>kalagard.com</t>
  </si>
  <si>
    <t>allkey.ir</t>
  </si>
  <si>
    <t>evand.ir</t>
  </si>
  <si>
    <t>video-projector.ir</t>
  </si>
  <si>
    <t>tehranspeaker.com</t>
  </si>
  <si>
    <t>amirsafavi.ir</t>
  </si>
  <si>
    <t>exo.ir</t>
  </si>
  <si>
    <t>foodiran.com</t>
  </si>
  <si>
    <t>shabesh.com</t>
  </si>
  <si>
    <t>farskala.ir</t>
  </si>
  <si>
    <t>fekrafarin.com</t>
  </si>
  <si>
    <t>selco.ir</t>
  </si>
  <si>
    <t>sanjeshetakmili.ir</t>
  </si>
  <si>
    <t>market.mrcode.ir</t>
  </si>
  <si>
    <t>ibiar.com</t>
  </si>
  <si>
    <t>parsismobile.com</t>
  </si>
  <si>
    <t>persianblackberry.ir</t>
  </si>
  <si>
    <t>chalehservice.com</t>
  </si>
  <si>
    <t>kaladium.com</t>
  </si>
  <si>
    <t>hooraneh.com</t>
  </si>
  <si>
    <t>digikapart.ir</t>
  </si>
  <si>
    <t>zar.ir</t>
  </si>
  <si>
    <t>cafefarsh.com</t>
  </si>
  <si>
    <t>asiatech.ir</t>
  </si>
  <si>
    <t>vistortech.com</t>
  </si>
  <si>
    <t>japark.com</t>
  </si>
  <si>
    <t>datalifeengine.ir</t>
  </si>
  <si>
    <t>e3rah.com</t>
  </si>
  <si>
    <t>pasargadbroker.com</t>
  </si>
  <si>
    <t>persiangig.com</t>
  </si>
  <si>
    <t>hpcenter.net</t>
  </si>
  <si>
    <t>hamrahplus.com</t>
  </si>
  <si>
    <t>licensefa.com</t>
  </si>
  <si>
    <t>beurer.ir</t>
  </si>
  <si>
    <t>atawich.com</t>
  </si>
  <si>
    <t>shop.mci.ir</t>
  </si>
  <si>
    <t>bargnama.com</t>
  </si>
  <si>
    <t>aratex.ir</t>
  </si>
  <si>
    <t>almasneshantour.com</t>
  </si>
  <si>
    <t>pcoiran.ir</t>
  </si>
  <si>
    <t>e-haam.ir</t>
  </si>
  <si>
    <t>romonline.ir</t>
  </si>
  <si>
    <t>tanvarz.ir</t>
  </si>
  <si>
    <t>pareshstore.com</t>
  </si>
  <si>
    <t>store.iranian.cards</t>
  </si>
  <si>
    <t>greenskin.ir</t>
  </si>
  <si>
    <t>football-tehran.com</t>
  </si>
  <si>
    <t>yadup.ir</t>
  </si>
  <si>
    <t>emdadabzar.com</t>
  </si>
  <si>
    <t>parvaresheafkar.com</t>
  </si>
  <si>
    <t>bodyman.ir</t>
  </si>
  <si>
    <t>holidayiran.ir</t>
  </si>
  <si>
    <t>eletej.com</t>
  </si>
  <si>
    <t>kalajanebi.ir</t>
  </si>
  <si>
    <t>bazarekar.ir</t>
  </si>
  <si>
    <t>tejarat-iran.ir</t>
  </si>
  <si>
    <t>2nate.com</t>
  </si>
  <si>
    <t>stand.ir</t>
  </si>
  <si>
    <t>pars.host</t>
  </si>
  <si>
    <t>lighthome.ir</t>
  </si>
  <si>
    <t>aminpardaz.com</t>
  </si>
  <si>
    <t>baziline.com</t>
  </si>
  <si>
    <t>papco.ir</t>
  </si>
  <si>
    <t>bezanimbiroon.ir</t>
  </si>
  <si>
    <t>aftabtravel.com</t>
  </si>
  <si>
    <t>shop.dibalens.com</t>
  </si>
  <si>
    <t>vira20.ir</t>
  </si>
  <si>
    <t>web24.ir</t>
  </si>
  <si>
    <t>sepitam.com</t>
  </si>
  <si>
    <t>onlinesamsung.com</t>
  </si>
  <si>
    <t>choubkade.com</t>
  </si>
  <si>
    <t>parsonline.com</t>
  </si>
  <si>
    <t>jtt.ir</t>
  </si>
  <si>
    <t>snowacenter.ir</t>
  </si>
  <si>
    <t>hpasia.ir</t>
  </si>
  <si>
    <t>highfollower.com</t>
  </si>
  <si>
    <t>digirooz.com</t>
  </si>
  <si>
    <t>forestmobl.com</t>
  </si>
  <si>
    <t>snapp.ir</t>
  </si>
  <si>
    <t>اصفهان</t>
  </si>
  <si>
    <t>pedrambook.com</t>
  </si>
  <si>
    <t>maralhost.com</t>
  </si>
  <si>
    <t>microele.com</t>
  </si>
  <si>
    <t>xlvps.ir</t>
  </si>
  <si>
    <t>33pol.net</t>
  </si>
  <si>
    <t>sport4u.ir</t>
  </si>
  <si>
    <t>paperspedia.com</t>
  </si>
  <si>
    <t>mehrhost.com</t>
  </si>
  <si>
    <t>abaragahi.com</t>
  </si>
  <si>
    <t>daneshjookit.com</t>
  </si>
  <si>
    <t>thinclientmarket.com</t>
  </si>
  <si>
    <t>foodregime.com</t>
  </si>
  <si>
    <t>pouyasazan.org</t>
  </si>
  <si>
    <t>elearnever.com</t>
  </si>
  <si>
    <t>promobile.ir</t>
  </si>
  <si>
    <t>airplaneticket.ir</t>
  </si>
  <si>
    <t>panteaco.ir</t>
  </si>
  <si>
    <t>asrdigital.ir</t>
  </si>
  <si>
    <t>taksabad.com</t>
  </si>
  <si>
    <t>pluspay.ir</t>
  </si>
  <si>
    <t>javanwebco.com</t>
  </si>
  <si>
    <t>ihedieh.com</t>
  </si>
  <si>
    <t>ertebat7.ir</t>
  </si>
  <si>
    <t>merqc.com</t>
  </si>
  <si>
    <t>host97.net</t>
  </si>
  <si>
    <t>aradpardaz.com</t>
  </si>
  <si>
    <t>mydevice.ir</t>
  </si>
  <si>
    <t>iranicard.com</t>
  </si>
  <si>
    <t>nikushop.com</t>
  </si>
  <si>
    <t>negahshop.com</t>
  </si>
  <si>
    <t>samacharm.ir</t>
  </si>
  <si>
    <t>netafraz.com</t>
  </si>
  <si>
    <t>gamershop.ir</t>
  </si>
  <si>
    <t>asemanhost.com</t>
  </si>
  <si>
    <t>sanjesh1.com</t>
  </si>
  <si>
    <t>emertad.com</t>
  </si>
  <si>
    <t>7mobile.ir</t>
  </si>
  <si>
    <t>aralborz.ir</t>
  </si>
  <si>
    <t>a00b.com</t>
  </si>
  <si>
    <t>koohgard.com</t>
  </si>
  <si>
    <t>bestit.co</t>
  </si>
  <si>
    <t>tarhan.ir</t>
  </si>
  <si>
    <t>jeyserver.com</t>
  </si>
  <si>
    <t>tegrahost.com</t>
  </si>
  <si>
    <t>jooyeshgar.com</t>
  </si>
  <si>
    <t>zsticker.ir</t>
  </si>
  <si>
    <t>mizbanfa.com</t>
  </si>
  <si>
    <t>tandisbook.com</t>
  </si>
  <si>
    <t>esfahanhost.com</t>
  </si>
  <si>
    <t>webnegaranco.com</t>
  </si>
  <si>
    <t>marketestan.com</t>
  </si>
  <si>
    <t>abaquscenter.com</t>
  </si>
  <si>
    <t>poshtvarserver.com</t>
  </si>
  <si>
    <t>tanzimekhanevadeh.com</t>
  </si>
  <si>
    <t>sepehr24.ir</t>
  </si>
  <si>
    <t>flashiran.net</t>
  </si>
  <si>
    <t>motarjeminiran.com</t>
  </si>
  <si>
    <t>bpshop.ir</t>
  </si>
  <si>
    <t>janebibazar.ir</t>
  </si>
  <si>
    <t>physicsteach.ir</t>
  </si>
  <si>
    <t>apple724.ir</t>
  </si>
  <si>
    <t>kimiyanafis.com</t>
  </si>
  <si>
    <t>lezatekharid.com</t>
  </si>
  <si>
    <t>bode4.com</t>
  </si>
  <si>
    <t>unlocks.ir</t>
  </si>
  <si>
    <t>ratinbourse.ir</t>
  </si>
  <si>
    <t>imensepahan.com</t>
  </si>
  <si>
    <t>pardazit.net</t>
  </si>
  <si>
    <t>janebitel.ir</t>
  </si>
  <si>
    <t>steammarket.org</t>
  </si>
  <si>
    <t>iut.ac.ir</t>
  </si>
  <si>
    <t>amlakeesfahan.com</t>
  </si>
  <si>
    <t>dokht-machine.ir</t>
  </si>
  <si>
    <t>markaze118.com</t>
  </si>
  <si>
    <t>poomish.com</t>
  </si>
  <si>
    <t>intkar.ir</t>
  </si>
  <si>
    <t>loxblog.com</t>
  </si>
  <si>
    <t>parsianhesab.com</t>
  </si>
  <si>
    <t>tocheshm.com</t>
  </si>
  <si>
    <t>barsina.com</t>
  </si>
  <si>
    <t>kowsarhyper.com</t>
  </si>
  <si>
    <t>mrbilit.com</t>
  </si>
  <si>
    <t>softiran.org</t>
  </si>
  <si>
    <t>mytypist.ir</t>
  </si>
  <si>
    <t>technokade.com</t>
  </si>
  <si>
    <t>webdade.com</t>
  </si>
  <si>
    <t>instasazan.ir</t>
  </si>
  <si>
    <t>bigmelk.com</t>
  </si>
  <si>
    <t>highhost.org</t>
  </si>
  <si>
    <t>webyar.net</t>
  </si>
  <si>
    <t>payaneha.com</t>
  </si>
  <si>
    <t>naderi20.ir</t>
  </si>
  <si>
    <t>farshkashanco.com</t>
  </si>
  <si>
    <t>istgaha.com</t>
  </si>
  <si>
    <t>sainacloud.ir</t>
  </si>
  <si>
    <t>aron.host</t>
  </si>
  <si>
    <t>emsisoft.co.ir</t>
  </si>
  <si>
    <t>pemu.ir</t>
  </si>
  <si>
    <t>esfwifi.ir</t>
  </si>
  <si>
    <t>1ahang.com</t>
  </si>
  <si>
    <t>mehrad-co.com</t>
  </si>
  <si>
    <t>dlgsm.com</t>
  </si>
  <si>
    <t>خراسان رضوی</t>
  </si>
  <si>
    <t>razavi-agri-eng.ir</t>
  </si>
  <si>
    <t>javaheribina.com</t>
  </si>
  <si>
    <t>amootco.ir</t>
  </si>
  <si>
    <t>barsashop.com</t>
  </si>
  <si>
    <t>kandoocn.com</t>
  </si>
  <si>
    <t>apple-nic.com</t>
  </si>
  <si>
    <t>shop.tabletbaz.com</t>
  </si>
  <si>
    <t>papyrus.ir</t>
  </si>
  <si>
    <t>mobinsoft.net</t>
  </si>
  <si>
    <t>shatelhost.com</t>
  </si>
  <si>
    <t>cardha.com</t>
  </si>
  <si>
    <t>javaherbazar.com</t>
  </si>
  <si>
    <t>dayanshop.com</t>
  </si>
  <si>
    <t>sceg.ir</t>
  </si>
  <si>
    <t>paybycashu.com</t>
  </si>
  <si>
    <t>asuscenter.ir</t>
  </si>
  <si>
    <t>bbk-iran.com</t>
  </si>
  <si>
    <t>iranserver.com</t>
  </si>
  <si>
    <t>iranhotelonline.com</t>
  </si>
  <si>
    <t>sahiran.com</t>
  </si>
  <si>
    <t>spadsms.ir</t>
  </si>
  <si>
    <t>pnueb.com</t>
  </si>
  <si>
    <t>oloomsara.com</t>
  </si>
  <si>
    <t>mashhadhost.com</t>
  </si>
  <si>
    <t>on5.ir</t>
  </si>
  <si>
    <t>charepaz.com</t>
  </si>
  <si>
    <t>pezeshkashna.com</t>
  </si>
  <si>
    <t>angoshtar.com</t>
  </si>
  <si>
    <t>rayaneh.com</t>
  </si>
  <si>
    <t>mbstore.ir</t>
  </si>
  <si>
    <t>mdc.ir</t>
  </si>
  <si>
    <t>visaonline24.com</t>
  </si>
  <si>
    <t>hthapp.com</t>
  </si>
  <si>
    <t>exceliran.com</t>
  </si>
  <si>
    <t>ipistore.com</t>
  </si>
  <si>
    <t>armaghantravel.com</t>
  </si>
  <si>
    <t>salamdoctor.com</t>
  </si>
  <si>
    <t>decorstore.ir</t>
  </si>
  <si>
    <t>evarzesh.ir</t>
  </si>
  <si>
    <t>bazimag.com</t>
  </si>
  <si>
    <t>bbkshop.ir</t>
  </si>
  <si>
    <t>tolica.ir</t>
  </si>
  <si>
    <t>gisoom.com</t>
  </si>
  <si>
    <t>downloadarticle.ir</t>
  </si>
  <si>
    <t>salemeen.com</t>
  </si>
  <si>
    <t>parmanshop.ir</t>
  </si>
  <si>
    <t>zabaneramzi.ir</t>
  </si>
  <si>
    <t>aftabgostar.ir</t>
  </si>
  <si>
    <t>webvaman.com</t>
  </si>
  <si>
    <t>2nyacomputer.com</t>
  </si>
  <si>
    <t>schoolkala.ir</t>
  </si>
  <si>
    <t>irancenter.com</t>
  </si>
  <si>
    <t>faraketab.ir</t>
  </si>
  <si>
    <t>palmgarden.ir</t>
  </si>
  <si>
    <t>digibyte.ir</t>
  </si>
  <si>
    <t>hsoonshop.com</t>
  </si>
  <si>
    <t>gembox.in</t>
  </si>
  <si>
    <t>tabaran.ac.ir</t>
  </si>
  <si>
    <t>charogh.com</t>
  </si>
  <si>
    <t>amoozesh98.com</t>
  </si>
  <si>
    <t>zavaran.com</t>
  </si>
  <si>
    <t>arianeng.ir</t>
  </si>
  <si>
    <t>head-phone.ir</t>
  </si>
  <si>
    <t>razavihospital.com</t>
  </si>
  <si>
    <t>applyeu.com</t>
  </si>
  <si>
    <t>omraniha.com</t>
  </si>
  <si>
    <t>matlabi.ir</t>
  </si>
  <si>
    <t>tajoddin.ir</t>
  </si>
  <si>
    <t>soalatpnu.ir</t>
  </si>
  <si>
    <t>30vil.net</t>
  </si>
  <si>
    <t>mashadkala.com</t>
  </si>
  <si>
    <t>hamyab24.com</t>
  </si>
  <si>
    <t>ever247.net</t>
  </si>
  <si>
    <t>manishen.com</t>
  </si>
  <si>
    <t>persianregister.ir</t>
  </si>
  <si>
    <t>factorkon.ir</t>
  </si>
  <si>
    <t>iranpishraft.com</t>
  </si>
  <si>
    <t>garazh.ir</t>
  </si>
  <si>
    <t>androidha.com</t>
  </si>
  <si>
    <t>talarwp.com</t>
  </si>
  <si>
    <t>hotelghasr.com</t>
  </si>
  <si>
    <t>doorkar.com</t>
  </si>
  <si>
    <t>iranpc.com</t>
  </si>
  <si>
    <t>javaherlux.com</t>
  </si>
  <si>
    <t>weclick.ir</t>
  </si>
  <si>
    <t>motelyab.com</t>
  </si>
  <si>
    <t>safety-security.ir</t>
  </si>
  <si>
    <t>estekhdami.org</t>
  </si>
  <si>
    <t>download-book.ir</t>
  </si>
  <si>
    <t>saffronrowhani.ir</t>
  </si>
  <si>
    <t>janebiha.com</t>
  </si>
  <si>
    <t>sepehr.in</t>
  </si>
  <si>
    <t>arshadsara.ir</t>
  </si>
  <si>
    <t>multico.ir</t>
  </si>
  <si>
    <t>khayyam.ac.ir</t>
  </si>
  <si>
    <t>volleyballiran.com</t>
  </si>
  <si>
    <t>فارس</t>
  </si>
  <si>
    <t>tabligheirani.com</t>
  </si>
  <si>
    <t>sourcebaran.com</t>
  </si>
  <si>
    <t>kakohost.com</t>
  </si>
  <si>
    <t>fars-gsm.com</t>
  </si>
  <si>
    <t>tpbin.com</t>
  </si>
  <si>
    <t>irandeliver.com</t>
  </si>
  <si>
    <t>lemo.ir</t>
  </si>
  <si>
    <t>ratanet.com</t>
  </si>
  <si>
    <t>parscoders.com</t>
  </si>
  <si>
    <t>inetworkweb.com</t>
  </si>
  <si>
    <t>iranspss.com</t>
  </si>
  <si>
    <t>porrangprint.com</t>
  </si>
  <si>
    <t>koodakomadar.com</t>
  </si>
  <si>
    <t>macrotel.ir</t>
  </si>
  <si>
    <t>irpowerweb.com</t>
  </si>
  <si>
    <t>adobeconnect.ir</t>
  </si>
  <si>
    <t>takhfifbazan.com</t>
  </si>
  <si>
    <t>istgah.org</t>
  </si>
  <si>
    <t>irandiscus.com</t>
  </si>
  <si>
    <t>zire20.ir</t>
  </si>
  <si>
    <t>nt-shop.ir</t>
  </si>
  <si>
    <t>giftgallery.ir</t>
  </si>
  <si>
    <t>istoreonline.com</t>
  </si>
  <si>
    <t>codebox.ir</t>
  </si>
  <si>
    <t>iranlaptopparts.com</t>
  </si>
  <si>
    <t>zarinchap.com</t>
  </si>
  <si>
    <t>idyar.com</t>
  </si>
  <si>
    <t>fakher.ac.ir</t>
  </si>
  <si>
    <t>irannopendar.com</t>
  </si>
  <si>
    <t>shop9.ir</t>
  </si>
  <si>
    <t>irizan.com</t>
  </si>
  <si>
    <t>radinsan.com</t>
  </si>
  <si>
    <t>parminet.com</t>
  </si>
  <si>
    <t>apadana-ihe.ir</t>
  </si>
  <si>
    <t>jui.ir</t>
  </si>
  <si>
    <t>meganetwork.ir</t>
  </si>
  <si>
    <t>fazel.ac.ir</t>
  </si>
  <si>
    <t>deconik.net</t>
  </si>
  <si>
    <t>shirazbook.com</t>
  </si>
  <si>
    <t>markazi.co</t>
  </si>
  <si>
    <t>hafeztahrir.ir</t>
  </si>
  <si>
    <t>safarcenter.com</t>
  </si>
  <si>
    <t>cafepsd.com</t>
  </si>
  <si>
    <t>tirazisdm.com</t>
  </si>
  <si>
    <t>skinak.ir</t>
  </si>
  <si>
    <t>webalfa.net</t>
  </si>
  <si>
    <t>rasaelectronic.com</t>
  </si>
  <si>
    <t>قزوین</t>
  </si>
  <si>
    <t>padideh-tahrir.ir</t>
  </si>
  <si>
    <t>greener.ir</t>
  </si>
  <si>
    <t>shahrecode.ir</t>
  </si>
  <si>
    <t>notdoni.com</t>
  </si>
  <si>
    <t>barsamkala.com</t>
  </si>
  <si>
    <t>pasakgroup.com</t>
  </si>
  <si>
    <t>آذربایجان شرقی</t>
  </si>
  <si>
    <t>olink.ir</t>
  </si>
  <si>
    <t>webafza.com</t>
  </si>
  <si>
    <t>itshams.ir</t>
  </si>
  <si>
    <t>tei.ir</t>
  </si>
  <si>
    <t>hadiran.ir</t>
  </si>
  <si>
    <t>teknur-co.ir</t>
  </si>
  <si>
    <t>tashilgostar.com</t>
  </si>
  <si>
    <t>rangsan.ir</t>
  </si>
  <si>
    <t>tskala.com</t>
  </si>
  <si>
    <t>moshavere.net</t>
  </si>
  <si>
    <t>irsme.org</t>
  </si>
  <si>
    <t>mobileabi.com</t>
  </si>
  <si>
    <t>esliran.ir</t>
  </si>
  <si>
    <t>webim.ir</t>
  </si>
  <si>
    <t>max-sms.ir</t>
  </si>
  <si>
    <t>alfakala.com</t>
  </si>
  <si>
    <t>choobabzar.ir</t>
  </si>
  <si>
    <t>top-translate.ir</t>
  </si>
  <si>
    <t>nela.ir</t>
  </si>
  <si>
    <t>arkshoe.com</t>
  </si>
  <si>
    <t>ganjkala.ir</t>
  </si>
  <si>
    <t>manodigital.ir</t>
  </si>
  <si>
    <t>payamkutah.com</t>
  </si>
  <si>
    <t>niracloud.com</t>
  </si>
  <si>
    <t>biziket.com</t>
  </si>
  <si>
    <t>tashil.com</t>
  </si>
  <si>
    <t>rtl-theme.com</t>
  </si>
  <si>
    <t>markalin.com</t>
  </si>
  <si>
    <t>digitkala.net</t>
  </si>
  <si>
    <t>faosclass.com</t>
  </si>
  <si>
    <t>tabriz24.com</t>
  </si>
  <si>
    <t>ideabaran.ir</t>
  </si>
  <si>
    <t>البرز</t>
  </si>
  <si>
    <t>ir-translate.com</t>
  </si>
  <si>
    <t>plazza.ir</t>
  </si>
  <si>
    <t>kharidomde.com</t>
  </si>
  <si>
    <t>beautycenter.ir</t>
  </si>
  <si>
    <t>netshahr.com</t>
  </si>
  <si>
    <t>joomi.ir</t>
  </si>
  <si>
    <t>tejaratir.com</t>
  </si>
  <si>
    <t>sahelmix.ir</t>
  </si>
  <si>
    <t>noandishaan.com</t>
  </si>
  <si>
    <t>hostnegar.com</t>
  </si>
  <si>
    <t>eniazmandi.com</t>
  </si>
  <si>
    <t>iraniandubai.com</t>
  </si>
  <si>
    <t>araddownload.com</t>
  </si>
  <si>
    <t>bamsara.com</t>
  </si>
  <si>
    <t>parnianmedia.com</t>
  </si>
  <si>
    <t>rasanegar.com</t>
  </si>
  <si>
    <t>atrkhaneh.com</t>
  </si>
  <si>
    <t>axrizan.com</t>
  </si>
  <si>
    <t>daneshgahi.com</t>
  </si>
  <si>
    <t>hiradeshop.com</t>
  </si>
  <si>
    <t>adma.ir</t>
  </si>
  <si>
    <t>noteahang.com</t>
  </si>
  <si>
    <t>ganjinedanesh.ir</t>
  </si>
  <si>
    <t>video-effects.ir</t>
  </si>
  <si>
    <t>jarasmechatronics.ir</t>
  </si>
  <si>
    <t>hesabdarebartar.com</t>
  </si>
  <si>
    <t>ajilonline.com</t>
  </si>
  <si>
    <t>bimeyeomr.ir</t>
  </si>
  <si>
    <t>w3template.ir</t>
  </si>
  <si>
    <t>butydesign.ir</t>
  </si>
  <si>
    <t>khoshnevisan.com</t>
  </si>
  <si>
    <t>ibaner.com</t>
  </si>
  <si>
    <t>karnaweb.net</t>
  </si>
  <si>
    <t>merc.ac.ir</t>
  </si>
  <si>
    <t>elearn1.ir</t>
  </si>
  <si>
    <t>markazkala.com</t>
  </si>
  <si>
    <t>مازندران</t>
  </si>
  <si>
    <t>chargeok.com</t>
  </si>
  <si>
    <t>tshirt1.ir</t>
  </si>
  <si>
    <t>ghatreh.com</t>
  </si>
  <si>
    <t>i-whost.net</t>
  </si>
  <si>
    <t>parsmodir.com</t>
  </si>
  <si>
    <t>zendegany.com</t>
  </si>
  <si>
    <t>seeds.ir</t>
  </si>
  <si>
    <t>payam-resan.com</t>
  </si>
  <si>
    <t>sibsms.com</t>
  </si>
  <si>
    <t>behinpayam.com</t>
  </si>
  <si>
    <t>depmarket.com</t>
  </si>
  <si>
    <t>sekeha.com</t>
  </si>
  <si>
    <t>omran-yar.ir</t>
  </si>
  <si>
    <t>bazram.com</t>
  </si>
  <si>
    <t>topinearth.com</t>
  </si>
  <si>
    <t>roosha.ir</t>
  </si>
  <si>
    <t>projememari.ir</t>
  </si>
  <si>
    <t>golchinonline.ir</t>
  </si>
  <si>
    <t>e-soal.ir</t>
  </si>
  <si>
    <t>ariacomputer.ir</t>
  </si>
  <si>
    <t>i30ms.ir</t>
  </si>
  <si>
    <t>finds.ir</t>
  </si>
  <si>
    <t>shatoot.ir</t>
  </si>
  <si>
    <t>irannative.com</t>
  </si>
  <si>
    <t>گیلان</t>
  </si>
  <si>
    <t>t100.ir</t>
  </si>
  <si>
    <t>parsdev.ir</t>
  </si>
  <si>
    <t>irserverco.ir</t>
  </si>
  <si>
    <t>e-rasht.net</t>
  </si>
  <si>
    <t>20host.ir</t>
  </si>
  <si>
    <t>kahroba-shop.ir</t>
  </si>
  <si>
    <t>mondbala.com</t>
  </si>
  <si>
    <t>rasaco.co</t>
  </si>
  <si>
    <t>zepo.ir</t>
  </si>
  <si>
    <t>boardshop.ir</t>
  </si>
  <si>
    <t>velex.ir</t>
  </si>
  <si>
    <t>3m3fishing.com</t>
  </si>
  <si>
    <t>mehrastan.ac.ir</t>
  </si>
  <si>
    <t>digikal24.ir</t>
  </si>
  <si>
    <t>mygiltech.ir</t>
  </si>
  <si>
    <t>gilbazar.com</t>
  </si>
  <si>
    <t>sepano-ac.ir</t>
  </si>
  <si>
    <t>sazabzar.ir</t>
  </si>
  <si>
    <t>barnameha.com</t>
  </si>
  <si>
    <t>damaneh.net</t>
  </si>
  <si>
    <t>vatanphoto.com</t>
  </si>
  <si>
    <t>tahghigh.net</t>
  </si>
  <si>
    <t>dadebaran.ir</t>
  </si>
  <si>
    <t>omran-omran.com</t>
  </si>
  <si>
    <t>sgo.ir</t>
  </si>
  <si>
    <t>قم</t>
  </si>
  <si>
    <t>zarrinbook.com</t>
  </si>
  <si>
    <t>noorshop.ir</t>
  </si>
  <si>
    <t>tsms.ir</t>
  </si>
  <si>
    <t>jahadi.ir</t>
  </si>
  <si>
    <t>dzshop.ir</t>
  </si>
  <si>
    <t>modsara.com</t>
  </si>
  <si>
    <t>inoor.ir</t>
  </si>
  <si>
    <t>booalidaroo.com</t>
  </si>
  <si>
    <t>automation24.ir</t>
  </si>
  <si>
    <t>freemag.ir</t>
  </si>
  <si>
    <t>smartform.ir</t>
  </si>
  <si>
    <t>poromix.com</t>
  </si>
  <si>
    <t>آذربایجان غربی</t>
  </si>
  <si>
    <t>kelasefan.com</t>
  </si>
  <si>
    <t>shahredigi.com</t>
  </si>
  <si>
    <t>behcharge.com</t>
  </si>
  <si>
    <t>agahiweb.com</t>
  </si>
  <si>
    <t>piratepay.ir</t>
  </si>
  <si>
    <t>gift724.ir</t>
  </si>
  <si>
    <t>datagozar.com</t>
  </si>
  <si>
    <t>istnegah.com</t>
  </si>
  <si>
    <t>urmiabook.com</t>
  </si>
  <si>
    <t>zibasara.com</t>
  </si>
  <si>
    <t>msina.ir</t>
  </si>
  <si>
    <t>fiza.ir</t>
  </si>
  <si>
    <t>banehbin.ir</t>
  </si>
  <si>
    <t>کردستان</t>
  </si>
  <si>
    <t>digibaneh.com</t>
  </si>
  <si>
    <t>fera.ir</t>
  </si>
  <si>
    <t>banehkharid.ir</t>
  </si>
  <si>
    <t>hozour.com</t>
  </si>
  <si>
    <t>banehplus.com</t>
  </si>
  <si>
    <t>graphicyab.com</t>
  </si>
  <si>
    <t>salambaba.com</t>
  </si>
  <si>
    <t>rojsa.com</t>
  </si>
  <si>
    <t>atrinkala.com</t>
  </si>
  <si>
    <t>اردبیل</t>
  </si>
  <si>
    <t>tifaa.com</t>
  </si>
  <si>
    <t>noavarangermi.ir</t>
  </si>
  <si>
    <t>pelak11.com</t>
  </si>
  <si>
    <t>206part.ir</t>
  </si>
  <si>
    <t>همدان</t>
  </si>
  <si>
    <t>irwebhost.com</t>
  </si>
  <si>
    <t>alookh.com</t>
  </si>
  <si>
    <t>goarticle.ir</t>
  </si>
  <si>
    <t>parspsd.ir</t>
  </si>
  <si>
    <t>estekhdamiran.com</t>
  </si>
  <si>
    <t>myvisacard.ir</t>
  </si>
  <si>
    <t>niazmandiha.info</t>
  </si>
  <si>
    <t>pouyanit.com</t>
  </si>
  <si>
    <t>خوزستان</t>
  </si>
  <si>
    <t>jzv.ir</t>
  </si>
  <si>
    <t>diakoweb.com</t>
  </si>
  <si>
    <t>p30hosting.com</t>
  </si>
  <si>
    <t>aziishop.ir</t>
  </si>
  <si>
    <t>sharjfa.com</t>
  </si>
  <si>
    <t>1000charge.com</t>
  </si>
  <si>
    <t>enahalestan.ir</t>
  </si>
  <si>
    <t>iranpage.net</t>
  </si>
  <si>
    <t>primashop.ir</t>
  </si>
  <si>
    <t>sun-shop.ir</t>
  </si>
  <si>
    <t>arvandkala.ir</t>
  </si>
  <si>
    <t>cad30ty.com</t>
  </si>
  <si>
    <t>niazresi.ir</t>
  </si>
  <si>
    <t>hostdownload.net</t>
  </si>
  <si>
    <t>deidehban.ir</t>
  </si>
  <si>
    <t>apadana.in</t>
  </si>
  <si>
    <t>safar24.ir</t>
  </si>
  <si>
    <t>dardid.com</t>
  </si>
  <si>
    <t>skyf-host.com</t>
  </si>
  <si>
    <t>tamirkaran.ir</t>
  </si>
  <si>
    <t>webuc.ir</t>
  </si>
  <si>
    <t>hk24.ir</t>
  </si>
  <si>
    <t>khz-agahi.net</t>
  </si>
  <si>
    <t>dsir.ir</t>
  </si>
  <si>
    <t>گلستان</t>
  </si>
  <si>
    <t>keshavarzionline.com</t>
  </si>
  <si>
    <t>press90.com</t>
  </si>
  <si>
    <t>homamizban.com</t>
  </si>
  <si>
    <t>novinwebgostar.com</t>
  </si>
  <si>
    <t>lasersabz.com</t>
  </si>
  <si>
    <t>golestanict.ir</t>
  </si>
  <si>
    <t>kimiahost.com</t>
  </si>
  <si>
    <t>کرمان</t>
  </si>
  <si>
    <t>kepshop.com</t>
  </si>
  <si>
    <t>kermanbags.com</t>
  </si>
  <si>
    <t>hannoverit.com</t>
  </si>
  <si>
    <t>icstore.ir</t>
  </si>
  <si>
    <t>netbanan.net</t>
  </si>
  <si>
    <t>ircme.ir</t>
  </si>
  <si>
    <t>foodcenter.ir</t>
  </si>
  <si>
    <t>mobit.ir</t>
  </si>
  <si>
    <t>monyms.ir</t>
  </si>
  <si>
    <t>یزد</t>
  </si>
  <si>
    <t>irhostco.com</t>
  </si>
  <si>
    <t>hakimmarket.com</t>
  </si>
  <si>
    <t>gooshitarh.com</t>
  </si>
  <si>
    <t>cafepardazesh.com</t>
  </si>
  <si>
    <t>esfandune.ir</t>
  </si>
  <si>
    <t>wpyar.com</t>
  </si>
  <si>
    <t>drupalcms.ir</t>
  </si>
  <si>
    <t>fichand.com</t>
  </si>
  <si>
    <t>بوشهر</t>
  </si>
  <si>
    <t>atrkade.ir</t>
  </si>
  <si>
    <t>banob.ir</t>
  </si>
  <si>
    <t>almasjonoub.com</t>
  </si>
  <si>
    <t>advitrin.com</t>
  </si>
  <si>
    <t>masbi.com</t>
  </si>
  <si>
    <t>higgs.ir</t>
  </si>
  <si>
    <t>مرکزی</t>
  </si>
  <si>
    <t>faragraphic.com</t>
  </si>
  <si>
    <t>arastbeauty.ir</t>
  </si>
  <si>
    <t>civilcalculator.ir</t>
  </si>
  <si>
    <t>parscoffee.com</t>
  </si>
  <si>
    <t>niazemarkazi.com</t>
  </si>
  <si>
    <t>niazearak.com</t>
  </si>
  <si>
    <t>هرمزگان</t>
  </si>
  <si>
    <t>kishairlines.ir</t>
  </si>
  <si>
    <t>novinvps.com</t>
  </si>
  <si>
    <t>sarafikish.com</t>
  </si>
  <si>
    <t>safariran.ir</t>
  </si>
  <si>
    <t>marinaparkhotel.ir</t>
  </si>
  <si>
    <t>bndoff.ir</t>
  </si>
  <si>
    <t>samita.com</t>
  </si>
  <si>
    <t>kish-behin.com</t>
  </si>
  <si>
    <t>egardesh.com</t>
  </si>
  <si>
    <t>safarme.com</t>
  </si>
  <si>
    <t>app33.ir</t>
  </si>
  <si>
    <t>homahotels.com</t>
  </si>
  <si>
    <t>استان</t>
  </si>
  <si>
    <t xml:space="preserve">نام سایت </t>
  </si>
  <si>
    <t>3</t>
  </si>
  <si>
    <t>نام سایت 3</t>
  </si>
  <si>
    <t xml:space="preserve">نرخ پرش  </t>
  </si>
  <si>
    <t>تعداد صفحات مشاهده شده</t>
  </si>
  <si>
    <t>میزان زمان حضور در سایت</t>
  </si>
  <si>
    <t>ترافیک کل</t>
  </si>
  <si>
    <t>رتبه در سیمیلار وب</t>
  </si>
  <si>
    <t>نام سایت 2</t>
  </si>
  <si>
    <t>طبقه بندی</t>
  </si>
  <si>
    <t xml:space="preserve">مجموع صفحات  مشاهده شده   </t>
  </si>
  <si>
    <t xml:space="preserve">مجموع زمان حضور در سایت </t>
  </si>
  <si>
    <t>سهم سایت از کل ترافیک طبقه بندی</t>
  </si>
  <si>
    <t>شاخص هرفیندال هیرشمن (ترافیک)</t>
  </si>
  <si>
    <t>سهم سایت از کل صفحات مشاهده شده در طبقه بندی</t>
  </si>
  <si>
    <t>شاخص هرفیندال -هیرشمن (صفحات مشاهده شده )</t>
  </si>
  <si>
    <t>سهم سایت از کل زمان حضور در طبقه بندی</t>
  </si>
  <si>
    <t>شاخص هرفیندال هیرشمن (زمان حضور)</t>
  </si>
  <si>
    <t>davingroup.com</t>
  </si>
  <si>
    <t>keymode.ir</t>
  </si>
  <si>
    <t>karaniaz.com</t>
  </si>
  <si>
    <t>ibtil.org</t>
  </si>
  <si>
    <t>datak.ir</t>
  </si>
  <si>
    <t>chidemane.com</t>
  </si>
  <si>
    <t>followkade.com</t>
  </si>
  <si>
    <t>ehyasalamat.com</t>
  </si>
  <si>
    <t>dofito.com</t>
  </si>
  <si>
    <t>epishkhan.ir</t>
  </si>
  <si>
    <t>projectp30.ir</t>
  </si>
  <si>
    <t>dcinpc.com</t>
  </si>
  <si>
    <t>instayab.ir</t>
  </si>
  <si>
    <t>iranhrc.ir</t>
  </si>
  <si>
    <t>tabletphone.ir</t>
  </si>
  <si>
    <t>saneibook.com</t>
  </si>
  <si>
    <t>timecode.ir</t>
  </si>
  <si>
    <t>geefti.com</t>
  </si>
  <si>
    <t>behzistitehran.org.ir</t>
  </si>
  <si>
    <t>myinsta.ir</t>
  </si>
  <si>
    <t>mobinsb.com</t>
  </si>
  <si>
    <t>farhang-novin.com</t>
  </si>
  <si>
    <t>mobilebanks.ir</t>
  </si>
  <si>
    <t>tavazostore.com</t>
  </si>
  <si>
    <t>elameharigheiran.com</t>
  </si>
  <si>
    <t>narc.ir</t>
  </si>
  <si>
    <t>ihu.ac.ir</t>
  </si>
  <si>
    <t>bearingnet.ir</t>
  </si>
  <si>
    <t>erightec.ir</t>
  </si>
  <si>
    <t>www.looleh.ir</t>
  </si>
  <si>
    <t>ttbol.ir</t>
  </si>
  <si>
    <t>ashpazbashy.com</t>
  </si>
  <si>
    <t>borzabadi.com</t>
  </si>
  <si>
    <t>mohitara.com</t>
  </si>
  <si>
    <t>cheapsafar.com</t>
  </si>
  <si>
    <t>banisa.net</t>
  </si>
  <si>
    <t>digi100.com</t>
  </si>
  <si>
    <t>walakala.com</t>
  </si>
  <si>
    <t>ibtc.ir</t>
  </si>
  <si>
    <t>shayano.com</t>
  </si>
  <si>
    <t>shafaghketab.ir</t>
  </si>
  <si>
    <t>shekofa.ir</t>
  </si>
  <si>
    <t>iran-iraq.net</t>
  </si>
  <si>
    <t>sayehsokhan.com</t>
  </si>
  <si>
    <t>bazdeh.org</t>
  </si>
  <si>
    <t>tehranaudio.com</t>
  </si>
  <si>
    <t>onedigital.ir</t>
  </si>
  <si>
    <t>nano.mehreganchem.com</t>
  </si>
  <si>
    <t>goldtag.net</t>
  </si>
  <si>
    <t>malekig5.com</t>
  </si>
  <si>
    <t>hejratco.com</t>
  </si>
  <si>
    <t>puzzley.ir</t>
  </si>
  <si>
    <t>beautikala.ir</t>
  </si>
  <si>
    <t>kolbeyesalamati.com</t>
  </si>
  <si>
    <t>pharepub.com</t>
  </si>
  <si>
    <t>imen-yab.ir</t>
  </si>
  <si>
    <t>rangirangi.com</t>
  </si>
  <si>
    <t>davarmelody.com</t>
  </si>
  <si>
    <t>modnegar.com</t>
  </si>
  <si>
    <t>filmnet.ir</t>
  </si>
  <si>
    <t>baryar.ir</t>
  </si>
  <si>
    <t>iranbosch.ir</t>
  </si>
  <si>
    <t>sportbama.com</t>
  </si>
  <si>
    <t>titexgroup.com</t>
  </si>
  <si>
    <t>goldirancs.ir</t>
  </si>
  <si>
    <t>shooshmall.com</t>
  </si>
  <si>
    <t>hoteldebitcard.com</t>
  </si>
  <si>
    <t>bankeketab-co.ir</t>
  </si>
  <si>
    <t>rsct.ir</t>
  </si>
  <si>
    <t>kavenegar.com</t>
  </si>
  <si>
    <t>mahannet.ir</t>
  </si>
  <si>
    <t>gameregion.ir</t>
  </si>
  <si>
    <t>softwarequality.ir</t>
  </si>
  <si>
    <t>mobotak.com</t>
  </si>
  <si>
    <t>intamedia.ir</t>
  </si>
  <si>
    <t>iricss.org</t>
  </si>
  <si>
    <t>jansu.ir</t>
  </si>
  <si>
    <t>ashiyanehost.com</t>
  </si>
  <si>
    <t>poronix.ir</t>
  </si>
  <si>
    <t>laptapiran.com</t>
  </si>
  <si>
    <t>loganshop.ir</t>
  </si>
  <si>
    <t>rasekhoon.net</t>
  </si>
  <si>
    <t>mashadleatherstore.com</t>
  </si>
  <si>
    <t>kadorangi.com</t>
  </si>
  <si>
    <t>nashremahi.com</t>
  </si>
  <si>
    <t>hryar.com</t>
  </si>
  <si>
    <t>samsamoptic.com</t>
  </si>
  <si>
    <t>behfee.com</t>
  </si>
  <si>
    <t>parvaz99.ir</t>
  </si>
  <si>
    <t>azinsanat.com</t>
  </si>
  <si>
    <t>behbook.com</t>
  </si>
  <si>
    <t>iran-module.ir</t>
  </si>
  <si>
    <t>imi.ir</t>
  </si>
  <si>
    <t>donya-e-eqtesad.com</t>
  </si>
  <si>
    <t>invisa.ir</t>
  </si>
  <si>
    <t>peymantablo.ir</t>
  </si>
  <si>
    <t>jivarco.com</t>
  </si>
  <si>
    <t>kingtoys.ir</t>
  </si>
  <si>
    <t>nextads.ir</t>
  </si>
  <si>
    <t>salemid.com</t>
  </si>
  <si>
    <t>irimc.org</t>
  </si>
  <si>
    <t>bazarbors.com</t>
  </si>
  <si>
    <t>softsara.ir</t>
  </si>
  <si>
    <t>selakteb.com</t>
  </si>
  <si>
    <t>mihanrapid.com</t>
  </si>
  <si>
    <t>iran-choob.com</t>
  </si>
  <si>
    <t>maraltours.com</t>
  </si>
  <si>
    <t>oskueistore.com</t>
  </si>
  <si>
    <t>rasabooks.ir</t>
  </si>
  <si>
    <t>dastsaaz.com</t>
  </si>
  <si>
    <t>asr-gooyesh.com</t>
  </si>
  <si>
    <t>hirmandpublication.com</t>
  </si>
  <si>
    <t>ganjipakhsh.com</t>
  </si>
  <si>
    <t>egtonline.ir</t>
  </si>
  <si>
    <t>glxphones.ir</t>
  </si>
  <si>
    <t>hitarjome.com</t>
  </si>
  <si>
    <t>cctvha.ir</t>
  </si>
  <si>
    <t>barcodereader.ir</t>
  </si>
  <si>
    <t>aspanasonic.com</t>
  </si>
  <si>
    <t>safirrail.ir</t>
  </si>
  <si>
    <t>destinia.ir</t>
  </si>
  <si>
    <t>isqi.co.ir</t>
  </si>
  <si>
    <t>ida-dent.com</t>
  </si>
  <si>
    <t>amut.ir</t>
  </si>
  <si>
    <t>farishtheme.ir</t>
  </si>
  <si>
    <t>decornama.com</t>
  </si>
  <si>
    <t>shop.puzzleiran.com</t>
  </si>
  <si>
    <t>peivast.com</t>
  </si>
  <si>
    <t>karan.ir</t>
  </si>
  <si>
    <t>irandelsey.ir</t>
  </si>
  <si>
    <t>adlika.com</t>
  </si>
  <si>
    <t>yello.ir</t>
  </si>
  <si>
    <t>consolenet.ir</t>
  </si>
  <si>
    <t>8pa.ir</t>
  </si>
  <si>
    <t>treadmills-co.com</t>
  </si>
  <si>
    <t>antivirus.ir</t>
  </si>
  <si>
    <t>mimt.gov.ir</t>
  </si>
  <si>
    <t>sm.hodat.ir</t>
  </si>
  <si>
    <t>kaci.ir</t>
  </si>
  <si>
    <t>sakhtemun.ir</t>
  </si>
  <si>
    <t>roshanics.com</t>
  </si>
  <si>
    <t>sefidbarfi.com</t>
  </si>
  <si>
    <t>salamzaban.com</t>
  </si>
  <si>
    <t>channelsell.ir</t>
  </si>
  <si>
    <t>bofalo.com</t>
  </si>
  <si>
    <t>alipub.ir</t>
  </si>
  <si>
    <t>irangdi.ir</t>
  </si>
  <si>
    <t>sharifvisa24.com</t>
  </si>
  <si>
    <t>niazpazir.com</t>
  </si>
  <si>
    <t>gamybox.ir</t>
  </si>
  <si>
    <t>shidkala.ir</t>
  </si>
  <si>
    <t>abzar-online.com</t>
  </si>
  <si>
    <t>ahooragroup.net</t>
  </si>
  <si>
    <t>borjman.com</t>
  </si>
  <si>
    <t>sell.ir</t>
  </si>
  <si>
    <t>followgram.ir</t>
  </si>
  <si>
    <t>tamr.in</t>
  </si>
  <si>
    <t>sobhanshop.ir</t>
  </si>
  <si>
    <t>olkamode.com</t>
  </si>
  <si>
    <t>talentyab.com</t>
  </si>
  <si>
    <t>novinparsian.ir</t>
  </si>
  <si>
    <t>instagold.ir</t>
  </si>
  <si>
    <t>my.progpars.com</t>
  </si>
  <si>
    <t>slicer.ir</t>
  </si>
  <si>
    <t>servertak.ir</t>
  </si>
  <si>
    <t>shahresalamat.ir</t>
  </si>
  <si>
    <t>flormarstore.com</t>
  </si>
  <si>
    <t>araykala.com</t>
  </si>
  <si>
    <t>marketcode.ir</t>
  </si>
  <si>
    <t>cover4you.ir</t>
  </si>
  <si>
    <t>icnc.ir</t>
  </si>
  <si>
    <t>irankohan.ir</t>
  </si>
  <si>
    <t>cffsd.org</t>
  </si>
  <si>
    <t>iphonevideo.ir</t>
  </si>
  <si>
    <t>dastino.com</t>
  </si>
  <si>
    <t>samsungirani.com</t>
  </si>
  <si>
    <t>mabnatelecom.com</t>
  </si>
  <si>
    <t>bolej.ir</t>
  </si>
  <si>
    <t>entrans.ir</t>
  </si>
  <si>
    <t>zinoshop.ir</t>
  </si>
  <si>
    <t>namava.ir</t>
  </si>
  <si>
    <t>iranvoipshop.com</t>
  </si>
  <si>
    <t>salset.com</t>
  </si>
  <si>
    <t>omransara.ir</t>
  </si>
  <si>
    <t>khatamtour.ir</t>
  </si>
  <si>
    <t>didbazar.ir</t>
  </si>
  <si>
    <t>bosch-land.com</t>
  </si>
  <si>
    <t>parshub.com</t>
  </si>
  <si>
    <t>faranegar.com</t>
  </si>
  <si>
    <t>farazhouse.com</t>
  </si>
  <si>
    <t>shop.winuser.ir</t>
  </si>
  <si>
    <t>rasabook.com</t>
  </si>
  <si>
    <t>mrbadge.ir</t>
  </si>
  <si>
    <t>2xkala.ir</t>
  </si>
  <si>
    <t>ketabroom.ir</t>
  </si>
  <si>
    <t>3d-shop.ir</t>
  </si>
  <si>
    <t>tehransanat.com</t>
  </si>
  <si>
    <t>qasemihat.ir</t>
  </si>
  <si>
    <t>parastehgoldgallery.ir</t>
  </si>
  <si>
    <t>saletime.ir</t>
  </si>
  <si>
    <t>psarta.com</t>
  </si>
  <si>
    <t>irpezeshkan.com</t>
  </si>
  <si>
    <t>kaardasti.com</t>
  </si>
  <si>
    <t>40nama.com</t>
  </si>
  <si>
    <t>samenea.com</t>
  </si>
  <si>
    <t>jocar.ir</t>
  </si>
  <si>
    <t>donyayetassvir.ir</t>
  </si>
  <si>
    <t>karsanj.net</t>
  </si>
  <si>
    <t>sarirkala.com</t>
  </si>
  <si>
    <t>www.coo.ir</t>
  </si>
  <si>
    <t>takavarshop.com</t>
  </si>
  <si>
    <t>berimtour.com</t>
  </si>
  <si>
    <t>negarandedanesh.com</t>
  </si>
  <si>
    <t>hesabamooz.com</t>
  </si>
  <si>
    <t>ihbgroup.ir</t>
  </si>
  <si>
    <t>dandal.ir</t>
  </si>
  <si>
    <t>jahaneghtesad.com</t>
  </si>
  <si>
    <t>luxbuyer.ir</t>
  </si>
  <si>
    <t>kado.ir</t>
  </si>
  <si>
    <t>merso.ir</t>
  </si>
  <si>
    <t>enovinonline.com</t>
  </si>
  <si>
    <t>barghmarket.com</t>
  </si>
  <si>
    <t>tarjomeplus.com</t>
  </si>
  <si>
    <t>huntshop.ir</t>
  </si>
  <si>
    <t>yeganestore.com</t>
  </si>
  <si>
    <t>uniketab.com</t>
  </si>
  <si>
    <t>idro-fairs.com</t>
  </si>
  <si>
    <t>avalinshop.com</t>
  </si>
  <si>
    <t>iranlabexpo.ir</t>
  </si>
  <si>
    <t>shomaltea.ir</t>
  </si>
  <si>
    <t>madresefitness.ir</t>
  </si>
  <si>
    <t>ichto.ir</t>
  </si>
  <si>
    <t>ustclothing.com</t>
  </si>
  <si>
    <t>kgoo.ir</t>
  </si>
  <si>
    <t>bahramshop.ir</t>
  </si>
  <si>
    <t>ticket365.info</t>
  </si>
  <si>
    <t>abzarkala.com</t>
  </si>
  <si>
    <t>mspir.ir</t>
  </si>
  <si>
    <t>netray.ir</t>
  </si>
  <si>
    <t>dayins.com</t>
  </si>
  <si>
    <t>gozine2.ir</t>
  </si>
  <si>
    <t>aabsalco.com</t>
  </si>
  <si>
    <t>avinmarket.com</t>
  </si>
  <si>
    <t>iphone-market.com</t>
  </si>
  <si>
    <t>shooka.ir</t>
  </si>
  <si>
    <t>fadakbook.ir</t>
  </si>
  <si>
    <t>hdmedia.ir</t>
  </si>
  <si>
    <t>flightio.com</t>
  </si>
  <si>
    <t>srtc.ac.ir</t>
  </si>
  <si>
    <t>hooding.ir</t>
  </si>
  <si>
    <t>tehrangsm.com</t>
  </si>
  <si>
    <t>hooshmandkala.com</t>
  </si>
  <si>
    <t>shifershoes.com</t>
  </si>
  <si>
    <t>09123894586.com</t>
  </si>
  <si>
    <t>amirkabir.net</t>
  </si>
  <si>
    <t>irankalasport.com</t>
  </si>
  <si>
    <t>samshops.ir</t>
  </si>
  <si>
    <t>amirbahador.org</t>
  </si>
  <si>
    <t>woofwoof.ir</t>
  </si>
  <si>
    <t>asusiran.com</t>
  </si>
  <si>
    <t>2exim.com</t>
  </si>
  <si>
    <t>drsosha.com</t>
  </si>
  <si>
    <t>sinainsurance.co.ir</t>
  </si>
  <si>
    <t>phdmarket.ir</t>
  </si>
  <si>
    <t>iranwebsazan.org</t>
  </si>
  <si>
    <t>zanoone.ir</t>
  </si>
  <si>
    <t>navamarket.ir</t>
  </si>
  <si>
    <t>mobojanebi.com</t>
  </si>
  <si>
    <t>tihe.ac.ir</t>
  </si>
  <si>
    <t>tandorost.com</t>
  </si>
  <si>
    <t>ekalamarket.com</t>
  </si>
  <si>
    <t>bonyadonline.ir</t>
  </si>
  <si>
    <t>jouantravel.com</t>
  </si>
  <si>
    <t>mychem.ir</t>
  </si>
  <si>
    <t>morabiman.com</t>
  </si>
  <si>
    <t>kadochi.com</t>
  </si>
  <si>
    <t>takrazm.com</t>
  </si>
  <si>
    <t>ihcs.ac.ir</t>
  </si>
  <si>
    <t>persianway.ir</t>
  </si>
  <si>
    <t>gpsradyab.com</t>
  </si>
  <si>
    <t>melkyabi.ir</t>
  </si>
  <si>
    <t>kolidor.ir</t>
  </si>
  <si>
    <t>jabama.ir</t>
  </si>
  <si>
    <t>aehighschool.com</t>
  </si>
  <si>
    <t>kavehsafe.com</t>
  </si>
  <si>
    <t>qmery.com</t>
  </si>
  <si>
    <t>aeone.ir</t>
  </si>
  <si>
    <t>robopardaz.com</t>
  </si>
  <si>
    <t>girs.ir</t>
  </si>
  <si>
    <t>sornagallery.com</t>
  </si>
  <si>
    <t>nasimkala.com</t>
  </si>
  <si>
    <t>nillkin.ir</t>
  </si>
  <si>
    <t>kharidazma.com</t>
  </si>
  <si>
    <t>gf24.ir</t>
  </si>
  <si>
    <t>irtci.com</t>
  </si>
  <si>
    <t>isgp.ir</t>
  </si>
  <si>
    <t>shop.iranpuzzle.ir</t>
  </si>
  <si>
    <t>gotoclass.ir</t>
  </si>
  <si>
    <t>asbdavani.com</t>
  </si>
  <si>
    <t>gooshicom.com</t>
  </si>
  <si>
    <t>alavi.ir</t>
  </si>
  <si>
    <t>bady.ir</t>
  </si>
  <si>
    <t>kiasuncard.com</t>
  </si>
  <si>
    <t>zehnebartar.com</t>
  </si>
  <si>
    <t>irtextbook.ir</t>
  </si>
  <si>
    <t>dararsh.com</t>
  </si>
  <si>
    <t>karstarter.ir</t>
  </si>
  <si>
    <t>pushe.co</t>
  </si>
  <si>
    <t>tahlileamari.ir</t>
  </si>
  <si>
    <t>zarinhome.com</t>
  </si>
  <si>
    <t>mobopart.com</t>
  </si>
  <si>
    <t>gerdoosoft.com</t>
  </si>
  <si>
    <t>maxi.ir</t>
  </si>
  <si>
    <t>hostinja.com</t>
  </si>
  <si>
    <t>hypergymco.com</t>
  </si>
  <si>
    <t>vplay.ir</t>
  </si>
  <si>
    <t>punez.ir</t>
  </si>
  <si>
    <t>irchap.ir</t>
  </si>
  <si>
    <t>karaketab.com</t>
  </si>
  <si>
    <t>nsptours.com</t>
  </si>
  <si>
    <t>ketabeshargh.com</t>
  </si>
  <si>
    <t>surfaceiran.com</t>
  </si>
  <si>
    <t>pspro.ir</t>
  </si>
  <si>
    <t>lebasha.ir</t>
  </si>
  <si>
    <t>ghahremanedaroon.ir</t>
  </si>
  <si>
    <t>vnplugin.com</t>
  </si>
  <si>
    <t>iranspeaker.com</t>
  </si>
  <si>
    <t>plaan.ir</t>
  </si>
  <si>
    <t>falnic.net</t>
  </si>
  <si>
    <t>shabakehstore.com</t>
  </si>
  <si>
    <t>glasseskala.com</t>
  </si>
  <si>
    <t>battri.ir</t>
  </si>
  <si>
    <t>persialand.ir</t>
  </si>
  <si>
    <t>agahi747.com</t>
  </si>
  <si>
    <t>medicalinfo.ir</t>
  </si>
  <si>
    <t>boursepub.ir</t>
  </si>
  <si>
    <t>mahziar.ir</t>
  </si>
  <si>
    <t>artkamgame.ir</t>
  </si>
  <si>
    <t>rezvanflower.ir</t>
  </si>
  <si>
    <t>smartbeen.com</t>
  </si>
  <si>
    <t>scioe.org</t>
  </si>
  <si>
    <t>iranrenter.com</t>
  </si>
  <si>
    <t>asadhost.com</t>
  </si>
  <si>
    <t>e4sough.ir</t>
  </si>
  <si>
    <t>irmpm.com</t>
  </si>
  <si>
    <t>bonsai.ir</t>
  </si>
  <si>
    <t>behanbook.ir</t>
  </si>
  <si>
    <t>vipgol.ir</t>
  </si>
  <si>
    <t>konkur.tv</t>
  </si>
  <si>
    <t>kanoon-ansar.ir</t>
  </si>
  <si>
    <t>danadesign.ir</t>
  </si>
  <si>
    <t>niazkade.ir</t>
  </si>
  <si>
    <t>karapost.com</t>
  </si>
  <si>
    <t>sazoon.ir</t>
  </si>
  <si>
    <t>foboro.com</t>
  </si>
  <si>
    <t>dana-insurance.com</t>
  </si>
  <si>
    <t>aghaghiahome.com</t>
  </si>
  <si>
    <t>giftchi.net</t>
  </si>
  <si>
    <t>garmin-co.ir</t>
  </si>
  <si>
    <t>final.ir</t>
  </si>
  <si>
    <t>iranhost24.com</t>
  </si>
  <si>
    <t>akhbarrasmi.com</t>
  </si>
  <si>
    <t>fundorun.com</t>
  </si>
  <si>
    <t>tct.ir</t>
  </si>
  <si>
    <t>iranfile.net</t>
  </si>
  <si>
    <t>mellishoe.ir</t>
  </si>
  <si>
    <t>softwarepedia.ir</t>
  </si>
  <si>
    <t>esecurity.ir</t>
  </si>
  <si>
    <t>shop.parsegard.com</t>
  </si>
  <si>
    <t>amega.ir</t>
  </si>
  <si>
    <t>kadocard.ir</t>
  </si>
  <si>
    <t>jeihoon.net</t>
  </si>
  <si>
    <t>kanoonbook.ir</t>
  </si>
  <si>
    <t>30book.com</t>
  </si>
  <si>
    <t>wikirahnama.com</t>
  </si>
  <si>
    <t>nasleahan.com</t>
  </si>
  <si>
    <t>parastari.org</t>
  </si>
  <si>
    <t>parsvds.com</t>
  </si>
  <si>
    <t>mashinno.com</t>
  </si>
  <si>
    <t>persiansteam.com</t>
  </si>
  <si>
    <t>arthibition.net</t>
  </si>
  <si>
    <t>azmoonept.com</t>
  </si>
  <si>
    <t>allconferences.ir</t>
  </si>
  <si>
    <t>labelpaper.ir</t>
  </si>
  <si>
    <t>gtaticket.ir</t>
  </si>
  <si>
    <t>romis.com</t>
  </si>
  <si>
    <t>watchcenter.ir</t>
  </si>
  <si>
    <t>mahtel.co.ir</t>
  </si>
  <si>
    <t>upvcbazar.ir</t>
  </si>
  <si>
    <t>ecityvfx.com</t>
  </si>
  <si>
    <t>dquail.com</t>
  </si>
  <si>
    <t>kifcity.com</t>
  </si>
  <si>
    <t>bimehma.com</t>
  </si>
  <si>
    <t>pricewallpaper.com</t>
  </si>
  <si>
    <t>eshopfa.net</t>
  </si>
  <si>
    <t>samta.samt.ac.ir</t>
  </si>
  <si>
    <t>dabirlo.ir</t>
  </si>
  <si>
    <t>hodhodmarket.com</t>
  </si>
  <si>
    <t>microsoftphone.ir</t>
  </si>
  <si>
    <t>esteghlalhotel.ir</t>
  </si>
  <si>
    <t>mehost.co</t>
  </si>
  <si>
    <t>wphelper.ir</t>
  </si>
  <si>
    <t>behsazanchoob.com</t>
  </si>
  <si>
    <t>casio-iran.com</t>
  </si>
  <si>
    <t>sibdiet.com</t>
  </si>
  <si>
    <t>taknama.co</t>
  </si>
  <si>
    <t>shokobox.ir</t>
  </si>
  <si>
    <t>fantasima.ir</t>
  </si>
  <si>
    <t>moshavercard.com</t>
  </si>
  <si>
    <t>uastf11.ac.ir</t>
  </si>
  <si>
    <t>datisonline.com</t>
  </si>
  <si>
    <t>lxcar.ir</t>
  </si>
  <si>
    <t>shop.khalaghiyat.com</t>
  </si>
  <si>
    <t>boursebook.com</t>
  </si>
  <si>
    <t>behansystem.com</t>
  </si>
  <si>
    <t>irancook.ir</t>
  </si>
  <si>
    <t>samt.ac.ir</t>
  </si>
  <si>
    <t>digipartsmotor.com</t>
  </si>
  <si>
    <t>mohandesyar.com</t>
  </si>
  <si>
    <t>modemjibi.ir</t>
  </si>
  <si>
    <t>nikprint.ir</t>
  </si>
  <si>
    <t>olgouha.com</t>
  </si>
  <si>
    <t>fastitem.ir</t>
  </si>
  <si>
    <t>matlabproject.ir</t>
  </si>
  <si>
    <t>mobile-tv.ir</t>
  </si>
  <si>
    <t>balcon.ir</t>
  </si>
  <si>
    <t>laser.ir</t>
  </si>
  <si>
    <t>golbishe.com</t>
  </si>
  <si>
    <t>stokar.ir</t>
  </si>
  <si>
    <t>ravanamooz.ir</t>
  </si>
  <si>
    <t>fapo.ir</t>
  </si>
  <si>
    <t>tanincard.com</t>
  </si>
  <si>
    <t>imaxmode.com</t>
  </si>
  <si>
    <t>frsoft.ir</t>
  </si>
  <si>
    <t>madresehnews.com</t>
  </si>
  <si>
    <t>almahost.co.uk</t>
  </si>
  <si>
    <t>onlineharaji.com</t>
  </si>
  <si>
    <t>otex.ir</t>
  </si>
  <si>
    <t>4sos.ir</t>
  </si>
  <si>
    <t>pic1.ir</t>
  </si>
  <si>
    <t>khanehit.com</t>
  </si>
  <si>
    <t>zigorat.com</t>
  </si>
  <si>
    <t>citynet.ir</t>
  </si>
  <si>
    <t>ketabism.ir</t>
  </si>
  <si>
    <t>lionup.ir</t>
  </si>
  <si>
    <t>samimschool.com</t>
  </si>
  <si>
    <t>raveshtadris.com</t>
  </si>
  <si>
    <t>infocars.ir</t>
  </si>
  <si>
    <t>phdhome.ir</t>
  </si>
  <si>
    <t>iran-mba.com</t>
  </si>
  <si>
    <t>dadrah.ir</t>
  </si>
  <si>
    <t>epih.ir</t>
  </si>
  <si>
    <t>ecomiran.com</t>
  </si>
  <si>
    <t>charcharkhkala.com</t>
  </si>
  <si>
    <t>plantledlight.ir</t>
  </si>
  <si>
    <t>ketabgallery.com</t>
  </si>
  <si>
    <t>darjeagahi.com</t>
  </si>
  <si>
    <t>lckala.com</t>
  </si>
  <si>
    <t>sandbad.com</t>
  </si>
  <si>
    <t>irandehkadeh.com</t>
  </si>
  <si>
    <t>laico.co</t>
  </si>
  <si>
    <t>meisamatr.com</t>
  </si>
  <si>
    <t>lawbooks.ir</t>
  </si>
  <si>
    <t>dooronazdik.com</t>
  </si>
  <si>
    <t>tondkhan.com</t>
  </si>
  <si>
    <t>modiresabz.com</t>
  </si>
  <si>
    <t>modireweb.com</t>
  </si>
  <si>
    <t>rahnamapress.net</t>
  </si>
  <si>
    <t>inverseschool.com</t>
  </si>
  <si>
    <t>mihaninsurance.com</t>
  </si>
  <si>
    <t>armaninvest.com</t>
  </si>
  <si>
    <t>savbroker.com</t>
  </si>
  <si>
    <t>thecaferobot.com</t>
  </si>
  <si>
    <t>iawf.ir</t>
  </si>
  <si>
    <t>isba.ir</t>
  </si>
  <si>
    <t>pasargadtahlil.com</t>
  </si>
  <si>
    <t>simiaservice.com</t>
  </si>
  <si>
    <t>mofidonline.com</t>
  </si>
  <si>
    <t>igda.ir</t>
  </si>
  <si>
    <t>legoeducation.ir</t>
  </si>
  <si>
    <t>iapplecenter.com</t>
  </si>
  <si>
    <t>tehranintex.com</t>
  </si>
  <si>
    <t>blox.ir</t>
  </si>
  <si>
    <t>wtomlm.ir</t>
  </si>
  <si>
    <t>bazarneti.com</t>
  </si>
  <si>
    <t>lightronic.ir</t>
  </si>
  <si>
    <t>mihanpsd.com</t>
  </si>
  <si>
    <t>azmoonmsrt.com</t>
  </si>
  <si>
    <t>pinka.ir</t>
  </si>
  <si>
    <t>delaram-music.com</t>
  </si>
  <si>
    <t>dinkala.ir</t>
  </si>
  <si>
    <t>meraat.ir</t>
  </si>
  <si>
    <t>tajtehran.com</t>
  </si>
  <si>
    <t>enma.ir</t>
  </si>
  <si>
    <t>novinmarketing.com</t>
  </si>
  <si>
    <t>avayeshahir.com</t>
  </si>
  <si>
    <t>ledbank.ir</t>
  </si>
  <si>
    <t>tripbama.com</t>
  </si>
  <si>
    <t>novinmech.com</t>
  </si>
  <si>
    <t>attari-online.com</t>
  </si>
  <si>
    <t>ghasrangasht.com</t>
  </si>
  <si>
    <t>logikala.ir</t>
  </si>
  <si>
    <t>azad.ac.ir</t>
  </si>
  <si>
    <t>pda-planet.com</t>
  </si>
  <si>
    <t>ooma.ir</t>
  </si>
  <si>
    <t>register.tibf.ir</t>
  </si>
  <si>
    <t>telescope.ir</t>
  </si>
  <si>
    <t>clickboom.ir</t>
  </si>
  <si>
    <t>kohancharm.com</t>
  </si>
  <si>
    <t>araratco.co</t>
  </si>
  <si>
    <t>shahinstock.com</t>
  </si>
  <si>
    <t>blackberrynikan.com</t>
  </si>
  <si>
    <t>nabjawaher.com</t>
  </si>
  <si>
    <t>iransamsungcenter.com</t>
  </si>
  <si>
    <t>eheyat.com</t>
  </si>
  <si>
    <t>kimiaonline.com</t>
  </si>
  <si>
    <t>vadaie.ir</t>
  </si>
  <si>
    <t>sabka.ir</t>
  </si>
  <si>
    <t>whitekala.ir</t>
  </si>
  <si>
    <t>lunato.ir</t>
  </si>
  <si>
    <t>sid.ir</t>
  </si>
  <si>
    <t>parhambook.com</t>
  </si>
  <si>
    <t>armanweb.net</t>
  </si>
  <si>
    <t>iphix.ir</t>
  </si>
  <si>
    <t>sadaftours.com</t>
  </si>
  <si>
    <t>safetymessage.com</t>
  </si>
  <si>
    <t>karmania-auto.ir</t>
  </si>
  <si>
    <t>tagmond.com</t>
  </si>
  <si>
    <t>ariana-online.com</t>
  </si>
  <si>
    <t>payaneh.ir</t>
  </si>
  <si>
    <t>freeproject.ir</t>
  </si>
  <si>
    <t>farrahicarpet.com</t>
  </si>
  <si>
    <t>arjmandpub.com</t>
  </si>
  <si>
    <t>wpcity.ir</t>
  </si>
  <si>
    <t>seonab.com</t>
  </si>
  <si>
    <t>serajsabz.ir</t>
  </si>
  <si>
    <t>linkyab.net</t>
  </si>
  <si>
    <t>voiceart.ir</t>
  </si>
  <si>
    <t>digistyle.com</t>
  </si>
  <si>
    <t>rcs.ir</t>
  </si>
  <si>
    <t>joomlairan.com</t>
  </si>
  <si>
    <t>efarhang.com</t>
  </si>
  <si>
    <t>negare.ir</t>
  </si>
  <si>
    <t>nikprint.co</t>
  </si>
  <si>
    <t>hiapple.ir</t>
  </si>
  <si>
    <t>tamiryar.ir</t>
  </si>
  <si>
    <t>digicoffee.ir</t>
  </si>
  <si>
    <t>rayanpezeshk.com</t>
  </si>
  <si>
    <t>robochip.ir</t>
  </si>
  <si>
    <t>fadiashop.com</t>
  </si>
  <si>
    <t>nezamishop.ir</t>
  </si>
  <si>
    <t>ikopon.com</t>
  </si>
  <si>
    <t>afaghhosting.net</t>
  </si>
  <si>
    <t>razer.ir</t>
  </si>
  <si>
    <t>irprintgroup.com</t>
  </si>
  <si>
    <t>nginxweb.ir</t>
  </si>
  <si>
    <t>melliconcert.com</t>
  </si>
  <si>
    <t>salamatbazar.com</t>
  </si>
  <si>
    <t>aryanstore.com</t>
  </si>
  <si>
    <t>persiangfx.com</t>
  </si>
  <si>
    <t>abzarco.ir</t>
  </si>
  <si>
    <t>metror.ir</t>
  </si>
  <si>
    <t>pezeshkkala.com</t>
  </si>
  <si>
    <t>niazejahan.net</t>
  </si>
  <si>
    <t>sanat-online.com</t>
  </si>
  <si>
    <t>shop.p30download.com</t>
  </si>
  <si>
    <t>wikiproject.ir</t>
  </si>
  <si>
    <t>karyabikarmand.ir</t>
  </si>
  <si>
    <t>bizonline.ir</t>
  </si>
  <si>
    <t>digitellmobile.com</t>
  </si>
  <si>
    <t>unlockfactory.ir</t>
  </si>
  <si>
    <t>panteaco.com</t>
  </si>
  <si>
    <t>parstellshop.com</t>
  </si>
  <si>
    <t>atighshop.com</t>
  </si>
  <si>
    <t>kashanu.ac.ir</t>
  </si>
  <si>
    <t>dataecom.com</t>
  </si>
  <si>
    <t>chist.com</t>
  </si>
  <si>
    <t>spadana.net</t>
  </si>
  <si>
    <t>iranarena.com</t>
  </si>
  <si>
    <t>zarbuy.com</t>
  </si>
  <si>
    <t>khabarfarsi.com</t>
  </si>
  <si>
    <t>gooshimobile.com</t>
  </si>
  <si>
    <t>fapa.ir</t>
  </si>
  <si>
    <t>skycall.ir</t>
  </si>
  <si>
    <t>reklamco.com</t>
  </si>
  <si>
    <t>naftir.com</t>
  </si>
  <si>
    <t>roboeq.ir</t>
  </si>
  <si>
    <t>erfanizade.com</t>
  </si>
  <si>
    <t>poshtiban.com</t>
  </si>
  <si>
    <t>iranelearn.com</t>
  </si>
  <si>
    <t>butterflyshop.ir</t>
  </si>
  <si>
    <t>aligame.ir</t>
  </si>
  <si>
    <t>cartoninfo.com</t>
  </si>
  <si>
    <t>rsam.ir</t>
  </si>
  <si>
    <t>iliya.ir</t>
  </si>
  <si>
    <t>digik.ir</t>
  </si>
  <si>
    <t>agcarsmodel.com</t>
  </si>
  <si>
    <t>anaz.ir</t>
  </si>
  <si>
    <t>eynak.biz</t>
  </si>
  <si>
    <t>jdeiut.ir</t>
  </si>
  <si>
    <t>ejanebi.com</t>
  </si>
  <si>
    <t>archnews.ir</t>
  </si>
  <si>
    <t>crm.byteisp.com</t>
  </si>
  <si>
    <t>modiranmarket.com</t>
  </si>
  <si>
    <t>takhfifyar.com</t>
  </si>
  <si>
    <t>mehreganbook.ir</t>
  </si>
  <si>
    <t>psyworld.ir</t>
  </si>
  <si>
    <t>giftcard.ir</t>
  </si>
  <si>
    <t>bankamlak.com</t>
  </si>
  <si>
    <t>softspot.ir</t>
  </si>
  <si>
    <t>rayaneh724.com</t>
  </si>
  <si>
    <t>mohajertc.ir</t>
  </si>
  <si>
    <t>iran3dprinter.ir</t>
  </si>
  <si>
    <t>raze4fasl.com</t>
  </si>
  <si>
    <t>kamvarsugarfree.ir</t>
  </si>
  <si>
    <t>iiinf.com</t>
  </si>
  <si>
    <t>irschool.net</t>
  </si>
  <si>
    <t>fileket.com</t>
  </si>
  <si>
    <t>emahd.ir</t>
  </si>
  <si>
    <t>edbazar.com</t>
  </si>
  <si>
    <t>myjanebi.ir</t>
  </si>
  <si>
    <t>shahabisp.ir</t>
  </si>
  <si>
    <t>isf-bmn.ir</t>
  </si>
  <si>
    <t>samentour.com</t>
  </si>
  <si>
    <t>gooyesh-edu.com</t>
  </si>
  <si>
    <t>pmcm.ir</t>
  </si>
  <si>
    <t>iauln.ac.ir</t>
  </si>
  <si>
    <t>seprah.ir</t>
  </si>
  <si>
    <t>mahanhost.com</t>
  </si>
  <si>
    <t>rsshop.ir</t>
  </si>
  <si>
    <t>saze90.com</t>
  </si>
  <si>
    <t>smartir.ir</t>
  </si>
  <si>
    <t>mp-store.ir</t>
  </si>
  <si>
    <t>mobile-city.ir</t>
  </si>
  <si>
    <t>pm4ir.com</t>
  </si>
  <si>
    <t>eventcenter.ir</t>
  </si>
  <si>
    <t>shahinshoes.com</t>
  </si>
  <si>
    <t>asanmadar.ir</t>
  </si>
  <si>
    <t>yadman.net</t>
  </si>
  <si>
    <t>codeunlock.ir</t>
  </si>
  <si>
    <t>sepehrcc.com</t>
  </si>
  <si>
    <t>parsiankala.com</t>
  </si>
  <si>
    <t>rayanelectron.ir</t>
  </si>
  <si>
    <t>kalafarsh.com</t>
  </si>
  <si>
    <t>nard-online.ir</t>
  </si>
  <si>
    <t>parstina.com</t>
  </si>
  <si>
    <t>gama.ir</t>
  </si>
  <si>
    <t>kashankharid.ir</t>
  </si>
  <si>
    <t>ir93.com</t>
  </si>
  <si>
    <t>appeto.ir</t>
  </si>
  <si>
    <t>mir24.ir</t>
  </si>
  <si>
    <t>mihania.ir</t>
  </si>
  <si>
    <t>moshaver.com</t>
  </si>
  <si>
    <t>licenseha.com</t>
  </si>
  <si>
    <t>hame.net</t>
  </si>
  <si>
    <t>newagahi.ir</t>
  </si>
  <si>
    <t>bejo.ir</t>
  </si>
  <si>
    <t>beyamooz.com</t>
  </si>
  <si>
    <t>bazaarbargh.ir</t>
  </si>
  <si>
    <t>iranbuybook.com</t>
  </si>
  <si>
    <t>takfarsh.com</t>
  </si>
  <si>
    <t>sfone.ir</t>
  </si>
  <si>
    <t>mediaafzar.com</t>
  </si>
  <si>
    <t>rasaconcert.com</t>
  </si>
  <si>
    <t>sipas.ir</t>
  </si>
  <si>
    <t>whe.ir</t>
  </si>
  <si>
    <t>tajhizat.ir</t>
  </si>
  <si>
    <t>cityacademy.ir</t>
  </si>
  <si>
    <t>abrangstore.ir</t>
  </si>
  <si>
    <t>dota2land.ir</t>
  </si>
  <si>
    <t>iran-optic.ir</t>
  </si>
  <si>
    <t>digitalarc.ir</t>
  </si>
  <si>
    <t>partakticket.com</t>
  </si>
  <si>
    <t>ntkala.com</t>
  </si>
  <si>
    <t>decoweb.ir</t>
  </si>
  <si>
    <t>appchar.com</t>
  </si>
  <si>
    <t>soccerstars.ir</t>
  </si>
  <si>
    <t>7reply.com</t>
  </si>
  <si>
    <t>applecard24.com</t>
  </si>
  <si>
    <t>gfx1.ir</t>
  </si>
  <si>
    <t>teberooz.ir</t>
  </si>
  <si>
    <t>mahantarjome.ir</t>
  </si>
  <si>
    <t>iaush.ac.ir</t>
  </si>
  <si>
    <t>sibesiah.com</t>
  </si>
  <si>
    <t>datagharch.com</t>
  </si>
  <si>
    <t>egiftcard.ir</t>
  </si>
  <si>
    <t>archiclassic.ir</t>
  </si>
  <si>
    <t>8n8.ir</t>
  </si>
  <si>
    <t>abfaesfahan.ir</t>
  </si>
  <si>
    <t>isfahanhonar.com</t>
  </si>
  <si>
    <t>modernlifestore.com</t>
  </si>
  <si>
    <t>shandermanshop.com</t>
  </si>
  <si>
    <t>iaukhsh.ac.ir</t>
  </si>
  <si>
    <t>dpfaragir.ir</t>
  </si>
  <si>
    <t>dpe.ac</t>
  </si>
  <si>
    <t>polshop.ir</t>
  </si>
  <si>
    <t>pars-soft.com</t>
  </si>
  <si>
    <t>ketabsa.com</t>
  </si>
  <si>
    <t>chinestan.com</t>
  </si>
  <si>
    <t>ikavosh.com</t>
  </si>
  <si>
    <t>toobatarjomeh.ir</t>
  </si>
  <si>
    <t>shivaamvaj.com</t>
  </si>
  <si>
    <t>kasbokareonline.com</t>
  </si>
  <si>
    <t>elearnpars.org</t>
  </si>
  <si>
    <t>idehbank.com</t>
  </si>
  <si>
    <t>appreview.ir</t>
  </si>
  <si>
    <t>iranhejab.ir</t>
  </si>
  <si>
    <t>3dprintstore.ir</t>
  </si>
  <si>
    <t>isfahantahrir.com</t>
  </si>
  <si>
    <t>eccim.com</t>
  </si>
  <si>
    <t>asemanbike.com</t>
  </si>
  <si>
    <t>kashansara.com</t>
  </si>
  <si>
    <t>aseman-haftom.com</t>
  </si>
  <si>
    <t>bazartche.ir</t>
  </si>
  <si>
    <t>sepahangostar.com</t>
  </si>
  <si>
    <t>jdeihe.ac.ir</t>
  </si>
  <si>
    <t>poopesh.com</t>
  </si>
  <si>
    <t>eghamat24.ir</t>
  </si>
  <si>
    <t>torbatkala.ir</t>
  </si>
  <si>
    <t>afe.ir</t>
  </si>
  <si>
    <t>aryajob.com</t>
  </si>
  <si>
    <t>irantranslate.ir</t>
  </si>
  <si>
    <t>shop.2sweb.ir</t>
  </si>
  <si>
    <t>bia2computer.com</t>
  </si>
  <si>
    <t>ehyaeisaffron.ir</t>
  </si>
  <si>
    <t>deltakala.com</t>
  </si>
  <si>
    <t>mth-co.ir</t>
  </si>
  <si>
    <t>spss-iran.ir</t>
  </si>
  <si>
    <t>btmco.ir</t>
  </si>
  <si>
    <t>hamtanab.ir</t>
  </si>
  <si>
    <t>orash.ir</t>
  </si>
  <si>
    <t>open-cart.ir</t>
  </si>
  <si>
    <t>farinsoft.ir</t>
  </si>
  <si>
    <t>grovo.ir</t>
  </si>
  <si>
    <t>mashhadshops.com</t>
  </si>
  <si>
    <t>fapka.ir</t>
  </si>
  <si>
    <t>sabzgostar.net</t>
  </si>
  <si>
    <t>key24.ir</t>
  </si>
  <si>
    <t>savalanroze.com</t>
  </si>
  <si>
    <t>nezammohandesi.ir</t>
  </si>
  <si>
    <t>rahbal.net</t>
  </si>
  <si>
    <t>irannamayeh.com</t>
  </si>
  <si>
    <t>mihannic.com</t>
  </si>
  <si>
    <t>um.ac.ir</t>
  </si>
  <si>
    <t>mizbanwp.com</t>
  </si>
  <si>
    <t>frotel.com</t>
  </si>
  <si>
    <t>respina24.com</t>
  </si>
  <si>
    <t>ghasrreservation.com</t>
  </si>
  <si>
    <t>mshdiau.ac.ir</t>
  </si>
  <si>
    <t>typeiran.com</t>
  </si>
  <si>
    <t>iran-archery.com</t>
  </si>
  <si>
    <t>azbooking.ir</t>
  </si>
  <si>
    <t>charter724.org</t>
  </si>
  <si>
    <t>appleapps.ir</t>
  </si>
  <si>
    <t>parvaz24.ir</t>
  </si>
  <si>
    <t>saffat.net</t>
  </si>
  <si>
    <t>parvazyab.com</t>
  </si>
  <si>
    <t>khatesefid.com</t>
  </si>
  <si>
    <t>mihanhosting.ir</t>
  </si>
  <si>
    <t>kabookcharm.com</t>
  </si>
  <si>
    <t>sadjad.ac.ir</t>
  </si>
  <si>
    <t>etoos.ir</t>
  </si>
  <si>
    <t>sanjesh3.org</t>
  </si>
  <si>
    <t>parand-rug.com</t>
  </si>
  <si>
    <t>anil724.ir</t>
  </si>
  <si>
    <t>beroozresani.com</t>
  </si>
  <si>
    <t>torbath.ac.ir</t>
  </si>
  <si>
    <t>mashhadkhodro.com</t>
  </si>
  <si>
    <t>ipresta.ir</t>
  </si>
  <si>
    <t>hamyarhotel.com</t>
  </si>
  <si>
    <t>prstige.ir</t>
  </si>
  <si>
    <t>iran-mavad.com</t>
  </si>
  <si>
    <t>pazhelec.com</t>
  </si>
  <si>
    <t>elitan.ir</t>
  </si>
  <si>
    <t>meedc.ir</t>
  </si>
  <si>
    <t>rroc.ir</t>
  </si>
  <si>
    <t>shop.roboticngo.com</t>
  </si>
  <si>
    <t>serverdl.com</t>
  </si>
  <si>
    <t>abzarbashi.com</t>
  </si>
  <si>
    <t>rahnamod.ir</t>
  </si>
  <si>
    <t>hamdam.org</t>
  </si>
  <si>
    <t>everun.ir</t>
  </si>
  <si>
    <t>porseshname.com</t>
  </si>
  <si>
    <t>rubiksoft.ir</t>
  </si>
  <si>
    <t>nabzeroz.ir</t>
  </si>
  <si>
    <t>7tik.com</t>
  </si>
  <si>
    <t>301030.ir</t>
  </si>
  <si>
    <t>ati724.ir</t>
  </si>
  <si>
    <t>shop.pnuna.com</t>
  </si>
  <si>
    <t>bazarmajazi.com</t>
  </si>
  <si>
    <t>computeruser.ir</t>
  </si>
  <si>
    <t>sepidparvaz.ir</t>
  </si>
  <si>
    <t>behprice.com</t>
  </si>
  <si>
    <t>forushgahfile.com</t>
  </si>
  <si>
    <t>tolop.ir</t>
  </si>
  <si>
    <t>co-asayesh.com</t>
  </si>
  <si>
    <t>irannod32.com</t>
  </si>
  <si>
    <t>poostkala.com</t>
  </si>
  <si>
    <t>persiandata.com</t>
  </si>
  <si>
    <t>karak.ir</t>
  </si>
  <si>
    <t>madis-co.com</t>
  </si>
  <si>
    <t>shop.itpardaz.com</t>
  </si>
  <si>
    <t>darbaze.com</t>
  </si>
  <si>
    <t>cgtools.ir</t>
  </si>
  <si>
    <t>tennismarket.ir</t>
  </si>
  <si>
    <t>deriksaz.com</t>
  </si>
  <si>
    <t>daroopost.com</t>
  </si>
  <si>
    <t>serversetup.ir</t>
  </si>
  <si>
    <t>i4center.com</t>
  </si>
  <si>
    <t>mah24.com</t>
  </si>
  <si>
    <t>mashhad724.ir</t>
  </si>
  <si>
    <t>site-sell.ir</t>
  </si>
  <si>
    <t>khastany.ir</t>
  </si>
  <si>
    <t>eliteit.ir</t>
  </si>
  <si>
    <t>abfakhorasan.ir</t>
  </si>
  <si>
    <t>homehr.ir</t>
  </si>
  <si>
    <t>arencenter.ir</t>
  </si>
  <si>
    <t>jahangostar-bozorg.com</t>
  </si>
  <si>
    <t>worldinternships.ir</t>
  </si>
  <si>
    <t>donya-digital.com</t>
  </si>
  <si>
    <t>shop.onbik.ir</t>
  </si>
  <si>
    <t>linestore.ir</t>
  </si>
  <si>
    <t>nikkharid.com</t>
  </si>
  <si>
    <t>philips-kala.com</t>
  </si>
  <si>
    <t>javahermarket.com</t>
  </si>
  <si>
    <t>es.co.ir</t>
  </si>
  <si>
    <t>philipsco.ir</t>
  </si>
  <si>
    <t>jamilseir.com</t>
  </si>
  <si>
    <t>vgkey.ir</t>
  </si>
  <si>
    <t>abrahe-saze.ir</t>
  </si>
  <si>
    <t>netpaydar.com</t>
  </si>
  <si>
    <t>moeinseir724.ir</t>
  </si>
  <si>
    <t>arzanabzar.com</t>
  </si>
  <si>
    <t>drticket.ir</t>
  </si>
  <si>
    <t>buylike.ir</t>
  </si>
  <si>
    <t>chindi.ir</t>
  </si>
  <si>
    <t>paadars.com</t>
  </si>
  <si>
    <t>takbike.ir</t>
  </si>
  <si>
    <t>shop20.saze20.ir</t>
  </si>
  <si>
    <t>icivil.ir</t>
  </si>
  <si>
    <t>poshe.ir</t>
  </si>
  <si>
    <t>38113.ir</t>
  </si>
  <si>
    <t>patriss.ir</t>
  </si>
  <si>
    <t>mihanbacklink.ir</t>
  </si>
  <si>
    <t>wp2app.ir</t>
  </si>
  <si>
    <t>v-charge.ir</t>
  </si>
  <si>
    <t>mihanpayment.com</t>
  </si>
  <si>
    <t>cero.ir</t>
  </si>
  <si>
    <t>masoodlaali.com</t>
  </si>
  <si>
    <t>parvazak.ir</t>
  </si>
  <si>
    <t>timetochange.ir</t>
  </si>
  <si>
    <t>iharaj.ir</t>
  </si>
  <si>
    <t>pelikanshop.ir</t>
  </si>
  <si>
    <t>toc24.net</t>
  </si>
  <si>
    <t>azingashtsoheil.ir</t>
  </si>
  <si>
    <t>37010.ir</t>
  </si>
  <si>
    <t>pingpass.ir</t>
  </si>
  <si>
    <t>edu-admin.ir</t>
  </si>
  <si>
    <t>avagar.ir</t>
  </si>
  <si>
    <t>startkala.com</t>
  </si>
  <si>
    <t>ordme.com</t>
  </si>
  <si>
    <t>hedayatnoor.org</t>
  </si>
  <si>
    <t>setavin.com</t>
  </si>
  <si>
    <t>blackroid.ir</t>
  </si>
  <si>
    <t>avasshop.ir</t>
  </si>
  <si>
    <t>abaqus98.ir</t>
  </si>
  <si>
    <t>taksabt.ir</t>
  </si>
  <si>
    <t>saeedarianmanesh.com</t>
  </si>
  <si>
    <t>samaschools.ir</t>
  </si>
  <si>
    <t>payfile.org</t>
  </si>
  <si>
    <t>dayantravel.com</t>
  </si>
  <si>
    <t>2sweb.ir</t>
  </si>
  <si>
    <t>parniyaz.com</t>
  </si>
  <si>
    <t>daremco.com</t>
  </si>
  <si>
    <t>khrud.ir</t>
  </si>
  <si>
    <t>rahbal.info</t>
  </si>
  <si>
    <t>farsravan.com</t>
  </si>
  <si>
    <t>shiraz-market.com</t>
  </si>
  <si>
    <t>car.iranjib.ir</t>
  </si>
  <si>
    <t>beroozit.com</t>
  </si>
  <si>
    <t>shiraztic.ir</t>
  </si>
  <si>
    <t>blogskin.ir</t>
  </si>
  <si>
    <t>fafait.ir</t>
  </si>
  <si>
    <t>irantic.com</t>
  </si>
  <si>
    <t>princesystem.ir</t>
  </si>
  <si>
    <t>khabarads.ir</t>
  </si>
  <si>
    <t>tarjomeonline.ir</t>
  </si>
  <si>
    <t>market.kardoonline.com</t>
  </si>
  <si>
    <t>pulseserver.net</t>
  </si>
  <si>
    <t>aftabrayaneh.com</t>
  </si>
  <si>
    <t>magento-host.ir</t>
  </si>
  <si>
    <t>unlockimei.ir</t>
  </si>
  <si>
    <t>shiraztakhfif.ir</t>
  </si>
  <si>
    <t>bazare-online.com</t>
  </si>
  <si>
    <t>elcshop.ir</t>
  </si>
  <si>
    <t>bestchina.ir</t>
  </si>
  <si>
    <t>kavoshco.ir</t>
  </si>
  <si>
    <t>jerisco.ir</t>
  </si>
  <si>
    <t>navidedu.ir</t>
  </si>
  <si>
    <t>peiloo.com</t>
  </si>
  <si>
    <t>boomerang.co.ir</t>
  </si>
  <si>
    <t>shirazu.ac.ir</t>
  </si>
  <si>
    <t>lamerdict.com</t>
  </si>
  <si>
    <t>tabiban.net</t>
  </si>
  <si>
    <t>madaranemrooz.ir</t>
  </si>
  <si>
    <t>shop-power2.ir</t>
  </si>
  <si>
    <t>p30xbox.com</t>
  </si>
  <si>
    <t>farahoosh.ir</t>
  </si>
  <si>
    <t>greenglobe.ir</t>
  </si>
  <si>
    <t>shiraz.ir</t>
  </si>
  <si>
    <t>jooreh.com</t>
  </si>
  <si>
    <t>3710.ir</t>
  </si>
  <si>
    <t>rcmaster.ir</t>
  </si>
  <si>
    <t>diginic.net</t>
  </si>
  <si>
    <t>chapkhane.net</t>
  </si>
  <si>
    <t>asashoping.com</t>
  </si>
  <si>
    <t>telshopping.ir</t>
  </si>
  <si>
    <t>vus.ir</t>
  </si>
  <si>
    <t>mihanwp.com</t>
  </si>
  <si>
    <t>hamyar.net</t>
  </si>
  <si>
    <t>pdashop.ir</t>
  </si>
  <si>
    <t>fontiran.com</t>
  </si>
  <si>
    <t>harajiha.ir</t>
  </si>
  <si>
    <t>parstel.ir</t>
  </si>
  <si>
    <t>paramed.ir</t>
  </si>
  <si>
    <t>sunrobotic.com</t>
  </si>
  <si>
    <t>skyphone.ir</t>
  </si>
  <si>
    <t>asidesigner.com</t>
  </si>
  <si>
    <t>sisicom.ir</t>
  </si>
  <si>
    <t>appsaz.ir</t>
  </si>
  <si>
    <t>xiaomi-fa.com</t>
  </si>
  <si>
    <t>gardeshgaran1.com</t>
  </si>
  <si>
    <t>smartstore.ir</t>
  </si>
  <si>
    <t>echista.ir</t>
  </si>
  <si>
    <t>shiraz-beethoven.ir</t>
  </si>
  <si>
    <t>shop.magento-design.ir</t>
  </si>
  <si>
    <t>shargh-online.com</t>
  </si>
  <si>
    <t>erfan-net.ir</t>
  </si>
  <si>
    <t>shiraz-hotel.com</t>
  </si>
  <si>
    <t>markazesh.com</t>
  </si>
  <si>
    <t>gcs.ir</t>
  </si>
  <si>
    <t>babest.ir</t>
  </si>
  <si>
    <t>royalbuy.ir</t>
  </si>
  <si>
    <t>researcheditor.ir</t>
  </si>
  <si>
    <t>iteraket.ir</t>
  </si>
  <si>
    <t>opp.co.ir</t>
  </si>
  <si>
    <t>mpcir.com</t>
  </si>
  <si>
    <t>mashinak.com</t>
  </si>
  <si>
    <t>mahsanstore.ir</t>
  </si>
  <si>
    <t>gempars.com</t>
  </si>
  <si>
    <t>vatangame.ir</t>
  </si>
  <si>
    <t>parvaz.ir</t>
  </si>
  <si>
    <t>fceo.ir</t>
  </si>
  <si>
    <t>shirazjanome.com</t>
  </si>
  <si>
    <t>berbidvps.ir</t>
  </si>
  <si>
    <t>kiana20.ir</t>
  </si>
  <si>
    <t>dehshikhkala.com</t>
  </si>
  <si>
    <t>mrmaterial.ir</t>
  </si>
  <si>
    <t>scr.ir</t>
  </si>
  <si>
    <t>sh711.com</t>
  </si>
  <si>
    <t>batterys.org</t>
  </si>
  <si>
    <t>harajidigi.com</t>
  </si>
  <si>
    <t>pndl.ir</t>
  </si>
  <si>
    <t>marvelmarket.ir</t>
  </si>
  <si>
    <t>nasleziba.com</t>
  </si>
  <si>
    <t>irasaelec.com</t>
  </si>
  <si>
    <t>ariamas.com</t>
  </si>
  <si>
    <t>shiraz.technology</t>
  </si>
  <si>
    <t>doctoreto.com</t>
  </si>
  <si>
    <t>farshp.com</t>
  </si>
  <si>
    <t>katebadl.com</t>
  </si>
  <si>
    <t>rayta.ir</t>
  </si>
  <si>
    <t>zandseir.ir</t>
  </si>
  <si>
    <t>shirinbanoo.com</t>
  </si>
  <si>
    <t>hafez.ac.ir</t>
  </si>
  <si>
    <t>farstelecom.ir</t>
  </si>
  <si>
    <t>khatoghalam.com</t>
  </si>
  <si>
    <t>irconsole.ir</t>
  </si>
  <si>
    <t>danafa.com</t>
  </si>
  <si>
    <t>backlink.ir</t>
  </si>
  <si>
    <t>raja.ac.ir</t>
  </si>
  <si>
    <t>rom1.ir</t>
  </si>
  <si>
    <t>ghiaseddin.ac.ir</t>
  </si>
  <si>
    <t>loxin.ir</t>
  </si>
  <si>
    <t>manualshop.ir</t>
  </si>
  <si>
    <t>iranjb.ir</t>
  </si>
  <si>
    <t>softiranian.ir</t>
  </si>
  <si>
    <t>psgraphic.ir</t>
  </si>
  <si>
    <t>hdaneshjoo.com</t>
  </si>
  <si>
    <t>tajgallery.com</t>
  </si>
  <si>
    <t>novinkit.com</t>
  </si>
  <si>
    <t>parandsms.ir</t>
  </si>
  <si>
    <t>www.tcqnet.ir</t>
  </si>
  <si>
    <t>ofmas.ir</t>
  </si>
  <si>
    <t>bankarc.ir</t>
  </si>
  <si>
    <t>dwgir.com</t>
  </si>
  <si>
    <t>mihancharge.net</t>
  </si>
  <si>
    <t>bazaak.ir</t>
  </si>
  <si>
    <t>nyazco.com</t>
  </si>
  <si>
    <t>parsj.ir</t>
  </si>
  <si>
    <t>limooweb.com</t>
  </si>
  <si>
    <t>etik.ir</t>
  </si>
  <si>
    <t>tarh-tojihi.ir</t>
  </si>
  <si>
    <t>ebilit.com</t>
  </si>
  <si>
    <t>mihanhamkar.com</t>
  </si>
  <si>
    <t>dibasensor.com</t>
  </si>
  <si>
    <t>simanet.co</t>
  </si>
  <si>
    <t>fiload.ir</t>
  </si>
  <si>
    <t>maxnet.ir</t>
  </si>
  <si>
    <t>4fem.ir</t>
  </si>
  <si>
    <t>azaronline.com</t>
  </si>
  <si>
    <t>tct.ac.ir</t>
  </si>
  <si>
    <t>ghasedaknet.com</t>
  </si>
  <si>
    <t>persianrank.ir</t>
  </si>
  <si>
    <t>asanniaz.com</t>
  </si>
  <si>
    <t>hiranex.com</t>
  </si>
  <si>
    <t>tabrizsearch.com</t>
  </si>
  <si>
    <t>adisnike.com</t>
  </si>
  <si>
    <t>anafarsh.com</t>
  </si>
  <si>
    <t>echargeu.ir</t>
  </si>
  <si>
    <t>namilo.com</t>
  </si>
  <si>
    <t>aninaz.com</t>
  </si>
  <si>
    <t>arzanload.ir</t>
  </si>
  <si>
    <t>irancasio.ir</t>
  </si>
  <si>
    <t>shafadoc.ir</t>
  </si>
  <si>
    <t>limoostore.com</t>
  </si>
  <si>
    <t>client.gognoos.com</t>
  </si>
  <si>
    <t>amlak118.com</t>
  </si>
  <si>
    <t>vaav.ir</t>
  </si>
  <si>
    <t>sazcenter.com</t>
  </si>
  <si>
    <t>azaruniv.ac.ir</t>
  </si>
  <si>
    <t>sepantasys.com</t>
  </si>
  <si>
    <t>mellifera.ir</t>
  </si>
  <si>
    <t>nopardaz.com</t>
  </si>
  <si>
    <t>melec.ir</t>
  </si>
  <si>
    <t>iranestekhdam.ir</t>
  </si>
  <si>
    <t>androidmrkt.com</t>
  </si>
  <si>
    <t>80118.ir</t>
  </si>
  <si>
    <t>chaleshgar.com</t>
  </si>
  <si>
    <t>pnu4u.com</t>
  </si>
  <si>
    <t>wpdesigner.ir</t>
  </si>
  <si>
    <t>iran-karyab.com</t>
  </si>
  <si>
    <t>hamara.ir</t>
  </si>
  <si>
    <t>novinwatch.com</t>
  </si>
  <si>
    <t>olomeno.com</t>
  </si>
  <si>
    <t>shop.melec.ir</t>
  </si>
  <si>
    <t>kandohost.com</t>
  </si>
  <si>
    <t>saymandigital.com</t>
  </si>
  <si>
    <t>eshraghtranslators.com</t>
  </si>
  <si>
    <t>cgbox.ir</t>
  </si>
  <si>
    <t>iranshik.com</t>
  </si>
  <si>
    <t>royalatr.com</t>
  </si>
  <si>
    <t>atlaseshop.com</t>
  </si>
  <si>
    <t>sazeplus.com</t>
  </si>
  <si>
    <t>lemontheme.com</t>
  </si>
  <si>
    <t>rasadata.ir</t>
  </si>
  <si>
    <t>camp-kala.ir</t>
  </si>
  <si>
    <t>gogoldis.com</t>
  </si>
  <si>
    <t>parswebhost.net</t>
  </si>
  <si>
    <t>bonabu.ac.ir</t>
  </si>
  <si>
    <t>azarbux.com</t>
  </si>
  <si>
    <t>modakala.com</t>
  </si>
  <si>
    <t>samankaryab.com</t>
  </si>
  <si>
    <t>iranarze.ir</t>
  </si>
  <si>
    <t>shoniz.com</t>
  </si>
  <si>
    <t>maralleather.com</t>
  </si>
  <si>
    <t>sanatesakhteman.ir</t>
  </si>
  <si>
    <t>clinicsalamat.com</t>
  </si>
  <si>
    <t>persiandaneshjoo.ir</t>
  </si>
  <si>
    <t>niazshop.ir</t>
  </si>
  <si>
    <t>apadanawoodshop.ir</t>
  </si>
  <si>
    <t>nasimeyas.com</t>
  </si>
  <si>
    <t>1car.ir</t>
  </si>
  <si>
    <t>torobche.com</t>
  </si>
  <si>
    <t>medical-online.ir</t>
  </si>
  <si>
    <t>modiriran.ir</t>
  </si>
  <si>
    <t>servergate.ir</t>
  </si>
  <si>
    <t>yabaan.com</t>
  </si>
  <si>
    <t>carwax.ir</t>
  </si>
  <si>
    <t>mahvin.ir</t>
  </si>
  <si>
    <t>tarjomebazar.com</t>
  </si>
  <si>
    <t>irsanat.com</t>
  </si>
  <si>
    <t>wensoni.com</t>
  </si>
  <si>
    <t>nskco.com</t>
  </si>
  <si>
    <t>karyabisina.com</t>
  </si>
  <si>
    <t>buycards.ir</t>
  </si>
  <si>
    <t>mrseed.ir</t>
  </si>
  <si>
    <t>www.shop.glassy-garden.com</t>
  </si>
  <si>
    <t>agahi24.com</t>
  </si>
  <si>
    <t>khorshidnet.com</t>
  </si>
  <si>
    <t>farsigift.ir</t>
  </si>
  <si>
    <t>filmozaban.com</t>
  </si>
  <si>
    <t>animworld.net</t>
  </si>
  <si>
    <t>moblfaryazan.ir</t>
  </si>
  <si>
    <t>tarjomehsara.ir</t>
  </si>
  <si>
    <t>day2daybuy.com</t>
  </si>
  <si>
    <t>androidiha.net</t>
  </si>
  <si>
    <t>joomla-template.ir</t>
  </si>
  <si>
    <t>shoptahrir.com</t>
  </si>
  <si>
    <t>hamedeskandari.ir</t>
  </si>
  <si>
    <t>123project.ir</t>
  </si>
  <si>
    <t>shop.dp-rc.com</t>
  </si>
  <si>
    <t>parnianpc.com</t>
  </si>
  <si>
    <t>vidfactor.com</t>
  </si>
  <si>
    <t>armanweb.co</t>
  </si>
  <si>
    <t>kharide20.com</t>
  </si>
  <si>
    <t>sakala.ir</t>
  </si>
  <si>
    <t>karajtabliq.ir</t>
  </si>
  <si>
    <t>alborzccim.ir</t>
  </si>
  <si>
    <t>bjobs.ir</t>
  </si>
  <si>
    <t>nassirinst.ir</t>
  </si>
  <si>
    <t>golhateb.ir</t>
  </si>
  <si>
    <t>sabad724.com</t>
  </si>
  <si>
    <t>shahreyaragh.com</t>
  </si>
  <si>
    <t>merosi.com</t>
  </si>
  <si>
    <t>irantranslator.ir</t>
  </si>
  <si>
    <t>kishway.com</t>
  </si>
  <si>
    <t>kharazmi-statistics.ir</t>
  </si>
  <si>
    <t>tarahinovin.com</t>
  </si>
  <si>
    <t>elltonpet.com</t>
  </si>
  <si>
    <t>unlockfast.net</t>
  </si>
  <si>
    <t>urbanshop.ir</t>
  </si>
  <si>
    <t>keshtzar.ir</t>
  </si>
  <si>
    <t>modernkhodro.com</t>
  </si>
  <si>
    <t>softcivil.ir</t>
  </si>
  <si>
    <t>nafisfile.com</t>
  </si>
  <si>
    <t>ghabshop.com</t>
  </si>
  <si>
    <t>itpro.ir</t>
  </si>
  <si>
    <t>rightspaper.com</t>
  </si>
  <si>
    <t>nextpay.ir</t>
  </si>
  <si>
    <t>decoriya.com</t>
  </si>
  <si>
    <t>ematoos.com</t>
  </si>
  <si>
    <t>pakook.com</t>
  </si>
  <si>
    <t>eeeng.ir</t>
  </si>
  <si>
    <t>awstore.ir</t>
  </si>
  <si>
    <t>sonyeshop.ir</t>
  </si>
  <si>
    <t>irancnet.biz</t>
  </si>
  <si>
    <t>m32.ir</t>
  </si>
  <si>
    <t>shop.graphiran.com</t>
  </si>
  <si>
    <t>raygansms.com</t>
  </si>
  <si>
    <t>mihanpay.ir</t>
  </si>
  <si>
    <t>olomrayaneh.net</t>
  </si>
  <si>
    <t>villarabet.ir</t>
  </si>
  <si>
    <t>farazjam.ir</t>
  </si>
  <si>
    <t>avanameh.com</t>
  </si>
  <si>
    <t>sahebelectronic.ir</t>
  </si>
  <si>
    <t>gamesbest.ir</t>
  </si>
  <si>
    <t>iran-banner.com</t>
  </si>
  <si>
    <t>ekahroba.ir</t>
  </si>
  <si>
    <t>iranejra.com</t>
  </si>
  <si>
    <t>senfgc.ir</t>
  </si>
  <si>
    <t>asanamooz.com</t>
  </si>
  <si>
    <t>tecsho.com</t>
  </si>
  <si>
    <t>piccotoys.com</t>
  </si>
  <si>
    <t>parswebserver.com</t>
  </si>
  <si>
    <t>amardtarjome.com</t>
  </si>
  <si>
    <t>mida-co.ir</t>
  </si>
  <si>
    <t>p30iran.com</t>
  </si>
  <si>
    <t>umake.ir</t>
  </si>
  <si>
    <t>baghadartabiat.ir</t>
  </si>
  <si>
    <t>seeone.net</t>
  </si>
  <si>
    <t>hotelseir.com</t>
  </si>
  <si>
    <t>central-hosting.com</t>
  </si>
  <si>
    <t>uploadkadeh.com</t>
  </si>
  <si>
    <t>bink.ir</t>
  </si>
  <si>
    <t>salehan.ac.ir</t>
  </si>
  <si>
    <t>abarproject.ir</t>
  </si>
  <si>
    <t>shop-land.ir</t>
  </si>
  <si>
    <t>jco.ir</t>
  </si>
  <si>
    <t>downloadplus.link</t>
  </si>
  <si>
    <t>qayeq.com</t>
  </si>
  <si>
    <t>ebagh.com</t>
  </si>
  <si>
    <t>adib-mazandaran.ac.ir</t>
  </si>
  <si>
    <t>naghme.org</t>
  </si>
  <si>
    <t>almahdishop.com</t>
  </si>
  <si>
    <t>ramgol.com</t>
  </si>
  <si>
    <t>dq1.ir</t>
  </si>
  <si>
    <t>adelgs.com</t>
  </si>
  <si>
    <t>persianit.net</t>
  </si>
  <si>
    <t>shekamonline.com</t>
  </si>
  <si>
    <t>mazandkala.com</t>
  </si>
  <si>
    <t>systemkade.com</t>
  </si>
  <si>
    <t>hadoop.ir</t>
  </si>
  <si>
    <t>makhzaneab.com</t>
  </si>
  <si>
    <t>nexbuy.ir</t>
  </si>
  <si>
    <t>physicfa.ir</t>
  </si>
  <si>
    <t>1start.ir</t>
  </si>
  <si>
    <t>daneshjoonline.net</t>
  </si>
  <si>
    <t>prestatools.ir</t>
  </si>
  <si>
    <t>asia-game.org</t>
  </si>
  <si>
    <t>edi-info.ir</t>
  </si>
  <si>
    <t>ir-mob.ir</t>
  </si>
  <si>
    <t>mojdehbook.com</t>
  </si>
  <si>
    <t>varizi.ir</t>
  </si>
  <si>
    <t>golesorkh-shop.com</t>
  </si>
  <si>
    <t>vatandata.com</t>
  </si>
  <si>
    <t>drfakhar.ir</t>
  </si>
  <si>
    <t>ketabdownload.com</t>
  </si>
  <si>
    <t>shop.parskhazar.com</t>
  </si>
  <si>
    <t>parsinweb.com</t>
  </si>
  <si>
    <t>iranbazicenter.com</t>
  </si>
  <si>
    <t>avalinhost.com</t>
  </si>
  <si>
    <t>plaza.ir</t>
  </si>
  <si>
    <t>downloadketab.com</t>
  </si>
  <si>
    <t>gilantabligh.com</t>
  </si>
  <si>
    <t>originalkey.net</t>
  </si>
  <si>
    <t>chinship.ir</t>
  </si>
  <si>
    <t>kalavarishop.com</t>
  </si>
  <si>
    <t>ponisha.ir</t>
  </si>
  <si>
    <t>refit.ir</t>
  </si>
  <si>
    <t>rvc.ir</t>
  </si>
  <si>
    <t>mihan-host.ir</t>
  </si>
  <si>
    <t>gil118.com</t>
  </si>
  <si>
    <t>nmls.ir</t>
  </si>
  <si>
    <t>bazarmal.com</t>
  </si>
  <si>
    <t>persianfreelancer.ir</t>
  </si>
  <si>
    <t>afzoneha.com</t>
  </si>
  <si>
    <t>stufile.ir</t>
  </si>
  <si>
    <t>shast.ir</t>
  </si>
  <si>
    <t>bazibaza.ir</t>
  </si>
  <si>
    <t>geeksho.ir</t>
  </si>
  <si>
    <t>teacoffee.ir</t>
  </si>
  <si>
    <t>client.parsiranic.com</t>
  </si>
  <si>
    <t>manohonar.com</t>
  </si>
  <si>
    <t>eshkevaritour.com</t>
  </si>
  <si>
    <t>canonpersia.com</t>
  </si>
  <si>
    <t>4goush.net</t>
  </si>
  <si>
    <t>upweb.ir</t>
  </si>
  <si>
    <t>iranstore.org</t>
  </si>
  <si>
    <t>aryagostarafzar.com</t>
  </si>
  <si>
    <t>universalbuy.ir</t>
  </si>
  <si>
    <t>118iran.net</t>
  </si>
  <si>
    <t>rankedgaming.ir</t>
  </si>
  <si>
    <t>estekhdamjoo.ir</t>
  </si>
  <si>
    <t>psddl.ir</t>
  </si>
  <si>
    <t>mehranbook.com</t>
  </si>
  <si>
    <t>mizbanservers.com</t>
  </si>
  <si>
    <t>niazmandyha.ir</t>
  </si>
  <si>
    <t>teh-ram.com</t>
  </si>
  <si>
    <t>appratech.net</t>
  </si>
  <si>
    <t>mihanwebhost.com</t>
  </si>
  <si>
    <t>kosarpsd.ir</t>
  </si>
  <si>
    <t>shopfa.com</t>
  </si>
  <si>
    <t>eostad.ir</t>
  </si>
  <si>
    <t>webnashr.com</t>
  </si>
  <si>
    <t>ketabshop.ir</t>
  </si>
  <si>
    <t>learningtv.ir</t>
  </si>
  <si>
    <t>bustaneketab.com</t>
  </si>
  <si>
    <t>mosaferkade.com</t>
  </si>
  <si>
    <t>bonyadedoa.com</t>
  </si>
  <si>
    <t>jamalcar.com</t>
  </si>
  <si>
    <t>ketab57.ir</t>
  </si>
  <si>
    <t>foroosh110.ir</t>
  </si>
  <si>
    <t>qhu.ac.ir</t>
  </si>
  <si>
    <t>namquran.ir</t>
  </si>
  <si>
    <t>mohsensoft.com</t>
  </si>
  <si>
    <t>imamhadi.com</t>
  </si>
  <si>
    <t>urd.ac.ir</t>
  </si>
  <si>
    <t>amirasal111.com</t>
  </si>
  <si>
    <t>zabanshenas.com</t>
  </si>
  <si>
    <t>ketabeqom.com</t>
  </si>
  <si>
    <t>nojumi.org</t>
  </si>
  <si>
    <t>irsuccess.ir</t>
  </si>
  <si>
    <t>epassazh.com</t>
  </si>
  <si>
    <t>sabkezendegi.ir</t>
  </si>
  <si>
    <t>lightiran.ir</t>
  </si>
  <si>
    <t>entekhab-book.com</t>
  </si>
  <si>
    <t>idmaker.ir</t>
  </si>
  <si>
    <t>molina.ir</t>
  </si>
  <si>
    <t>wrc.ir</t>
  </si>
  <si>
    <t>hmu.ac.ir</t>
  </si>
  <si>
    <t>unitypackage.ir</t>
  </si>
  <si>
    <t>mimmarket.com</t>
  </si>
  <si>
    <t>sibroid.com</t>
  </si>
  <si>
    <t>bookroom.ir</t>
  </si>
  <si>
    <t>sales.inoor.ir</t>
  </si>
  <si>
    <t>jz.ac.ir</t>
  </si>
  <si>
    <t>tehran-gaming.com</t>
  </si>
  <si>
    <t>samanchoob.com</t>
  </si>
  <si>
    <t>benten.ir</t>
  </si>
  <si>
    <t>wle.ir</t>
  </si>
  <si>
    <t>shop.farsicad.com</t>
  </si>
  <si>
    <t>urmiatabligh.com</t>
  </si>
  <si>
    <t>janebikala.com</t>
  </si>
  <si>
    <t>andishe-press.com</t>
  </si>
  <si>
    <t>demomarket.ir</t>
  </si>
  <si>
    <t>urmode.com</t>
  </si>
  <si>
    <t>atiehkala.com</t>
  </si>
  <si>
    <t>dastadast.ir</t>
  </si>
  <si>
    <t>mahshoper.com</t>
  </si>
  <si>
    <t>wa-nezam.org</t>
  </si>
  <si>
    <t>agahi90.ir</t>
  </si>
  <si>
    <t>samihost.com</t>
  </si>
  <si>
    <t>zahtab.com</t>
  </si>
  <si>
    <t>crm.anasite.com</t>
  </si>
  <si>
    <t>koohmarket.com</t>
  </si>
  <si>
    <t>larsa.ir</t>
  </si>
  <si>
    <t>hitachiiran.com</t>
  </si>
  <si>
    <t>4kia.ir</t>
  </si>
  <si>
    <t>grkala.ir</t>
  </si>
  <si>
    <t>digiyol.com</t>
  </si>
  <si>
    <t>iranjooje.com</t>
  </si>
  <si>
    <t>kelidefarda.ir</t>
  </si>
  <si>
    <t>mihancactus.com</t>
  </si>
  <si>
    <t>xn-----btdlmaq6ap9pdk87jfc5x.net</t>
  </si>
  <si>
    <t>kia-ir.ir</t>
  </si>
  <si>
    <t>iran-mashin.com</t>
  </si>
  <si>
    <t>bigtheme.ir</t>
  </si>
  <si>
    <t>dota2news.ir</t>
  </si>
  <si>
    <t>flash-file.ir</t>
  </si>
  <si>
    <t>eurostock.ir</t>
  </si>
  <si>
    <t>powergfx.ir</t>
  </si>
  <si>
    <t>trendkala.com</t>
  </si>
  <si>
    <t>wp-market.ir</t>
  </si>
  <si>
    <t>modacar.ir</t>
  </si>
  <si>
    <t>hovabator.ir</t>
  </si>
  <si>
    <t>cheapcharge.ir</t>
  </si>
  <si>
    <t>shop.panizz.com</t>
  </si>
  <si>
    <t>ugol.ir</t>
  </si>
  <si>
    <t>joojekeshi.com</t>
  </si>
  <si>
    <t>iehe.ir</t>
  </si>
  <si>
    <t>fabtheme.ir</t>
  </si>
  <si>
    <t>banehmarket.com</t>
  </si>
  <si>
    <t>banehmc.com</t>
  </si>
  <si>
    <t>banekala.ir</t>
  </si>
  <si>
    <t>banner-design.ir</t>
  </si>
  <si>
    <t>rezaworkshop.ir</t>
  </si>
  <si>
    <t>kyo.ir</t>
  </si>
  <si>
    <t>banehkharid.com</t>
  </si>
  <si>
    <t>payaneha.ir</t>
  </si>
  <si>
    <t>banehvitrin.org</t>
  </si>
  <si>
    <t>banehshop.com</t>
  </si>
  <si>
    <t>pinpool.ir</t>
  </si>
  <si>
    <t>behtarkala.com</t>
  </si>
  <si>
    <t>godping.ir</t>
  </si>
  <si>
    <t>kurdnezam.ir</t>
  </si>
  <si>
    <t>motarjeman.org</t>
  </si>
  <si>
    <t>talafile.ir</t>
  </si>
  <si>
    <t>bazikhorha.ir</t>
  </si>
  <si>
    <t>sorenstore.com</t>
  </si>
  <si>
    <t>banehtak.com</t>
  </si>
  <si>
    <t>madkala.com</t>
  </si>
  <si>
    <t>roonegar.com</t>
  </si>
  <si>
    <t>digiagahi.com</t>
  </si>
  <si>
    <t>khanu.net</t>
  </si>
  <si>
    <t>alvershop.com</t>
  </si>
  <si>
    <t>dlsell.ir</t>
  </si>
  <si>
    <t>gpgstore.ir</t>
  </si>
  <si>
    <t>honaraneh.com</t>
  </si>
  <si>
    <t>nagsh.ir</t>
  </si>
  <si>
    <t>kala94.ir</t>
  </si>
  <si>
    <t>negin-store.com</t>
  </si>
  <si>
    <t>filefarsi.com</t>
  </si>
  <si>
    <t>dayatheme.ir</t>
  </si>
  <si>
    <t>ysge.ir</t>
  </si>
  <si>
    <t>allelectronics.ir</t>
  </si>
  <si>
    <t>sidonline.ir</t>
  </si>
  <si>
    <t>ioonar.com</t>
  </si>
  <si>
    <t>wpnovin.com</t>
  </si>
  <si>
    <t>liber.ir</t>
  </si>
  <si>
    <t>malayeru.ac.ir</t>
  </si>
  <si>
    <t>aryafile.ir</t>
  </si>
  <si>
    <t>madsg.com</t>
  </si>
  <si>
    <t>ordkala.com</t>
  </si>
  <si>
    <t>sidshop.ir</t>
  </si>
  <si>
    <t>zamanisp.com</t>
  </si>
  <si>
    <t>temino.ir</t>
  </si>
  <si>
    <t>hostnetwork.ir</t>
  </si>
  <si>
    <t>daneshplus.ir</t>
  </si>
  <si>
    <t>erfanmix.com</t>
  </si>
  <si>
    <t>oghyanoos.ir</t>
  </si>
  <si>
    <t>surveyir.ir</t>
  </si>
  <si>
    <t>takzarb.com</t>
  </si>
  <si>
    <t>a-mobile.ir</t>
  </si>
  <si>
    <t>kalaz.ir</t>
  </si>
  <si>
    <t>persibox.com</t>
  </si>
  <si>
    <t>adspanel.ir</t>
  </si>
  <si>
    <t>football-shop.ir</t>
  </si>
  <si>
    <t>drfx.ir</t>
  </si>
  <si>
    <t>srayaneh.com</t>
  </si>
  <si>
    <t>vst-haraj.com</t>
  </si>
  <si>
    <t>packfood.ir</t>
  </si>
  <si>
    <t>mohambook.ir</t>
  </si>
  <si>
    <t>tnpshop.com</t>
  </si>
  <si>
    <t>metre-ejra.ir</t>
  </si>
  <si>
    <t>kalabala.ir</t>
  </si>
  <si>
    <t>paradisep30.ir</t>
  </si>
  <si>
    <t>ahwniaz.ir</t>
  </si>
  <si>
    <t>4047.ir</t>
  </si>
  <si>
    <t>esaj.ir</t>
  </si>
  <si>
    <t>aioled.com</t>
  </si>
  <si>
    <t>badrrayan.com</t>
  </si>
  <si>
    <t>hastishop.com</t>
  </si>
  <si>
    <t>ahwazhobby.ir</t>
  </si>
  <si>
    <t>shopgiftha.com</t>
  </si>
  <si>
    <t>hyperabzarsanat.com</t>
  </si>
  <si>
    <t>techno-electro.com</t>
  </si>
  <si>
    <t>pnume.ir</t>
  </si>
  <si>
    <t>kharidon.com</t>
  </si>
  <si>
    <t>irancaterpillar.ir</t>
  </si>
  <si>
    <t>cineport.ir</t>
  </si>
  <si>
    <t>gpart.ir</t>
  </si>
  <si>
    <t>nezam-khz.ir</t>
  </si>
  <si>
    <t>zojkala.ir</t>
  </si>
  <si>
    <t>glx.ir</t>
  </si>
  <si>
    <t>systemiha.ir</t>
  </si>
  <si>
    <t>scootershop.ir</t>
  </si>
  <si>
    <t>prgnet.ir</t>
  </si>
  <si>
    <t>megatheme.ir</t>
  </si>
  <si>
    <t>asnaf.co</t>
  </si>
  <si>
    <t>behiau.ac.ir</t>
  </si>
  <si>
    <t>amj.ir</t>
  </si>
  <si>
    <t>elektrokits.ir</t>
  </si>
  <si>
    <t>paminos.com</t>
  </si>
  <si>
    <t>tml-manager.ir</t>
  </si>
  <si>
    <t>emdadgraphic.ir</t>
  </si>
  <si>
    <t>takzarf.com</t>
  </si>
  <si>
    <t>parspa.com</t>
  </si>
  <si>
    <t>steamgifts.ir</t>
  </si>
  <si>
    <t>fibernet.ir</t>
  </si>
  <si>
    <t>yamaha-motor.ir</t>
  </si>
  <si>
    <t>sefaresh.net</t>
  </si>
  <si>
    <t>darnia.ir</t>
  </si>
  <si>
    <t>acaspian.com</t>
  </si>
  <si>
    <t>ams.ir</t>
  </si>
  <si>
    <t>77sharj.ir</t>
  </si>
  <si>
    <t>kanounco.com</t>
  </si>
  <si>
    <t>iranmojo.ir</t>
  </si>
  <si>
    <t>maktabestan.ir</t>
  </si>
  <si>
    <t>faratarjome.ir</t>
  </si>
  <si>
    <t>simorghsms.com</t>
  </si>
  <si>
    <t>web-2.ir</t>
  </si>
  <si>
    <t>alldigitall.ir</t>
  </si>
  <si>
    <t>alfaee.com</t>
  </si>
  <si>
    <t>didi.ir</t>
  </si>
  <si>
    <t>khanomane.ir</t>
  </si>
  <si>
    <t>digibag.net</t>
  </si>
  <si>
    <t>yasit.ir</t>
  </si>
  <si>
    <t>casiokarmania.com</t>
  </si>
  <si>
    <t>chicrank.ir</t>
  </si>
  <si>
    <t>padidar.com</t>
  </si>
  <si>
    <t>mahoot-leather.ir</t>
  </si>
  <si>
    <t>markestan.ir</t>
  </si>
  <si>
    <t>hamyareonline.com</t>
  </si>
  <si>
    <t>mehrazinco.com</t>
  </si>
  <si>
    <t>ircmelms.ir</t>
  </si>
  <si>
    <t>daroumarket.com</t>
  </si>
  <si>
    <t>fenj.ir</t>
  </si>
  <si>
    <t>kermanceo.ir</t>
  </si>
  <si>
    <t>bazarecontrol.ir</t>
  </si>
  <si>
    <t>parsisite.ir</t>
  </si>
  <si>
    <t>irancn.com</t>
  </si>
  <si>
    <t>analiz.ir</t>
  </si>
  <si>
    <t>nicpc.ir</t>
  </si>
  <si>
    <t>kavirelectronic.ir</t>
  </si>
  <si>
    <t>hamrahpay.com</t>
  </si>
  <si>
    <t>ravaninfo.ir</t>
  </si>
  <si>
    <t>shop.windowsiran.com</t>
  </si>
  <si>
    <t>irantarjomeh.com</t>
  </si>
  <si>
    <t>beh-kharid.com</t>
  </si>
  <si>
    <t>yazdtakhfif.com</t>
  </si>
  <si>
    <t>gembegir.ir</t>
  </si>
  <si>
    <t>yazdnezam.ir</t>
  </si>
  <si>
    <t>nasimnet.ir</t>
  </si>
  <si>
    <t>kavircomputer.ir</t>
  </si>
  <si>
    <t>sohatrade.com</t>
  </si>
  <si>
    <t>abarkouhiau.ac.ir</t>
  </si>
  <si>
    <t>icioc.ir</t>
  </si>
  <si>
    <t>ketabforooshe.ir</t>
  </si>
  <si>
    <t>yazdbook.com</t>
  </si>
  <si>
    <t>drdr.ir</t>
  </si>
  <si>
    <t>tarh.ir</t>
  </si>
  <si>
    <t>arzan-vps.ir</t>
  </si>
  <si>
    <t>webtala.ir</t>
  </si>
  <si>
    <t>iran-team.com</t>
  </si>
  <si>
    <t>digiyazd.com</t>
  </si>
  <si>
    <t>centraltab.ir</t>
  </si>
  <si>
    <t>dorbori.com</t>
  </si>
  <si>
    <t>bushehr-nezam.ir</t>
  </si>
  <si>
    <t>jamshimi.ir</t>
  </si>
  <si>
    <t>iranicaserver.com</t>
  </si>
  <si>
    <t>sirafdp.com</t>
  </si>
  <si>
    <t>limer.ir</t>
  </si>
  <si>
    <t>safirelian.ir</t>
  </si>
  <si>
    <t>okno.ir</t>
  </si>
  <si>
    <t>zabansara.ir</t>
  </si>
  <si>
    <t>khalijonline.net</t>
  </si>
  <si>
    <t>sherane.ir</t>
  </si>
  <si>
    <t>partelmobile.com</t>
  </si>
  <si>
    <t>foodjoo.com</t>
  </si>
  <si>
    <t>venizshop.ir</t>
  </si>
  <si>
    <t>ikala-jam.ir</t>
  </si>
  <si>
    <t>pj24.ir</t>
  </si>
  <si>
    <t>weblian.ir</t>
  </si>
  <si>
    <t>33136060.ir</t>
  </si>
  <si>
    <t>sellu.ir</t>
  </si>
  <si>
    <t>sabtha.ir</t>
  </si>
  <si>
    <t>kimiaparts.com</t>
  </si>
  <si>
    <t>orderchi.com</t>
  </si>
  <si>
    <t>shop.mento.ir</t>
  </si>
  <si>
    <t>learnstu.com</t>
  </si>
  <si>
    <t>markazieng.ir</t>
  </si>
  <si>
    <t>rpp.me</t>
  </si>
  <si>
    <t>mynini.net</t>
  </si>
  <si>
    <t>araku.ac.ir</t>
  </si>
  <si>
    <t>cdgostar.com</t>
  </si>
  <si>
    <t>efanet.ir</t>
  </si>
  <si>
    <t>asanmix.ir</t>
  </si>
  <si>
    <t>aftab.cc</t>
  </si>
  <si>
    <t>satiaisp.com</t>
  </si>
  <si>
    <t>pckala.net</t>
  </si>
  <si>
    <t>ifncompany.ir</t>
  </si>
  <si>
    <t>ceworld.ir</t>
  </si>
  <si>
    <t>taban.aero</t>
  </si>
  <si>
    <t>rahbal.org</t>
  </si>
  <si>
    <t>tcharter.ir</t>
  </si>
  <si>
    <t>parsavps.com</t>
  </si>
  <si>
    <t>safirperfumery.com</t>
  </si>
  <si>
    <t>kadkhodanet.com</t>
  </si>
  <si>
    <t>kish7.com</t>
  </si>
  <si>
    <t>rahad24.ir</t>
  </si>
  <si>
    <t>doctor-mousavi.com</t>
  </si>
  <si>
    <t>charter118.ir</t>
  </si>
  <si>
    <t>besat24.ir</t>
  </si>
  <si>
    <t>kish4.com</t>
  </si>
  <si>
    <t>allbazar.ir</t>
  </si>
  <si>
    <t>irchange.org</t>
  </si>
  <si>
    <t>novinphone.com</t>
  </si>
  <si>
    <t>halitour.com</t>
  </si>
  <si>
    <t>qpp.ir</t>
  </si>
  <si>
    <t>pcmaxhw.com</t>
  </si>
  <si>
    <t>kish.com</t>
  </si>
  <si>
    <t>4lee.ir</t>
  </si>
  <si>
    <t>heliagroup.ir</t>
  </si>
  <si>
    <t>voipsara.com</t>
  </si>
  <si>
    <t>tksp24.com</t>
  </si>
  <si>
    <t>rondtarin.ir</t>
  </si>
  <si>
    <t>hotelyar.com</t>
  </si>
  <si>
    <t>mizban24.net</t>
  </si>
  <si>
    <t>apk24.ir</t>
  </si>
  <si>
    <t>charter724.com</t>
  </si>
  <si>
    <t>انجمن</t>
  </si>
  <si>
    <t>آموزش</t>
  </si>
  <si>
    <t>شرکتی-خدماتی</t>
  </si>
  <si>
    <t>آگهی-عمومی</t>
  </si>
  <si>
    <t>فروشگاه-عمومی</t>
  </si>
  <si>
    <t>خیریه</t>
  </si>
  <si>
    <t>اینستا-تلگرام</t>
  </si>
  <si>
    <t>سایت ساز-قالب سایت</t>
  </si>
  <si>
    <t xml:space="preserve">هاست </t>
  </si>
  <si>
    <t>اینترنت</t>
  </si>
  <si>
    <t>IPG</t>
  </si>
  <si>
    <t>ملت</t>
  </si>
  <si>
    <t>پارسیان</t>
  </si>
  <si>
    <t>سامان</t>
  </si>
  <si>
    <t>ملت-پارسیان</t>
  </si>
  <si>
    <t>ملت-پارسیان-سامان</t>
  </si>
  <si>
    <t>سامان-ملت</t>
  </si>
  <si>
    <t>مبنا-ملت</t>
  </si>
  <si>
    <t>آسان پرداخت</t>
  </si>
  <si>
    <t>دولتی</t>
  </si>
  <si>
    <t>زرین پال</t>
  </si>
  <si>
    <t>چاپ</t>
  </si>
  <si>
    <t>پارسیان-ملت</t>
  </si>
  <si>
    <t>ملت-سداد</t>
  </si>
  <si>
    <t>سداد</t>
  </si>
  <si>
    <t>ملت-سامان</t>
  </si>
  <si>
    <t>پست</t>
  </si>
  <si>
    <t>بیمه</t>
  </si>
  <si>
    <t>خودرو</t>
  </si>
  <si>
    <t>زرین پال-ملت</t>
  </si>
  <si>
    <t>موسیقی</t>
  </si>
  <si>
    <t>کتاب مجازی</t>
  </si>
  <si>
    <t>کتاب</t>
  </si>
  <si>
    <t>آریاپال</t>
  </si>
  <si>
    <t>شخصی</t>
  </si>
  <si>
    <t>سامان-پارسیان</t>
  </si>
  <si>
    <t>عطر</t>
  </si>
  <si>
    <t>تخفیف گروهی</t>
  </si>
  <si>
    <t>لوازم خانه</t>
  </si>
  <si>
    <t>آهن</t>
  </si>
  <si>
    <t>کودک</t>
  </si>
  <si>
    <t>آگهی-خودرو</t>
  </si>
  <si>
    <t>محتوا</t>
  </si>
  <si>
    <t>پوشاک</t>
  </si>
  <si>
    <t>آرایشی و بهداشتی</t>
  </si>
  <si>
    <t>دیجیتال</t>
  </si>
  <si>
    <t>بازاریابی شبکه ای</t>
  </si>
  <si>
    <t>کادو</t>
  </si>
  <si>
    <t>پاسارگاد</t>
  </si>
  <si>
    <t>آگهی-مشاغل</t>
  </si>
  <si>
    <t>Shaparak.ir</t>
  </si>
  <si>
    <t>Bankmellat.ir</t>
  </si>
  <si>
    <t>Tebyan.net</t>
  </si>
  <si>
    <t>Beytoote.com</t>
  </si>
  <si>
    <t>Yjc.ir</t>
  </si>
  <si>
    <t>Farsnews.com</t>
  </si>
  <si>
    <t>Tabnak.ir</t>
  </si>
  <si>
    <t>Popmaster.ir</t>
  </si>
  <si>
    <t>P30download.com</t>
  </si>
  <si>
    <t>Asriran.com</t>
  </si>
  <si>
    <t>Bmi.ir</t>
  </si>
  <si>
    <t>Tasnimnews.com</t>
  </si>
  <si>
    <t>Zoomit.ir</t>
  </si>
  <si>
    <t>Isna.ir</t>
  </si>
  <si>
    <t>Khabaronline.ir</t>
  </si>
  <si>
    <t>Tinyz.us</t>
  </si>
  <si>
    <t>Mehrnews.com</t>
  </si>
  <si>
    <t>Namasha.com</t>
  </si>
  <si>
    <t>Tamin.ir</t>
  </si>
  <si>
    <t>Mashreghnews.ir</t>
  </si>
  <si>
    <t>Soft98.ir</t>
  </si>
  <si>
    <t>Peyvandha.ir</t>
  </si>
  <si>
    <t>Shahrekhabar.com</t>
  </si>
  <si>
    <t>Bartarinha.ir</t>
  </si>
  <si>
    <t>Facenama.com</t>
  </si>
  <si>
    <t>Popkade.ir</t>
  </si>
  <si>
    <t>Sanjesh.org</t>
  </si>
  <si>
    <t>Jamnews.ir</t>
  </si>
  <si>
    <t>Entekhab.ir</t>
  </si>
  <si>
    <t>1varzesh.com</t>
  </si>
  <si>
    <t>Vista.ir</t>
  </si>
  <si>
    <t>Fararu.com</t>
  </si>
  <si>
    <t>Downloadha.com</t>
  </si>
  <si>
    <t>Enamad.ir</t>
  </si>
  <si>
    <t>Irpopup.ir</t>
  </si>
  <si>
    <t>Zarinpal.com</t>
  </si>
  <si>
    <t>Time.ir</t>
  </si>
  <si>
    <t>Cloob.com</t>
  </si>
  <si>
    <t>90tv.ir</t>
  </si>
  <si>
    <t>Niksalehi.com</t>
  </si>
  <si>
    <t>Tsetmc.com</t>
  </si>
  <si>
    <t>Mobile.ir</t>
  </si>
  <si>
    <t>Irib.ir</t>
  </si>
  <si>
    <t>Medu.ir</t>
  </si>
  <si>
    <t>Namnak.com</t>
  </si>
  <si>
    <t>Bpi.ir</t>
  </si>
  <si>
    <t>Irna.ir</t>
  </si>
  <si>
    <t>Bargozideha.com</t>
  </si>
  <si>
    <t>Fardanews.com</t>
  </si>
  <si>
    <t>Webgozar.com</t>
  </si>
  <si>
    <t>Seemorgh.com</t>
  </si>
  <si>
    <t>Tgju.org</t>
  </si>
  <si>
    <t>Digiato.com</t>
  </si>
  <si>
    <t>Ut.ac.ir</t>
  </si>
  <si>
    <t>Sarzamindownload.com</t>
  </si>
  <si>
    <t>P30world.com</t>
  </si>
  <si>
    <t>Pop-music.ir</t>
  </si>
  <si>
    <t>Tarafdari.com</t>
  </si>
  <si>
    <t>Dana.ir</t>
  </si>
  <si>
    <t>Alef.ir</t>
  </si>
  <si>
    <t>Tnews.ir</t>
  </si>
  <si>
    <t>Gsm.ir</t>
  </si>
  <si>
    <t>Afkarnews.ir</t>
  </si>
  <si>
    <t>Clickyab.com</t>
  </si>
  <si>
    <t>Pardad.ir</t>
  </si>
  <si>
    <t>Patoghu.com</t>
  </si>
  <si>
    <t>Tehran.ir</t>
  </si>
  <si>
    <t>Aftabir.com</t>
  </si>
  <si>
    <t>Niniban.com</t>
  </si>
  <si>
    <t>Nex1music.ir</t>
  </si>
  <si>
    <t>Taroot-rangi.com</t>
  </si>
  <si>
    <t>Sb24.com</t>
  </si>
  <si>
    <t>Ninisite.com</t>
  </si>
  <si>
    <t>Jamejamonline.ir</t>
  </si>
  <si>
    <t>Khabarpu.com</t>
  </si>
  <si>
    <t>Popupads.ir</t>
  </si>
  <si>
    <t>1fardadownload.net</t>
  </si>
  <si>
    <t>Persianv.com</t>
  </si>
  <si>
    <t>Dalfak.com</t>
  </si>
  <si>
    <t>Iranjib.ir</t>
  </si>
  <si>
    <t>Softgozar.com</t>
  </si>
  <si>
    <t>Yasdl.com</t>
  </si>
  <si>
    <t>Parsine.com</t>
  </si>
  <si>
    <t>Tejaratbank.ir</t>
  </si>
  <si>
    <t>Hammihan.com</t>
  </si>
  <si>
    <t>Hamshahrionline.ir</t>
  </si>
  <si>
    <t>Abadis.ir</t>
  </si>
  <si>
    <t>Webhostingtalk.ir</t>
  </si>
  <si>
    <t>Cbi.ir</t>
  </si>
  <si>
    <t>Post.ir</t>
  </si>
  <si>
    <t>Bsi.ir</t>
  </si>
  <si>
    <t>Seratnews.ir</t>
  </si>
  <si>
    <t>Faradeed.ir</t>
  </si>
  <si>
    <t>Mizanonline.ir</t>
  </si>
  <si>
    <t>Tisub.net</t>
  </si>
  <si>
    <t>Zoomg.ir</t>
  </si>
  <si>
    <t>Farsroid.com</t>
  </si>
  <si>
    <t>Rajanews.com</t>
  </si>
  <si>
    <t>Opizo.com</t>
  </si>
  <si>
    <t>Aftabnews.ir</t>
  </si>
  <si>
    <t>Aviny.com</t>
  </si>
  <si>
    <t>Eghtesadban.com</t>
  </si>
  <si>
    <t>Download.ir</t>
  </si>
  <si>
    <t>Ebanksepah.ir</t>
  </si>
  <si>
    <t>Asemooni.com</t>
  </si>
  <si>
    <t>Toppopup.com</t>
  </si>
  <si>
    <t>Popupplus.ir</t>
  </si>
  <si>
    <t>Hidoctor.ir</t>
  </si>
  <si>
    <t>Hawzah.net</t>
  </si>
  <si>
    <t>Pnu.ac.ir</t>
  </si>
  <si>
    <t>Nextpopup.ir</t>
  </si>
  <si>
    <t>Barnamenevis.org</t>
  </si>
  <si>
    <t>Gadgetnews.ir</t>
  </si>
  <si>
    <t>Roshd.ir</t>
  </si>
  <si>
    <t>Rahvar120.ir</t>
  </si>
  <si>
    <t>Rokna.ir</t>
  </si>
  <si>
    <t>Ssaa.ir</t>
  </si>
  <si>
    <t>Shomanews.com</t>
  </si>
  <si>
    <t>Musiceiranian.ir</t>
  </si>
  <si>
    <t>Vananews.ir</t>
  </si>
  <si>
    <t>Enbank.net</t>
  </si>
  <si>
    <t>Harooz.com</t>
  </si>
  <si>
    <t>Snn.ir</t>
  </si>
  <si>
    <t>P30rank.ir</t>
  </si>
  <si>
    <t>Mihandownload.com</t>
  </si>
  <si>
    <t>Eghtesadonline.com</t>
  </si>
  <si>
    <t>Roozno.com</t>
  </si>
  <si>
    <t>Vcp.ir</t>
  </si>
  <si>
    <t>Musicema.com</t>
  </si>
  <si>
    <t>Wisgoon.com</t>
  </si>
  <si>
    <t>20script.ir</t>
  </si>
  <si>
    <t>Lastsecond.ir</t>
  </si>
  <si>
    <t>Wiki-daro.ir</t>
  </si>
  <si>
    <t>Dlroozane.com</t>
  </si>
  <si>
    <t>Parsnews.com</t>
  </si>
  <si>
    <t>Irannaz.com</t>
  </si>
  <si>
    <t>Ofoghnews.ir</t>
  </si>
  <si>
    <t>Tax.gov.ir</t>
  </si>
  <si>
    <t>Lordpopup.com</t>
  </si>
  <si>
    <t>Tabnakbato.ir</t>
  </si>
  <si>
    <t>Roham.ws</t>
  </si>
  <si>
    <t>Shopkeeper.ir</t>
  </si>
  <si>
    <t>Dnswebhost.com</t>
  </si>
  <si>
    <t>2nafare.com</t>
  </si>
  <si>
    <t>Ansarbank.com</t>
  </si>
  <si>
    <t>Roozegaran.com</t>
  </si>
  <si>
    <t>Parsnaz.ir</t>
  </si>
  <si>
    <t>Nicmusic.org</t>
  </si>
  <si>
    <t>Uast.ac.ir</t>
  </si>
  <si>
    <t>Farhangnews.ir</t>
  </si>
  <si>
    <t>Irandoc.ac.ir</t>
  </si>
  <si>
    <t>Shafaqna.com</t>
  </si>
  <si>
    <t>Hamgardi.com</t>
  </si>
  <si>
    <t>Niniweblog.com</t>
  </si>
  <si>
    <t>Haj.ir</t>
  </si>
  <si>
    <t>Ilna.ir</t>
  </si>
  <si>
    <t>Saten.ir</t>
  </si>
  <si>
    <t>Trainbit.com</t>
  </si>
  <si>
    <t>Gooyait.com</t>
  </si>
  <si>
    <t>Shatelland.com</t>
  </si>
  <si>
    <t>Irmp3.ir</t>
  </si>
  <si>
    <t>Bamdad.net</t>
  </si>
  <si>
    <t>Saat24.com</t>
  </si>
  <si>
    <t>Parsfootball.com</t>
  </si>
  <si>
    <t>Iribnews.ir</t>
  </si>
  <si>
    <t>Samandehi.ir</t>
  </si>
  <si>
    <t>Gamefa.com</t>
  </si>
  <si>
    <t>Mebank.ir</t>
  </si>
  <si>
    <t>Plus.ir</t>
  </si>
  <si>
    <t>Portaltvto.com</t>
  </si>
  <si>
    <t>Getandroid.ir</t>
  </si>
  <si>
    <t>Avval.ir</t>
  </si>
  <si>
    <t>Bank-maskan.ir</t>
  </si>
  <si>
    <t>Khodrobank.com</t>
  </si>
  <si>
    <t>Aut.ac.ir</t>
  </si>
  <si>
    <t>Dariconline.ir</t>
  </si>
  <si>
    <t>Iust.ac.ir</t>
  </si>
  <si>
    <t>Cspf.ir</t>
  </si>
  <si>
    <t>Alodoctor.ir</t>
  </si>
  <si>
    <t>Iruni.ir</t>
  </si>
  <si>
    <t>Elmefarda.com</t>
  </si>
  <si>
    <t>Ahangestan.in</t>
  </si>
  <si>
    <t>Bankmelli-iran.com</t>
  </si>
  <si>
    <t>Rqb.ir</t>
  </si>
  <si>
    <t>Eghtesadeiranonline.com</t>
  </si>
  <si>
    <t>Momtaznews.com</t>
  </si>
  <si>
    <t>Bultannews.com</t>
  </si>
  <si>
    <t>Samenblog.com</t>
  </si>
  <si>
    <t>Tarfandestan.com</t>
  </si>
  <si>
    <t>Sharif.ir</t>
  </si>
  <si>
    <t>Apktops.ir</t>
  </si>
  <si>
    <t>Ikco.ir</t>
  </si>
  <si>
    <t>Adliran.ir</t>
  </si>
  <si>
    <t>Saghybux.com</t>
  </si>
  <si>
    <t>Kojaro.com</t>
  </si>
  <si>
    <t>Noormags.ir</t>
  </si>
  <si>
    <t>Ganjoor.net</t>
  </si>
  <si>
    <t>Swf.ir</t>
  </si>
  <si>
    <t>Portal-rangi.com</t>
  </si>
  <si>
    <t>Persianscript.ir</t>
  </si>
  <si>
    <t>Sbu.ac.ir</t>
  </si>
  <si>
    <t>Parsijoo.ir</t>
  </si>
  <si>
    <t>Irimo.ir</t>
  </si>
  <si>
    <t>Rb24.ir</t>
  </si>
  <si>
    <t>Iranbanou.com</t>
  </si>
  <si>
    <t>Pedal.ir</t>
  </si>
  <si>
    <t>Payeshonline.com</t>
  </si>
  <si>
    <t>Top90.ir</t>
  </si>
  <si>
    <t>Ecoonline.ir</t>
  </si>
  <si>
    <t>Barato.ir</t>
  </si>
  <si>
    <t>Wp-persian.com</t>
  </si>
  <si>
    <t>Yasell.biz</t>
  </si>
  <si>
    <t>Parstoday.com</t>
  </si>
  <si>
    <t>Merita.ir</t>
  </si>
  <si>
    <t>Ashiyane.org</t>
  </si>
  <si>
    <t>Eatc.ir</t>
  </si>
  <si>
    <t>Farsbux.ir</t>
  </si>
  <si>
    <t>Bornanews.ir</t>
  </si>
  <si>
    <t>Shariyan.com</t>
  </si>
  <si>
    <t>Bki.ir</t>
  </si>
  <si>
    <t>Pichak.net</t>
  </si>
  <si>
    <t>Atlaskhabar.ir</t>
  </si>
  <si>
    <t>Upera.co</t>
  </si>
  <si>
    <t>Sobhanehonline.com</t>
  </si>
  <si>
    <t>Chap.sch.ir</t>
  </si>
  <si>
    <t>Cup.ir</t>
  </si>
  <si>
    <t>Sobhetehran.com</t>
  </si>
  <si>
    <t>Yekbux.com</t>
  </si>
  <si>
    <t>Farnet.ir</t>
  </si>
  <si>
    <t>Bia4music.org</t>
  </si>
  <si>
    <t>Click.ir</t>
  </si>
  <si>
    <t>Itresan.com</t>
  </si>
  <si>
    <t>Alalam.ir</t>
  </si>
  <si>
    <t>Perspolisnews.com</t>
  </si>
  <si>
    <t>Sorayyanews.ir</t>
  </si>
  <si>
    <t>Saipacorp.com</t>
  </si>
  <si>
    <t>Rozup.ir</t>
  </si>
  <si>
    <t>1abzar.com</t>
  </si>
  <si>
    <t>Shahrsakhtafzar.com</t>
  </si>
  <si>
    <t>Cooldownload.ir</t>
  </si>
  <si>
    <t>Codal.ir</t>
  </si>
  <si>
    <t>Tv3.ir</t>
  </si>
  <si>
    <t>Fax.ir</t>
  </si>
  <si>
    <t>Tuningtalk.com</t>
  </si>
  <si>
    <t>Bia4movie.com</t>
  </si>
  <si>
    <t>Chidaneh.com</t>
  </si>
  <si>
    <t>Uupload.ir</t>
  </si>
  <si>
    <t>Partclick.ir</t>
  </si>
  <si>
    <t>Parsian-bank.ir</t>
  </si>
  <si>
    <t>Civilan.ir</t>
  </si>
  <si>
    <t>Itgheymat.com</t>
  </si>
  <si>
    <t>Jaragheirani.ir</t>
  </si>
  <si>
    <t>Bebinak.com</t>
  </si>
  <si>
    <t>P30day.com</t>
  </si>
  <si>
    <t>Ana.ir</t>
  </si>
  <si>
    <t>Roozplus.com</t>
  </si>
  <si>
    <t>Downloadsoftware.ir</t>
  </si>
  <si>
    <t>Modares.ac.ir</t>
  </si>
  <si>
    <t>55online.ir</t>
  </si>
  <si>
    <t>Irinn.ir</t>
  </si>
  <si>
    <t>Alamto.com</t>
  </si>
  <si>
    <t>Asrekhodro.com</t>
  </si>
  <si>
    <t>City-bank.net</t>
  </si>
  <si>
    <t>جستجوگر کالا</t>
  </si>
  <si>
    <t>بورس</t>
  </si>
  <si>
    <t xml:space="preserve">بلیط </t>
  </si>
  <si>
    <t>اپلیکیشن ساز</t>
  </si>
  <si>
    <t>مشاوره وام بانکی-جدید</t>
  </si>
  <si>
    <t>شارژ</t>
  </si>
  <si>
    <t>صنایع دستی</t>
  </si>
  <si>
    <t>فروشگاه خودرو</t>
  </si>
  <si>
    <t>صادراb2bت</t>
  </si>
  <si>
    <t>دانلود فایل</t>
  </si>
  <si>
    <t>بلیط</t>
  </si>
  <si>
    <t>فناوا</t>
  </si>
  <si>
    <t>برنامه ریزی</t>
  </si>
  <si>
    <t>سفارش غذا</t>
  </si>
  <si>
    <t>پروژه</t>
  </si>
  <si>
    <t>مبنا</t>
  </si>
  <si>
    <t>هتل و تور</t>
  </si>
  <si>
    <t>املاک</t>
  </si>
  <si>
    <t>محتوای آموزشی</t>
  </si>
  <si>
    <t>آموزش-پکیج</t>
  </si>
  <si>
    <t>پارسیان-سامان</t>
  </si>
  <si>
    <t>voip</t>
  </si>
  <si>
    <t>irbroker2.com</t>
  </si>
  <si>
    <t>کنفرانس</t>
  </si>
  <si>
    <t>بازی</t>
  </si>
  <si>
    <t>sellfile.ir</t>
  </si>
  <si>
    <t>هاست</t>
  </si>
  <si>
    <t>تبلیغات</t>
  </si>
  <si>
    <t>آهن(پلتفرم خرید و فروش و آگهی)</t>
  </si>
  <si>
    <t>آموزشگاه</t>
  </si>
  <si>
    <t>شرکتی(برد مدار چاپی)</t>
  </si>
  <si>
    <t>زیر ساخت</t>
  </si>
  <si>
    <t>مشاوره برای تحصیل در خارج</t>
  </si>
  <si>
    <t>دولتی(برای ایوند مناسب)</t>
  </si>
  <si>
    <t>خدمات نرم افزاری</t>
  </si>
  <si>
    <t>آموزش زبان</t>
  </si>
  <si>
    <t>فروش دستگاه چاپ</t>
  </si>
  <si>
    <t>محتوای آشپزی</t>
  </si>
  <si>
    <t>مارکت اندروید</t>
  </si>
  <si>
    <t>خیلی خاص (تشخیص گفتار)</t>
  </si>
  <si>
    <t>خوراکی</t>
  </si>
  <si>
    <t>پارسیان-ملت-سامان</t>
  </si>
  <si>
    <t>سداد-ملت</t>
  </si>
  <si>
    <t>دانشگاه</t>
  </si>
  <si>
    <t>یادیگیری زبان به روش لایتنر</t>
  </si>
  <si>
    <t>سیم کارت</t>
  </si>
  <si>
    <t>نرم افزار حسابداری</t>
  </si>
  <si>
    <t>بانک</t>
  </si>
  <si>
    <t xml:space="preserve">آموزشگاه </t>
  </si>
  <si>
    <t>استخدام و کاریابی</t>
  </si>
  <si>
    <t>محتوای کسب و کار</t>
  </si>
  <si>
    <t>بازی آنلاین</t>
  </si>
  <si>
    <t>بلبرینگ</t>
  </si>
  <si>
    <t>محتوای مذهبی</t>
  </si>
  <si>
    <t>تماس بین الملل</t>
  </si>
  <si>
    <t>محتوای مدیریتی و آموزشگاه</t>
  </si>
  <si>
    <t>360trip.ir</t>
  </si>
  <si>
    <t>معرفی سایتها</t>
  </si>
  <si>
    <t>محتوای خودرو</t>
  </si>
  <si>
    <t>لجستیک</t>
  </si>
  <si>
    <t>وکالت</t>
  </si>
  <si>
    <t>تاسیسات</t>
  </si>
  <si>
    <t>دندانسازی فروشگاه</t>
  </si>
  <si>
    <t>محتوا یوگا</t>
  </si>
  <si>
    <t>زیورآلات</t>
  </si>
  <si>
    <t>فروشگاه موتور</t>
  </si>
  <si>
    <t>نشریه چاپی</t>
  </si>
  <si>
    <t>pna</t>
  </si>
  <si>
    <t>تاسیسات جوجه کشی</t>
  </si>
  <si>
    <t>محتوای سرمایه گذاری</t>
  </si>
  <si>
    <t>تاسیسات رک و کابین برای امنیتی</t>
  </si>
  <si>
    <t>hamamooz.com</t>
  </si>
  <si>
    <t>کنسرت انلاین</t>
  </si>
  <si>
    <t>قطعات الکترونیک</t>
  </si>
  <si>
    <t>سداد(از دات کام می رود)</t>
  </si>
  <si>
    <t>تاسیسات سرمایشی و گرمایشی</t>
  </si>
  <si>
    <t>cartax.ir</t>
  </si>
  <si>
    <t>عوارض خودرو</t>
  </si>
  <si>
    <t>وبینار و کنفرانس آنلاین</t>
  </si>
  <si>
    <t>اتحادیه پوشاک</t>
  </si>
  <si>
    <t>سامان-ملت-پارسیان</t>
  </si>
  <si>
    <t>پول الکترونیک</t>
  </si>
  <si>
    <t>بلیط قطار</t>
  </si>
  <si>
    <t>کاهش پینگ</t>
  </si>
  <si>
    <t>فیلم</t>
  </si>
  <si>
    <t>فروشگاه ساز</t>
  </si>
  <si>
    <t>جمع سپاری</t>
  </si>
  <si>
    <t xml:space="preserve">گیفت کارت </t>
  </si>
  <si>
    <t>نام سایت</t>
  </si>
  <si>
    <t>بازار</t>
  </si>
  <si>
    <t>فروشگاه اینترنتی کالا</t>
  </si>
  <si>
    <t>نیازمندی</t>
  </si>
  <si>
    <t>زیرساخت</t>
  </si>
  <si>
    <t>سایت ساز-قالب</t>
  </si>
  <si>
    <t>powerdata.ir</t>
  </si>
  <si>
    <t>محتوای زندگی و موفقیت</t>
  </si>
  <si>
    <t>شرکتی-لوازم خانه</t>
  </si>
  <si>
    <t>سایت</t>
  </si>
  <si>
    <t>کارت تخفیف</t>
  </si>
  <si>
    <t>خرید از سایت های خارجی</t>
  </si>
  <si>
    <t>تاسیسات صنعتی</t>
  </si>
  <si>
    <t>محتوای تاسیسات برقی</t>
  </si>
  <si>
    <t>irsafam.com</t>
  </si>
  <si>
    <t>پژوهشگاه</t>
  </si>
  <si>
    <t xml:space="preserve">ویدئو </t>
  </si>
  <si>
    <t>سازمان نظام مهندسی معدن ایران</t>
  </si>
  <si>
    <t>تجهیزات آتش نشانی</t>
  </si>
  <si>
    <t>سازمان مدیریت صنعتی</t>
  </si>
  <si>
    <t>seo  و سایت</t>
  </si>
  <si>
    <t>محتوا+نیازمندی</t>
  </si>
  <si>
    <t>ویزا</t>
  </si>
  <si>
    <t>سایت و اپلیکیشن</t>
  </si>
  <si>
    <t>تعمیرات دیجیتال</t>
  </si>
  <si>
    <t>دولتی-مربوط به املاک</t>
  </si>
  <si>
    <t>اپراتور</t>
  </si>
  <si>
    <t>تجهیزات الکترونیکی</t>
  </si>
  <si>
    <t>انستیتو بازی سازی</t>
  </si>
  <si>
    <t>نمایشگاه</t>
  </si>
  <si>
    <t>محتوای پلیمری</t>
  </si>
  <si>
    <t>گاوصندوق فروش</t>
  </si>
  <si>
    <t>ردیابی آنلاین</t>
  </si>
  <si>
    <t>پژوهشکده بیمه</t>
  </si>
  <si>
    <t>مواد صنعتی</t>
  </si>
  <si>
    <t>مرکز اسناد انقلاب</t>
  </si>
  <si>
    <t>تماس تلفنی که از تماس پول م یگیند</t>
  </si>
  <si>
    <t>انجمن علوم شناختی</t>
  </si>
  <si>
    <t>تجهیزات امنیتی</t>
  </si>
  <si>
    <t>سازمان نظام پزشکی</t>
  </si>
  <si>
    <t>محتوای مهندسی</t>
  </si>
  <si>
    <t>انجمن آمار</t>
  </si>
  <si>
    <t>سازمان استاندارد</t>
  </si>
  <si>
    <t>جشن و سایت درست کردن برای صاحبان جشن</t>
  </si>
  <si>
    <t>گاو صندوق کاوه</t>
  </si>
  <si>
    <t>پیامک</t>
  </si>
  <si>
    <t>بازی انلاین</t>
  </si>
  <si>
    <t>پرداخت ارزی و کارت ویزا</t>
  </si>
  <si>
    <t>خدمات نرم افزاری در بورس</t>
  </si>
  <si>
    <t>محتوای مرتبط با مادران</t>
  </si>
  <si>
    <t>پزشکان</t>
  </si>
  <si>
    <t>Pna</t>
  </si>
  <si>
    <t>محتوای کارآفرینی</t>
  </si>
  <si>
    <t>مشاوره تلفنی -محتوا</t>
  </si>
  <si>
    <t xml:space="preserve">محتوای شیمی </t>
  </si>
  <si>
    <t>فوتبال فانتزی</t>
  </si>
  <si>
    <t xml:space="preserve">قطعات الکترونیک </t>
  </si>
  <si>
    <t>کارخانه</t>
  </si>
  <si>
    <t>محتوای عروسی</t>
  </si>
  <si>
    <t>تصفیه آب</t>
  </si>
  <si>
    <t>محتوای ورزشی</t>
  </si>
  <si>
    <t>اطلاع رسانی صنایع سلولزی</t>
  </si>
  <si>
    <t>پایگاه اطلاع رسانی پرستاری</t>
  </si>
  <si>
    <t>ملت-سداد-سامان</t>
  </si>
  <si>
    <t>محتوای دیجیتال</t>
  </si>
  <si>
    <t>محتوای موفقیت</t>
  </si>
  <si>
    <t>محتوای بورسی</t>
  </si>
  <si>
    <t>سازمان نظام روانشناسی</t>
  </si>
  <si>
    <t>محتوای بررسی اپ ها</t>
  </si>
  <si>
    <t>حیوانات</t>
  </si>
  <si>
    <t>محتوای کنکور</t>
  </si>
  <si>
    <t>تجهیزات پزشکی</t>
  </si>
  <si>
    <t>انجمن فیزیک</t>
  </si>
  <si>
    <t>پوش نتیفیکیشن اپ</t>
  </si>
  <si>
    <t>پارسیان-زرین پال</t>
  </si>
  <si>
    <t>ملت-سامان-پارسیان</t>
  </si>
  <si>
    <t>وبلاگ</t>
  </si>
  <si>
    <t>فیلتر</t>
  </si>
  <si>
    <t>مشاوره</t>
  </si>
  <si>
    <t>کانون وکلا و سردفترداران</t>
  </si>
  <si>
    <t>آریا پال</t>
  </si>
  <si>
    <t>پاپ آپ</t>
  </si>
  <si>
    <t>ماه گذشته</t>
  </si>
  <si>
    <t>Column1</t>
  </si>
  <si>
    <t xml:space="preserve">دانلود فایل </t>
  </si>
  <si>
    <t>ملت-Ikc</t>
  </si>
  <si>
    <t>ملت-زرین پال</t>
  </si>
  <si>
    <t>انجمن دیابت</t>
  </si>
  <si>
    <t>ملت-مبنا</t>
  </si>
  <si>
    <t>مواد شیمیایی</t>
  </si>
  <si>
    <t xml:space="preserve">خدمات نرم افزاری </t>
  </si>
  <si>
    <t>محصولات فرهنگی مذهبی</t>
  </si>
  <si>
    <t>محتوای موسیقی</t>
  </si>
  <si>
    <t>ثبت شرکت</t>
  </si>
  <si>
    <t>تجهیزات صنعتی</t>
  </si>
  <si>
    <t xml:space="preserve">لوازم خانه </t>
  </si>
  <si>
    <t>ترازو</t>
  </si>
  <si>
    <t>شورای دادگستری</t>
  </si>
  <si>
    <t>تجهیات آزمایشگاهی</t>
  </si>
  <si>
    <t>ویدئو کنفرانش</t>
  </si>
  <si>
    <t>بازی-سی دی</t>
  </si>
  <si>
    <t>موسیقی-سی دی</t>
  </si>
  <si>
    <t>تجهیزات آبیاری</t>
  </si>
  <si>
    <t>سفارش تاکسی</t>
  </si>
  <si>
    <t>فروم</t>
  </si>
  <si>
    <t>تعمیرات</t>
  </si>
  <si>
    <t>تاسیسات سرما و گزمایشی</t>
  </si>
  <si>
    <t>پارسیان-سامان-ملت</t>
  </si>
  <si>
    <t>تجهیزات آزمایشگاهی</t>
  </si>
  <si>
    <t xml:space="preserve">تخفیف گروهی </t>
  </si>
  <si>
    <t>باشگاه عکاسان مثل انجمن</t>
  </si>
  <si>
    <t xml:space="preserve">زیورآلات </t>
  </si>
  <si>
    <t>خدمات صوتی و گویندگی</t>
  </si>
  <si>
    <t>پارکبان</t>
  </si>
  <si>
    <t>صدور فاکتور</t>
  </si>
  <si>
    <t>جستجوگر کالای گمشده</t>
  </si>
  <si>
    <t>اپلیکیشن باد صبا</t>
  </si>
  <si>
    <t>نظام مهندسی</t>
  </si>
  <si>
    <t>نرم افزار-پکیج</t>
  </si>
  <si>
    <t>فناوا-ملت</t>
  </si>
  <si>
    <t>سازمان نظام مهندسی کشاورزی</t>
  </si>
  <si>
    <t>بیمارستان</t>
  </si>
  <si>
    <t>محتوای معماری</t>
  </si>
  <si>
    <t>سایت و دومین</t>
  </si>
  <si>
    <t>نرم افزار</t>
  </si>
  <si>
    <t>شبکه اجتماعی کسب و کارها</t>
  </si>
  <si>
    <t>پارسیان-مبنا</t>
  </si>
  <si>
    <t>سازمان نظام  مهندسی</t>
  </si>
  <si>
    <t>نمونه قرارداد حقوقی</t>
  </si>
  <si>
    <t>محتوای روزنامه ای</t>
  </si>
  <si>
    <t>شهرداری</t>
  </si>
  <si>
    <t>فروش نت مسیقی و ثبت ان</t>
  </si>
  <si>
    <t>مرکز تحقیقات نور</t>
  </si>
  <si>
    <t xml:space="preserve">مرکز تحقیقات </t>
  </si>
  <si>
    <t>فرم ساز در سایتها</t>
  </si>
  <si>
    <t>مرکز تحقیقات</t>
  </si>
  <si>
    <t xml:space="preserve">آموزش زبان </t>
  </si>
  <si>
    <t>طراحی بنر</t>
  </si>
  <si>
    <t>سازمان نظام مهندسی</t>
  </si>
  <si>
    <t>دستگاه جوجه کشی</t>
  </si>
  <si>
    <t>اشیا قدیمی و انتیک</t>
  </si>
  <si>
    <t>محتوای</t>
  </si>
  <si>
    <t>ترک سیگار مرکز</t>
  </si>
  <si>
    <t>ماشین آلات کشاورزی</t>
  </si>
  <si>
    <t>پی پال</t>
  </si>
  <si>
    <t>زرین پال-آریاپال</t>
  </si>
  <si>
    <t>اتاق بازرگانی</t>
  </si>
  <si>
    <t>طراحی لوگو و ..</t>
  </si>
  <si>
    <t>ملت-آسان پرداخت</t>
  </si>
  <si>
    <t>افزایش بازدید</t>
  </si>
  <si>
    <t>شبیه شتابدهنده</t>
  </si>
  <si>
    <t>مشاوره حقوقی</t>
  </si>
  <si>
    <t>بازدید سایت</t>
  </si>
  <si>
    <t>سایر</t>
  </si>
  <si>
    <t xml:space="preserve">تجهیزات امنیتی </t>
  </si>
  <si>
    <t>فروش ساز و  لوازم موسیقی</t>
  </si>
  <si>
    <t>اماکن ورزشی</t>
  </si>
  <si>
    <t xml:space="preserve">سفر </t>
  </si>
  <si>
    <t>سفر</t>
  </si>
  <si>
    <t>کسب و کارهای وابسته</t>
  </si>
  <si>
    <t>طراحی</t>
  </si>
  <si>
    <t>مستقیم کننده لینک</t>
  </si>
  <si>
    <t>bama.ir</t>
  </si>
  <si>
    <t>rahnama.com</t>
  </si>
  <si>
    <t>irantalent.com</t>
  </si>
  <si>
    <t>dehvand.ir</t>
  </si>
  <si>
    <t>hamikar.com</t>
  </si>
  <si>
    <t>jobinja.ir</t>
  </si>
  <si>
    <t>karbank.ir</t>
  </si>
  <si>
    <t>searchjob.ir</t>
  </si>
  <si>
    <t>hamijoo.com</t>
  </si>
  <si>
    <t>avvalmarket.ir</t>
  </si>
  <si>
    <t>dodota.com</t>
  </si>
  <si>
    <t>eskano.com</t>
  </si>
  <si>
    <t>tap30.ir</t>
  </si>
  <si>
    <t>touchsi.ir</t>
  </si>
  <si>
    <t>carvanro.com</t>
  </si>
  <si>
    <t>rahsepar.net</t>
  </si>
  <si>
    <t>اشتراک گذاری سفر</t>
  </si>
  <si>
    <t>yarima.ir</t>
  </si>
  <si>
    <t>manzelan.com</t>
  </si>
  <si>
    <t>kolbeh.ir</t>
  </si>
  <si>
    <t>hicars.ir</t>
  </si>
  <si>
    <t>cartel.ir</t>
  </si>
  <si>
    <t>mashin.ir</t>
  </si>
  <si>
    <t>vistavel.com</t>
  </si>
  <si>
    <t>حمل و نقل</t>
  </si>
  <si>
    <t>motamem.org</t>
  </si>
  <si>
    <t>chetor.com</t>
  </si>
  <si>
    <t>maktabkhooneh.org</t>
  </si>
  <si>
    <t>takhtesefid.org</t>
  </si>
  <si>
    <t>hmg.ir</t>
  </si>
  <si>
    <t>picofile.com</t>
  </si>
  <si>
    <t>uplod.ir</t>
  </si>
  <si>
    <t>uplooder.net</t>
  </si>
  <si>
    <t>uploadkon.ir</t>
  </si>
  <si>
    <t>upir.ir</t>
  </si>
  <si>
    <t>اپلود فایل</t>
  </si>
  <si>
    <t>blogfa.com</t>
  </si>
  <si>
    <t>blog.ir</t>
  </si>
  <si>
    <t>mihanblog.com</t>
  </si>
  <si>
    <t>persianblog.ir</t>
  </si>
  <si>
    <t>rozblog.com</t>
  </si>
  <si>
    <t>blogsky.com</t>
  </si>
  <si>
    <t>parsiblog.com</t>
  </si>
  <si>
    <t>bayanbox.ir</t>
  </si>
  <si>
    <t>مالی</t>
  </si>
  <si>
    <t>خبر</t>
  </si>
  <si>
    <t>دانلود</t>
  </si>
  <si>
    <t>شبکه اجتماعی</t>
  </si>
  <si>
    <t>زمان</t>
  </si>
  <si>
    <t>ارائه خدمات به سایت ها</t>
  </si>
  <si>
    <t>دانلود موسیقی</t>
  </si>
  <si>
    <t>دانلود فیلم</t>
  </si>
  <si>
    <t>اطلاع رسانی قیمت</t>
  </si>
  <si>
    <t xml:space="preserve">دانلود </t>
  </si>
  <si>
    <t>کوتاه کننده لینک</t>
  </si>
  <si>
    <t>سازمان ثبت</t>
  </si>
  <si>
    <t>سایت ساز</t>
  </si>
  <si>
    <t>سداد-سامان</t>
  </si>
  <si>
    <t>پلتفرم برای سرگرمی</t>
  </si>
  <si>
    <t>filegir.com</t>
  </si>
  <si>
    <t>rapidpars.com</t>
  </si>
  <si>
    <t>mul.ir</t>
  </si>
  <si>
    <t>صندوق رفاه دانشجویی</t>
  </si>
  <si>
    <t>سازمان هواشناسی</t>
  </si>
  <si>
    <t>sina24h.com</t>
  </si>
  <si>
    <t>wikiseda.org</t>
  </si>
  <si>
    <t>radiojavan.com</t>
  </si>
  <si>
    <t>sitedar.com</t>
  </si>
  <si>
    <t>ارسال فکس اینترنتی</t>
  </si>
  <si>
    <t>navaak.com</t>
  </si>
  <si>
    <t>rdaneshjoo.ir</t>
  </si>
  <si>
    <t>daneshproje.ir</t>
  </si>
  <si>
    <t>rapidpich.ir</t>
  </si>
  <si>
    <t>skyshare.ir</t>
  </si>
  <si>
    <t>dasan.ir</t>
  </si>
  <si>
    <t>ariaup.com</t>
  </si>
  <si>
    <t>free-leech.ir</t>
  </si>
  <si>
    <t>pingservice.ir</t>
  </si>
  <si>
    <t>bitgame.ir</t>
  </si>
  <si>
    <t>downloadrom.ir</t>
  </si>
  <si>
    <t>nikandroid.com</t>
  </si>
  <si>
    <t>asemankafinet.ir</t>
  </si>
  <si>
    <t>ps4store.ir</t>
  </si>
  <si>
    <t>arianpal.com</t>
  </si>
  <si>
    <t>shaparakpay.com</t>
  </si>
  <si>
    <t>paypax.info</t>
  </si>
  <si>
    <t>pardano.com</t>
  </si>
  <si>
    <t>directpay.ir</t>
  </si>
  <si>
    <t>واسط پرداخت</t>
  </si>
  <si>
    <t>pishtazpal.com</t>
  </si>
  <si>
    <t>alipal.co</t>
  </si>
  <si>
    <t>kikojas.com</t>
  </si>
  <si>
    <t>bidbarg.com</t>
  </si>
  <si>
    <t>محتوای بازاریابی شبکه ای</t>
  </si>
  <si>
    <t>farhadexchange.com</t>
  </si>
  <si>
    <t>webmoneybuy.com</t>
  </si>
  <si>
    <t>webmoney724.ir</t>
  </si>
  <si>
    <t>wmfa.ir</t>
  </si>
  <si>
    <t>persianxchange.ir</t>
  </si>
  <si>
    <t>enexchanger.com</t>
  </si>
  <si>
    <t>webpurse.org</t>
  </si>
  <si>
    <t>dollarkadeh.ir</t>
  </si>
  <si>
    <t>exchangehadi.ir</t>
  </si>
  <si>
    <t>irperfect.com</t>
  </si>
  <si>
    <t>intswap.ir</t>
  </si>
  <si>
    <t>excoin.ir</t>
  </si>
  <si>
    <t>iranbitcash.com</t>
  </si>
  <si>
    <t>coinava.com</t>
  </si>
  <si>
    <t>bitcoin.ir</t>
  </si>
  <si>
    <t>tourism-bank.com</t>
  </si>
  <si>
    <t>bahamta.com</t>
  </si>
  <si>
    <t>payping.ir</t>
  </si>
  <si>
    <t>hesabit.com</t>
  </si>
  <si>
    <t>خدمات نرم افزاری در حوزه آموزش</t>
  </si>
  <si>
    <t>coo.ir</t>
  </si>
  <si>
    <t>دانلود فایل فلش و رام گوشی</t>
  </si>
  <si>
    <t xml:space="preserve">دانلود فایل های گرافیکی </t>
  </si>
  <si>
    <t>filelar.com</t>
  </si>
  <si>
    <t>ترجمه و تایپ</t>
  </si>
  <si>
    <t>خرید بازی-سی دی</t>
  </si>
  <si>
    <t>کار</t>
  </si>
  <si>
    <t>دانلود و آپلود</t>
  </si>
  <si>
    <t>alopeyk.com</t>
  </si>
  <si>
    <t xml:space="preserve">نرم افزار اذان گو </t>
  </si>
  <si>
    <t>محتوای گل و گیاه</t>
  </si>
  <si>
    <t>محتوای سلامت</t>
  </si>
  <si>
    <t>پوشاک-چرم</t>
  </si>
  <si>
    <t>زیورالات</t>
  </si>
  <si>
    <t>لوازم خانه-فرش</t>
  </si>
  <si>
    <t>پوشاک-کفش</t>
  </si>
  <si>
    <t>پوشاک-کلاه</t>
  </si>
  <si>
    <t>لوازم خانه-لوازم چوبی</t>
  </si>
  <si>
    <t>لوازم خانه-مبلمان و دکوراسیون</t>
  </si>
  <si>
    <t>لوازم خانه-لوازم اداری</t>
  </si>
  <si>
    <t>بلیط اتوبوس</t>
  </si>
  <si>
    <t>sales.fadaktrains.com</t>
  </si>
  <si>
    <t>worldinbag.com</t>
  </si>
  <si>
    <t>zoraq.com</t>
  </si>
  <si>
    <t>iraninsurance.ir</t>
  </si>
  <si>
    <t>irinsco.ir</t>
  </si>
  <si>
    <t>alborzinsurance.ir</t>
  </si>
  <si>
    <t>mic.co.ir</t>
  </si>
  <si>
    <t>hafezinsurance.ir</t>
  </si>
  <si>
    <t>giftkala.com</t>
  </si>
  <si>
    <t>asancard.com</t>
  </si>
  <si>
    <t>nic-pay.com</t>
  </si>
  <si>
    <t>parsepay.com</t>
  </si>
  <si>
    <t>1insta.com</t>
  </si>
  <si>
    <t>telegram.center</t>
  </si>
  <si>
    <t>member1.ir</t>
  </si>
  <si>
    <t>netfixed.ir</t>
  </si>
  <si>
    <t>telegram-add-member.com</t>
  </si>
  <si>
    <t>toolgram.ir</t>
  </si>
  <si>
    <t>echarge.ir</t>
  </si>
  <si>
    <t>پارسیان-ملت-آسان پرداخت</t>
  </si>
  <si>
    <t>iran3ell.net</t>
  </si>
  <si>
    <t>irancellcharge.com</t>
  </si>
  <si>
    <t>mcishop.com</t>
  </si>
  <si>
    <t>mahancharge.com</t>
  </si>
  <si>
    <t>gsmcharge.com</t>
  </si>
  <si>
    <t>carti.ir</t>
  </si>
  <si>
    <t>etore.ir</t>
  </si>
  <si>
    <t>sharj.ir</t>
  </si>
  <si>
    <t>darmankade.ir</t>
  </si>
  <si>
    <t>shop.glassy-garden.com</t>
  </si>
  <si>
    <t>پوشاک-کیف</t>
  </si>
  <si>
    <t>پوشاک-عینک</t>
  </si>
  <si>
    <t>پوشاک-ساعت</t>
  </si>
  <si>
    <t>simcart.com</t>
  </si>
  <si>
    <t>912sim.ir</t>
  </si>
  <si>
    <t>پوشاک-لباس سربازی و ..</t>
  </si>
  <si>
    <t>gheymatyab.com</t>
  </si>
  <si>
    <t>garda.ir</t>
  </si>
  <si>
    <t>datashahr.com</t>
  </si>
  <si>
    <t>nazdiktarinha.ir</t>
  </si>
  <si>
    <t>uploadboy.com</t>
  </si>
  <si>
    <t>adro.co</t>
  </si>
  <si>
    <t>magnetadservices.com</t>
  </si>
  <si>
    <t>adtube.ir</t>
  </si>
  <si>
    <t>apanet.net</t>
  </si>
  <si>
    <t>fastclick.co</t>
  </si>
  <si>
    <t>farakav.com</t>
  </si>
  <si>
    <t>assanmotor.com</t>
  </si>
  <si>
    <t>atlaskhodro.com</t>
  </si>
  <si>
    <t>sepandkhodro.com</t>
  </si>
  <si>
    <t>persiakhodro.ir</t>
  </si>
  <si>
    <t>arian-motor.com</t>
  </si>
  <si>
    <t>neginkhodro.com</t>
  </si>
  <si>
    <t>kermanmotor.ir</t>
  </si>
  <si>
    <t>mvmco.ir</t>
  </si>
  <si>
    <t>ramakkhodro.com</t>
  </si>
  <si>
    <t>azimkhodro.com</t>
  </si>
  <si>
    <t>irtoya.com</t>
  </si>
  <si>
    <t>bahmanmotor.ir</t>
  </si>
  <si>
    <t>دستی</t>
  </si>
  <si>
    <t>سایت-سئو</t>
  </si>
  <si>
    <t>bia4movie.com</t>
  </si>
  <si>
    <t>tak3da.com</t>
  </si>
  <si>
    <t>iranmobile.org</t>
  </si>
  <si>
    <t>محتوای موسیقی-خبر</t>
  </si>
  <si>
    <t>مجله اینترنتی عمومی</t>
  </si>
  <si>
    <t>محتوای ادبی و شعر(ویکی پدیایی شاعران)</t>
  </si>
  <si>
    <t>محتوای آموزش خیاطی</t>
  </si>
  <si>
    <t>تجهیزات آتش مشانی</t>
  </si>
  <si>
    <t xml:space="preserve">محتوای سلامت </t>
  </si>
  <si>
    <t>eghamat24.com</t>
  </si>
  <si>
    <t>senf.ir</t>
  </si>
  <si>
    <t>utop.ir</t>
  </si>
  <si>
    <t>tapsell.ir</t>
  </si>
  <si>
    <t>zanboor.net</t>
  </si>
  <si>
    <t>clix.ir</t>
  </si>
  <si>
    <t>rooziato.com</t>
  </si>
  <si>
    <t>naghshealmas.com</t>
  </si>
  <si>
    <t>donyayekhodro.com</t>
  </si>
  <si>
    <t>parstuning.com</t>
  </si>
  <si>
    <t>dande6.com</t>
  </si>
  <si>
    <t>khabarmachine.ir</t>
  </si>
  <si>
    <t>1616.ir</t>
  </si>
  <si>
    <t>mashinyadak.com</t>
  </si>
  <si>
    <t>parsghate.ir</t>
  </si>
  <si>
    <t>بازار کار آزاد</t>
  </si>
  <si>
    <t>گیفت کارت -اپل ای دی و انلاک اپل</t>
  </si>
  <si>
    <t>گیفت کارت-اکانت کلش و خرید جم و ایتم بازی</t>
  </si>
  <si>
    <t>vatandownload.com</t>
  </si>
  <si>
    <t>eramdownload.com</t>
  </si>
  <si>
    <t>asandl.com</t>
  </si>
  <si>
    <t>موتور جستجو گر</t>
  </si>
  <si>
    <t>akharinkhabar.com</t>
  </si>
  <si>
    <t xml:space="preserve">اخبار عربی </t>
  </si>
  <si>
    <t>اینترنت-مخابرات</t>
  </si>
  <si>
    <t>tci-khorasan.ir</t>
  </si>
  <si>
    <t>tce.ir</t>
  </si>
  <si>
    <t>tcg.ir</t>
  </si>
  <si>
    <t>ict-tcm.ir</t>
  </si>
  <si>
    <t>هاست-دومین</t>
  </si>
  <si>
    <t>هاست-خدمات زیر ساختی</t>
  </si>
  <si>
    <t>هاست-خدمات ابری</t>
  </si>
  <si>
    <t>هاست-فضای ابری</t>
  </si>
  <si>
    <t>irangatetv.net</t>
  </si>
  <si>
    <t>film.tebyan.net</t>
  </si>
  <si>
    <t>appido.ir</t>
  </si>
  <si>
    <t>live.irib.ir</t>
  </si>
  <si>
    <t>service3.ir</t>
  </si>
  <si>
    <t>شرکتی</t>
  </si>
  <si>
    <t>kouroshcineplex.com</t>
  </si>
  <si>
    <t>cinema-azadi.com</t>
  </si>
  <si>
    <t>mashhad-gisheh.ir</t>
  </si>
  <si>
    <t>exirconcert.com</t>
  </si>
  <si>
    <t>makanbin.com</t>
  </si>
  <si>
    <t>alounak.com</t>
  </si>
  <si>
    <t xml:space="preserve">فروم </t>
  </si>
  <si>
    <t xml:space="preserve">آموزش </t>
  </si>
  <si>
    <t>آموزشگاه ها</t>
  </si>
  <si>
    <t>(از زیر دامنه شاپ)</t>
  </si>
  <si>
    <t>کتاب-لوازم تحریر</t>
  </si>
  <si>
    <t>eca.ir</t>
  </si>
  <si>
    <t>iranair.com</t>
  </si>
  <si>
    <t>ataair.ir</t>
  </si>
  <si>
    <t>iat.aero</t>
  </si>
  <si>
    <t>centinsur.ir</t>
  </si>
  <si>
    <t>armanins.com</t>
  </si>
  <si>
    <t>pasargadinsurance.ir</t>
  </si>
  <si>
    <t>emdadbime.ir</t>
  </si>
  <si>
    <t>farabixo.com</t>
  </si>
  <si>
    <t>agah.com</t>
  </si>
  <si>
    <t>visitk.ir</t>
  </si>
  <si>
    <t>upsara.com</t>
  </si>
  <si>
    <t>zarup.com</t>
  </si>
  <si>
    <t>img7.ir</t>
  </si>
  <si>
    <t>axgig.com</t>
  </si>
  <si>
    <t>parsgig.com</t>
  </si>
  <si>
    <t>uploadboys.com</t>
  </si>
  <si>
    <t>smusic.ir</t>
  </si>
  <si>
    <t>naslemusic.com</t>
  </si>
  <si>
    <t>japanmusic.ir</t>
  </si>
  <si>
    <t>vaiomusic.org</t>
  </si>
  <si>
    <t>ava-2music.ir</t>
  </si>
  <si>
    <t>sakhamusic.ir</t>
  </si>
  <si>
    <t>mytehranmusic.com</t>
  </si>
  <si>
    <t>myyazd-music.ir</t>
  </si>
  <si>
    <t>ahaang.com</t>
  </si>
  <si>
    <t>iranjavanmusic.com</t>
  </si>
  <si>
    <t>cdmusic.ir</t>
  </si>
  <si>
    <t>musicirani.ir</t>
  </si>
  <si>
    <t>nex1network.com</t>
  </si>
  <si>
    <t>adpdigital.com</t>
  </si>
  <si>
    <t>payamsms.com</t>
  </si>
  <si>
    <t>bistnet.ir</t>
  </si>
  <si>
    <t>tcz.ir</t>
  </si>
  <si>
    <t>tci.ir</t>
  </si>
  <si>
    <t>tcih.ir</t>
  </si>
  <si>
    <t>tch.ir</t>
  </si>
  <si>
    <t>ملت-اسان</t>
  </si>
  <si>
    <t>ardabil-tci.ir</t>
  </si>
  <si>
    <t>tc-kurd.ir</t>
  </si>
  <si>
    <t>tcl.co.ir</t>
  </si>
  <si>
    <t>tcsb.ir</t>
  </si>
  <si>
    <t>tck.ir</t>
  </si>
  <si>
    <t>tccb.ir</t>
  </si>
  <si>
    <t>چهارمحال و بختیاری</t>
  </si>
  <si>
    <t>tcgolestan.ir</t>
  </si>
  <si>
    <t>kermantel.ir</t>
  </si>
  <si>
    <t>tcwa.ir</t>
  </si>
  <si>
    <t>tcq.ir</t>
  </si>
  <si>
    <t>tcsem.ir</t>
  </si>
  <si>
    <t>bartarinha.com</t>
  </si>
  <si>
    <t>delion.ir</t>
  </si>
  <si>
    <t xml:space="preserve">اشتراک ویدئو </t>
  </si>
  <si>
    <t>jabeh.com</t>
  </si>
  <si>
    <t>mp4.ir</t>
  </si>
  <si>
    <t>abresalamat.ir</t>
  </si>
  <si>
    <t>خدمات آنلاین حوزه سلامت</t>
  </si>
  <si>
    <t>fullfekr.com</t>
  </si>
  <si>
    <t>rastineh.ir</t>
  </si>
  <si>
    <t>salamatnews.com</t>
  </si>
  <si>
    <t>majalesalamat.com</t>
  </si>
  <si>
    <t>shafaonline.ir</t>
  </si>
  <si>
    <t>mamasite.ir</t>
  </si>
  <si>
    <t>onlinesalamat.com</t>
  </si>
  <si>
    <t>sbmu.ac.ir</t>
  </si>
  <si>
    <t>mui.ac.ir</t>
  </si>
  <si>
    <t>mums.ac.ir</t>
  </si>
  <si>
    <t>sums.ac.ir</t>
  </si>
  <si>
    <t>tabrizu.ac.ir</t>
  </si>
  <si>
    <t>basu.ac.ir</t>
  </si>
  <si>
    <t>guilan.ac.ir</t>
  </si>
  <si>
    <t>دانشگاه-ثبت نام</t>
  </si>
  <si>
    <t>آموزشگاه-موسسه</t>
  </si>
  <si>
    <t>کتاب مجازی-نشریات</t>
  </si>
  <si>
    <t>ensani.ir</t>
  </si>
  <si>
    <t>خرید لایسنس نرم افزار</t>
  </si>
  <si>
    <t>ikiu.ac.ir</t>
  </si>
  <si>
    <t>qiau.ac.ir</t>
  </si>
  <si>
    <t>srbiau.ac.ir</t>
  </si>
  <si>
    <t>kntu.ac.ir</t>
  </si>
  <si>
    <t>atu.ac.ir</t>
  </si>
  <si>
    <t>khu.ac.ir</t>
  </si>
  <si>
    <t>znu.ac.ir</t>
  </si>
  <si>
    <t>qom.ac.ir</t>
  </si>
  <si>
    <t>shahed.ac.ir</t>
  </si>
  <si>
    <t>iauctb.ac.ir</t>
  </si>
  <si>
    <t>azmoon.org</t>
  </si>
  <si>
    <t>uk.ac.ir</t>
  </si>
  <si>
    <t>shahroodut.ac.ir</t>
  </si>
  <si>
    <t>sut.ac.ir</t>
  </si>
  <si>
    <t>scu.ac.ir</t>
  </si>
  <si>
    <t>usb.ac.ir</t>
  </si>
  <si>
    <t>سیستان و بلوچستان</t>
  </si>
  <si>
    <t>semnan.ac.ir</t>
  </si>
  <si>
    <t>tafreshu.ac.ir</t>
  </si>
  <si>
    <t>srttu.edu</t>
  </si>
  <si>
    <t>ui.ac.ir</t>
  </si>
  <si>
    <t>birjand.ac.ir</t>
  </si>
  <si>
    <t>خراسان جنوبی</t>
  </si>
  <si>
    <t>urmia.ac.ir</t>
  </si>
  <si>
    <t>zums.ac.ir</t>
  </si>
  <si>
    <t>آسان</t>
  </si>
  <si>
    <t>art.ac.ir</t>
  </si>
  <si>
    <t>iums.ac.ir</t>
  </si>
  <si>
    <t>bpums.ac.ir</t>
  </si>
  <si>
    <t>tbzmed.ac.ir</t>
  </si>
  <si>
    <t>umsha.ac.ir</t>
  </si>
  <si>
    <t>acordgroup.co</t>
  </si>
  <si>
    <t>o-xe.com</t>
  </si>
  <si>
    <t>2gheroon.ir</t>
  </si>
  <si>
    <t>arzlive.com</t>
  </si>
  <si>
    <t>fibazar.ir</t>
  </si>
  <si>
    <t>mazanex.com</t>
  </si>
  <si>
    <t>sarafiparsi.com</t>
  </si>
  <si>
    <t>talanews.com</t>
  </si>
  <si>
    <t>mirdamadexchange.com</t>
  </si>
  <si>
    <t>livedata.ir</t>
  </si>
  <si>
    <t>kaums.ac.ir</t>
  </si>
  <si>
    <t>usc.ac.ir</t>
  </si>
  <si>
    <t>soore.ac.ir</t>
  </si>
  <si>
    <t>khatam.ac.ir</t>
  </si>
  <si>
    <t>انجمن معماران</t>
  </si>
  <si>
    <t>انجمن جامعه موسیقی</t>
  </si>
  <si>
    <t>انجمن-خانه کارآفرنان</t>
  </si>
  <si>
    <t>انجمن-خانه کارگر</t>
  </si>
  <si>
    <t>مقاله</t>
  </si>
  <si>
    <t>خراسان شمالی</t>
  </si>
  <si>
    <t>ebsamen.com</t>
  </si>
  <si>
    <t>ملت-فناوا</t>
  </si>
  <si>
    <t>آموزشگاه-مدرسه</t>
  </si>
  <si>
    <t>modaresanesharif.ac.ir</t>
  </si>
  <si>
    <t>parseh.ac.ir</t>
  </si>
  <si>
    <t>nasir.ir</t>
  </si>
  <si>
    <t>آموزشگاه-مرکز آموزشی</t>
  </si>
  <si>
    <t>آموزشگاه-مرکز اموزش و تحقیقات صنعتی ایران</t>
  </si>
  <si>
    <t>دیکشنری</t>
  </si>
  <si>
    <t>بلیط سینما</t>
  </si>
  <si>
    <t>بلیط  کنسرت و تئاتر</t>
  </si>
  <si>
    <t>بلیط همایش و رویداد</t>
  </si>
  <si>
    <t>parseek.com</t>
  </si>
  <si>
    <t>jasjoo.com</t>
  </si>
  <si>
    <t>yooz.ir</t>
  </si>
  <si>
    <t>tipaxco.com</t>
  </si>
  <si>
    <t>tpg.ir</t>
  </si>
  <si>
    <t xml:space="preserve">لجستیک </t>
  </si>
  <si>
    <t>آموزش آنلاین</t>
  </si>
  <si>
    <t xml:space="preserve">بلیط  </t>
  </si>
  <si>
    <t>1</t>
  </si>
  <si>
    <t>2</t>
  </si>
  <si>
    <t>4</t>
  </si>
  <si>
    <t>5</t>
  </si>
  <si>
    <t>نرم افزار و بازی</t>
  </si>
  <si>
    <t>tamasha.com</t>
  </si>
  <si>
    <t>shabakema.com</t>
  </si>
  <si>
    <t>mihanvideo.com</t>
  </si>
  <si>
    <t>پی</t>
  </si>
  <si>
    <t>estekhtam.com</t>
  </si>
  <si>
    <t>jobvision.ir</t>
  </si>
  <si>
    <t>dunro.com</t>
  </si>
  <si>
    <t>آرین پال</t>
  </si>
  <si>
    <t>melkyabi.com</t>
  </si>
  <si>
    <t>فن آوا-سامان</t>
  </si>
  <si>
    <t>زرین پال-پارسیان</t>
  </si>
  <si>
    <t>ملت-ایران کیش</t>
  </si>
  <si>
    <t>بیت پی</t>
  </si>
  <si>
    <t xml:space="preserve">پارسیان </t>
  </si>
  <si>
    <t>store.iketab.com</t>
  </si>
  <si>
    <t>faramag.ir</t>
  </si>
  <si>
    <t>pardazeshpub.com</t>
  </si>
  <si>
    <t>ایران کیش</t>
  </si>
  <si>
    <t>مبنا-زرین پال</t>
  </si>
  <si>
    <t>cinere.ir</t>
  </si>
  <si>
    <t>sarviran.com</t>
  </si>
  <si>
    <t>سامان-آسان پرداخت</t>
  </si>
  <si>
    <t>سامان-ایران کیش</t>
  </si>
  <si>
    <t>پارسیان-ایران کیش-ملت</t>
  </si>
  <si>
    <t>سامان-پارسیان-ملت</t>
  </si>
  <si>
    <t>hourgasht.com</t>
  </si>
  <si>
    <t>پرداخت نوین</t>
  </si>
  <si>
    <t>پرداخت نوین-ملت</t>
  </si>
  <si>
    <t>سداد-پرداخت نوین</t>
  </si>
  <si>
    <t>baletalaei.com</t>
  </si>
  <si>
    <t>pih.ir</t>
  </si>
  <si>
    <t>shahresafar.com</t>
  </si>
  <si>
    <t>آسان پرداخت-پارسیان</t>
  </si>
  <si>
    <t>سامان-آسان پرداخت-پارسیان</t>
  </si>
  <si>
    <t>سامان-ملت-زرین پال</t>
  </si>
  <si>
    <t>سامان-سداد-آسان پرداخت-ملت-پارسیان</t>
  </si>
  <si>
    <t>ملت-سامان-پارسیان-آسان پرداخت-پرداخت نوین</t>
  </si>
  <si>
    <t>ملت-پارسیان-سداد-سامان</t>
  </si>
  <si>
    <t>pay.ir</t>
  </si>
  <si>
    <t>bitpay.ir</t>
  </si>
  <si>
    <t>ملت-سامان-پارسیان-سداد</t>
  </si>
  <si>
    <t>ملت-پی</t>
  </si>
  <si>
    <t>itech24.ir</t>
  </si>
  <si>
    <t>بیت پی-زرین پال</t>
  </si>
  <si>
    <t>ملت-سامان-ایران کیش</t>
  </si>
  <si>
    <t>ری نت-ملت</t>
  </si>
  <si>
    <t>ایران کیش-سامان</t>
  </si>
  <si>
    <t>ایرن کیش</t>
  </si>
  <si>
    <t>آسان پرداخت-پارسیان-سامان-پرداخت نوین</t>
  </si>
  <si>
    <t>ملت-پارسیان-آسان پرداخت</t>
  </si>
  <si>
    <t>ملت-پارسیان-آسان پرداخت-پرداخت نوین</t>
  </si>
  <si>
    <t>ملت-پارسیان-فناوا</t>
  </si>
  <si>
    <t>ملت-ایران کیش-پارسیان</t>
  </si>
  <si>
    <t>ملت-ایران کیش-آسان پرداخت-پارسیان</t>
  </si>
  <si>
    <t>shahrad.com</t>
  </si>
  <si>
    <t>آسان پرداخت-ملت-سامان</t>
  </si>
  <si>
    <t>ملت-سامان-آسان پرداخت</t>
  </si>
  <si>
    <t>byteisp.com</t>
  </si>
  <si>
    <t>ملت-سامان-ایران کیش-پارسیان</t>
  </si>
  <si>
    <t>sepanta.com</t>
  </si>
  <si>
    <t>ملت-آسان پرداخت-سامان</t>
  </si>
  <si>
    <t>ایران کیش -ملت</t>
  </si>
  <si>
    <t>anasite.com</t>
  </si>
  <si>
    <t>پارسیان-ملت-آسان پرداخت-فناوا</t>
  </si>
  <si>
    <t>پارسیان-آسان پرداخت-ملت-فناوا</t>
  </si>
  <si>
    <t>پارسیان-آسان پرداخت-ملت</t>
  </si>
  <si>
    <t>ashena.net</t>
  </si>
  <si>
    <t>chr724.ir</t>
  </si>
  <si>
    <t>parstools.com</t>
  </si>
  <si>
    <t>trez.ir</t>
  </si>
  <si>
    <t>زرین پال-پی</t>
  </si>
  <si>
    <t>استارت پی -زرین پال</t>
  </si>
  <si>
    <t>پی-زرین پال</t>
  </si>
  <si>
    <t>fardadl.net</t>
  </si>
  <si>
    <t>Film2movie.co</t>
  </si>
  <si>
    <t>jahandoc.com</t>
  </si>
  <si>
    <t>learncloob.ir</t>
  </si>
  <si>
    <t>ملت-آریا پال-زرین پال</t>
  </si>
  <si>
    <t>ایران کیش-بیت پی</t>
  </si>
  <si>
    <t>Hastidownload.us</t>
  </si>
  <si>
    <t>doostihaa.com</t>
  </si>
  <si>
    <t>uptvs.com</t>
  </si>
  <si>
    <t>salamdl.info</t>
  </si>
  <si>
    <t>my-film.in</t>
  </si>
  <si>
    <t>subdown-1.ir</t>
  </si>
  <si>
    <t>hastidl.net</t>
  </si>
  <si>
    <t>subf2m.co</t>
  </si>
  <si>
    <t>avadl.co</t>
  </si>
  <si>
    <t>heydl.org</t>
  </si>
  <si>
    <t>shirazsong.net</t>
  </si>
  <si>
    <t>lilsong8.com</t>
  </si>
  <si>
    <t>downloadgozar.co</t>
  </si>
  <si>
    <t>ایران کیش-ملت</t>
  </si>
  <si>
    <t>زرین پال-ایران کیش</t>
  </si>
  <si>
    <t>pars-hamrah.com</t>
  </si>
  <si>
    <t>پردانو</t>
  </si>
  <si>
    <t>charkhoneh.com</t>
  </si>
  <si>
    <t>rooydad24.com</t>
  </si>
  <si>
    <t>parsiteb.com</t>
  </si>
  <si>
    <t>ksabz.net</t>
  </si>
  <si>
    <t>نکست پی</t>
  </si>
  <si>
    <t>سامان-آسان پرداخت-ملت</t>
  </si>
  <si>
    <t>faza98.com</t>
  </si>
  <si>
    <t>sazmanhost.com</t>
  </si>
  <si>
    <t>ملت-ایران کیش-سامان</t>
  </si>
  <si>
    <t>زرین پال-ملت-پی</t>
  </si>
  <si>
    <t>زرین پال-سامان</t>
  </si>
  <si>
    <t>saba.host</t>
  </si>
  <si>
    <t>persianwhois.com</t>
  </si>
  <si>
    <t>zhaket.com</t>
  </si>
  <si>
    <t>radcom.co</t>
  </si>
  <si>
    <t>آریاپال-ملت-آسمان پی-پی</t>
  </si>
  <si>
    <t>پی پینگ</t>
  </si>
  <si>
    <t>fajrfilmfestival.com</t>
  </si>
  <si>
    <t>سامان-پرداخت نوین</t>
  </si>
  <si>
    <t>ملت-سامان-پی پال</t>
  </si>
  <si>
    <t>vavkhan.com</t>
  </si>
  <si>
    <t>سداد-ایران کیش</t>
  </si>
  <si>
    <t>ایران کیش-سداد</t>
  </si>
  <si>
    <t>سامان-مبنا-پارسیان</t>
  </si>
  <si>
    <t>پارسیان-پرداخت نوین</t>
  </si>
  <si>
    <t>mft.info</t>
  </si>
  <si>
    <t>ملت-سامان-پارسیان-پرداخت نوین</t>
  </si>
  <si>
    <t>pickpack.ir</t>
  </si>
  <si>
    <t>sazforoosh.com</t>
  </si>
  <si>
    <t>سایان-فناوا-سداد</t>
  </si>
  <si>
    <t>isaar.ir</t>
  </si>
  <si>
    <t>سداد-پارسیان</t>
  </si>
  <si>
    <t>sehawi.com</t>
  </si>
  <si>
    <t>aqr.ir</t>
  </si>
  <si>
    <t>آستان قدس</t>
  </si>
  <si>
    <t>ایران کیش-پارسیان</t>
  </si>
  <si>
    <t>abfar-kh.ir</t>
  </si>
  <si>
    <t>honamloan.ir</t>
  </si>
  <si>
    <t>electronics98.com</t>
  </si>
  <si>
    <t>rekab.ir</t>
  </si>
  <si>
    <t>bahmanleasing.org</t>
  </si>
  <si>
    <t>bamkhodro.com</t>
  </si>
  <si>
    <t>cheryco.ir</t>
  </si>
  <si>
    <t>ikco-peugeot.ir</t>
  </si>
  <si>
    <t>parskhodro.ir</t>
  </si>
  <si>
    <t>renault.co.ir</t>
  </si>
  <si>
    <t>carpino.ir</t>
  </si>
  <si>
    <t>startpay.ir</t>
  </si>
  <si>
    <t>palpay.net</t>
  </si>
  <si>
    <t>paalpay.com</t>
  </si>
  <si>
    <t>tehraniex.com</t>
  </si>
  <si>
    <t>artapay.com</t>
  </si>
  <si>
    <t>irpayment.net</t>
  </si>
  <si>
    <t>sbpay.ir</t>
  </si>
  <si>
    <t>123pay.ir</t>
  </si>
  <si>
    <t>anipardakht.com</t>
  </si>
  <si>
    <t>paymentyar.com</t>
  </si>
  <si>
    <t>ملت-مبنا-سامان</t>
  </si>
  <si>
    <t>idpay.ir</t>
  </si>
  <si>
    <t>سامان-سداد-پارسیان</t>
  </si>
  <si>
    <t>epaybank.ir</t>
  </si>
  <si>
    <t>dargahbank.ir</t>
  </si>
  <si>
    <t>payplus.ir</t>
  </si>
  <si>
    <t>pospal.ir</t>
  </si>
  <si>
    <t>novinpal.com</t>
  </si>
  <si>
    <t>big-pal.com</t>
  </si>
  <si>
    <t>delino.com</t>
  </si>
  <si>
    <t>snappfood.ir</t>
  </si>
  <si>
    <t>changal.com</t>
  </si>
  <si>
    <t>qazvinfood.com</t>
  </si>
  <si>
    <t>poparya.com</t>
  </si>
  <si>
    <t>starpopup.com</t>
  </si>
  <si>
    <t>rayadars.com</t>
  </si>
  <si>
    <t>tizland.ir</t>
  </si>
  <si>
    <t>unesh.com</t>
  </si>
  <si>
    <t>cafetadris.com</t>
  </si>
  <si>
    <t>digipeyk.com</t>
  </si>
  <si>
    <t>hamloo.com</t>
  </si>
  <si>
    <t>pickappnow.com</t>
  </si>
  <si>
    <t>peykyab.com</t>
  </si>
  <si>
    <t>motonet.ir</t>
  </si>
  <si>
    <t>peikebadpa.ir</t>
  </si>
  <si>
    <t>miare.ir</t>
  </si>
  <si>
    <t>taraabar.net</t>
  </si>
  <si>
    <t>کامیون و کامیونت</t>
  </si>
  <si>
    <t>baarco.ir</t>
  </si>
  <si>
    <t>mibarim.com</t>
  </si>
  <si>
    <t>hampasho.com</t>
  </si>
  <si>
    <t>cheetax.com</t>
  </si>
  <si>
    <t>qonqa.ir</t>
  </si>
  <si>
    <t>taxi-ma.ir</t>
  </si>
  <si>
    <t>snapp.taxi</t>
  </si>
  <si>
    <t>snapp.site</t>
  </si>
  <si>
    <t>tap33.me</t>
  </si>
  <si>
    <t>ba24.ir</t>
  </si>
  <si>
    <t>bim.ir</t>
  </si>
  <si>
    <t>karafarinbank.ir</t>
  </si>
  <si>
    <t>kosarfci.ir</t>
  </si>
  <si>
    <t>middleeastbank.ir</t>
  </si>
  <si>
    <t>postbank.ir</t>
  </si>
  <si>
    <t>qmb.ir</t>
  </si>
  <si>
    <t>sbank.ir</t>
  </si>
  <si>
    <t>ttbank.ir</t>
  </si>
  <si>
    <t>edbi.ir</t>
  </si>
  <si>
    <t>abplus.ir</t>
  </si>
  <si>
    <t>modernkosarfci.net</t>
  </si>
  <si>
    <t>banksepah.ir</t>
  </si>
  <si>
    <t>noorbank.ir</t>
  </si>
  <si>
    <t>hibank24.ir</t>
  </si>
  <si>
    <t>izbank.ir</t>
  </si>
  <si>
    <t>bank-melal.ir</t>
  </si>
  <si>
    <t>nazarbazaar.ir</t>
  </si>
  <si>
    <t>beporsim.com</t>
  </si>
  <si>
    <t>porsline.ir</t>
  </si>
  <si>
    <t>2rooznameh.ir</t>
  </si>
  <si>
    <t>monaghesatiran.ir</t>
  </si>
  <si>
    <t>hezarehinfo.net</t>
  </si>
  <si>
    <t>etender.ir</t>
  </si>
  <si>
    <t>parsiantender.com</t>
  </si>
  <si>
    <t>مزایده و مناقصه</t>
  </si>
  <si>
    <t>خدمات منزل</t>
  </si>
  <si>
    <t>espard.com</t>
  </si>
  <si>
    <t>achareh.ir</t>
  </si>
  <si>
    <t>homeservize.com</t>
  </si>
  <si>
    <t>doyo.ir</t>
  </si>
  <si>
    <t>lambede.ir</t>
  </si>
  <si>
    <t>pelak.com</t>
  </si>
  <si>
    <t>komakyari.com</t>
  </si>
  <si>
    <t>oostop.ir</t>
  </si>
  <si>
    <t>lancerify.com</t>
  </si>
  <si>
    <t>parsfreelancer.com</t>
  </si>
  <si>
    <t>karito.ir</t>
  </si>
  <si>
    <t>workfa.com</t>
  </si>
  <si>
    <t>karishe.com</t>
  </si>
  <si>
    <t>tarjomeiran.com</t>
  </si>
  <si>
    <t>satraa.com</t>
  </si>
  <si>
    <t>tarjomic.com</t>
  </si>
  <si>
    <t>tarjomegostar.com</t>
  </si>
  <si>
    <t>fa-en.com</t>
  </si>
  <si>
    <t>shomatrans.com</t>
  </si>
  <si>
    <t>codersiran.com</t>
  </si>
  <si>
    <t>carstan.ir</t>
  </si>
  <si>
    <t>hidikala.com</t>
  </si>
  <si>
    <t>binicishop.ir</t>
  </si>
  <si>
    <t>nilaka.com</t>
  </si>
  <si>
    <t>yadak118.com</t>
  </si>
  <si>
    <t>isaco.ir</t>
  </si>
  <si>
    <t>tehranniaz.com</t>
  </si>
  <si>
    <t>jam24.ir</t>
  </si>
  <si>
    <t>amlakbashi.com</t>
  </si>
  <si>
    <t>hyperka.com</t>
  </si>
  <si>
    <t>tezolmarket.com</t>
  </si>
  <si>
    <t>kharidkhan.com</t>
  </si>
  <si>
    <t>idka.ir</t>
  </si>
  <si>
    <t>asanbesan.ir</t>
  </si>
  <si>
    <t>varamall.com</t>
  </si>
  <si>
    <t>hyperbaz.com</t>
  </si>
  <si>
    <t>fooodeli.com</t>
  </si>
  <si>
    <t>hyperstariran.com</t>
  </si>
  <si>
    <t>almasprinting.com</t>
  </si>
  <si>
    <t>chapnegar.ir</t>
  </si>
  <si>
    <t>fadakprint.com</t>
  </si>
  <si>
    <t>toosprint.com</t>
  </si>
  <si>
    <t>prnt.ir</t>
  </si>
  <si>
    <t>onchap.com</t>
  </si>
  <si>
    <t>tarahanprinting.com</t>
  </si>
  <si>
    <t>printresan.ir</t>
  </si>
  <si>
    <t>onlinecopy.ir</t>
  </si>
  <si>
    <t>printyar.com</t>
  </si>
  <si>
    <t>kparad.com</t>
  </si>
  <si>
    <t>hamchap.ir</t>
  </si>
  <si>
    <t>webimeh.com</t>
  </si>
  <si>
    <t>bimito.com</t>
  </si>
  <si>
    <t>bimebazar.ir</t>
  </si>
  <si>
    <t>bimiline.com</t>
  </si>
  <si>
    <t>epoll.ir</t>
  </si>
  <si>
    <t>drsaina.ir</t>
  </si>
  <si>
    <t>tele-teb.com</t>
  </si>
  <si>
    <t>melkana.com</t>
  </si>
  <si>
    <t>profile.ir</t>
  </si>
  <si>
    <t>manmamanam.com</t>
  </si>
  <si>
    <t>nazdika.com</t>
  </si>
  <si>
    <t>hamsaa.ir</t>
  </si>
  <si>
    <t>ordup.com</t>
  </si>
  <si>
    <t>oostaa.com</t>
  </si>
  <si>
    <t>malltina.com</t>
  </si>
  <si>
    <t>charsooq.com</t>
  </si>
  <si>
    <t>zakoola.com</t>
  </si>
  <si>
    <t>kharidgar.com</t>
  </si>
  <si>
    <t>salamatism.com</t>
  </si>
  <si>
    <t>salamati.ir</t>
  </si>
  <si>
    <t>tvnet.ir</t>
  </si>
  <si>
    <t>inet.ir</t>
  </si>
  <si>
    <t>shareino.ir</t>
  </si>
  <si>
    <t>sarircard.com</t>
  </si>
  <si>
    <t>hdpay.ir</t>
  </si>
  <si>
    <t>iranbtc.com</t>
  </si>
  <si>
    <t>p30pay.com</t>
  </si>
  <si>
    <t>mihanpay.info</t>
  </si>
  <si>
    <t>sanjagh.pro</t>
  </si>
  <si>
    <t>shift.city</t>
  </si>
  <si>
    <t>hixiaomi.ir</t>
  </si>
  <si>
    <t>1tobreh.ir</t>
  </si>
  <si>
    <t>styleup.ir</t>
  </si>
  <si>
    <t>applecenter.ir</t>
  </si>
  <si>
    <t>shamekhkala.com</t>
  </si>
  <si>
    <t>digido.ir</t>
  </si>
  <si>
    <t>mootanroo.com</t>
  </si>
  <si>
    <t>tomanak.com</t>
  </si>
  <si>
    <t>pardiba.com</t>
  </si>
  <si>
    <t>kalafroosh.com</t>
  </si>
  <si>
    <t>iphonechi.com</t>
  </si>
  <si>
    <t>artikala.com</t>
  </si>
  <si>
    <t>abzarmarket.com</t>
  </si>
  <si>
    <t>zoody.ir</t>
  </si>
  <si>
    <t>tatjawaher.com</t>
  </si>
  <si>
    <t>charchinet.com</t>
  </si>
  <si>
    <t>nikoopay.com</t>
  </si>
  <si>
    <t>limooshop.com</t>
  </si>
  <si>
    <t>hypertire.com</t>
  </si>
  <si>
    <t>dotchin.ir</t>
  </si>
  <si>
    <t>momtazkala.com</t>
  </si>
  <si>
    <t>dolichi.com</t>
  </si>
  <si>
    <t>aventiran.ir</t>
  </si>
  <si>
    <t>shop.amlak118.com</t>
  </si>
  <si>
    <t>teektaak.ir</t>
  </si>
  <si>
    <t>banyaz.com</t>
  </si>
  <si>
    <t>tiamito.com</t>
  </si>
  <si>
    <t>riiha.com</t>
  </si>
  <si>
    <t>avandprinter.com</t>
  </si>
  <si>
    <t>pakshomacenter.com</t>
  </si>
  <si>
    <t>tebnema.ir</t>
  </si>
  <si>
    <t>rojmarket.com</t>
  </si>
  <si>
    <t>taktazshop.com</t>
  </si>
  <si>
    <t>mosbatesabz.com</t>
  </si>
  <si>
    <t>wegobazaar.com</t>
  </si>
  <si>
    <t>blackapple.me</t>
  </si>
  <si>
    <t>ighab.com</t>
  </si>
  <si>
    <t>exiz.ir</t>
  </si>
  <si>
    <t>unipayment.ir</t>
  </si>
  <si>
    <t>3center.ir</t>
  </si>
  <si>
    <t>bitmall.ir</t>
  </si>
  <si>
    <t>pricom.ir</t>
  </si>
  <si>
    <t>shikfam.com</t>
  </si>
  <si>
    <t>redkala.com</t>
  </si>
  <si>
    <t>dailyoffers.ir</t>
  </si>
  <si>
    <t>ititem.ir</t>
  </si>
  <si>
    <t>oneplus.ir</t>
  </si>
  <si>
    <t>19kala.com</t>
  </si>
  <si>
    <t>nillkin24.ir</t>
  </si>
  <si>
    <t>amoyadegar.com</t>
  </si>
  <si>
    <t>xiaomiyab.com</t>
  </si>
  <si>
    <t>netset.ir</t>
  </si>
  <si>
    <t>buymi.ir</t>
  </si>
  <si>
    <t>darkoobkala.com</t>
  </si>
  <si>
    <t>آسان پرداخت-ایران کیش</t>
  </si>
  <si>
    <t>sadetar.com</t>
  </si>
  <si>
    <t>lgstore.ir</t>
  </si>
  <si>
    <t>banetop.com</t>
  </si>
  <si>
    <t>arcaonline.ir</t>
  </si>
  <si>
    <t>digionline.ir</t>
  </si>
  <si>
    <t>zarinmall.com</t>
  </si>
  <si>
    <t>lipars.com</t>
  </si>
  <si>
    <t>bazarteb.ir</t>
  </si>
  <si>
    <t>roozahang.com</t>
  </si>
  <si>
    <t>wekama.com</t>
  </si>
  <si>
    <t>malaghe.com</t>
  </si>
  <si>
    <t>rondkala.com</t>
  </si>
  <si>
    <t>orashi.ir</t>
  </si>
  <si>
    <t>behsakala.com</t>
  </si>
  <si>
    <t>katuni.ir</t>
  </si>
  <si>
    <t>amazonkharid.com</t>
  </si>
  <si>
    <t>khorgin.com</t>
  </si>
  <si>
    <t>asanshops.ir</t>
  </si>
  <si>
    <t>sooreno.com</t>
  </si>
  <si>
    <t>smartjoo.com</t>
  </si>
  <si>
    <t>nozhashop.com</t>
  </si>
  <si>
    <t>fomilio.com</t>
  </si>
  <si>
    <t>mahtop.com</t>
  </si>
  <si>
    <t>lgmarket.ir</t>
  </si>
  <si>
    <t>bazaarema.com</t>
  </si>
  <si>
    <t>tehrandigi.com</t>
  </si>
  <si>
    <t>beem.ir</t>
  </si>
  <si>
    <t>uzpalang.com</t>
  </si>
  <si>
    <t>modemmart.com</t>
  </si>
  <si>
    <t>mobazshop.ir</t>
  </si>
  <si>
    <t>applegostar.com</t>
  </si>
  <si>
    <t>helye.com</t>
  </si>
  <si>
    <t>paarsehco.com</t>
  </si>
  <si>
    <t>lomaxmobile.com</t>
  </si>
  <si>
    <t>meshop2.com</t>
  </si>
  <si>
    <t>aminshop.net</t>
  </si>
  <si>
    <t>ssdbazar.com</t>
  </si>
  <si>
    <t>flagships.ir</t>
  </si>
  <si>
    <t>azarafra.com</t>
  </si>
  <si>
    <t>fibook.ir</t>
  </si>
  <si>
    <t>tabrizcamp.ir</t>
  </si>
  <si>
    <t>polotak.com</t>
  </si>
  <si>
    <t>heliaperfume.com</t>
  </si>
  <si>
    <t>farazarf.com</t>
  </si>
  <si>
    <t>3rah.net</t>
  </si>
  <si>
    <t>zeezip.com</t>
  </si>
  <si>
    <t>samsungia.com</t>
  </si>
  <si>
    <t>banehentekhab.com</t>
  </si>
  <si>
    <t>noozdah.com</t>
  </si>
  <si>
    <t>abzarpardaz.com</t>
  </si>
  <si>
    <t>monacosystem.com</t>
  </si>
  <si>
    <t>shahregilas.com</t>
  </si>
  <si>
    <t>bitatarh.com</t>
  </si>
  <si>
    <t>khanebazaar.com</t>
  </si>
  <si>
    <t>modixon.com</t>
  </si>
  <si>
    <t>powercell.ir</t>
  </si>
  <si>
    <t>iliyacomputer.com</t>
  </si>
  <si>
    <t>queenkala.com</t>
  </si>
  <si>
    <t>meizu.ir</t>
  </si>
  <si>
    <t>mekashop.com</t>
  </si>
  <si>
    <t>piliseh.com</t>
  </si>
  <si>
    <t>yasinrayan.com</t>
  </si>
  <si>
    <t>iprojector.ir</t>
  </si>
  <si>
    <t>storeiranian.com</t>
  </si>
  <si>
    <t>shilak.com</t>
  </si>
  <si>
    <t>joyabook.com</t>
  </si>
  <si>
    <t>kalasatan.ir</t>
  </si>
  <si>
    <t>chikado.com</t>
  </si>
  <si>
    <t>damapooya.com</t>
  </si>
  <si>
    <t>mihanhyper.com</t>
  </si>
  <si>
    <t>montakhab.co</t>
  </si>
  <si>
    <t>digi2030.com</t>
  </si>
  <si>
    <t>nandi.ir</t>
  </si>
  <si>
    <t>jonoubkala.com</t>
  </si>
  <si>
    <t>sabmobile.ir</t>
  </si>
  <si>
    <t>babypro.ir</t>
  </si>
  <si>
    <t>basalam.ir</t>
  </si>
  <si>
    <t>zoodtools.com</t>
  </si>
  <si>
    <t>daryakavshop.com</t>
  </si>
  <si>
    <t>kandidshop.ir</t>
  </si>
  <si>
    <t>microsoftlicense.com</t>
  </si>
  <si>
    <t>xiaomishop.ir</t>
  </si>
  <si>
    <t>oviro.com</t>
  </si>
  <si>
    <t>banehbiz.com</t>
  </si>
  <si>
    <t>yaragh.com</t>
  </si>
  <si>
    <t>hobbykala.com</t>
  </si>
  <si>
    <t>gooshi.online</t>
  </si>
  <si>
    <t>narestan.com</t>
  </si>
  <si>
    <t>abzarforoush.ir</t>
  </si>
  <si>
    <t>lumiacenter.com</t>
  </si>
  <si>
    <t>shirazgift.com</t>
  </si>
  <si>
    <t>saprapersian.ir</t>
  </si>
  <si>
    <t>citysazeh.com</t>
  </si>
  <si>
    <t>console-clinic.ir</t>
  </si>
  <si>
    <t>digisam.ir</t>
  </si>
  <si>
    <t>behlino.com</t>
  </si>
  <si>
    <t>tahrirbazaar.com</t>
  </si>
  <si>
    <t>kalaina.com</t>
  </si>
  <si>
    <t>falude.com</t>
  </si>
  <si>
    <t>payamkala.ir</t>
  </si>
  <si>
    <t>homit.ir</t>
  </si>
  <si>
    <t>manakala.ir</t>
  </si>
  <si>
    <t>takht-jamshid.com</t>
  </si>
  <si>
    <t>vinselo.com</t>
  </si>
  <si>
    <t>sepahanshop.com</t>
  </si>
  <si>
    <t>didibood.com</t>
  </si>
  <si>
    <t>datisbazar.com</t>
  </si>
  <si>
    <t>behbaha.com</t>
  </si>
  <si>
    <t>payayab.com</t>
  </si>
  <si>
    <t>onlinecode.co</t>
  </si>
  <si>
    <t>onbik.ir</t>
  </si>
  <si>
    <t>ninisalamat.com</t>
  </si>
  <si>
    <t>mozhantebshop.ir</t>
  </si>
  <si>
    <t>viorad.com</t>
  </si>
  <si>
    <t>banypal.com</t>
  </si>
  <si>
    <t>xiaomiiran.ir</t>
  </si>
  <si>
    <t>emob.ir</t>
  </si>
  <si>
    <t>behinekharid.com</t>
  </si>
  <si>
    <t>filisha.com</t>
  </si>
  <si>
    <t>market-mobile.ir</t>
  </si>
  <si>
    <t>cold-maker.ir</t>
  </si>
  <si>
    <t>kahandeh.com</t>
  </si>
  <si>
    <t>kharidium.com</t>
  </si>
  <si>
    <t>surfacekala.com</t>
  </si>
  <si>
    <t>kitchenkala.com</t>
  </si>
  <si>
    <t>digitalland.ir</t>
  </si>
  <si>
    <t>parsiandigi.com</t>
  </si>
  <si>
    <t>elissaperfume.com</t>
  </si>
  <si>
    <t>irantasvir.net</t>
  </si>
  <si>
    <t>bazarsystem.ir</t>
  </si>
  <si>
    <t>rayantehran.com</t>
  </si>
  <si>
    <t>mimarket.ir</t>
  </si>
  <si>
    <t>comland.ir</t>
  </si>
  <si>
    <t>heptak.com</t>
  </si>
  <si>
    <t>ansarkhodro.com</t>
  </si>
  <si>
    <t>tejaratnews.com</t>
  </si>
  <si>
    <t>spadcharter.ir</t>
  </si>
  <si>
    <t>mehrketab.ir</t>
  </si>
  <si>
    <t>padvish.com</t>
  </si>
  <si>
    <t>lotusplay.ir</t>
  </si>
  <si>
    <t>upnama.ir</t>
  </si>
  <si>
    <t>tgpco.ir</t>
  </si>
  <si>
    <t>shahrzad.shop</t>
  </si>
  <si>
    <t>movieno.co</t>
  </si>
  <si>
    <t>shop.upera.co</t>
  </si>
  <si>
    <t>shahrzadplus.com</t>
  </si>
  <si>
    <t>wikiseda.com</t>
  </si>
  <si>
    <t>salamcinama.ir</t>
  </si>
  <si>
    <t>chicken-device.ir</t>
  </si>
  <si>
    <t>tikfilm.net</t>
  </si>
  <si>
    <t>3mediasity.in</t>
  </si>
  <si>
    <t>modiranoffice.com</t>
  </si>
  <si>
    <t>booster.land</t>
  </si>
  <si>
    <t>permarket.ir</t>
  </si>
  <si>
    <t>ubaar.ir</t>
  </si>
  <si>
    <t>itarabar.com</t>
  </si>
  <si>
    <t>shenoto.com</t>
  </si>
  <si>
    <t>ketabesabz.com</t>
  </si>
  <si>
    <t>namlik.me</t>
  </si>
  <si>
    <t>audiolib.ir</t>
  </si>
  <si>
    <t>bolandgu.com</t>
  </si>
  <si>
    <t>ham-ahang.com</t>
  </si>
  <si>
    <t>4764.ir</t>
  </si>
  <si>
    <t>arioparvaz.ir</t>
  </si>
  <si>
    <t>charter.ir</t>
  </si>
  <si>
    <t>charter724.info</t>
  </si>
  <si>
    <t>ghasedak24.com</t>
  </si>
  <si>
    <t>hiholiday.ir</t>
  </si>
  <si>
    <t>iaa.ir</t>
  </si>
  <si>
    <t>marcotravel.ir</t>
  </si>
  <si>
    <t>mehrabgasht.ir</t>
  </si>
  <si>
    <t>naftairline.com</t>
  </si>
  <si>
    <t>tikban.com</t>
  </si>
  <si>
    <t>zcharter.ir</t>
  </si>
  <si>
    <t>deltaban.ir</t>
  </si>
  <si>
    <t>ghasreshirin.com</t>
  </si>
  <si>
    <t>golfamsafar.com</t>
  </si>
  <si>
    <t>chaloos.biz</t>
  </si>
  <si>
    <t>tarkaman.com</t>
  </si>
  <si>
    <t>kalaresanco.ir</t>
  </si>
  <si>
    <t>tntiran.com</t>
  </si>
  <si>
    <t>chaparnet.com</t>
  </si>
  <si>
    <t>pdexp.com</t>
  </si>
  <si>
    <t>speedapp.ir</t>
  </si>
  <si>
    <t>parsget.com</t>
  </si>
  <si>
    <t>bitso.ir</t>
  </si>
  <si>
    <t>downloadchibashi.ir</t>
  </si>
  <si>
    <t>fire-d.com</t>
  </si>
  <si>
    <t>zbigz.ir</t>
  </si>
  <si>
    <t>king2net.com</t>
  </si>
  <si>
    <t>nikstarter.com</t>
  </si>
  <si>
    <t>parsbelit.com</t>
  </si>
  <si>
    <t>reypay.net</t>
  </si>
  <si>
    <t>popupme.net</t>
  </si>
  <si>
    <t>vastmlm.com</t>
  </si>
  <si>
    <t>evento.ir</t>
  </si>
  <si>
    <t>maadiran.com</t>
  </si>
  <si>
    <t>chargoon.com</t>
  </si>
  <si>
    <t>systemgroup.net</t>
  </si>
  <si>
    <t>sanjagh.net</t>
  </si>
  <si>
    <t>yektanet.com</t>
  </si>
  <si>
    <t>kaprila.com</t>
  </si>
  <si>
    <t>congoro.com</t>
  </si>
  <si>
    <t>hayatkhalvat.com</t>
  </si>
  <si>
    <t>trip.ir</t>
  </si>
  <si>
    <t>filegozar.com</t>
  </si>
  <si>
    <t>dibamovie.in</t>
  </si>
  <si>
    <t>filenetwork.ir</t>
  </si>
  <si>
    <t>civilfile.com</t>
  </si>
  <si>
    <t>movid.ir</t>
  </si>
  <si>
    <t>farssub.ir</t>
  </si>
  <si>
    <t>hastisub1.ir</t>
  </si>
  <si>
    <t>fchdl.com</t>
  </si>
  <si>
    <t>linemovie.biz</t>
  </si>
  <si>
    <t>samantel.ir</t>
  </si>
  <si>
    <t>aptel.ir</t>
  </si>
  <si>
    <t>azartel.ir</t>
  </si>
  <si>
    <t>karencrowd.com</t>
  </si>
  <si>
    <t>100tahlil.com</t>
  </si>
  <si>
    <t>exchange-store.com</t>
  </si>
  <si>
    <t>eads.ir</t>
  </si>
  <si>
    <t>parsads.com</t>
  </si>
  <si>
    <t>virlan.co</t>
  </si>
  <si>
    <t>vitrinnet.com</t>
  </si>
  <si>
    <t>100.ir</t>
  </si>
  <si>
    <t>voffice.ir</t>
  </si>
  <si>
    <t>استارت پی</t>
  </si>
  <si>
    <t>dgfanoos.com</t>
  </si>
  <si>
    <t>telegfa.com</t>
  </si>
  <si>
    <t>mychannels.ir</t>
  </si>
  <si>
    <t>telegram-canal.ir</t>
  </si>
  <si>
    <t>telegramcanal.ir</t>
  </si>
  <si>
    <t>telegramch.com</t>
  </si>
  <si>
    <t>telechannels.me</t>
  </si>
  <si>
    <t>i-gram.ir</t>
  </si>
  <si>
    <t>channelz.ir</t>
  </si>
  <si>
    <t>bazdidfa.com</t>
  </si>
  <si>
    <t>socialbook.ir</t>
  </si>
  <si>
    <t>bia2kanal.com</t>
  </si>
  <si>
    <t>tkanal.ir</t>
  </si>
  <si>
    <t>PSP</t>
  </si>
  <si>
    <t>sayancard.ir</t>
  </si>
  <si>
    <t>780.ir</t>
  </si>
  <si>
    <t>manapay.com</t>
  </si>
  <si>
    <t>724sep.ir</t>
  </si>
  <si>
    <t>topsho.ir</t>
  </si>
  <si>
    <t>app.733.ir</t>
  </si>
  <si>
    <t>asanpardakht.ir</t>
  </si>
  <si>
    <t>behpardakht.com</t>
  </si>
  <si>
    <t>pep.co.ir</t>
  </si>
  <si>
    <t>sep.ir</t>
  </si>
  <si>
    <t>pec.ir</t>
  </si>
  <si>
    <t>pna.co.ir</t>
  </si>
  <si>
    <t>sadadpsp.ir</t>
  </si>
  <si>
    <t>fanavacard.ir</t>
  </si>
  <si>
    <t>kiccc.com</t>
  </si>
  <si>
    <t>irankish.com</t>
  </si>
  <si>
    <t>mabnacard.com</t>
  </si>
  <si>
    <t xml:space="preserve">اجاره لوازم </t>
  </si>
  <si>
    <t>chehoteli.com</t>
  </si>
  <si>
    <t>irantravels.ir</t>
  </si>
  <si>
    <t>irtour.ir</t>
  </si>
  <si>
    <t>ttgroup.ir</t>
  </si>
  <si>
    <t>sepehr360.com</t>
  </si>
  <si>
    <t>lasttours.net</t>
  </si>
  <si>
    <t>touryab.net</t>
  </si>
  <si>
    <t>tourir.ir</t>
  </si>
  <si>
    <t>wego.ir</t>
  </si>
  <si>
    <t>ravis.ir</t>
  </si>
  <si>
    <t>kyte.ir</t>
  </si>
  <si>
    <t>chegovara.com</t>
  </si>
  <si>
    <t>ashta.ir</t>
  </si>
  <si>
    <t>easypaz.com</t>
  </si>
  <si>
    <t>boghche.ir</t>
  </si>
  <si>
    <t>meeva.ir</t>
  </si>
  <si>
    <t>12</t>
  </si>
  <si>
    <t>7</t>
  </si>
  <si>
    <t>8</t>
  </si>
  <si>
    <t>9</t>
  </si>
  <si>
    <t>10</t>
  </si>
  <si>
    <t>11</t>
  </si>
  <si>
    <t>aranika.com</t>
  </si>
  <si>
    <t>tehranperfume.com</t>
  </si>
  <si>
    <t>marcella.ir</t>
  </si>
  <si>
    <t>hamkarcctv.com</t>
  </si>
  <si>
    <t>amniiat.com</t>
  </si>
  <si>
    <t>pouyabin.com</t>
  </si>
  <si>
    <t>tartandezh.com</t>
  </si>
  <si>
    <t>farafan-market.ir</t>
  </si>
  <si>
    <t>xn----zmcbckzcnev7qkavc6a.com</t>
  </si>
  <si>
    <t>imenshop.ir</t>
  </si>
  <si>
    <t>avizhe-co.com</t>
  </si>
  <si>
    <t>shopcctv.ir</t>
  </si>
  <si>
    <t>hikvisioniran.com</t>
  </si>
  <si>
    <t>partvisioncctv.com</t>
  </si>
  <si>
    <t>iliadata.ir</t>
  </si>
  <si>
    <t>rashsystem.com</t>
  </si>
  <si>
    <t>pavankala.com</t>
  </si>
  <si>
    <t>off360.ir</t>
  </si>
  <si>
    <t>arzankadeh.net</t>
  </si>
  <si>
    <t>bamabon.com</t>
  </si>
  <si>
    <t>دفتر کار مجازی</t>
  </si>
  <si>
    <t>نظرسنجی آنلاین</t>
  </si>
  <si>
    <t>معرفی کانال ها و گروه های تلگرام و</t>
  </si>
  <si>
    <t>winto.ir</t>
  </si>
  <si>
    <t>tarhestan.org</t>
  </si>
  <si>
    <t>vipshop.flowers</t>
  </si>
  <si>
    <t>4soo.me</t>
  </si>
  <si>
    <t>hoojibooji.com</t>
  </si>
  <si>
    <t>dlfood.ir</t>
  </si>
  <si>
    <t>4tarin.com</t>
  </si>
  <si>
    <t>bilitja.com</t>
  </si>
  <si>
    <t>simorgh24.com</t>
  </si>
  <si>
    <t>travelchi.ir</t>
  </si>
  <si>
    <t>roozame.com</t>
  </si>
  <si>
    <t>cinemacharsou.com</t>
  </si>
  <si>
    <t>adsensor.ir</t>
  </si>
  <si>
    <t>sarashpazpapion.com</t>
  </si>
  <si>
    <t>chibepoosham.com</t>
  </si>
  <si>
    <t>محتوای مد و لباس</t>
  </si>
  <si>
    <t>asanak.com</t>
  </si>
  <si>
    <t>niazpardaz-sms.com</t>
  </si>
  <si>
    <t>azmayeshonline.com</t>
  </si>
  <si>
    <t>matabvisit.ir</t>
  </si>
  <si>
    <t>پرداخت کرایه تاکسی</t>
  </si>
  <si>
    <t>phonepay.ir</t>
  </si>
  <si>
    <t>resid.ir</t>
  </si>
  <si>
    <t>pardakhtam.ir</t>
  </si>
  <si>
    <t>pezeshkekhoob.com</t>
  </si>
  <si>
    <t>anten.ir</t>
  </si>
  <si>
    <t>ostadsalam.ir</t>
  </si>
  <si>
    <t>iranmodares.com</t>
  </si>
  <si>
    <t>way2pay.ir</t>
  </si>
  <si>
    <t>banki.ir</t>
  </si>
  <si>
    <t>banker.ir</t>
  </si>
  <si>
    <t>heyvagroup.com</t>
  </si>
  <si>
    <t>ostadkar.ir</t>
  </si>
  <si>
    <t xml:space="preserve">کتاب و نشریات </t>
  </si>
  <si>
    <t>به ایرانیهای خارج از کشور خدمات م یده</t>
  </si>
  <si>
    <t>2881.00</t>
  </si>
  <si>
    <t>2600.00</t>
  </si>
  <si>
    <t>3564.00</t>
  </si>
  <si>
    <t>7084.00</t>
  </si>
  <si>
    <t>7190.00</t>
  </si>
  <si>
    <t>7337.00</t>
  </si>
  <si>
    <t>Column2</t>
  </si>
  <si>
    <t>Column3</t>
  </si>
  <si>
    <t>Column4</t>
  </si>
  <si>
    <t>Column5</t>
  </si>
  <si>
    <t>Column6</t>
  </si>
  <si>
    <t>Column7</t>
  </si>
  <si>
    <t>2137.00</t>
  </si>
  <si>
    <t>2183.00</t>
  </si>
  <si>
    <t>2572.00</t>
  </si>
  <si>
    <t>لوازم ورزشی</t>
  </si>
  <si>
    <t>گل و گیاه و بذر</t>
  </si>
  <si>
    <t xml:space="preserve">جستجوگر کالا </t>
  </si>
  <si>
    <t>ویدئو  و موسیقی</t>
  </si>
  <si>
    <t>درخواست استاد</t>
  </si>
  <si>
    <t>پیک موتوری وانت بار</t>
  </si>
  <si>
    <t>اپراتورها و ارایه دهندگان اینترنت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</si>
</sst>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>
    <font>
      <sz val="11"/>
      <color theme="1"/>
      <name val="Arial"/>
      <family val="2"/>
      <scheme val="minor"/>
    </font>
    <font>
      <b/>
      <sz val="14"/>
      <color theme="0"/>
      <name val="B Nazanin"/>
      <charset val="178"/>
    </font>
    <font>
      <b/>
      <sz val="12"/>
      <color theme="0"/>
      <name val="B Nazanin"/>
      <charset val="178"/>
    </font>
    <font>
      <sz val="12"/>
      <color theme="1"/>
      <name val="Arial"/>
      <family val="2"/>
      <scheme val="minor"/>
    </font>
    <font>
      <b/>
      <sz val="14"/>
      <color rgb="FF002060"/>
      <name val="B Nazanin"/>
      <charset val="178"/>
    </font>
    <font>
      <sz val="11"/>
      <color theme="1"/>
      <name val="B Nazanin"/>
      <charset val="178"/>
    </font>
    <font>
      <b/>
      <sz val="12"/>
      <color rgb="FF002060"/>
      <name val="B Nazanin"/>
      <charset val="178"/>
    </font>
    <font>
      <b/>
      <sz val="14"/>
      <color rgb="FF002060"/>
      <name val="B Nazanin"/>
      <charset val="178"/>
    </font>
    <font>
      <b/>
      <sz val="14"/>
      <color rgb="FF002060"/>
      <name val="Arial"/>
      <family val="2"/>
      <scheme val="minor"/>
    </font>
    <font>
      <b/>
      <sz val="14"/>
      <color rgb="FF002060"/>
      <name val="B Nazanin"/>
      <charset val="178"/>
    </font>
    <font>
      <b/>
      <sz val="12"/>
      <color rgb="FF002060"/>
      <name val="B Nazanin"/>
      <charset val="178"/>
    </font>
    <font>
      <sz val="14"/>
      <color rgb="FF002060"/>
      <name val="B Nazanin"/>
      <charset val="178"/>
    </font>
    <font>
      <sz val="11"/>
      <color theme="1"/>
      <name val="B Nazanin"/>
      <charset val="178"/>
    </font>
    <font>
      <b/>
      <sz val="12"/>
      <color theme="0"/>
      <name val="Arial"/>
      <family val="2"/>
      <scheme val="minor"/>
    </font>
    <font>
      <b/>
      <sz val="12"/>
      <color rgb="FF002060"/>
      <name val="Arial"/>
      <family val="2"/>
      <scheme val="minor"/>
    </font>
    <font>
      <sz val="14"/>
      <color rgb="FF002060"/>
      <name val="Arial"/>
      <family val="2"/>
      <scheme val="minor"/>
    </font>
    <font>
      <b/>
      <sz val="14"/>
      <color rgb="FF002060"/>
      <name val="Arial"/>
      <family val="2"/>
      <scheme val="minor"/>
    </font>
    <font>
      <b/>
      <sz val="14"/>
      <color rgb="FF002060"/>
      <name val="B Nazanin"/>
      <charset val="178"/>
    </font>
    <font>
      <b/>
      <sz val="14"/>
      <color rgb="FF002060"/>
      <name val="Arial"/>
      <family val="2"/>
      <scheme val="minor"/>
    </font>
    <font>
      <b/>
      <sz val="14"/>
      <color rgb="FF002060"/>
      <name val="B Nazanin"/>
    </font>
    <font>
      <b/>
      <sz val="12"/>
      <color rgb="FF002060"/>
      <name val="B Nazanin"/>
    </font>
    <font>
      <b/>
      <sz val="12"/>
      <color rgb="FF002060"/>
      <name val="Arial"/>
      <scheme val="minor"/>
    </font>
    <font>
      <b/>
      <sz val="14"/>
      <color rgb="FF002060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theme="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9">
    <xf numFmtId="0" fontId="0" fillId="0" borderId="0" xfId="0"/>
    <xf numFmtId="2" fontId="0" fillId="0" borderId="0" xfId="0" applyNumberFormat="1"/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3" fillId="0" borderId="0" xfId="0" applyFont="1"/>
    <xf numFmtId="0" fontId="4" fillId="0" borderId="0" xfId="0" applyFont="1"/>
    <xf numFmtId="2" fontId="4" fillId="0" borderId="0" xfId="0" applyNumberFormat="1" applyFont="1"/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4" fillId="0" borderId="0" xfId="0" applyNumberFormat="1" applyFont="1"/>
    <xf numFmtId="49" fontId="4" fillId="0" borderId="0" xfId="0" applyNumberFormat="1" applyFont="1"/>
    <xf numFmtId="0" fontId="4" fillId="0" borderId="0" xfId="0" applyNumberFormat="1" applyFont="1"/>
    <xf numFmtId="0" fontId="5" fillId="0" borderId="0" xfId="0" applyFont="1"/>
    <xf numFmtId="0" fontId="6" fillId="0" borderId="0" xfId="0" applyFont="1"/>
    <xf numFmtId="2" fontId="6" fillId="0" borderId="0" xfId="0" applyNumberFormat="1" applyFont="1"/>
    <xf numFmtId="0" fontId="4" fillId="0" borderId="4" xfId="0" applyFont="1" applyBorder="1"/>
    <xf numFmtId="0" fontId="7" fillId="0" borderId="0" xfId="0" applyFont="1"/>
    <xf numFmtId="2" fontId="7" fillId="0" borderId="0" xfId="0" applyNumberFormat="1" applyFont="1"/>
    <xf numFmtId="0" fontId="8" fillId="0" borderId="0" xfId="0" applyFont="1"/>
    <xf numFmtId="2" fontId="8" fillId="0" borderId="0" xfId="0" applyNumberFormat="1" applyFont="1"/>
    <xf numFmtId="1" fontId="7" fillId="0" borderId="0" xfId="0" applyNumberFormat="1" applyFont="1"/>
    <xf numFmtId="0" fontId="9" fillId="0" borderId="0" xfId="0" applyFont="1"/>
    <xf numFmtId="2" fontId="9" fillId="0" borderId="0" xfId="0" applyNumberFormat="1" applyFont="1"/>
    <xf numFmtId="0" fontId="10" fillId="0" borderId="0" xfId="0" applyFont="1"/>
    <xf numFmtId="2" fontId="10" fillId="0" borderId="0" xfId="0" applyNumberFormat="1" applyFont="1"/>
    <xf numFmtId="2" fontId="0" fillId="0" borderId="0" xfId="0" applyNumberFormat="1"/>
    <xf numFmtId="2" fontId="11" fillId="0" borderId="0" xfId="0" applyNumberFormat="1" applyFont="1"/>
    <xf numFmtId="0" fontId="9" fillId="0" borderId="0" xfId="0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4" fillId="0" borderId="0" xfId="0" applyFont="1" applyBorder="1"/>
    <xf numFmtId="0" fontId="12" fillId="0" borderId="0" xfId="0" applyFont="1"/>
    <xf numFmtId="49" fontId="8" fillId="0" borderId="0" xfId="0" applyNumberFormat="1" applyFont="1"/>
    <xf numFmtId="0" fontId="13" fillId="2" borderId="2" xfId="0" applyFont="1" applyFill="1" applyBorder="1" applyAlignment="1">
      <alignment horizontal="center"/>
    </xf>
    <xf numFmtId="0" fontId="14" fillId="0" borderId="0" xfId="0" applyFont="1"/>
    <xf numFmtId="2" fontId="14" fillId="0" borderId="0" xfId="0" applyNumberFormat="1" applyFont="1"/>
    <xf numFmtId="2" fontId="15" fillId="0" borderId="0" xfId="0" applyNumberFormat="1" applyFont="1"/>
    <xf numFmtId="0" fontId="0" fillId="0" borderId="0" xfId="0" applyFont="1"/>
    <xf numFmtId="0" fontId="8" fillId="2" borderId="2" xfId="0" applyFont="1" applyFill="1" applyBorder="1" applyAlignment="1">
      <alignment horizontal="center"/>
    </xf>
    <xf numFmtId="0" fontId="8" fillId="0" borderId="4" xfId="0" applyFont="1" applyBorder="1"/>
    <xf numFmtId="0" fontId="8" fillId="0" borderId="0" xfId="0" applyFont="1" applyBorder="1"/>
    <xf numFmtId="0" fontId="16" fillId="0" borderId="0" xfId="0" applyFont="1"/>
    <xf numFmtId="0" fontId="17" fillId="0" borderId="0" xfId="0" applyFont="1"/>
    <xf numFmtId="2" fontId="17" fillId="0" borderId="0" xfId="0" applyNumberFormat="1" applyFont="1"/>
    <xf numFmtId="0" fontId="18" fillId="0" borderId="0" xfId="0" applyFont="1"/>
    <xf numFmtId="0" fontId="17" fillId="0" borderId="0" xfId="0" applyNumberFormat="1" applyFont="1"/>
    <xf numFmtId="0" fontId="19" fillId="0" borderId="0" xfId="0" applyFont="1"/>
    <xf numFmtId="2" fontId="19" fillId="0" borderId="0" xfId="0" applyNumberFormat="1" applyFont="1"/>
    <xf numFmtId="0" fontId="20" fillId="0" borderId="0" xfId="0" applyFont="1"/>
    <xf numFmtId="2" fontId="20" fillId="0" borderId="0" xfId="0" applyNumberFormat="1" applyFont="1"/>
    <xf numFmtId="0" fontId="21" fillId="0" borderId="0" xfId="0" applyFont="1"/>
    <xf numFmtId="0" fontId="22" fillId="0" borderId="0" xfId="0" applyFont="1"/>
    <xf numFmtId="2" fontId="22" fillId="0" borderId="0" xfId="0" applyNumberFormat="1" applyFont="1"/>
    <xf numFmtId="2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2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668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0" formatCode="General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0" formatCode="General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numFmt numFmtId="2" formatCode="0.00"/>
    </dxf>
    <dxf>
      <font>
        <b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numFmt numFmtId="2" formatCode="0.00"/>
    </dxf>
    <dxf>
      <font>
        <b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numFmt numFmtId="2" formatCode="0.00"/>
    </dxf>
    <dxf>
      <font>
        <b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0" formatCode="General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alignment horizontal="center" vertical="bottom" textRotation="0" wrapText="0" indent="0" justifyLastLine="0" shrinkToFit="0" readingOrder="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1" formatCode="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2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Nazanin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B Nazani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Nazanin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B Nazani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Nazanin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B Nazani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Nazanin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B Nazani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Nazanin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2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2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font>
        <b/>
        <strike val="0"/>
        <outline val="0"/>
        <shadow val="0"/>
        <u val="none"/>
        <vertAlign val="baseline"/>
        <sz val="14"/>
        <color rgb="FF002060"/>
        <name val="B Nazanin"/>
        <scheme val="none"/>
      </font>
    </dxf>
    <dxf>
      <border outline="0">
        <top style="thin">
          <color rgb="FF9BC2E6"/>
        </top>
      </border>
    </dxf>
    <dxf>
      <border outline="0">
        <bottom style="thin">
          <color rgb="FF9BC2E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B Nazanin"/>
        <scheme val="none"/>
      </font>
      <fill>
        <patternFill patternType="solid">
          <fgColor theme="4"/>
          <bgColor rgb="FF002060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ables/table1.xml><?xml version="1.0" encoding="utf-8"?>
<table xmlns="http://schemas.openxmlformats.org/spreadsheetml/2006/main" id="45" name="Table13632434446" displayName="Table13632434446" ref="H1:AN116" totalsRowCount="1" headerRowDxfId="6684" headerRowBorderDxfId="6683" tableBorderDxfId="6682">
  <autoFilter ref="H1:AN115"/>
  <sortState ref="H2:AN115">
    <sortCondition descending="1" ref="AA1:AA115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681" totalsRowDxfId="6680"/>
    <tableColumn id="7" name="استان" dataDxfId="6679" totalsRowDxfId="6678"/>
    <tableColumn id="8" name="Column1" dataDxfId="6677" totalsRowDxfId="6676"/>
    <tableColumn id="9" name="IPG" dataDxfId="6675" totalsRowDxfId="6674"/>
    <tableColumn id="10" name="Column2" dataDxfId="6673" totalsRowDxfId="6672"/>
    <tableColumn id="11" name="Column3" dataDxfId="6671" totalsRowDxfId="6670"/>
    <tableColumn id="12" name="Column4" dataDxfId="6669" totalsRowDxfId="6668"/>
    <tableColumn id="13" name="Column5" dataDxfId="6667" totalsRowDxfId="6666"/>
    <tableColumn id="14" name="Column6" dataDxfId="6665" totalsRowDxfId="6664"/>
    <tableColumn id="15" name="Column7" dataDxfId="6663" totalsRowDxfId="6662"/>
    <tableColumn id="16" name="نام سایت 3" dataDxfId="6661" totalsRowDxfId="6660"/>
    <tableColumn id="17" name="نرخ پرش  " dataDxfId="6659" totalsRowDxfId="6658"/>
    <tableColumn id="18" name="تعداد صفحات مشاهده شده" dataDxfId="6657" totalsRowDxfId="6656"/>
    <tableColumn id="19" name="میزان زمان حضور در سایت" dataDxfId="6655" totalsRowDxfId="6654"/>
    <tableColumn id="20" name="ترافیک کل" totalsRowFunction="sum" dataDxfId="6653" totalsRowDxfId="6652"/>
    <tableColumn id="21" name="رتبه در سیمیلار وب" dataDxfId="6651" totalsRowDxfId="6650"/>
    <tableColumn id="22" name="نام سایت 2" dataDxfId="6649" totalsRowDxfId="6648"/>
    <tableColumn id="23" name="طبقه بندی" dataDxfId="6647" totalsRowDxfId="6646"/>
    <tableColumn id="24" name="بازار" dataDxfId="6645" totalsRowDxfId="6644"/>
    <tableColumn id="25" name="مجموع صفحات  مشاهده شده   " totalsRowFunction="sum" dataDxfId="6643" totalsRowDxfId="6642">
      <calculatedColumnFormula>(AA2*Y2)</calculatedColumnFormula>
    </tableColumn>
    <tableColumn id="26" name="مجموع زمان حضور در سایت " totalsRowFunction="sum" dataDxfId="6641" totalsRowDxfId="6640">
      <calculatedColumnFormula>((((RIGHT(Z2,2))/60)+(LEFT(Z2,2)))*AA2)</calculatedColumnFormula>
    </tableColumn>
    <tableColumn id="27" name="سهم سایت از کل ترافیک طبقه بندی" totalsRowFunction="sum" dataDxfId="6639" totalsRowDxfId="6638">
      <calculatedColumnFormula>(AA2/$AA$116)*100</calculatedColumnFormula>
    </tableColumn>
    <tableColumn id="28" name="شاخص هرفیندال هیرشمن (ترافیک)" totalsRowFunction="sum" dataDxfId="6637" totalsRowDxfId="6636">
      <calculatedColumnFormula>(AH2*AH2)</calculatedColumnFormula>
    </tableColumn>
    <tableColumn id="29" name="سهم سایت از کل صفحات مشاهده شده در طبقه بندی" totalsRowFunction="sum" dataDxfId="6635" totalsRowDxfId="6634">
      <calculatedColumnFormula>(AF2/$AF$116)*100</calculatedColumnFormula>
    </tableColumn>
    <tableColumn id="30" name="شاخص هرفیندال -هیرشمن (صفحات مشاهده شده )" totalsRowFunction="sum" dataDxfId="6633" totalsRowDxfId="6632">
      <calculatedColumnFormula>(AJ2*AJ2)</calculatedColumnFormula>
    </tableColumn>
    <tableColumn id="31" name="سهم سایت از کل زمان حضور در طبقه بندی" totalsRowFunction="sum" dataDxfId="6631" totalsRowDxfId="6630">
      <calculatedColumnFormula>(AG2/$AG$116)*100</calculatedColumnFormula>
    </tableColumn>
    <tableColumn id="32" name="شاخص هرفیندال هیرشمن (زمان حضور)" totalsRowFunction="sum" dataDxfId="6629" totalsRowDxfId="6628">
      <calculatedColumnFormula>(AL2*AL2)</calculatedColumnFormula>
    </tableColumn>
    <tableColumn id="33" name="نام سایت" dataDxfId="6627" totalsRowDxfId="66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6" name="Table13617" displayName="Table13617" ref="H1:AN448" totalsRowCount="1" headerRowDxfId="6625" headerRowBorderDxfId="6624" tableBorderDxfId="6623">
  <autoFilter ref="H1:AN447"/>
  <sortState ref="H2:AN447">
    <sortCondition descending="1" ref="AA1:AA447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622" totalsRowDxfId="6621"/>
    <tableColumn id="7" name="استان" dataDxfId="6620" totalsRowDxfId="6619"/>
    <tableColumn id="8" name="Column1" dataDxfId="6618" totalsRowDxfId="6617"/>
    <tableColumn id="9" name="IPG" dataDxfId="6616" totalsRowDxfId="6615"/>
    <tableColumn id="10" name="Column2" dataDxfId="6614" totalsRowDxfId="6613"/>
    <tableColumn id="11" name="Column3" dataDxfId="6612" totalsRowDxfId="6611"/>
    <tableColumn id="12" name="Column4" dataDxfId="6610" totalsRowDxfId="6609"/>
    <tableColumn id="13" name="Column5" dataDxfId="6608" totalsRowDxfId="6607"/>
    <tableColumn id="14" name="Column6" dataDxfId="6606" totalsRowDxfId="6605"/>
    <tableColumn id="15" name="Column7" dataDxfId="6604" totalsRowDxfId="6603"/>
    <tableColumn id="16" name="نام سایت 3" dataDxfId="6602" totalsRowDxfId="6601"/>
    <tableColumn id="17" name="نرخ پرش  " dataDxfId="6600" totalsRowDxfId="6599"/>
    <tableColumn id="18" name="تعداد صفحات مشاهده شده" dataDxfId="6598" totalsRowDxfId="6597"/>
    <tableColumn id="19" name="میزان زمان حضور در سایت" dataDxfId="6596" totalsRowDxfId="6595"/>
    <tableColumn id="20" name="ترافیک کل" totalsRowFunction="sum" dataDxfId="6594" totalsRowDxfId="6593"/>
    <tableColumn id="21" name="رتبه در سیمیلار وب" dataDxfId="6592" totalsRowDxfId="6591"/>
    <tableColumn id="22" name="نام سایت 2" dataDxfId="6590" totalsRowDxfId="6589"/>
    <tableColumn id="23" name="طبقه بندی" dataDxfId="6588" totalsRowDxfId="6587"/>
    <tableColumn id="24" name="بازار" dataDxfId="6586" totalsRowDxfId="6585"/>
    <tableColumn id="25" name="مجموع صفحات  مشاهده شده   " totalsRowFunction="sum" dataDxfId="6584" totalsRowDxfId="6583">
      <calculatedColumnFormula>(AA2*Y2)</calculatedColumnFormula>
    </tableColumn>
    <tableColumn id="26" name="مجموع زمان حضور در سایت " totalsRowFunction="sum" dataDxfId="6582" totalsRowDxfId="6581">
      <calculatedColumnFormula>((((RIGHT(Z2,2))/60)+(LEFT(Z2,2)))*AA2)</calculatedColumnFormula>
    </tableColumn>
    <tableColumn id="27" name="سهم سایت از کل ترافیک طبقه بندی" totalsRowFunction="sum" dataDxfId="6580" totalsRowDxfId="6579">
      <calculatedColumnFormula>(AA2/$AA$448)*100</calculatedColumnFormula>
    </tableColumn>
    <tableColumn id="28" name="شاخص هرفیندال هیرشمن (ترافیک)" totalsRowFunction="sum" dataDxfId="6578" totalsRowDxfId="6577">
      <calculatedColumnFormula>(AH2*AH2)</calculatedColumnFormula>
    </tableColumn>
    <tableColumn id="29" name="سهم سایت از کل صفحات مشاهده شده در طبقه بندی" totalsRowFunction="sum" dataDxfId="6576" totalsRowDxfId="6575">
      <calculatedColumnFormula>(AF2/$AF$448)*100</calculatedColumnFormula>
    </tableColumn>
    <tableColumn id="30" name="شاخص هرفیندال -هیرشمن (صفحات مشاهده شده )" totalsRowFunction="sum" dataDxfId="6574" totalsRowDxfId="6573">
      <calculatedColumnFormula>(AJ2*AJ2)</calculatedColumnFormula>
    </tableColumn>
    <tableColumn id="31" name="سهم سایت از کل زمان حضور در طبقه بندی" totalsRowFunction="sum" dataDxfId="6572" totalsRowDxfId="6571">
      <calculatedColumnFormula>(AG2/$AG$448)*100</calculatedColumnFormula>
    </tableColumn>
    <tableColumn id="32" name="شاخص هرفیندال هیرشمن (زمان حضور)" totalsRowFunction="sum" dataDxfId="6570" totalsRowDxfId="6569">
      <calculatedColumnFormula>(AL2*AL2)</calculatedColumnFormula>
    </tableColumn>
    <tableColumn id="33" name="نام سایت" dataDxfId="6568" totalsRowDxfId="656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6" name="Table1363243444547" displayName="Table1363243444547" ref="H1:AN107" totalsRowCount="1" headerRowDxfId="6566" headerRowBorderDxfId="6565" tableBorderDxfId="6564">
  <autoFilter ref="H1:AN106"/>
  <sortState ref="H2:AN106">
    <sortCondition descending="1" ref="AA1:AA106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563" totalsRowDxfId="6562"/>
    <tableColumn id="7" name="استان" dataDxfId="6561" totalsRowDxfId="6560"/>
    <tableColumn id="8" name="Column1" dataDxfId="6559" totalsRowDxfId="6558"/>
    <tableColumn id="9" name="IPG" dataDxfId="6557" totalsRowDxfId="6556"/>
    <tableColumn id="10" name="Column2" dataDxfId="6555" totalsRowDxfId="6554"/>
    <tableColumn id="11" name="Column3" dataDxfId="6553" totalsRowDxfId="6552"/>
    <tableColumn id="12" name="Column4" dataDxfId="6551" totalsRowDxfId="6550"/>
    <tableColumn id="13" name="Column5" dataDxfId="6549" totalsRowDxfId="6548"/>
    <tableColumn id="14" name="Column6" dataDxfId="6547" totalsRowDxfId="6546"/>
    <tableColumn id="15" name="Column7" dataDxfId="6545" totalsRowDxfId="6544"/>
    <tableColumn id="16" name="نام سایت 3" dataDxfId="6543" totalsRowDxfId="6542"/>
    <tableColumn id="17" name="نرخ پرش  " dataDxfId="6541" totalsRowDxfId="6540"/>
    <tableColumn id="18" name="تعداد صفحات مشاهده شده" dataDxfId="6539" totalsRowDxfId="6538"/>
    <tableColumn id="19" name="میزان زمان حضور در سایت" dataDxfId="6537" totalsRowDxfId="6536"/>
    <tableColumn id="20" name="ترافیک کل" totalsRowFunction="sum" dataDxfId="6535" totalsRowDxfId="6534"/>
    <tableColumn id="21" name="رتبه در سیمیلار وب" dataDxfId="6533" totalsRowDxfId="6532"/>
    <tableColumn id="22" name="نام سایت 2" dataDxfId="6531" totalsRowDxfId="6530"/>
    <tableColumn id="23" name="طبقه بندی" dataDxfId="6529" totalsRowDxfId="6528"/>
    <tableColumn id="24" name="بازار" dataDxfId="6527" totalsRowDxfId="6526"/>
    <tableColumn id="25" name="مجموع صفحات  مشاهده شده   " totalsRowFunction="sum" dataDxfId="6525" totalsRowDxfId="6524">
      <calculatedColumnFormula>(AA2*Y2)</calculatedColumnFormula>
    </tableColumn>
    <tableColumn id="26" name="مجموع زمان حضور در سایت " totalsRowFunction="sum" dataDxfId="6523" totalsRowDxfId="6522">
      <calculatedColumnFormula>((((RIGHT(Z2,2))/60)+(LEFT(Z2,2)))*AA2)</calculatedColumnFormula>
    </tableColumn>
    <tableColumn id="27" name="سهم سایت از کل ترافیک طبقه بندی" totalsRowFunction="sum" dataDxfId="6521" totalsRowDxfId="6520">
      <calculatedColumnFormula>(AA2/$AA$107)*100</calculatedColumnFormula>
    </tableColumn>
    <tableColumn id="28" name="شاخص هرفیندال هیرشمن (ترافیک)" totalsRowFunction="sum" dataDxfId="6519" totalsRowDxfId="6518">
      <calculatedColumnFormula>(AH2*AH2)</calculatedColumnFormula>
    </tableColumn>
    <tableColumn id="29" name="سهم سایت از کل صفحات مشاهده شده در طبقه بندی" totalsRowFunction="sum" dataDxfId="6517" totalsRowDxfId="6516">
      <calculatedColumnFormula>(AF2/$AF$107)*100</calculatedColumnFormula>
    </tableColumn>
    <tableColumn id="30" name="شاخص هرفیندال -هیرشمن (صفحات مشاهده شده )" totalsRowFunction="sum" dataDxfId="6515" totalsRowDxfId="6514">
      <calculatedColumnFormula>(AJ2*AJ2)</calculatedColumnFormula>
    </tableColumn>
    <tableColumn id="31" name="سهم سایت از کل زمان حضور در طبقه بندی" totalsRowFunction="sum" dataDxfId="6513" totalsRowDxfId="6512">
      <calculatedColumnFormula>(AG2/$AG$107)*100</calculatedColumnFormula>
    </tableColumn>
    <tableColumn id="32" name="شاخص هرفیندال هیرشمن (زمان حضور)" totalsRowFunction="sum" dataDxfId="6511" totalsRowDxfId="6510">
      <calculatedColumnFormula>(AL2*AL2)</calculatedColumnFormula>
    </tableColumn>
    <tableColumn id="33" name="نام سایت" dataDxfId="6509" totalsRowDxfId="650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2" name="Table1363243" displayName="Table1363243" ref="H1:AN181" totalsRowCount="1" headerRowDxfId="6507" headerRowBorderDxfId="6506" tableBorderDxfId="6505">
  <autoFilter ref="H1:AN180"/>
  <sortState ref="H2:AN180">
    <sortCondition descending="1" ref="AA1:AA180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504" totalsRowDxfId="6503"/>
    <tableColumn id="7" name="استان" dataDxfId="6502" totalsRowDxfId="6501"/>
    <tableColumn id="8" name="Column1" dataDxfId="6500" totalsRowDxfId="6499"/>
    <tableColumn id="9" name="IPG" dataDxfId="6498" totalsRowDxfId="6497"/>
    <tableColumn id="10" name="Column2" dataDxfId="6496" totalsRowDxfId="6495"/>
    <tableColumn id="11" name="Column3" dataDxfId="6494" totalsRowDxfId="6493"/>
    <tableColumn id="12" name="Column4" dataDxfId="6492" totalsRowDxfId="6491"/>
    <tableColumn id="13" name="Column5" dataDxfId="6490" totalsRowDxfId="6489"/>
    <tableColumn id="14" name="Column6" dataDxfId="6488" totalsRowDxfId="6487"/>
    <tableColumn id="15" name="Column7" dataDxfId="6486" totalsRowDxfId="6485"/>
    <tableColumn id="16" name="نام سایت 3" dataDxfId="6484" totalsRowDxfId="6483"/>
    <tableColumn id="17" name="نرخ پرش  " dataDxfId="6482" totalsRowDxfId="6481"/>
    <tableColumn id="18" name="تعداد صفحات مشاهده شده" dataDxfId="6480" totalsRowDxfId="6479"/>
    <tableColumn id="19" name="میزان زمان حضور در سایت" dataDxfId="6478" totalsRowDxfId="6477"/>
    <tableColumn id="20" name="ترافیک کل" totalsRowFunction="sum" dataDxfId="6476" totalsRowDxfId="6475"/>
    <tableColumn id="21" name="رتبه در سیمیلار وب" dataDxfId="6474" totalsRowDxfId="6473"/>
    <tableColumn id="22" name="نام سایت 2" dataDxfId="6472" totalsRowDxfId="6471"/>
    <tableColumn id="23" name="طبقه بندی" dataDxfId="6470" totalsRowDxfId="6469"/>
    <tableColumn id="24" name="بازار" dataDxfId="6468" totalsRowDxfId="6467"/>
    <tableColumn id="25" name="مجموع صفحات  مشاهده شده   " totalsRowFunction="sum" dataDxfId="6466" totalsRowDxfId="6465">
      <calculatedColumnFormula>(AA2*Y2)</calculatedColumnFormula>
    </tableColumn>
    <tableColumn id="26" name="مجموع زمان حضور در سایت " totalsRowFunction="sum" dataDxfId="6464" totalsRowDxfId="6463">
      <calculatedColumnFormula>((((RIGHT(Z2,2))/60)+(LEFT(Z2,2)))*AA2)</calculatedColumnFormula>
    </tableColumn>
    <tableColumn id="27" name="سهم سایت از کل ترافیک طبقه بندی" totalsRowFunction="sum" dataDxfId="6462" totalsRowDxfId="6461">
      <calculatedColumnFormula>(AA2/$AA$181)*100</calculatedColumnFormula>
    </tableColumn>
    <tableColumn id="28" name="شاخص هرفیندال هیرشمن (ترافیک)" totalsRowFunction="sum" dataDxfId="6460" totalsRowDxfId="6459">
      <calculatedColumnFormula>(AH2*AH2)</calculatedColumnFormula>
    </tableColumn>
    <tableColumn id="29" name="سهم سایت از کل صفحات مشاهده شده در طبقه بندی" totalsRowFunction="sum" dataDxfId="6458" totalsRowDxfId="6457">
      <calculatedColumnFormula>(AF2/$AF$181)*100</calculatedColumnFormula>
    </tableColumn>
    <tableColumn id="30" name="شاخص هرفیندال -هیرشمن (صفحات مشاهده شده )" totalsRowFunction="sum" dataDxfId="6456" totalsRowDxfId="6455">
      <calculatedColumnFormula>(AJ2*AJ2)</calculatedColumnFormula>
    </tableColumn>
    <tableColumn id="31" name="سهم سایت از کل زمان حضور در طبقه بندی" totalsRowFunction="sum" dataDxfId="6454" totalsRowDxfId="6453">
      <calculatedColumnFormula>(AG2/$AG$181)*100</calculatedColumnFormula>
    </tableColumn>
    <tableColumn id="32" name="شاخص هرفیندال هیرشمن (زمان حضور)" totalsRowFunction="sum" dataDxfId="6452" totalsRowDxfId="6451">
      <calculatedColumnFormula>(AL2*AL2)</calculatedColumnFormula>
    </tableColumn>
    <tableColumn id="33" name="نام سایت" dataDxfId="6450" totalsRowDxfId="644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1" name="Table13617192122" displayName="Table13617192122" ref="H1:AN230" totalsRowCount="1" headerRowDxfId="6448" headerRowBorderDxfId="6447" tableBorderDxfId="6446">
  <autoFilter ref="H1:AN229"/>
  <sortState ref="H2:AN229">
    <sortCondition descending="1" ref="AA1:AA22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445" totalsRowDxfId="6444"/>
    <tableColumn id="7" name="استان" dataDxfId="6443" totalsRowDxfId="6442"/>
    <tableColumn id="8" name="Column1" dataDxfId="6441" totalsRowDxfId="6440"/>
    <tableColumn id="9" name="IPG" dataDxfId="6439" totalsRowDxfId="6438"/>
    <tableColumn id="10" name="Column2" dataDxfId="6437" totalsRowDxfId="6436"/>
    <tableColumn id="11" name="Column3" dataDxfId="6435" totalsRowDxfId="6434"/>
    <tableColumn id="12" name="Column4" dataDxfId="6433" totalsRowDxfId="6432"/>
    <tableColumn id="13" name="Column5" dataDxfId="6431" totalsRowDxfId="6430"/>
    <tableColumn id="14" name="Column6" dataDxfId="6429" totalsRowDxfId="6428"/>
    <tableColumn id="15" name="Column7" dataDxfId="6427" totalsRowDxfId="6426"/>
    <tableColumn id="16" name="نام سایت 3" dataDxfId="6425" totalsRowDxfId="6424"/>
    <tableColumn id="17" name="نرخ پرش  " dataDxfId="6423" totalsRowDxfId="6422"/>
    <tableColumn id="18" name="تعداد صفحات مشاهده شده" dataDxfId="6421" totalsRowDxfId="6420"/>
    <tableColumn id="19" name="میزان زمان حضور در سایت" dataDxfId="6419" totalsRowDxfId="6418"/>
    <tableColumn id="20" name="ترافیک کل" totalsRowFunction="sum" dataDxfId="6417" totalsRowDxfId="6416"/>
    <tableColumn id="21" name="رتبه در سیمیلار وب" dataDxfId="6415" totalsRowDxfId="6414"/>
    <tableColumn id="22" name="نام سایت 2" dataDxfId="6413" totalsRowDxfId="6412"/>
    <tableColumn id="23" name="طبقه بندی" dataDxfId="6411" totalsRowDxfId="6410"/>
    <tableColumn id="24" name="بازار" dataDxfId="6409" totalsRowDxfId="6408"/>
    <tableColumn id="25" name="مجموع صفحات  مشاهده شده   " totalsRowFunction="sum" dataDxfId="6407" totalsRowDxfId="6406">
      <calculatedColumnFormula>(AA2*Y2)</calculatedColumnFormula>
    </tableColumn>
    <tableColumn id="26" name="مجموع زمان حضور در سایت " totalsRowFunction="sum" dataDxfId="6405" totalsRowDxfId="6404">
      <calculatedColumnFormula>((((RIGHT(Z2,2))/60)+(LEFT(Z2,2)))*AA2)</calculatedColumnFormula>
    </tableColumn>
    <tableColumn id="27" name="سهم سایت از کل ترافیک طبقه بندی" totalsRowFunction="sum" dataDxfId="6403" totalsRowDxfId="6402">
      <calculatedColumnFormula>(AA2/$AA$230)*100</calculatedColumnFormula>
    </tableColumn>
    <tableColumn id="28" name="شاخص هرفیندال هیرشمن (ترافیک)" totalsRowFunction="sum" dataDxfId="6401" totalsRowDxfId="6400">
      <calculatedColumnFormula>(AH2*AH2)</calculatedColumnFormula>
    </tableColumn>
    <tableColumn id="29" name="سهم سایت از کل صفحات مشاهده شده در طبقه بندی" totalsRowFunction="sum" dataDxfId="6399" totalsRowDxfId="6398">
      <calculatedColumnFormula>(AF2/$AF$230)*100</calculatedColumnFormula>
    </tableColumn>
    <tableColumn id="30" name="شاخص هرفیندال -هیرشمن (صفحات مشاهده شده )" totalsRowFunction="sum" dataDxfId="6397" totalsRowDxfId="6396">
      <calculatedColumnFormula>(AJ2*AJ2)</calculatedColumnFormula>
    </tableColumn>
    <tableColumn id="31" name="سهم سایت از کل زمان حضور در طبقه بندی" totalsRowFunction="sum" dataDxfId="6395" totalsRowDxfId="6394">
      <calculatedColumnFormula>(AG2/$AG$230)*100</calculatedColumnFormula>
    </tableColumn>
    <tableColumn id="32" name="شاخص هرفیندال هیرشمن (زمان حضور)" totalsRowFunction="sum" dataDxfId="6393" totalsRowDxfId="6392">
      <calculatedColumnFormula>(AL2*AL2)</calculatedColumnFormula>
    </tableColumn>
    <tableColumn id="33" name="نام سایت" dataDxfId="6391" totalsRowDxfId="639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23" name="Table136171921222324" displayName="Table136171921222324" ref="H1:AN70" totalsRowCount="1" headerRowDxfId="6389" headerRowBorderDxfId="6388" tableBorderDxfId="6387">
  <autoFilter ref="H1:AN69"/>
  <sortState ref="H2:AN69">
    <sortCondition descending="1" ref="AA1:AA6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386" totalsRowDxfId="6385"/>
    <tableColumn id="7" name="استان" dataDxfId="6384" totalsRowDxfId="6383"/>
    <tableColumn id="8" name="Column1" dataDxfId="6382" totalsRowDxfId="6381"/>
    <tableColumn id="9" name="IPG" dataDxfId="6380" totalsRowDxfId="6379"/>
    <tableColumn id="10" name="Column2" dataDxfId="6378" totalsRowDxfId="6377"/>
    <tableColumn id="11" name="Column3" dataDxfId="6376" totalsRowDxfId="6375"/>
    <tableColumn id="12" name="Column4" dataDxfId="6374" totalsRowDxfId="6373"/>
    <tableColumn id="13" name="Column5" dataDxfId="6372" totalsRowDxfId="6371"/>
    <tableColumn id="14" name="Column6" dataDxfId="6370" totalsRowDxfId="6369"/>
    <tableColumn id="15" name="Column7" dataDxfId="6368" totalsRowDxfId="6367"/>
    <tableColumn id="16" name="نام سایت 3" dataDxfId="6366" totalsRowDxfId="6365"/>
    <tableColumn id="17" name="نرخ پرش  " dataDxfId="6364" totalsRowDxfId="6363"/>
    <tableColumn id="18" name="تعداد صفحات مشاهده شده" dataDxfId="6362" totalsRowDxfId="6361"/>
    <tableColumn id="19" name="میزان زمان حضور در سایت" dataDxfId="6360" totalsRowDxfId="6359"/>
    <tableColumn id="20" name="ترافیک کل" totalsRowFunction="sum" dataDxfId="6358" totalsRowDxfId="6357"/>
    <tableColumn id="21" name="رتبه در سیمیلار وب" dataDxfId="6356" totalsRowDxfId="6355"/>
    <tableColumn id="22" name="نام سایت 2" dataDxfId="6354" totalsRowDxfId="6353"/>
    <tableColumn id="23" name="طبقه بندی" dataDxfId="6352" totalsRowDxfId="6351"/>
    <tableColumn id="24" name="بازار" dataDxfId="6350" totalsRowDxfId="6349"/>
    <tableColumn id="25" name="مجموع صفحات  مشاهده شده   " totalsRowFunction="sum" dataDxfId="6348" totalsRowDxfId="6347">
      <calculatedColumnFormula>(AA2*Y2)</calculatedColumnFormula>
    </tableColumn>
    <tableColumn id="26" name="مجموع زمان حضور در سایت " totalsRowFunction="sum" dataDxfId="6346" totalsRowDxfId="6345">
      <calculatedColumnFormula>((((RIGHT(Z2,2))/60)+(LEFT(Z2,2)))*AA2)</calculatedColumnFormula>
    </tableColumn>
    <tableColumn id="27" name="سهم سایت از کل ترافیک طبقه بندی" totalsRowFunction="sum" dataDxfId="6344" totalsRowDxfId="6343">
      <calculatedColumnFormula>(AA2/$AA$70)*100</calculatedColumnFormula>
    </tableColumn>
    <tableColumn id="28" name="شاخص هرفیندال هیرشمن (ترافیک)" totalsRowFunction="sum" dataDxfId="6342" totalsRowDxfId="6341">
      <calculatedColumnFormula>(AH2*AH2)</calculatedColumnFormula>
    </tableColumn>
    <tableColumn id="29" name="سهم سایت از کل صفحات مشاهده شده در طبقه بندی" totalsRowFunction="sum" dataDxfId="6340" totalsRowDxfId="6339">
      <calculatedColumnFormula>(AF2/$AF$70)*100</calculatedColumnFormula>
    </tableColumn>
    <tableColumn id="30" name="شاخص هرفیندال -هیرشمن (صفحات مشاهده شده )" totalsRowFunction="sum" dataDxfId="6338" totalsRowDxfId="6337">
      <calculatedColumnFormula>(AJ2*AJ2)</calculatedColumnFormula>
    </tableColumn>
    <tableColumn id="31" name="سهم سایت از کل زمان حضور در طبقه بندی" totalsRowFunction="sum" dataDxfId="6336" totalsRowDxfId="6335">
      <calculatedColumnFormula>(AG2/$AG$70)*100</calculatedColumnFormula>
    </tableColumn>
    <tableColumn id="32" name="شاخص هرفیندال هیرشمن (زمان حضور)" totalsRowFunction="sum" dataDxfId="6334" totalsRowDxfId="6333">
      <calculatedColumnFormula>(AL2*AL2)</calculatedColumnFormula>
    </tableColumn>
    <tableColumn id="33" name="نام سایت" dataDxfId="6332" totalsRowDxfId="633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43" name="Table136324344" displayName="Table136324344" ref="H1:AN100" totalsRowCount="1" headerRowDxfId="6330" headerRowBorderDxfId="6329" tableBorderDxfId="6328">
  <autoFilter ref="H1:AN99"/>
  <sortState ref="H2:AN99">
    <sortCondition descending="1" ref="AA1:AA9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327" totalsRowDxfId="6326"/>
    <tableColumn id="7" name="استان" dataDxfId="6325" totalsRowDxfId="6324"/>
    <tableColumn id="8" name="Column1" dataDxfId="6323" totalsRowDxfId="6322"/>
    <tableColumn id="9" name="IPG" dataDxfId="6321" totalsRowDxfId="6320"/>
    <tableColumn id="10" name="Column2" dataDxfId="6319" totalsRowDxfId="6318"/>
    <tableColumn id="11" name="Column3" dataDxfId="6317" totalsRowDxfId="6316"/>
    <tableColumn id="12" name="Column4" dataDxfId="6315" totalsRowDxfId="6314"/>
    <tableColumn id="13" name="Column5" dataDxfId="6313" totalsRowDxfId="6312"/>
    <tableColumn id="14" name="Column6" dataDxfId="6311" totalsRowDxfId="6310"/>
    <tableColumn id="15" name="Column7" dataDxfId="6309" totalsRowDxfId="6308"/>
    <tableColumn id="16" name="نام سایت 3" dataDxfId="6307" totalsRowDxfId="6306"/>
    <tableColumn id="17" name="نرخ پرش  " dataDxfId="6305" totalsRowDxfId="6304"/>
    <tableColumn id="18" name="تعداد صفحات مشاهده شده" dataDxfId="6303" totalsRowDxfId="6302"/>
    <tableColumn id="19" name="میزان زمان حضور در سایت" dataDxfId="6301" totalsRowDxfId="6300"/>
    <tableColumn id="20" name="ترافیک کل" totalsRowFunction="sum" dataDxfId="6299" totalsRowDxfId="6298"/>
    <tableColumn id="21" name="رتبه در سیمیلار وب" dataDxfId="6297" totalsRowDxfId="6296"/>
    <tableColumn id="22" name="نام سایت 2" dataDxfId="6295" totalsRowDxfId="6294"/>
    <tableColumn id="23" name="طبقه بندی" dataDxfId="6293" totalsRowDxfId="6292"/>
    <tableColumn id="24" name="بازار" dataDxfId="6291" totalsRowDxfId="6290"/>
    <tableColumn id="25" name="مجموع صفحات  مشاهده شده   " totalsRowFunction="sum" dataDxfId="6289" totalsRowDxfId="6288">
      <calculatedColumnFormula>(AA2*Y2)</calculatedColumnFormula>
    </tableColumn>
    <tableColumn id="26" name="مجموع زمان حضور در سایت " totalsRowFunction="sum" dataDxfId="6287" totalsRowDxfId="6286">
      <calculatedColumnFormula>((((RIGHT(Z2,2))/60)+(LEFT(Z2,2)))*AA2)</calculatedColumnFormula>
    </tableColumn>
    <tableColumn id="27" name="سهم سایت از کل ترافیک طبقه بندی" totalsRowFunction="sum" dataDxfId="6285" totalsRowDxfId="6284">
      <calculatedColumnFormula>(AA2/$AA$100)*100</calculatedColumnFormula>
    </tableColumn>
    <tableColumn id="28" name="شاخص هرفیندال هیرشمن (ترافیک)" totalsRowFunction="sum" dataDxfId="6283" totalsRowDxfId="6282">
      <calculatedColumnFormula>(AH2*AH2)</calculatedColumnFormula>
    </tableColumn>
    <tableColumn id="29" name="سهم سایت از کل صفحات مشاهده شده در طبقه بندی" totalsRowFunction="sum" dataDxfId="6281" totalsRowDxfId="6280">
      <calculatedColumnFormula>(AF2/$AF$100)*100</calculatedColumnFormula>
    </tableColumn>
    <tableColumn id="30" name="شاخص هرفیندال -هیرشمن (صفحات مشاهده شده )" totalsRowFunction="sum" dataDxfId="6279" totalsRowDxfId="6278">
      <calculatedColumnFormula>(AJ2*AJ2)</calculatedColumnFormula>
    </tableColumn>
    <tableColumn id="31" name="سهم سایت از کل زمان حضور در طبقه بندی" totalsRowFunction="sum" dataDxfId="6277" totalsRowDxfId="6276">
      <calculatedColumnFormula>(AG2/$AG$100)*100</calculatedColumnFormula>
    </tableColumn>
    <tableColumn id="32" name="شاخص هرفیندال هیرشمن (زمان حضور)" totalsRowFunction="sum" dataDxfId="6275" totalsRowDxfId="6274">
      <calculatedColumnFormula>(AL2*AL2)</calculatedColumnFormula>
    </tableColumn>
    <tableColumn id="33" name="نام سایت" dataDxfId="6273" totalsRowDxfId="627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7" name="Table1361718" displayName="Table1361718" ref="H1:AN67" totalsRowCount="1" headerRowDxfId="6271" headerRowBorderDxfId="6270" tableBorderDxfId="6269">
  <autoFilter ref="H1:AN66"/>
  <sortState ref="H2:AN66">
    <sortCondition descending="1" ref="AA1:AA66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268" totalsRowDxfId="6267"/>
    <tableColumn id="7" name="استان" dataDxfId="6266" totalsRowDxfId="6265"/>
    <tableColumn id="8" name="Column1" dataDxfId="6264" totalsRowDxfId="6263"/>
    <tableColumn id="9" name="IPG" dataDxfId="6262" totalsRowDxfId="6261"/>
    <tableColumn id="10" name="Column2" dataDxfId="6260" totalsRowDxfId="6259"/>
    <tableColumn id="11" name="Column3" dataDxfId="6258" totalsRowDxfId="6257"/>
    <tableColumn id="12" name="Column4" dataDxfId="6256" totalsRowDxfId="6255"/>
    <tableColumn id="13" name="Column5" dataDxfId="6254" totalsRowDxfId="6253"/>
    <tableColumn id="14" name="Column6" dataDxfId="6252" totalsRowDxfId="6251"/>
    <tableColumn id="15" name="Column7" dataDxfId="6250" totalsRowDxfId="6249"/>
    <tableColumn id="16" name="نام سایت 3" dataDxfId="6248" totalsRowDxfId="6247"/>
    <tableColumn id="17" name="نرخ پرش  " dataDxfId="6246" totalsRowDxfId="6245"/>
    <tableColumn id="18" name="تعداد صفحات مشاهده شده" dataDxfId="6244" totalsRowDxfId="6243"/>
    <tableColumn id="19" name="میزان زمان حضور در سایت" dataDxfId="6242" totalsRowDxfId="6241"/>
    <tableColumn id="20" name="ترافیک کل" totalsRowFunction="sum" dataDxfId="6240" totalsRowDxfId="6239"/>
    <tableColumn id="21" name="رتبه در سیمیلار وب" dataDxfId="6238" totalsRowDxfId="6237"/>
    <tableColumn id="22" name="نام سایت 2" dataDxfId="6236" totalsRowDxfId="6235"/>
    <tableColumn id="23" name="طبقه بندی" dataDxfId="6234" totalsRowDxfId="6233"/>
    <tableColumn id="24" name="بازار" dataDxfId="6232" totalsRowDxfId="6231"/>
    <tableColumn id="25" name="مجموع صفحات  مشاهده شده   " totalsRowFunction="sum" dataDxfId="6230" totalsRowDxfId="6229">
      <calculatedColumnFormula>(AA2*Y2)</calculatedColumnFormula>
    </tableColumn>
    <tableColumn id="26" name="مجموع زمان حضور در سایت " totalsRowFunction="sum" dataDxfId="6228" totalsRowDxfId="6227">
      <calculatedColumnFormula>(AA2*Z2)</calculatedColumnFormula>
    </tableColumn>
    <tableColumn id="27" name="سهم سایت از کل ترافیک طبقه بندی" totalsRowFunction="sum" dataDxfId="6226" totalsRowDxfId="6225">
      <calculatedColumnFormula>(AA2/1442.1)*100</calculatedColumnFormula>
    </tableColumn>
    <tableColumn id="28" name="شاخص هرفیندال هیرشمن (ترافیک)" totalsRowFunction="sum" dataDxfId="6224" totalsRowDxfId="6223">
      <calculatedColumnFormula>(AH2*AH2)</calculatedColumnFormula>
    </tableColumn>
    <tableColumn id="29" name="سهم سایت از کل صفحات مشاهده شده در طبقه بندی" totalsRowFunction="sum" dataDxfId="6222" totalsRowDxfId="6221">
      <calculatedColumnFormula>(AF2/4910.65)*100</calculatedColumnFormula>
    </tableColumn>
    <tableColumn id="30" name="شاخص هرفیندال -هیرشمن (صفحات مشاهده شده )" totalsRowFunction="sum" dataDxfId="6220" totalsRowDxfId="6219">
      <calculatedColumnFormula>(AJ2*AJ2)</calculatedColumnFormula>
    </tableColumn>
    <tableColumn id="31" name="سهم سایت از کل زمان حضور در طبقه بندی" totalsRowFunction="sum" dataDxfId="6218" totalsRowDxfId="6217">
      <calculatedColumnFormula>(AG2/4676.09)*100</calculatedColumnFormula>
    </tableColumn>
    <tableColumn id="32" name="شاخص هرفیندال هیرشمن (زمان حضور)" totalsRowFunction="sum" dataDxfId="6216" totalsRowDxfId="6215">
      <calculatedColumnFormula>(AL2*AL2)</calculatedColumnFormula>
    </tableColumn>
    <tableColumn id="33" name="نام سایت" dataDxfId="6214" totalsRowDxfId="621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36911" displayName="Table136911" ref="H1:AN50" totalsRowCount="1" headerRowDxfId="6212" headerRowBorderDxfId="6211" tableBorderDxfId="6210">
  <autoFilter ref="H1:AN49"/>
  <sortState ref="H2:AN49">
    <sortCondition descending="1" ref="AA1:AA4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209" totalsRowDxfId="6208"/>
    <tableColumn id="7" name="استان" dataDxfId="6207" totalsRowDxfId="6206"/>
    <tableColumn id="8" name="Column1" dataDxfId="6205" totalsRowDxfId="6204"/>
    <tableColumn id="9" name="IPG" dataDxfId="6203" totalsRowDxfId="6202"/>
    <tableColumn id="10" name="Column2" dataDxfId="6201" totalsRowDxfId="6200"/>
    <tableColumn id="11" name="Column3" dataDxfId="6199" totalsRowDxfId="6198"/>
    <tableColumn id="12" name="Column4" dataDxfId="6197" totalsRowDxfId="6196"/>
    <tableColumn id="13" name="Column5" dataDxfId="6195" totalsRowDxfId="6194"/>
    <tableColumn id="14" name="Column6" dataDxfId="6193" totalsRowDxfId="6192"/>
    <tableColumn id="15" name="Column7" dataDxfId="6191" totalsRowDxfId="6190"/>
    <tableColumn id="16" name="نام سایت 3" dataDxfId="6189" totalsRowDxfId="6188"/>
    <tableColumn id="17" name="نرخ پرش  " dataDxfId="6187" totalsRowDxfId="6186"/>
    <tableColumn id="18" name="تعداد صفحات مشاهده شده" dataDxfId="6185" totalsRowDxfId="6184"/>
    <tableColumn id="19" name="میزان زمان حضور در سایت" dataDxfId="6183" totalsRowDxfId="6182"/>
    <tableColumn id="20" name="ترافیک کل" totalsRowFunction="sum" dataDxfId="6181" totalsRowDxfId="6180"/>
    <tableColumn id="21" name="رتبه در سیمیلار وب" dataDxfId="6179" totalsRowDxfId="6178"/>
    <tableColumn id="22" name="نام سایت 2" dataDxfId="6177" totalsRowDxfId="6176"/>
    <tableColumn id="23" name="طبقه بندی" dataDxfId="6175" totalsRowDxfId="6174"/>
    <tableColumn id="24" name="بازار" dataDxfId="6173" totalsRowDxfId="6172"/>
    <tableColumn id="25" name="مجموع صفحات  مشاهده شده   " totalsRowFunction="sum" dataDxfId="6171" totalsRowDxfId="6170">
      <calculatedColumnFormula>(AA2*Y2)</calculatedColumnFormula>
    </tableColumn>
    <tableColumn id="26" name="مجموع زمان حضور در سایت " totalsRowFunction="sum" dataDxfId="6169" totalsRowDxfId="6168">
      <calculatedColumnFormula>((((RIGHT(Z2,2))/60)+(LEFT(Z2,2)))*AA2)</calculatedColumnFormula>
    </tableColumn>
    <tableColumn id="27" name="سهم سایت از کل ترافیک طبقه بندی" totalsRowFunction="sum" dataDxfId="6167" totalsRowDxfId="6166">
      <calculatedColumnFormula>(AA2/$AA$50)*100</calculatedColumnFormula>
    </tableColumn>
    <tableColumn id="28" name="شاخص هرفیندال هیرشمن (ترافیک)" totalsRowFunction="sum" dataDxfId="6165" totalsRowDxfId="6164">
      <calculatedColumnFormula>(AH2*AH2)</calculatedColumnFormula>
    </tableColumn>
    <tableColumn id="29" name="سهم سایت از کل صفحات مشاهده شده در طبقه بندی" totalsRowFunction="sum" dataDxfId="6163" totalsRowDxfId="6162">
      <calculatedColumnFormula>(AF2/$AF$50)*100</calculatedColumnFormula>
    </tableColumn>
    <tableColumn id="30" name="شاخص هرفیندال -هیرشمن (صفحات مشاهده شده )" totalsRowFunction="sum" dataDxfId="6161" totalsRowDxfId="6160">
      <calculatedColumnFormula>(AJ2*AJ2)</calculatedColumnFormula>
    </tableColumn>
    <tableColumn id="31" name="سهم سایت از کل زمان حضور در طبقه بندی" totalsRowFunction="sum" dataDxfId="6159" totalsRowDxfId="6158">
      <calculatedColumnFormula>(AG2/$AG$50)*100</calculatedColumnFormula>
    </tableColumn>
    <tableColumn id="32" name="شاخص هرفیندال هیرشمن (زمان حضور)" totalsRowFunction="sum" dataDxfId="6157" totalsRowDxfId="6156">
      <calculatedColumnFormula>(AL2*AL2)</calculatedColumnFormula>
    </tableColumn>
    <tableColumn id="33" name="نام سایت" dataDxfId="6155" totalsRowDxfId="615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31" name="Table13632" displayName="Table13632" ref="H1:AN28" totalsRowCount="1" headerRowDxfId="6153" headerRowBorderDxfId="6152" tableBorderDxfId="6151">
  <autoFilter ref="H1:AN27"/>
  <sortState ref="H2:AN27">
    <sortCondition descending="1" ref="AA1:AA27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150" totalsRowDxfId="6149"/>
    <tableColumn id="7" name="استان" dataDxfId="6148" totalsRowDxfId="6147"/>
    <tableColumn id="8" name="Column1" dataDxfId="6146" totalsRowDxfId="6145"/>
    <tableColumn id="9" name="IPG" dataDxfId="6144" totalsRowDxfId="6143"/>
    <tableColumn id="10" name="Column2" dataDxfId="6142" totalsRowDxfId="6141"/>
    <tableColumn id="11" name="Column3" dataDxfId="6140" totalsRowDxfId="6139"/>
    <tableColumn id="12" name="Column4" dataDxfId="6138" totalsRowDxfId="6137"/>
    <tableColumn id="13" name="Column5" dataDxfId="6136" totalsRowDxfId="6135"/>
    <tableColumn id="14" name="Column6" dataDxfId="6134" totalsRowDxfId="6133"/>
    <tableColumn id="15" name="Column7" dataDxfId="6132" totalsRowDxfId="6131"/>
    <tableColumn id="16" name="نام سایت 3" dataDxfId="6130" totalsRowDxfId="6129"/>
    <tableColumn id="17" name="نرخ پرش  " dataDxfId="6128" totalsRowDxfId="6127"/>
    <tableColumn id="18" name="تعداد صفحات مشاهده شده" dataDxfId="6126" totalsRowDxfId="6125"/>
    <tableColumn id="19" name="میزان زمان حضور در سایت" dataDxfId="6124" totalsRowDxfId="6123"/>
    <tableColumn id="20" name="ترافیک کل" totalsRowFunction="sum" dataDxfId="6122" totalsRowDxfId="6121"/>
    <tableColumn id="21" name="رتبه در سیمیلار وب" dataDxfId="6120" totalsRowDxfId="6119"/>
    <tableColumn id="22" name="نام سایت 2" dataDxfId="6118" totalsRowDxfId="6117"/>
    <tableColumn id="23" name="طبقه بندی" dataDxfId="6116" totalsRowDxfId="6115"/>
    <tableColumn id="24" name="بازار" dataDxfId="6114" totalsRowDxfId="6113"/>
    <tableColumn id="25" name="مجموع صفحات  مشاهده شده   " totalsRowFunction="sum" dataDxfId="6112" totalsRowDxfId="6111">
      <calculatedColumnFormula>(AA2*Y2)</calculatedColumnFormula>
    </tableColumn>
    <tableColumn id="26" name="مجموع زمان حضور در سایت " totalsRowFunction="sum" dataDxfId="6110" totalsRowDxfId="6109">
      <calculatedColumnFormula>((((RIGHT(Z2,2))/60)+(LEFT(Z2,2)))*AA2)</calculatedColumnFormula>
    </tableColumn>
    <tableColumn id="27" name="سهم سایت از کل ترافیک طبقه بندی" totalsRowFunction="sum" dataDxfId="6108" totalsRowDxfId="6107">
      <calculatedColumnFormula>(AA2/$AA$28)*100</calculatedColumnFormula>
    </tableColumn>
    <tableColumn id="28" name="شاخص هرفیندال هیرشمن (ترافیک)" totalsRowFunction="sum" dataDxfId="6106" totalsRowDxfId="6105">
      <calculatedColumnFormula>(AH2*AH2)</calculatedColumnFormula>
    </tableColumn>
    <tableColumn id="29" name="سهم سایت از کل صفحات مشاهده شده در طبقه بندی" totalsRowFunction="sum" dataDxfId="6104" totalsRowDxfId="6103">
      <calculatedColumnFormula>(AF2/$AF$28)*100</calculatedColumnFormula>
    </tableColumn>
    <tableColumn id="30" name="شاخص هرفیندال -هیرشمن (صفحات مشاهده شده )" totalsRowFunction="sum" dataDxfId="6102" totalsRowDxfId="6101">
      <calculatedColumnFormula>(AJ2*AJ2)</calculatedColumnFormula>
    </tableColumn>
    <tableColumn id="31" name="سهم سایت از کل زمان حضور در طبقه بندی" totalsRowFunction="sum" dataDxfId="6100" totalsRowDxfId="6099">
      <calculatedColumnFormula>(AG2/$AG$28)*100</calculatedColumnFormula>
    </tableColumn>
    <tableColumn id="32" name="شاخص هرفیندال هیرشمن (زمان حضور)" totalsRowFunction="sum" dataDxfId="6098" totalsRowDxfId="6097">
      <calculatedColumnFormula>(AL2*AL2)</calculatedColumnFormula>
    </tableColumn>
    <tableColumn id="33" name="نام سایت" dataDxfId="6096" totalsRowDxfId="609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24" name="Table13625" displayName="Table13625" ref="H1:AN45" totalsRowCount="1" headerRowDxfId="6094" headerRowBorderDxfId="6093" tableBorderDxfId="6092">
  <autoFilter ref="H1:AN44"/>
  <sortState ref="H2:AN44">
    <sortCondition descending="1" ref="AA1:AA44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091" totalsRowDxfId="6090"/>
    <tableColumn id="7" name="استان" dataDxfId="6089" totalsRowDxfId="6088"/>
    <tableColumn id="8" name="Column1" dataDxfId="6087" totalsRowDxfId="6086"/>
    <tableColumn id="9" name="IPG" dataDxfId="6085" totalsRowDxfId="6084"/>
    <tableColumn id="10" name="Column2" dataDxfId="6083" totalsRowDxfId="6082"/>
    <tableColumn id="11" name="Column3" dataDxfId="6081" totalsRowDxfId="6080"/>
    <tableColumn id="12" name="Column4" dataDxfId="6079" totalsRowDxfId="6078"/>
    <tableColumn id="13" name="Column5" dataDxfId="6077" totalsRowDxfId="6076"/>
    <tableColumn id="14" name="Column6" dataDxfId="6075" totalsRowDxfId="6074"/>
    <tableColumn id="15" name="Column7" dataDxfId="6073" totalsRowDxfId="6072"/>
    <tableColumn id="16" name="نام سایت 3" dataDxfId="6071" totalsRowDxfId="6070"/>
    <tableColumn id="17" name="نرخ پرش  " dataDxfId="6069" totalsRowDxfId="6068"/>
    <tableColumn id="18" name="تعداد صفحات مشاهده شده" dataDxfId="6067" totalsRowDxfId="6066"/>
    <tableColumn id="19" name="میزان زمان حضور در سایت" dataDxfId="6065" totalsRowDxfId="6064"/>
    <tableColumn id="20" name="ترافیک کل" totalsRowFunction="sum" dataDxfId="6063" totalsRowDxfId="6062"/>
    <tableColumn id="21" name="رتبه در سیمیلار وب" dataDxfId="6061" totalsRowDxfId="6060"/>
    <tableColumn id="22" name="نام سایت 2" dataDxfId="6059" totalsRowDxfId="6058"/>
    <tableColumn id="23" name="طبقه بندی" dataDxfId="6057" totalsRowDxfId="6056"/>
    <tableColumn id="24" name="بازار" dataDxfId="6055" totalsRowDxfId="6054"/>
    <tableColumn id="25" name="مجموع صفحات  مشاهده شده   " totalsRowFunction="sum" dataDxfId="6053" totalsRowDxfId="6052">
      <calculatedColumnFormula>(AA2*Y2)</calculatedColumnFormula>
    </tableColumn>
    <tableColumn id="26" name="مجموع زمان حضور در سایت " totalsRowFunction="sum" dataDxfId="6051" totalsRowDxfId="6050">
      <calculatedColumnFormula>((((RIGHT(Z2,2))/60)+(LEFT(Z2,2)))*AA2)</calculatedColumnFormula>
    </tableColumn>
    <tableColumn id="27" name="سهم سایت از کل ترافیک طبقه بندی" totalsRowFunction="sum" dataDxfId="6049" totalsRowDxfId="6048">
      <calculatedColumnFormula>(AA2/$AA$45)*100</calculatedColumnFormula>
    </tableColumn>
    <tableColumn id="28" name="شاخص هرفیندال هیرشمن (ترافیک)" totalsRowFunction="sum" dataDxfId="6047" totalsRowDxfId="6046">
      <calculatedColumnFormula>(AH2*AH2)</calculatedColumnFormula>
    </tableColumn>
    <tableColumn id="29" name="سهم سایت از کل صفحات مشاهده شده در طبقه بندی" totalsRowFunction="sum" dataDxfId="6045" totalsRowDxfId="6044">
      <calculatedColumnFormula>(AF2/$AF$45)*100</calculatedColumnFormula>
    </tableColumn>
    <tableColumn id="30" name="شاخص هرفیندال -هیرشمن (صفحات مشاهده شده )" totalsRowFunction="sum" dataDxfId="6043" totalsRowDxfId="6042">
      <calculatedColumnFormula>(AJ2*AJ2)</calculatedColumnFormula>
    </tableColumn>
    <tableColumn id="31" name="سهم سایت از کل زمان حضور در طبقه بندی" totalsRowFunction="sum" dataDxfId="6041" totalsRowDxfId="6040">
      <calculatedColumnFormula>(AG2/$AG$45)*100</calculatedColumnFormula>
    </tableColumn>
    <tableColumn id="32" name="شاخص هرفیندال هیرشمن (زمان حضور)" totalsRowFunction="sum" dataDxfId="6039" totalsRowDxfId="6038">
      <calculatedColumnFormula>(AL2*AL2)</calculatedColumnFormula>
    </tableColumn>
    <tableColumn id="33" name="نام سایت" dataDxfId="6037" totalsRowDxfId="6036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78" name="Table13680" displayName="Table13680" ref="H1:AN34" totalsRowCount="1" headerRowDxfId="6035" headerRowBorderDxfId="6034" tableBorderDxfId="6033">
  <autoFilter ref="H1:AN33"/>
  <sortState ref="H2:AN33">
    <sortCondition descending="1" ref="AA1:AA33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032" totalsRowDxfId="6031"/>
    <tableColumn id="7" name="استان" dataDxfId="6030" totalsRowDxfId="6029"/>
    <tableColumn id="8" name="Column1" dataDxfId="6028" totalsRowDxfId="6027"/>
    <tableColumn id="9" name="IPG" dataDxfId="6026" totalsRowDxfId="6025"/>
    <tableColumn id="10" name="Column2" dataDxfId="6024" totalsRowDxfId="6023"/>
    <tableColumn id="11" name="Column3" dataDxfId="6022" totalsRowDxfId="6021"/>
    <tableColumn id="12" name="Column4" dataDxfId="6020" totalsRowDxfId="6019"/>
    <tableColumn id="13" name="Column5" dataDxfId="6018" totalsRowDxfId="6017"/>
    <tableColumn id="14" name="Column6" dataDxfId="6016" totalsRowDxfId="6015"/>
    <tableColumn id="15" name="Column7" dataDxfId="6014" totalsRowDxfId="6013"/>
    <tableColumn id="16" name="نام سایت 3" dataDxfId="6012" totalsRowDxfId="6011"/>
    <tableColumn id="17" name="نرخ پرش  " dataDxfId="6010" totalsRowDxfId="6009"/>
    <tableColumn id="18" name="تعداد صفحات مشاهده شده" dataDxfId="6008" totalsRowDxfId="6007"/>
    <tableColumn id="19" name="میزان زمان حضور در سایت" dataDxfId="6006" totalsRowDxfId="6005"/>
    <tableColumn id="20" name="ترافیک کل" totalsRowFunction="sum" dataDxfId="6004" totalsRowDxfId="6003"/>
    <tableColumn id="21" name="رتبه در سیمیلار وب" dataDxfId="6002" totalsRowDxfId="6001"/>
    <tableColumn id="22" name="نام سایت 2" dataDxfId="6000" totalsRowDxfId="5999"/>
    <tableColumn id="23" name="طبقه بندی" dataDxfId="5998" totalsRowDxfId="5997"/>
    <tableColumn id="24" name="بازار" dataDxfId="5996" totalsRowDxfId="5995"/>
    <tableColumn id="25" name="مجموع صفحات  مشاهده شده   " totalsRowFunction="sum" dataDxfId="5994" totalsRowDxfId="5993">
      <calculatedColumnFormula>(AA2*Y2)</calculatedColumnFormula>
    </tableColumn>
    <tableColumn id="26" name="مجموع زمان حضور در سایت " totalsRowFunction="sum" dataDxfId="5992" totalsRowDxfId="5991">
      <calculatedColumnFormula>((((RIGHT(Z2,2))/60)+(LEFT(Z2,2)))*AA2)</calculatedColumnFormula>
    </tableColumn>
    <tableColumn id="27" name="سهم سایت از کل ترافیک طبقه بندی" totalsRowFunction="sum" dataDxfId="5990" totalsRowDxfId="5989">
      <calculatedColumnFormula>(AA2/$AA$34)*100</calculatedColumnFormula>
    </tableColumn>
    <tableColumn id="28" name="شاخص هرفیندال هیرشمن (ترافیک)" totalsRowFunction="sum" dataDxfId="5988" totalsRowDxfId="5987">
      <calculatedColumnFormula>(AH2*AH2)</calculatedColumnFormula>
    </tableColumn>
    <tableColumn id="29" name="سهم سایت از کل صفحات مشاهده شده در طبقه بندی" totalsRowFunction="sum" dataDxfId="5986" totalsRowDxfId="5985">
      <calculatedColumnFormula>(AF2/$AF$34)*100</calculatedColumnFormula>
    </tableColumn>
    <tableColumn id="30" name="شاخص هرفیندال -هیرشمن (صفحات مشاهده شده )" totalsRowFunction="sum" dataDxfId="5984" totalsRowDxfId="5983">
      <calculatedColumnFormula>(AJ2*AJ2)</calculatedColumnFormula>
    </tableColumn>
    <tableColumn id="31" name="سهم سایت از کل زمان حضور در طبقه بندی" totalsRowFunction="sum" dataDxfId="5982" totalsRowDxfId="5981">
      <calculatedColumnFormula>(AG2/$AG$34)*100</calculatedColumnFormula>
    </tableColumn>
    <tableColumn id="32" name="شاخص هرفیندال هیرشمن (زمان حضور)" totalsRowFunction="sum" dataDxfId="5980" totalsRowDxfId="5979">
      <calculatedColumnFormula>(AL2*AL2)</calculatedColumnFormula>
    </tableColumn>
    <tableColumn id="33" name="نام سایت" dataDxfId="5978" totalsRowDxfId="5977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8" name="Table1361719" displayName="Table1361719" ref="H1:AN35" totalsRowCount="1" headerRowDxfId="5976" headerRowBorderDxfId="5975" tableBorderDxfId="5974">
  <autoFilter ref="H1:AN34"/>
  <sortState ref="H2:AN34">
    <sortCondition descending="1" ref="AA1:AA34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973" totalsRowDxfId="5972"/>
    <tableColumn id="7" name="استان" dataDxfId="5971" totalsRowDxfId="5970"/>
    <tableColumn id="8" name="Column1" dataDxfId="5969" totalsRowDxfId="5968"/>
    <tableColumn id="9" name="IPG" dataDxfId="5967" totalsRowDxfId="5966"/>
    <tableColumn id="10" name="Column2" dataDxfId="5965" totalsRowDxfId="5964"/>
    <tableColumn id="11" name="Column3" dataDxfId="5963" totalsRowDxfId="5962"/>
    <tableColumn id="12" name="Column4" dataDxfId="5961" totalsRowDxfId="5960"/>
    <tableColumn id="13" name="Column5" dataDxfId="5959" totalsRowDxfId="5958"/>
    <tableColumn id="14" name="Column6" dataDxfId="5957" totalsRowDxfId="5956"/>
    <tableColumn id="15" name="Column7" dataDxfId="5955" totalsRowDxfId="5954"/>
    <tableColumn id="16" name="نام سایت 3" dataDxfId="5953" totalsRowDxfId="5952"/>
    <tableColumn id="17" name="نرخ پرش  " dataDxfId="5951" totalsRowDxfId="5950"/>
    <tableColumn id="18" name="تعداد صفحات مشاهده شده" dataDxfId="5949" totalsRowDxfId="5948"/>
    <tableColumn id="19" name="میزان زمان حضور در سایت" dataDxfId="5947" totalsRowDxfId="5946"/>
    <tableColumn id="20" name="ترافیک کل" totalsRowFunction="sum" dataDxfId="5945" totalsRowDxfId="5944"/>
    <tableColumn id="21" name="رتبه در سیمیلار وب" dataDxfId="5943" totalsRowDxfId="5942"/>
    <tableColumn id="22" name="نام سایت 2" dataDxfId="5941" totalsRowDxfId="5940"/>
    <tableColumn id="23" name="طبقه بندی" dataDxfId="5939" totalsRowDxfId="5938"/>
    <tableColumn id="24" name="بازار" dataDxfId="5937" totalsRowDxfId="5936"/>
    <tableColumn id="25" name="مجموع صفحات  مشاهده شده   " totalsRowFunction="sum" dataDxfId="5935" totalsRowDxfId="5934">
      <calculatedColumnFormula>(AA2*Y2)</calculatedColumnFormula>
    </tableColumn>
    <tableColumn id="26" name="مجموع زمان حضور در سایت " totalsRowFunction="sum" dataDxfId="5933" totalsRowDxfId="5932">
      <calculatedColumnFormula>((((RIGHT(Z2,2))/60)+(LEFT(Z2,2)))*AA2)</calculatedColumnFormula>
    </tableColumn>
    <tableColumn id="27" name="سهم سایت از کل ترافیک طبقه بندی" totalsRowFunction="sum" dataDxfId="5931" totalsRowDxfId="5930">
      <calculatedColumnFormula>(AA2/$AA$35)*100</calculatedColumnFormula>
    </tableColumn>
    <tableColumn id="28" name="شاخص هرفیندال هیرشمن (ترافیک)" totalsRowFunction="sum" dataDxfId="5929" totalsRowDxfId="5928">
      <calculatedColumnFormula>(AH2*AH2)</calculatedColumnFormula>
    </tableColumn>
    <tableColumn id="29" name="سهم سایت از کل صفحات مشاهده شده در طبقه بندی" totalsRowFunction="sum" dataDxfId="5927" totalsRowDxfId="5926">
      <calculatedColumnFormula>(AF2/$AF$35)*100</calculatedColumnFormula>
    </tableColumn>
    <tableColumn id="30" name="شاخص هرفیندال -هیرشمن (صفحات مشاهده شده )" totalsRowFunction="sum" dataDxfId="5925" totalsRowDxfId="5924">
      <calculatedColumnFormula>(AJ2*AJ2)</calculatedColumnFormula>
    </tableColumn>
    <tableColumn id="31" name="سهم سایت از کل زمان حضور در طبقه بندی" totalsRowFunction="sum" dataDxfId="5923" totalsRowDxfId="5922">
      <calculatedColumnFormula>(AG2/$AG$35)*100</calculatedColumnFormula>
    </tableColumn>
    <tableColumn id="32" name="شاخص هرفیندال هیرشمن (زمان حضور)" totalsRowFunction="sum" dataDxfId="5921" totalsRowDxfId="5920">
      <calculatedColumnFormula>(AL2*AL2)</calculatedColumnFormula>
    </tableColumn>
    <tableColumn id="33" name="نام سایت" dataDxfId="5919" totalsRowDxfId="5918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47" name="Table13648" displayName="Table13648" ref="H1:AN29" totalsRowCount="1" headerRowDxfId="5917" headerRowBorderDxfId="5916" tableBorderDxfId="5915">
  <autoFilter ref="H1:AN28"/>
  <sortState ref="H2:AN28">
    <sortCondition descending="1" ref="AA1:AA28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914" totalsRowDxfId="5913"/>
    <tableColumn id="7" name="استان" dataDxfId="5912" totalsRowDxfId="5911"/>
    <tableColumn id="8" name="Column1" dataDxfId="5910" totalsRowDxfId="5909"/>
    <tableColumn id="9" name="IPG" dataDxfId="5908" totalsRowDxfId="5907"/>
    <tableColumn id="10" name="Column2" dataDxfId="5906" totalsRowDxfId="5905"/>
    <tableColumn id="11" name="Column3" dataDxfId="5904" totalsRowDxfId="5903"/>
    <tableColumn id="12" name="Column4" dataDxfId="5902" totalsRowDxfId="5901"/>
    <tableColumn id="13" name="Column5" dataDxfId="5900" totalsRowDxfId="5899"/>
    <tableColumn id="14" name="Column6" dataDxfId="5898" totalsRowDxfId="5897"/>
    <tableColumn id="15" name="Column7" dataDxfId="5896" totalsRowDxfId="5895"/>
    <tableColumn id="16" name="نام سایت 3" dataDxfId="5894" totalsRowDxfId="5893"/>
    <tableColumn id="17" name="نرخ پرش  " dataDxfId="5892" totalsRowDxfId="5891"/>
    <tableColumn id="18" name="تعداد صفحات مشاهده شده" dataDxfId="5890" totalsRowDxfId="5889"/>
    <tableColumn id="19" name="میزان زمان حضور در سایت" dataDxfId="5888" totalsRowDxfId="5887"/>
    <tableColumn id="20" name="ترافیک کل" totalsRowFunction="sum" dataDxfId="5886" totalsRowDxfId="5885"/>
    <tableColumn id="21" name="رتبه در سیمیلار وب" dataDxfId="5884" totalsRowDxfId="5883"/>
    <tableColumn id="22" name="نام سایت 2" dataDxfId="5882" totalsRowDxfId="5881"/>
    <tableColumn id="23" name="طبقه بندی" dataDxfId="5880" totalsRowDxfId="5879"/>
    <tableColumn id="24" name="بازار" dataDxfId="5878" totalsRowDxfId="5877"/>
    <tableColumn id="25" name="مجموع صفحات  مشاهده شده   " totalsRowFunction="sum" dataDxfId="5876" totalsRowDxfId="5875">
      <calculatedColumnFormula>(AA2*Y2)</calculatedColumnFormula>
    </tableColumn>
    <tableColumn id="26" name="مجموع زمان حضور در سایت " totalsRowFunction="sum" dataDxfId="5874" totalsRowDxfId="5873">
      <calculatedColumnFormula>((((RIGHT(Z2,2))/60)+(LEFT(Z2,2)))*AA2)</calculatedColumnFormula>
    </tableColumn>
    <tableColumn id="27" name="سهم سایت از کل ترافیک طبقه بندی" totalsRowFunction="sum" dataDxfId="5872" totalsRowDxfId="5871">
      <calculatedColumnFormula>(AA2/$AA$29)*100</calculatedColumnFormula>
    </tableColumn>
    <tableColumn id="28" name="شاخص هرفیندال هیرشمن (ترافیک)" totalsRowFunction="sum" dataDxfId="5870" totalsRowDxfId="5869">
      <calculatedColumnFormula>(AH2*AH2)</calculatedColumnFormula>
    </tableColumn>
    <tableColumn id="29" name="سهم سایت از کل صفحات مشاهده شده در طبقه بندی" totalsRowFunction="sum" dataDxfId="5868" totalsRowDxfId="5867">
      <calculatedColumnFormula>(AF2/$AF$29)*100</calculatedColumnFormula>
    </tableColumn>
    <tableColumn id="30" name="شاخص هرفیندال -هیرشمن (صفحات مشاهده شده )" totalsRowFunction="sum" dataDxfId="5866" totalsRowDxfId="5865">
      <calculatedColumnFormula>(AJ2*AJ2)</calculatedColumnFormula>
    </tableColumn>
    <tableColumn id="31" name="سهم سایت از کل زمان حضور در طبقه بندی" totalsRowFunction="sum" dataDxfId="5864" totalsRowDxfId="5863">
      <calculatedColumnFormula>(AG2/$AG$29)*100</calculatedColumnFormula>
    </tableColumn>
    <tableColumn id="32" name="شاخص هرفیندال هیرشمن (زمان حضور)" totalsRowFunction="sum" dataDxfId="5862" totalsRowDxfId="5861">
      <calculatedColumnFormula>(AL2*AL2)</calculatedColumnFormula>
    </tableColumn>
    <tableColumn id="33" name="نام سایت" dataDxfId="5860" totalsRowDxfId="5859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44" name="Table13632434445" displayName="Table13632434445" ref="H1:AN33" totalsRowCount="1" headerRowDxfId="5858" headerRowBorderDxfId="5857" tableBorderDxfId="5856">
  <autoFilter ref="H1:AN32"/>
  <sortState ref="H2:AN32">
    <sortCondition descending="1" ref="AA1:AA32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855" totalsRowDxfId="5854"/>
    <tableColumn id="7" name="استان" dataDxfId="5853" totalsRowDxfId="5852"/>
    <tableColumn id="8" name="Column1" dataDxfId="5851" totalsRowDxfId="5850"/>
    <tableColumn id="9" name="IPG" dataDxfId="5849" totalsRowDxfId="5848"/>
    <tableColumn id="10" name="Column2" dataDxfId="5847" totalsRowDxfId="5846"/>
    <tableColumn id="11" name="Column3" dataDxfId="5845" totalsRowDxfId="5844"/>
    <tableColumn id="12" name="Column4" dataDxfId="5843" totalsRowDxfId="5842"/>
    <tableColumn id="13" name="Column5" dataDxfId="5841" totalsRowDxfId="5840"/>
    <tableColumn id="14" name="Column6" dataDxfId="5839" totalsRowDxfId="5838"/>
    <tableColumn id="15" name="Column7" dataDxfId="5837" totalsRowDxfId="5836"/>
    <tableColumn id="16" name="نام سایت 3" dataDxfId="5835" totalsRowDxfId="5834"/>
    <tableColumn id="17" name="نرخ پرش  " dataDxfId="5833" totalsRowDxfId="5832"/>
    <tableColumn id="18" name="تعداد صفحات مشاهده شده" dataDxfId="5831" totalsRowDxfId="5830"/>
    <tableColumn id="19" name="میزان زمان حضور در سایت" dataDxfId="5829" totalsRowDxfId="5828"/>
    <tableColumn id="20" name="ترافیک کل" totalsRowFunction="sum" dataDxfId="5827" totalsRowDxfId="5826"/>
    <tableColumn id="21" name="رتبه در سیمیلار وب" dataDxfId="5825" totalsRowDxfId="5824"/>
    <tableColumn id="22" name="نام سایت 2" dataDxfId="5823" totalsRowDxfId="5822"/>
    <tableColumn id="23" name="طبقه بندی" dataDxfId="5821" totalsRowDxfId="5820"/>
    <tableColumn id="24" name="بازار" dataDxfId="5819" totalsRowDxfId="5818"/>
    <tableColumn id="25" name="مجموع صفحات  مشاهده شده   " totalsRowFunction="sum" dataDxfId="5817" totalsRowDxfId="5816">
      <calculatedColumnFormula>(AA2*Y2)</calculatedColumnFormula>
    </tableColumn>
    <tableColumn id="26" name="مجموع زمان حضور در سایت " totalsRowFunction="sum" dataDxfId="5815" totalsRowDxfId="5814">
      <calculatedColumnFormula>((((RIGHT(Z2,2))/60)+(LEFT(Z2,2)))*AA2)</calculatedColumnFormula>
    </tableColumn>
    <tableColumn id="27" name="سهم سایت از کل ترافیک طبقه بندی" totalsRowFunction="sum" dataDxfId="5813" totalsRowDxfId="5812">
      <calculatedColumnFormula>(AA2/$AA$33)*100</calculatedColumnFormula>
    </tableColumn>
    <tableColumn id="28" name="شاخص هرفیندال هیرشمن (ترافیک)" totalsRowFunction="sum" dataDxfId="5811" totalsRowDxfId="5810">
      <calculatedColumnFormula>(AH2*AH2)</calculatedColumnFormula>
    </tableColumn>
    <tableColumn id="29" name="سهم سایت از کل صفحات مشاهده شده در طبقه بندی" totalsRowFunction="sum" dataDxfId="5809" totalsRowDxfId="5808">
      <calculatedColumnFormula>(AF2/$AF$33)*100</calculatedColumnFormula>
    </tableColumn>
    <tableColumn id="30" name="شاخص هرفیندال -هیرشمن (صفحات مشاهده شده )" totalsRowFunction="sum" dataDxfId="5807" totalsRowDxfId="5806">
      <calculatedColumnFormula>(AJ2*AJ2)</calculatedColumnFormula>
    </tableColumn>
    <tableColumn id="31" name="سهم سایت از کل زمان حضور در طبقه بندی" totalsRowFunction="sum" dataDxfId="5805" totalsRowDxfId="5804">
      <calculatedColumnFormula>(AG2/$AG$33)*100</calculatedColumnFormula>
    </tableColumn>
    <tableColumn id="32" name="شاخص هرفیندال هیرشمن (زمان حضور)" totalsRowFunction="sum" dataDxfId="5803" totalsRowDxfId="5802">
      <calculatedColumnFormula>(AL2*AL2)</calculatedColumnFormula>
    </tableColumn>
    <tableColumn id="33" name="نام سایت" dataDxfId="5801" totalsRowDxfId="580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48" name="Table13649" displayName="Table13649" ref="H1:AN39" totalsRowCount="1" headerRowDxfId="5799" headerRowBorderDxfId="5798" tableBorderDxfId="5797">
  <autoFilter ref="H1:AN38"/>
  <sortState ref="H2:AN38">
    <sortCondition descending="1" ref="AA1:AA38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796" totalsRowDxfId="5795"/>
    <tableColumn id="7" name="استان" dataDxfId="5794" totalsRowDxfId="5793"/>
    <tableColumn id="8" name="Column1" dataDxfId="5792" totalsRowDxfId="5791"/>
    <tableColumn id="9" name="IPG" dataDxfId="5790" totalsRowDxfId="5789"/>
    <tableColumn id="10" name="Column2" dataDxfId="5788" totalsRowDxfId="5787"/>
    <tableColumn id="11" name="Column3" dataDxfId="5786" totalsRowDxfId="5785"/>
    <tableColumn id="12" name="Column4" dataDxfId="5784" totalsRowDxfId="5783"/>
    <tableColumn id="13" name="Column5" dataDxfId="5782" totalsRowDxfId="5781"/>
    <tableColumn id="14" name="Column6" dataDxfId="5780" totalsRowDxfId="5779"/>
    <tableColumn id="15" name="Column7" dataDxfId="5778" totalsRowDxfId="5777"/>
    <tableColumn id="16" name="نام سایت 3" dataDxfId="5776" totalsRowDxfId="5775"/>
    <tableColumn id="17" name="نرخ پرش  " dataDxfId="5774" totalsRowDxfId="5773"/>
    <tableColumn id="18" name="تعداد صفحات مشاهده شده" dataDxfId="5772" totalsRowDxfId="5771"/>
    <tableColumn id="19" name="میزان زمان حضور در سایت" dataDxfId="5770" totalsRowDxfId="5769"/>
    <tableColumn id="20" name="ترافیک کل" totalsRowFunction="sum" dataDxfId="5768" totalsRowDxfId="5767"/>
    <tableColumn id="21" name="رتبه در سیمیلار وب" dataDxfId="5766" totalsRowDxfId="5765"/>
    <tableColumn id="22" name="نام سایت 2" dataDxfId="5764" totalsRowDxfId="5763"/>
    <tableColumn id="23" name="طبقه بندی" dataDxfId="5762" totalsRowDxfId="5761"/>
    <tableColumn id="24" name="بازار" dataDxfId="5760" totalsRowDxfId="5759"/>
    <tableColumn id="25" name="مجموع صفحات  مشاهده شده   " totalsRowFunction="sum" dataDxfId="5758" totalsRowDxfId="5757">
      <calculatedColumnFormula>(AA2*Y2)</calculatedColumnFormula>
    </tableColumn>
    <tableColumn id="26" name="مجموع زمان حضور در سایت " totalsRowFunction="sum" dataDxfId="5756" totalsRowDxfId="5755">
      <calculatedColumnFormula>((((RIGHT(Z2,2))/60)+(LEFT(Z2,2)))*AA2)</calculatedColumnFormula>
    </tableColumn>
    <tableColumn id="27" name="سهم سایت از کل ترافیک طبقه بندی" totalsRowFunction="sum" dataDxfId="5754" totalsRowDxfId="5753">
      <calculatedColumnFormula>(AA2/$AA$39)*100</calculatedColumnFormula>
    </tableColumn>
    <tableColumn id="28" name="شاخص هرفیندال هیرشمن (ترافیک)" totalsRowFunction="sum" dataDxfId="5752" totalsRowDxfId="5751">
      <calculatedColumnFormula>(AH2*AH2)</calculatedColumnFormula>
    </tableColumn>
    <tableColumn id="29" name="سهم سایت از کل صفحات مشاهده شده در طبقه بندی" totalsRowFunction="sum" dataDxfId="5750" totalsRowDxfId="5749">
      <calculatedColumnFormula>(AF2/$AF$39)*100</calculatedColumnFormula>
    </tableColumn>
    <tableColumn id="30" name="شاخص هرفیندال -هیرشمن (صفحات مشاهده شده )" totalsRowFunction="sum" dataDxfId="5748" totalsRowDxfId="5747">
      <calculatedColumnFormula>(AJ2*AJ2)</calculatedColumnFormula>
    </tableColumn>
    <tableColumn id="31" name="سهم سایت از کل زمان حضور در طبقه بندی" totalsRowFunction="sum" dataDxfId="5746" totalsRowDxfId="5745">
      <calculatedColumnFormula>(AG2/$AG$39)*100</calculatedColumnFormula>
    </tableColumn>
    <tableColumn id="32" name="شاخص هرفیندال هیرشمن (زمان حضور)" totalsRowFunction="sum" dataDxfId="5744" totalsRowDxfId="5743">
      <calculatedColumnFormula>(AL2*AL2)</calculatedColumnFormula>
    </tableColumn>
    <tableColumn id="33" name="نام سایت" dataDxfId="5742" totalsRowDxfId="5741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86" name="Table13688" displayName="Table13688" ref="H1:AN21" totalsRowCount="1" headerRowDxfId="5740" headerRowBorderDxfId="5739" tableBorderDxfId="5738">
  <autoFilter ref="H1:AN20"/>
  <sortState ref="H2:AN20">
    <sortCondition descending="1" ref="AA1:AA20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737" totalsRowDxfId="5736"/>
    <tableColumn id="7" name="استان" dataDxfId="5735" totalsRowDxfId="5734"/>
    <tableColumn id="8" name="Column1" dataDxfId="5733" totalsRowDxfId="5732"/>
    <tableColumn id="9" name="IPG" dataDxfId="5731" totalsRowDxfId="5730"/>
    <tableColumn id="10" name="Column2" dataDxfId="5729" totalsRowDxfId="5728"/>
    <tableColumn id="11" name="Column3" dataDxfId="5727" totalsRowDxfId="5726"/>
    <tableColumn id="12" name="Column4" dataDxfId="5725" totalsRowDxfId="5724"/>
    <tableColumn id="13" name="Column5" dataDxfId="5723" totalsRowDxfId="5722"/>
    <tableColumn id="14" name="Column6" dataDxfId="5721" totalsRowDxfId="5720"/>
    <tableColumn id="15" name="Column7" dataDxfId="5719" totalsRowDxfId="5718"/>
    <tableColumn id="16" name="نام سایت 3" dataDxfId="5717" totalsRowDxfId="5716"/>
    <tableColumn id="17" name="نرخ پرش  " dataDxfId="5715" totalsRowDxfId="5714"/>
    <tableColumn id="18" name="تعداد صفحات مشاهده شده" dataDxfId="5713" totalsRowDxfId="5712"/>
    <tableColumn id="19" name="میزان زمان حضور در سایت" dataDxfId="5711" totalsRowDxfId="5710"/>
    <tableColumn id="20" name="ترافیک کل" totalsRowFunction="sum" dataDxfId="5709" totalsRowDxfId="5708"/>
    <tableColumn id="21" name="رتبه در سیمیلار وب" dataDxfId="5707" totalsRowDxfId="5706"/>
    <tableColumn id="22" name="نام سایت 2" dataDxfId="5705" totalsRowDxfId="5704"/>
    <tableColumn id="23" name="طبقه بندی" dataDxfId="5703" totalsRowDxfId="5702"/>
    <tableColumn id="24" name="بازار" dataDxfId="5701" totalsRowDxfId="5700"/>
    <tableColumn id="25" name="مجموع صفحات  مشاهده شده   " totalsRowFunction="sum" dataDxfId="5699" totalsRowDxfId="5698">
      <calculatedColumnFormula>(AA2*Y2)</calculatedColumnFormula>
    </tableColumn>
    <tableColumn id="26" name="مجموع زمان حضور در سایت " totalsRowFunction="sum" dataDxfId="5697" totalsRowDxfId="5696">
      <calculatedColumnFormula>((((RIGHT(Z2,2))/60)+(LEFT(Z2,2)))*AA2)</calculatedColumnFormula>
    </tableColumn>
    <tableColumn id="27" name="سهم سایت از کل ترافیک طبقه بندی" totalsRowFunction="sum" dataDxfId="5695" totalsRowDxfId="5694">
      <calculatedColumnFormula>(AA2/$AA$21)*100</calculatedColumnFormula>
    </tableColumn>
    <tableColumn id="28" name="شاخص هرفیندال هیرشمن (ترافیک)" totalsRowFunction="sum" dataDxfId="5693" totalsRowDxfId="5692">
      <calculatedColumnFormula>(AH2*AH2)</calculatedColumnFormula>
    </tableColumn>
    <tableColumn id="29" name="سهم سایت از کل صفحات مشاهده شده در طبقه بندی" totalsRowFunction="sum" dataDxfId="5691" totalsRowDxfId="5690">
      <calculatedColumnFormula>(AF2/$AF$21)*100</calculatedColumnFormula>
    </tableColumn>
    <tableColumn id="30" name="شاخص هرفیندال -هیرشمن (صفحات مشاهده شده )" totalsRowFunction="sum" dataDxfId="5689" totalsRowDxfId="5688">
      <calculatedColumnFormula>(AJ2*AJ2)</calculatedColumnFormula>
    </tableColumn>
    <tableColumn id="31" name="سهم سایت از کل زمان حضور در طبقه بندی" totalsRowFunction="sum" dataDxfId="5687" totalsRowDxfId="5686">
      <calculatedColumnFormula>(AG2/$AG$21)*100</calculatedColumnFormula>
    </tableColumn>
    <tableColumn id="32" name="شاخص هرفیندال هیرشمن (زمان حضور)" totalsRowFunction="sum" dataDxfId="5685" totalsRowDxfId="5684">
      <calculatedColumnFormula>(AL2*AL2)</calculatedColumnFormula>
    </tableColumn>
    <tableColumn id="33" name="نام سایت" dataDxfId="5683" totalsRowDxfId="568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4" name="Table136835" displayName="Table136835" ref="H1:AN34" totalsRowCount="1" headerRowDxfId="5681" headerRowBorderDxfId="5680" tableBorderDxfId="5679">
  <autoFilter ref="H1:AN33"/>
  <sortState ref="H2:AN33">
    <sortCondition descending="1" ref="AA1:AA33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678" totalsRowDxfId="5677"/>
    <tableColumn id="7" name="استان" dataDxfId="5676" totalsRowDxfId="5675"/>
    <tableColumn id="8" name="Column1" dataDxfId="5674" totalsRowDxfId="5673"/>
    <tableColumn id="9" name="IPG" dataDxfId="5672" totalsRowDxfId="5671"/>
    <tableColumn id="10" name="Column2" dataDxfId="5670" totalsRowDxfId="5669"/>
    <tableColumn id="11" name="Column3" dataDxfId="5668" totalsRowDxfId="5667"/>
    <tableColumn id="12" name="Column4" dataDxfId="5666" totalsRowDxfId="5665"/>
    <tableColumn id="13" name="Column5" dataDxfId="5664" totalsRowDxfId="5663"/>
    <tableColumn id="14" name="Column6" dataDxfId="5662" totalsRowDxfId="5661"/>
    <tableColumn id="15" name="Column7" dataDxfId="5660" totalsRowDxfId="5659"/>
    <tableColumn id="16" name="نام سایت 3" dataDxfId="5658" totalsRowDxfId="5657"/>
    <tableColumn id="17" name="نرخ پرش  " dataDxfId="5656" totalsRowDxfId="5655"/>
    <tableColumn id="18" name="تعداد صفحات مشاهده شده" dataDxfId="5654" totalsRowDxfId="5653"/>
    <tableColumn id="19" name="میزان زمان حضور در سایت" dataDxfId="5652" totalsRowDxfId="5651"/>
    <tableColumn id="20" name="ترافیک کل" totalsRowFunction="sum" dataDxfId="5650" totalsRowDxfId="5649"/>
    <tableColumn id="21" name="رتبه در سیمیلار وب" dataDxfId="5648" totalsRowDxfId="5647"/>
    <tableColumn id="22" name="نام سایت 2" dataDxfId="5646" totalsRowDxfId="5645"/>
    <tableColumn id="23" name="طبقه بندی" dataDxfId="5644" totalsRowDxfId="5643"/>
    <tableColumn id="24" name="بازار" dataDxfId="5642" totalsRowDxfId="5641"/>
    <tableColumn id="25" name="مجموع صفحات  مشاهده شده   " totalsRowFunction="sum" dataDxfId="5640" totalsRowDxfId="5639">
      <calculatedColumnFormula>(AA2*Y2)</calculatedColumnFormula>
    </tableColumn>
    <tableColumn id="26" name="مجموع زمان حضور در سایت " totalsRowFunction="sum" dataDxfId="5638" totalsRowDxfId="5637">
      <calculatedColumnFormula>((((RIGHT(Z2,2))/60)+(LEFT(Z2,2)))*AA2)</calculatedColumnFormula>
    </tableColumn>
    <tableColumn id="27" name="سهم سایت از کل ترافیک طبقه بندی" totalsRowFunction="sum" dataDxfId="5636" totalsRowDxfId="5635">
      <calculatedColumnFormula>(AA2/$AA$34)*100</calculatedColumnFormula>
    </tableColumn>
    <tableColumn id="28" name="شاخص هرفیندال هیرشمن (ترافیک)" totalsRowFunction="sum" dataDxfId="5634" totalsRowDxfId="5633">
      <calculatedColumnFormula>(AH2*AH2)</calculatedColumnFormula>
    </tableColumn>
    <tableColumn id="29" name="سهم سایت از کل صفحات مشاهده شده در طبقه بندی" totalsRowFunction="sum" dataDxfId="5632" totalsRowDxfId="5631">
      <calculatedColumnFormula>(AF2/$AF$34)*100</calculatedColumnFormula>
    </tableColumn>
    <tableColumn id="30" name="شاخص هرفیندال -هیرشمن (صفحات مشاهده شده )" totalsRowFunction="sum" dataDxfId="5630" totalsRowDxfId="5629">
      <calculatedColumnFormula>(AJ2*AJ2)</calculatedColumnFormula>
    </tableColumn>
    <tableColumn id="31" name="سهم سایت از کل زمان حضور در طبقه بندی" totalsRowFunction="sum" dataDxfId="5628" totalsRowDxfId="5627">
      <calculatedColumnFormula>(AG2/$AG$34)*100</calculatedColumnFormula>
    </tableColumn>
    <tableColumn id="32" name="شاخص هرفیندال هیرشمن (زمان حضور)" totalsRowFunction="sum" dataDxfId="5626" totalsRowDxfId="5625">
      <calculatedColumnFormula>(AL2*AL2)</calculatedColumnFormula>
    </tableColumn>
    <tableColumn id="33" name="نام سایت" dataDxfId="5624" totalsRowDxfId="5623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36171820" displayName="Table136171820" ref="H1:AN14" totalsRowCount="1" headerRowDxfId="5622" headerRowBorderDxfId="5621" tableBorderDxfId="5620">
  <autoFilter ref="H1:AN13"/>
  <sortState ref="H2:AN13">
    <sortCondition descending="1" ref="AA1:AA13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619" totalsRowDxfId="5618"/>
    <tableColumn id="7" name="استان" dataDxfId="5617" totalsRowDxfId="5616"/>
    <tableColumn id="8" name="Column1" dataDxfId="5615" totalsRowDxfId="5614"/>
    <tableColumn id="9" name="IPG" dataDxfId="5613" totalsRowDxfId="5612"/>
    <tableColumn id="10" name="Column2" dataDxfId="5611" totalsRowDxfId="5610"/>
    <tableColumn id="11" name="Column3" dataDxfId="5609" totalsRowDxfId="5608"/>
    <tableColumn id="12" name="Column4" dataDxfId="5607" totalsRowDxfId="5606"/>
    <tableColumn id="13" name="Column5" dataDxfId="5605" totalsRowDxfId="5604"/>
    <tableColumn id="14" name="Column6" dataDxfId="5603" totalsRowDxfId="5602"/>
    <tableColumn id="15" name="Column7" dataDxfId="5601" totalsRowDxfId="5600"/>
    <tableColumn id="16" name="نام سایت 3" dataDxfId="5599" totalsRowDxfId="5598"/>
    <tableColumn id="17" name="نرخ پرش  " dataDxfId="5597" totalsRowDxfId="5596"/>
    <tableColumn id="18" name="تعداد صفحات مشاهده شده" dataDxfId="5595" totalsRowDxfId="5594"/>
    <tableColumn id="19" name="میزان زمان حضور در سایت" dataDxfId="5593" totalsRowDxfId="5592"/>
    <tableColumn id="20" name="ترافیک کل" totalsRowFunction="sum" dataDxfId="5591" totalsRowDxfId="5590"/>
    <tableColumn id="21" name="رتبه در سیمیلار وب" dataDxfId="5589" totalsRowDxfId="5588"/>
    <tableColumn id="22" name="نام سایت 2" dataDxfId="5587" totalsRowDxfId="5586"/>
    <tableColumn id="23" name="طبقه بندی" dataDxfId="5585" totalsRowDxfId="5584"/>
    <tableColumn id="24" name="بازار" dataDxfId="5583" totalsRowDxfId="5582"/>
    <tableColumn id="25" name="مجموع صفحات  مشاهده شده   " totalsRowFunction="sum" dataDxfId="5581" totalsRowDxfId="5580">
      <calculatedColumnFormula>(AA2*Y2)</calculatedColumnFormula>
    </tableColumn>
    <tableColumn id="26" name="مجموع زمان حضور در سایت " totalsRowFunction="sum" dataDxfId="5579" totalsRowDxfId="5578">
      <calculatedColumnFormula>((((RIGHT(Z2,2))/60)+(LEFT(Z2,2)))*AA2)</calculatedColumnFormula>
    </tableColumn>
    <tableColumn id="27" name="سهم سایت از کل ترافیک طبقه بندی" totalsRowFunction="sum" dataDxfId="5577" totalsRowDxfId="5576">
      <calculatedColumnFormula>(AA2/$AA$14)*100</calculatedColumnFormula>
    </tableColumn>
    <tableColumn id="28" name="شاخص هرفیندال هیرشمن (ترافیک)" totalsRowFunction="sum" dataDxfId="5575" totalsRowDxfId="5574">
      <calculatedColumnFormula>(AH2*AH2)</calculatedColumnFormula>
    </tableColumn>
    <tableColumn id="29" name="سهم سایت از کل صفحات مشاهده شده در طبقه بندی" totalsRowFunction="sum" dataDxfId="5573" totalsRowDxfId="5572">
      <calculatedColumnFormula>(AF2/$AF$14)*100</calculatedColumnFormula>
    </tableColumn>
    <tableColumn id="30" name="شاخص هرفیندال -هیرشمن (صفحات مشاهده شده )" totalsRowFunction="sum" dataDxfId="5571" totalsRowDxfId="5570">
      <calculatedColumnFormula>(AJ2*AJ2)</calculatedColumnFormula>
    </tableColumn>
    <tableColumn id="31" name="سهم سایت از کل زمان حضور در طبقه بندی" totalsRowFunction="sum" dataDxfId="5569" totalsRowDxfId="5568">
      <calculatedColumnFormula>(AG2/$AG$14)*100</calculatedColumnFormula>
    </tableColumn>
    <tableColumn id="32" name="شاخص هرفیندال هیرشمن (زمان حضور)" totalsRowFunction="sum" dataDxfId="5567" totalsRowDxfId="5566">
      <calculatedColumnFormula>(AL2*AL2)</calculatedColumnFormula>
    </tableColumn>
    <tableColumn id="33" name="نام سایت" dataDxfId="5565" totalsRowDxfId="5564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50" name="Table13651" displayName="Table13651" ref="H1:AN16" totalsRowCount="1" headerRowDxfId="5563" headerRowBorderDxfId="5562" tableBorderDxfId="5561">
  <autoFilter ref="H1:AN15"/>
  <sortState ref="H2:AN15">
    <sortCondition descending="1" ref="AA1:AA15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560" totalsRowDxfId="5559"/>
    <tableColumn id="7" name="استان" dataDxfId="5558" totalsRowDxfId="5557"/>
    <tableColumn id="8" name="Column1" dataDxfId="5556" totalsRowDxfId="5555"/>
    <tableColumn id="9" name="IPG" dataDxfId="5554" totalsRowDxfId="5553"/>
    <tableColumn id="10" name="Column2" dataDxfId="5552" totalsRowDxfId="5551"/>
    <tableColumn id="11" name="Column3" dataDxfId="5550" totalsRowDxfId="5549"/>
    <tableColumn id="12" name="Column4" dataDxfId="5548" totalsRowDxfId="5547"/>
    <tableColumn id="13" name="Column5" dataDxfId="5546" totalsRowDxfId="5545"/>
    <tableColumn id="14" name="Column6" dataDxfId="5544" totalsRowDxfId="5543"/>
    <tableColumn id="15" name="Column7" dataDxfId="5542" totalsRowDxfId="5541"/>
    <tableColumn id="16" name="نام سایت 3" dataDxfId="5540" totalsRowDxfId="5539"/>
    <tableColumn id="17" name="نرخ پرش  " dataDxfId="5538" totalsRowDxfId="5537"/>
    <tableColumn id="18" name="تعداد صفحات مشاهده شده" dataDxfId="5536" totalsRowDxfId="5535"/>
    <tableColumn id="19" name="میزان زمان حضور در سایت" dataDxfId="5534" totalsRowDxfId="5533"/>
    <tableColumn id="20" name="ترافیک کل" totalsRowFunction="sum" dataDxfId="5532" totalsRowDxfId="5531"/>
    <tableColumn id="21" name="رتبه در سیمیلار وب" dataDxfId="5530" totalsRowDxfId="5529"/>
    <tableColumn id="22" name="نام سایت 2" dataDxfId="5528" totalsRowDxfId="5527"/>
    <tableColumn id="23" name="طبقه بندی" dataDxfId="5526" totalsRowDxfId="5525"/>
    <tableColumn id="24" name="بازار" dataDxfId="5524" totalsRowDxfId="5523"/>
    <tableColumn id="25" name="مجموع صفحات  مشاهده شده   " totalsRowFunction="sum" dataDxfId="5522" totalsRowDxfId="5521">
      <calculatedColumnFormula>(AA2*Y2)</calculatedColumnFormula>
    </tableColumn>
    <tableColumn id="26" name="مجموع زمان حضور در سایت " totalsRowFunction="sum" dataDxfId="5520" totalsRowDxfId="5519">
      <calculatedColumnFormula>((((RIGHT(Z2,2))/60)+(LEFT(Z2,2)))*AA2)</calculatedColumnFormula>
    </tableColumn>
    <tableColumn id="27" name="سهم سایت از کل ترافیک طبقه بندی" totalsRowFunction="sum" dataDxfId="5518" totalsRowDxfId="5517">
      <calculatedColumnFormula>(AA2/$AA$16)*100</calculatedColumnFormula>
    </tableColumn>
    <tableColumn id="28" name="شاخص هرفیندال هیرشمن (ترافیک)" totalsRowFunction="sum" dataDxfId="5516" totalsRowDxfId="5515">
      <calculatedColumnFormula>(AH2*AH2)</calculatedColumnFormula>
    </tableColumn>
    <tableColumn id="29" name="سهم سایت از کل صفحات مشاهده شده در طبقه بندی" totalsRowFunction="sum" dataDxfId="5514" totalsRowDxfId="5513">
      <calculatedColumnFormula>(AF2/$AF$16)*100</calculatedColumnFormula>
    </tableColumn>
    <tableColumn id="30" name="شاخص هرفیندال -هیرشمن (صفحات مشاهده شده )" totalsRowFunction="sum" dataDxfId="5512" totalsRowDxfId="5511">
      <calculatedColumnFormula>(AJ2*AJ2)</calculatedColumnFormula>
    </tableColumn>
    <tableColumn id="31" name="سهم سایت از کل زمان حضور در طبقه بندی" totalsRowFunction="sum" dataDxfId="5510" totalsRowDxfId="5509">
      <calculatedColumnFormula>(AG2/$AG$16)*100</calculatedColumnFormula>
    </tableColumn>
    <tableColumn id="32" name="شاخص هرفیندال هیرشمن (زمان حضور)" totalsRowFunction="sum" dataDxfId="5508" totalsRowDxfId="5507">
      <calculatedColumnFormula>(AL2*AL2)</calculatedColumnFormula>
    </tableColumn>
    <tableColumn id="33" name="نام سایت" dataDxfId="5506" totalsRowDxfId="550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36" name="Table13632343637" displayName="Table13632343637" ref="H1:AN41" totalsRowCount="1" headerRowDxfId="5504" headerRowBorderDxfId="5503" tableBorderDxfId="5502">
  <autoFilter ref="H1:AN40"/>
  <sortState ref="H2:AN40">
    <sortCondition descending="1" ref="AA1:AA40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501" totalsRowDxfId="5500"/>
    <tableColumn id="7" name="استان" dataDxfId="5499" totalsRowDxfId="5498"/>
    <tableColumn id="8" name="Column1" dataDxfId="5497" totalsRowDxfId="5496"/>
    <tableColumn id="9" name="IPG" dataDxfId="5495" totalsRowDxfId="5494"/>
    <tableColumn id="10" name="Column2" dataDxfId="5493" totalsRowDxfId="5492"/>
    <tableColumn id="11" name="Column3" dataDxfId="5491" totalsRowDxfId="5490"/>
    <tableColumn id="12" name="Column4" dataDxfId="5489" totalsRowDxfId="5488"/>
    <tableColumn id="13" name="Column5" dataDxfId="5487" totalsRowDxfId="5486"/>
    <tableColumn id="14" name="Column6" dataDxfId="5485" totalsRowDxfId="5484"/>
    <tableColumn id="15" name="Column7" dataDxfId="5483" totalsRowDxfId="5482"/>
    <tableColumn id="16" name="نام سایت 3" dataDxfId="5481" totalsRowDxfId="5480"/>
    <tableColumn id="17" name="نرخ پرش  " dataDxfId="5479" totalsRowDxfId="5478"/>
    <tableColumn id="18" name="تعداد صفحات مشاهده شده" dataDxfId="5477" totalsRowDxfId="5476"/>
    <tableColumn id="19" name="میزان زمان حضور در سایت" dataDxfId="5475" totalsRowDxfId="5474"/>
    <tableColumn id="20" name="ترافیک کل" totalsRowFunction="sum" dataDxfId="5473" totalsRowDxfId="5472"/>
    <tableColumn id="21" name="رتبه در سیمیلار وب" dataDxfId="5471" totalsRowDxfId="5470"/>
    <tableColumn id="22" name="نام سایت 2" dataDxfId="5469" totalsRowDxfId="5468"/>
    <tableColumn id="23" name="طبقه بندی" dataDxfId="5467" totalsRowDxfId="5466"/>
    <tableColumn id="24" name="بازار" dataDxfId="5465" totalsRowDxfId="5464"/>
    <tableColumn id="25" name="مجموع صفحات  مشاهده شده   " totalsRowFunction="sum" dataDxfId="5463" totalsRowDxfId="5462">
      <calculatedColumnFormula>(AA2*Y2)</calculatedColumnFormula>
    </tableColumn>
    <tableColumn id="26" name="مجموع زمان حضور در سایت " totalsRowFunction="sum" dataDxfId="5461" totalsRowDxfId="5460">
      <calculatedColumnFormula>((((RIGHT(Z2,2))/60)+(LEFT(Z2,2)))*AA2)</calculatedColumnFormula>
    </tableColumn>
    <tableColumn id="27" name="سهم سایت از کل ترافیک طبقه بندی" totalsRowFunction="sum" dataDxfId="5459" totalsRowDxfId="5458">
      <calculatedColumnFormula>(AA2/$AA$41)*100</calculatedColumnFormula>
    </tableColumn>
    <tableColumn id="28" name="شاخص هرفیندال هیرشمن (ترافیک)" totalsRowFunction="sum" dataDxfId="5457" totalsRowDxfId="5456">
      <calculatedColumnFormula>(AH2*AH2)</calculatedColumnFormula>
    </tableColumn>
    <tableColumn id="29" name="سهم سایت از کل صفحات مشاهده شده در طبقه بندی" totalsRowFunction="sum" dataDxfId="5455" totalsRowDxfId="5454">
      <calculatedColumnFormula>(AF2/$AF$41)*100</calculatedColumnFormula>
    </tableColumn>
    <tableColumn id="30" name="شاخص هرفیندال -هیرشمن (صفحات مشاهده شده )" totalsRowFunction="sum" dataDxfId="5453" totalsRowDxfId="5452">
      <calculatedColumnFormula>(AJ2*AJ2)</calculatedColumnFormula>
    </tableColumn>
    <tableColumn id="31" name="سهم سایت از کل زمان حضور در طبقه بندی" totalsRowFunction="sum" dataDxfId="5451" totalsRowDxfId="5450">
      <calculatedColumnFormula>(AG2/$AG$41)*100</calculatedColumnFormula>
    </tableColumn>
    <tableColumn id="32" name="شاخص هرفیندال هیرشمن (زمان حضور)" totalsRowFunction="sum" dataDxfId="5449" totalsRowDxfId="5448">
      <calculatedColumnFormula>(AL2*AL2)</calculatedColumnFormula>
    </tableColumn>
    <tableColumn id="33" name="نام سایت" dataDxfId="5447" totalsRowDxfId="5446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87" name="Table13689" displayName="Table13689" ref="H1:AN20" totalsRowCount="1" headerRowDxfId="5445" headerRowBorderDxfId="5444" tableBorderDxfId="5443">
  <autoFilter ref="H1:AN19"/>
  <sortState ref="H2:AN19">
    <sortCondition descending="1" ref="AA1:AA1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442" totalsRowDxfId="5441"/>
    <tableColumn id="7" name="استان" dataDxfId="5440" totalsRowDxfId="5439"/>
    <tableColumn id="8" name="Column1" dataDxfId="5438" totalsRowDxfId="5437"/>
    <tableColumn id="9" name="IPG" dataDxfId="5436" totalsRowDxfId="5435"/>
    <tableColumn id="10" name="Column2" dataDxfId="5434" totalsRowDxfId="5433"/>
    <tableColumn id="11" name="Column3" dataDxfId="5432" totalsRowDxfId="5431"/>
    <tableColumn id="12" name="Column4" dataDxfId="5430" totalsRowDxfId="5429"/>
    <tableColumn id="13" name="Column5" dataDxfId="5428" totalsRowDxfId="5427"/>
    <tableColumn id="14" name="Column6" dataDxfId="5426" totalsRowDxfId="5425"/>
    <tableColumn id="15" name="Column7" dataDxfId="5424" totalsRowDxfId="5423"/>
    <tableColumn id="16" name="نام سایت 3" dataDxfId="5422" totalsRowDxfId="5421"/>
    <tableColumn id="17" name="نرخ پرش  " dataDxfId="5420" totalsRowDxfId="5419"/>
    <tableColumn id="18" name="تعداد صفحات مشاهده شده" dataDxfId="5418" totalsRowDxfId="5417"/>
    <tableColumn id="19" name="میزان زمان حضور در سایت" dataDxfId="5416" totalsRowDxfId="5415"/>
    <tableColumn id="20" name="ترافیک کل" totalsRowFunction="sum" dataDxfId="5414" totalsRowDxfId="5413"/>
    <tableColumn id="21" name="رتبه در سیمیلار وب" dataDxfId="5412" totalsRowDxfId="5411"/>
    <tableColumn id="22" name="نام سایت 2" dataDxfId="5410" totalsRowDxfId="5409"/>
    <tableColumn id="23" name="طبقه بندی" dataDxfId="5408" totalsRowDxfId="5407"/>
    <tableColumn id="24" name="بازار" dataDxfId="5406" totalsRowDxfId="5405"/>
    <tableColumn id="25" name="مجموع صفحات  مشاهده شده   " totalsRowFunction="sum" dataDxfId="5404" totalsRowDxfId="5403">
      <calculatedColumnFormula>(AA2*Y2)</calculatedColumnFormula>
    </tableColumn>
    <tableColumn id="26" name="مجموع زمان حضور در سایت " totalsRowFunction="sum" dataDxfId="5402" totalsRowDxfId="5401">
      <calculatedColumnFormula>((((RIGHT(Z2,2))/60)+(LEFT(Z2,2)))*AA2)</calculatedColumnFormula>
    </tableColumn>
    <tableColumn id="27" name="سهم سایت از کل ترافیک طبقه بندی" totalsRowFunction="sum" dataDxfId="5400" totalsRowDxfId="5399">
      <calculatedColumnFormula>(AA2/$AA$20)*100</calculatedColumnFormula>
    </tableColumn>
    <tableColumn id="28" name="شاخص هرفیندال هیرشمن (ترافیک)" totalsRowFunction="sum" dataDxfId="5398" totalsRowDxfId="5397">
      <calculatedColumnFormula>(AH2*AH2)</calculatedColumnFormula>
    </tableColumn>
    <tableColumn id="29" name="سهم سایت از کل صفحات مشاهده شده در طبقه بندی" totalsRowFunction="sum" dataDxfId="5396" totalsRowDxfId="5395">
      <calculatedColumnFormula>(AF2/$AF$20)*100</calculatedColumnFormula>
    </tableColumn>
    <tableColumn id="30" name="شاخص هرفیندال -هیرشمن (صفحات مشاهده شده )" totalsRowFunction="sum" dataDxfId="5394" totalsRowDxfId="5393">
      <calculatedColumnFormula>(AJ2*AJ2)</calculatedColumnFormula>
    </tableColumn>
    <tableColumn id="31" name="سهم سایت از کل زمان حضور در طبقه بندی" totalsRowFunction="sum" dataDxfId="5392" totalsRowDxfId="5391">
      <calculatedColumnFormula>(AG2/$AG$20)*100</calculatedColumnFormula>
    </tableColumn>
    <tableColumn id="32" name="شاخص هرفیندال هیرشمن (زمان حضور)" totalsRowFunction="sum" dataDxfId="5390" totalsRowDxfId="5389">
      <calculatedColumnFormula>(AL2*AL2)</calculatedColumnFormula>
    </tableColumn>
    <tableColumn id="33" name="نام سایت" dataDxfId="5388" totalsRowDxfId="5387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88" name="Table13690" displayName="Table13690" ref="H1:AN2" totalsRowShown="0" headerRowDxfId="5386" headerRowBorderDxfId="5385" tableBorderDxfId="5384">
  <autoFilter ref="H1:AN2"/>
  <sortState ref="H2:AN6192">
    <sortCondition ref="AD1:AD6192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383"/>
    <tableColumn id="7" name="استان" dataDxfId="5382"/>
    <tableColumn id="8" name="Column1" dataDxfId="5381"/>
    <tableColumn id="9" name="IPG" dataDxfId="5380"/>
    <tableColumn id="10" name="Column2" dataDxfId="5379"/>
    <tableColumn id="11" name="Column3" dataDxfId="5378"/>
    <tableColumn id="12" name="Column4" dataDxfId="5377"/>
    <tableColumn id="13" name="Column5" dataDxfId="5376"/>
    <tableColumn id="14" name="Column6" dataDxfId="5375"/>
    <tableColumn id="15" name="Column7" dataDxfId="5374"/>
    <tableColumn id="16" name="نام سایت 3" dataDxfId="5373"/>
    <tableColumn id="17" name="نرخ پرش  " dataDxfId="5372"/>
    <tableColumn id="18" name="تعداد صفحات مشاهده شده" dataDxfId="5371"/>
    <tableColumn id="19" name="میزان زمان حضور در سایت" dataDxfId="5370"/>
    <tableColumn id="20" name="ترافیک کل" dataDxfId="5369"/>
    <tableColumn id="21" name="رتبه در سیمیلار وب" dataDxfId="5368"/>
    <tableColumn id="22" name="نام سایت 2" dataDxfId="5367"/>
    <tableColumn id="23" name="طبقه بندی" dataDxfId="5366"/>
    <tableColumn id="24" name="بازار" dataDxfId="5365"/>
    <tableColumn id="25" name="مجموع صفحات  مشاهده شده   " dataDxfId="5364">
      <calculatedColumnFormula>(AA2*Y2)</calculatedColumnFormula>
    </tableColumn>
    <tableColumn id="26" name="مجموع زمان حضور در سایت " dataDxfId="5363">
      <calculatedColumnFormula>((((RIGHT(Z2,2))/60)+(LEFT(Z2,2)))*AA2)</calculatedColumnFormula>
    </tableColumn>
    <tableColumn id="27" name="سهم سایت از کل ترافیک طبقه بندی"/>
    <tableColumn id="28" name="شاخص هرفیندال هیرشمن (ترافیک)"/>
    <tableColumn id="29" name="سهم سایت از کل صفحات مشاهده شده در طبقه بندی"/>
    <tableColumn id="30" name="شاخص هرفیندال -هیرشمن (صفحات مشاهده شده )"/>
    <tableColumn id="31" name="سهم سایت از کل زمان حضور در طبقه بندی"/>
    <tableColumn id="32" name="شاخص هرفیندال هیرشمن (زمان حضور)"/>
    <tableColumn id="33" name="نام سایت" dataDxfId="5362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112" name="Table13632343637113" displayName="Table13632343637113" ref="H1:AN19" totalsRowCount="1" headerRowDxfId="5361" headerRowBorderDxfId="5360" tableBorderDxfId="5359">
  <autoFilter ref="H1:AN18"/>
  <sortState ref="H2:AN18">
    <sortCondition descending="1" ref="AA1:AA18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358" totalsRowDxfId="5357"/>
    <tableColumn id="7" name="استان" dataDxfId="5356" totalsRowDxfId="5355"/>
    <tableColumn id="8" name="Column1" dataDxfId="5354" totalsRowDxfId="5353"/>
    <tableColumn id="9" name="IPG" dataDxfId="5352" totalsRowDxfId="5351"/>
    <tableColumn id="10" name="Column2" dataDxfId="5350" totalsRowDxfId="5349"/>
    <tableColumn id="11" name="Column3" dataDxfId="5348" totalsRowDxfId="5347"/>
    <tableColumn id="12" name="Column4" dataDxfId="5346" totalsRowDxfId="5345"/>
    <tableColumn id="13" name="Column5" dataDxfId="5344" totalsRowDxfId="5343"/>
    <tableColumn id="14" name="Column6" dataDxfId="5342" totalsRowDxfId="5341">
      <calculatedColumnFormula>(AH3+AH6)^2</calculatedColumnFormula>
    </tableColumn>
    <tableColumn id="15" name="Column7" dataDxfId="5340" totalsRowDxfId="5339"/>
    <tableColumn id="16" name="نام سایت 3" dataDxfId="5338" totalsRowDxfId="5337"/>
    <tableColumn id="17" name="نرخ پرش  " dataDxfId="5336" totalsRowDxfId="5335"/>
    <tableColumn id="18" name="تعداد صفحات مشاهده شده" dataDxfId="5334" totalsRowDxfId="5333"/>
    <tableColumn id="19" name="میزان زمان حضور در سایت" dataDxfId="5332" totalsRowDxfId="5331"/>
    <tableColumn id="20" name="ترافیک کل" totalsRowFunction="sum" dataDxfId="5330" totalsRowDxfId="5329"/>
    <tableColumn id="21" name="رتبه در سیمیلار وب" dataDxfId="5328" totalsRowDxfId="5327"/>
    <tableColumn id="22" name="نام سایت 2" dataDxfId="5326" totalsRowDxfId="5325"/>
    <tableColumn id="23" name="طبقه بندی" dataDxfId="5324" totalsRowDxfId="5323"/>
    <tableColumn id="24" name="بازار" dataDxfId="5322" totalsRowDxfId="5321"/>
    <tableColumn id="25" name="مجموع صفحات  مشاهده شده   " totalsRowFunction="sum" dataDxfId="5320" totalsRowDxfId="5319">
      <calculatedColumnFormula>(AA2*Y2)</calculatedColumnFormula>
    </tableColumn>
    <tableColumn id="26" name="مجموع زمان حضور در سایت " totalsRowFunction="sum" dataDxfId="5318" totalsRowDxfId="5317">
      <calculatedColumnFormula>((((RIGHT(Z2,2))/60)+(LEFT(Z2,2)))*AA2)</calculatedColumnFormula>
    </tableColumn>
    <tableColumn id="27" name="سهم سایت از کل ترافیک طبقه بندی" totalsRowFunction="sum" dataDxfId="5316" totalsRowDxfId="5315">
      <calculatedColumnFormula>(AA2/$AA$19)*100</calculatedColumnFormula>
    </tableColumn>
    <tableColumn id="28" name="شاخص هرفیندال هیرشمن (ترافیک)" totalsRowLabel="2137.00" dataDxfId="5314" totalsRowDxfId="5313">
      <calculatedColumnFormula>(AH2*AH2)</calculatedColumnFormula>
    </tableColumn>
    <tableColumn id="29" name="سهم سایت از کل صفحات مشاهده شده در طبقه بندی" totalsRowFunction="sum" dataDxfId="5312" totalsRowDxfId="5311">
      <calculatedColumnFormula>(AF2/$AF$19)*100</calculatedColumnFormula>
    </tableColumn>
    <tableColumn id="30" name="شاخص هرفیندال -هیرشمن (صفحات مشاهده شده )" totalsRowLabel="2183.00" dataDxfId="5310" totalsRowDxfId="5309">
      <calculatedColumnFormula>(AJ2*AJ2)</calculatedColumnFormula>
    </tableColumn>
    <tableColumn id="31" name="سهم سایت از کل زمان حضور در طبقه بندی" totalsRowFunction="sum" dataDxfId="5308" totalsRowDxfId="5307">
      <calculatedColumnFormula>(AG2/$AG$19)*100</calculatedColumnFormula>
    </tableColumn>
    <tableColumn id="32" name="شاخص هرفیندال هیرشمن (زمان حضور)" totalsRowLabel="2572.00" dataDxfId="5306" totalsRowDxfId="5305">
      <calculatedColumnFormula>(AL2*AL2)</calculatedColumnFormula>
    </tableColumn>
    <tableColumn id="33" name="نام سایت" dataDxfId="5304" totalsRowDxfId="530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34" name="Table136323435" displayName="Table136323435" ref="H1:AN39" totalsRowCount="1" headerRowDxfId="5302" headerRowBorderDxfId="5301" tableBorderDxfId="5300">
  <autoFilter ref="H1:AN38"/>
  <sortState ref="H2:AN38">
    <sortCondition descending="1" ref="AL1:AL38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299" totalsRowDxfId="5298"/>
    <tableColumn id="7" name="استان" dataDxfId="5297" totalsRowDxfId="5296"/>
    <tableColumn id="8" name="Column1" dataDxfId="5295" totalsRowDxfId="5294"/>
    <tableColumn id="9" name="IPG" dataDxfId="5293" totalsRowDxfId="5292"/>
    <tableColumn id="10" name="Column2" dataDxfId="5291" totalsRowDxfId="5290"/>
    <tableColumn id="11" name="Column3" dataDxfId="5289" totalsRowDxfId="5288"/>
    <tableColumn id="12" name="Column4" dataDxfId="5287" totalsRowDxfId="5286"/>
    <tableColumn id="13" name="Column5" dataDxfId="5285" totalsRowDxfId="5284"/>
    <tableColumn id="14" name="Column6" dataDxfId="5283" totalsRowDxfId="5282"/>
    <tableColumn id="15" name="Column7" dataDxfId="5281" totalsRowDxfId="5280"/>
    <tableColumn id="16" name="نام سایت 3" dataDxfId="5279" totalsRowDxfId="5278"/>
    <tableColumn id="17" name="نرخ پرش  " dataDxfId="5277" totalsRowDxfId="5276"/>
    <tableColumn id="18" name="تعداد صفحات مشاهده شده" dataDxfId="5275" totalsRowDxfId="5274"/>
    <tableColumn id="19" name="میزان زمان حضور در سایت" dataDxfId="5273" totalsRowDxfId="5272"/>
    <tableColumn id="20" name="ترافیک کل" totalsRowFunction="sum" dataDxfId="5271" totalsRowDxfId="5270"/>
    <tableColumn id="21" name="رتبه در سیمیلار وب" dataDxfId="5269" totalsRowDxfId="5268"/>
    <tableColumn id="22" name="نام سایت 2" dataDxfId="5267" totalsRowDxfId="5266"/>
    <tableColumn id="23" name="طبقه بندی" dataDxfId="5265" totalsRowDxfId="5264"/>
    <tableColumn id="24" name="بازار" dataDxfId="5263" totalsRowDxfId="5262"/>
    <tableColumn id="25" name="مجموع صفحات  مشاهده شده   " totalsRowFunction="sum" dataDxfId="5261" totalsRowDxfId="5260">
      <calculatedColumnFormula>(AA2*Y2)</calculatedColumnFormula>
    </tableColumn>
    <tableColumn id="26" name="مجموع زمان حضور در سایت " totalsRowFunction="sum" dataDxfId="5259" totalsRowDxfId="5258">
      <calculatedColumnFormula>((((RIGHT(Z2,2))/60)+(LEFT(Z2,2)))*AA2)</calculatedColumnFormula>
    </tableColumn>
    <tableColumn id="27" name="سهم سایت از کل ترافیک طبقه بندی" totalsRowFunction="sum" dataDxfId="5257" totalsRowDxfId="5256">
      <calculatedColumnFormula>(AA2/$AA$39)*100</calculatedColumnFormula>
    </tableColumn>
    <tableColumn id="28" name="شاخص هرفیندال هیرشمن (ترافیک)" totalsRowFunction="sum" dataDxfId="5255" totalsRowDxfId="5254">
      <calculatedColumnFormula>(AH2*AH2)</calculatedColumnFormula>
    </tableColumn>
    <tableColumn id="29" name="سهم سایت از کل صفحات مشاهده شده در طبقه بندی" totalsRowFunction="sum" dataDxfId="5253" totalsRowDxfId="5252">
      <calculatedColumnFormula>(AF2/$AF$39)*100</calculatedColumnFormula>
    </tableColumn>
    <tableColumn id="30" name="شاخص هرفیندال -هیرشمن (صفحات مشاهده شده )" totalsRowFunction="sum" dataDxfId="5251" totalsRowDxfId="5250">
      <calculatedColumnFormula>(AJ2*AJ2)</calculatedColumnFormula>
    </tableColumn>
    <tableColumn id="31" name="سهم سایت از کل زمان حضور در طبقه بندی" totalsRowFunction="sum" dataDxfId="5249" totalsRowDxfId="5248">
      <calculatedColumnFormula>(AG2/$AG$39)*100</calculatedColumnFormula>
    </tableColumn>
    <tableColumn id="32" name="شاخص هرفیندال هیرشمن (زمان حضور)" totalsRowFunction="sum" dataDxfId="5247" totalsRowDxfId="5246">
      <calculatedColumnFormula>(AL2*AL2)</calculatedColumnFormula>
    </tableColumn>
    <tableColumn id="33" name="نام سایت" dataDxfId="5245" totalsRowDxfId="5244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32" name="Table13633" displayName="Table13633" ref="H1:AN53" totalsRowCount="1" headerRowDxfId="5243" headerRowBorderDxfId="5242" tableBorderDxfId="5241">
  <autoFilter ref="H1:AN52"/>
  <sortState ref="H2:AN52">
    <sortCondition descending="1" ref="AL1:AL52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240" totalsRowDxfId="5239"/>
    <tableColumn id="7" name="استان" dataDxfId="5238" totalsRowDxfId="5237"/>
    <tableColumn id="8" name="Column1" dataDxfId="5236" totalsRowDxfId="5235"/>
    <tableColumn id="9" name="IPG" dataDxfId="5234" totalsRowDxfId="5233"/>
    <tableColumn id="10" name="Column2" dataDxfId="5232" totalsRowDxfId="5231"/>
    <tableColumn id="11" name="Column3" dataDxfId="5230" totalsRowDxfId="5229"/>
    <tableColumn id="12" name="Column4" dataDxfId="5228" totalsRowDxfId="5227"/>
    <tableColumn id="13" name="Column5" dataDxfId="5226" totalsRowDxfId="5225"/>
    <tableColumn id="14" name="Column6" dataDxfId="5224" totalsRowDxfId="5223"/>
    <tableColumn id="15" name="Column7" dataDxfId="5222" totalsRowDxfId="5221"/>
    <tableColumn id="16" name="نام سایت 3" dataDxfId="5220" totalsRowDxfId="5219"/>
    <tableColumn id="17" name="نرخ پرش  " dataDxfId="5218" totalsRowDxfId="5217"/>
    <tableColumn id="18" name="تعداد صفحات مشاهده شده" dataDxfId="5216" totalsRowDxfId="5215"/>
    <tableColumn id="19" name="میزان زمان حضور در سایت" dataDxfId="5214" totalsRowDxfId="5213"/>
    <tableColumn id="20" name="ترافیک کل" totalsRowFunction="sum" dataDxfId="5212" totalsRowDxfId="5211"/>
    <tableColumn id="21" name="رتبه در سیمیلار وب" dataDxfId="5210" totalsRowDxfId="5209"/>
    <tableColumn id="22" name="نام سایت 2" dataDxfId="5208" totalsRowDxfId="5207"/>
    <tableColumn id="23" name="طبقه بندی" dataDxfId="5206" totalsRowDxfId="5205"/>
    <tableColumn id="24" name="بازار" dataDxfId="5204" totalsRowDxfId="5203"/>
    <tableColumn id="25" name="مجموع صفحات  مشاهده شده   " totalsRowFunction="sum" dataDxfId="5202" totalsRowDxfId="5201">
      <calculatedColumnFormula>(AA2*Y2)</calculatedColumnFormula>
    </tableColumn>
    <tableColumn id="26" name="مجموع زمان حضور در سایت " totalsRowFunction="sum" dataDxfId="5200" totalsRowDxfId="5199">
      <calculatedColumnFormula>((((RIGHT(Z2,2))/60)+(LEFT(Z2,2)))*AA2)</calculatedColumnFormula>
    </tableColumn>
    <tableColumn id="27" name="سهم سایت از کل ترافیک طبقه بندی" totalsRowFunction="sum" dataDxfId="5198" totalsRowDxfId="5197">
      <calculatedColumnFormula>(AA2/$AA$53)*100</calculatedColumnFormula>
    </tableColumn>
    <tableColumn id="28" name="شاخص هرفیندال هیرشمن (ترافیک)" totalsRowFunction="sum" dataDxfId="5196" totalsRowDxfId="5195">
      <calculatedColumnFormula>(AH2*AH2)</calculatedColumnFormula>
    </tableColumn>
    <tableColumn id="29" name="سهم سایت از کل صفحات مشاهده شده در طبقه بندی" totalsRowFunction="sum" dataDxfId="5194" totalsRowDxfId="5193">
      <calculatedColumnFormula>(AF2/$AF$53)*100</calculatedColumnFormula>
    </tableColumn>
    <tableColumn id="30" name="شاخص هرفیندال -هیرشمن (صفحات مشاهده شده )" totalsRowFunction="sum" dataDxfId="5192" totalsRowDxfId="5191">
      <calculatedColumnFormula>(AJ2*AJ2)</calculatedColumnFormula>
    </tableColumn>
    <tableColumn id="31" name="سهم سایت از کل زمان حضور در طبقه بندی" totalsRowFunction="sum" dataDxfId="5190" totalsRowDxfId="5189">
      <calculatedColumnFormula>(AG2/$AG$53)*100</calculatedColumnFormula>
    </tableColumn>
    <tableColumn id="32" name="شاخص هرفیندال هیرشمن (زمان حضور)" totalsRowFunction="sum" dataDxfId="5188" totalsRowDxfId="5187">
      <calculatedColumnFormula>(AL2*AL2)</calculatedColumnFormula>
    </tableColumn>
    <tableColumn id="33" name="نام سایت" dataDxfId="5186" totalsRowDxfId="518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33" name="Table1363234" displayName="Table1363234" ref="H1:AN36" totalsRowCount="1" headerRowDxfId="5184" headerRowBorderDxfId="5183" tableBorderDxfId="5182">
  <autoFilter ref="H1:AN35"/>
  <sortState ref="H2:AN35">
    <sortCondition descending="1" ref="AL1:AL35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181" totalsRowDxfId="5180"/>
    <tableColumn id="7" name="استان" dataDxfId="5179" totalsRowDxfId="5178"/>
    <tableColumn id="8" name="Column1" dataDxfId="5177" totalsRowDxfId="5176"/>
    <tableColumn id="9" name="IPG" dataDxfId="5175" totalsRowDxfId="5174"/>
    <tableColumn id="10" name="Column2" dataDxfId="5173" totalsRowDxfId="5172"/>
    <tableColumn id="11" name="Column3" dataDxfId="5171" totalsRowDxfId="5170"/>
    <tableColumn id="12" name="Column4" dataDxfId="5169" totalsRowDxfId="5168"/>
    <tableColumn id="13" name="Column5" dataDxfId="5167" totalsRowDxfId="5166"/>
    <tableColumn id="14" name="Column6" dataDxfId="5165" totalsRowDxfId="5164"/>
    <tableColumn id="15" name="Column7" dataDxfId="5163" totalsRowDxfId="5162"/>
    <tableColumn id="16" name="نام سایت 3" dataDxfId="5161" totalsRowDxfId="5160"/>
    <tableColumn id="17" name="نرخ پرش  " dataDxfId="5159" totalsRowDxfId="5158"/>
    <tableColumn id="18" name="تعداد صفحات مشاهده شده" dataDxfId="5157" totalsRowDxfId="5156"/>
    <tableColumn id="19" name="میزان زمان حضور در سایت" dataDxfId="5155" totalsRowDxfId="5154"/>
    <tableColumn id="20" name="ترافیک کل" totalsRowFunction="sum" dataDxfId="5153" totalsRowDxfId="5152"/>
    <tableColumn id="21" name="رتبه در سیمیلار وب" dataDxfId="5151" totalsRowDxfId="5150"/>
    <tableColumn id="22" name="نام سایت 2" dataDxfId="5149" totalsRowDxfId="5148"/>
    <tableColumn id="23" name="طبقه بندی" dataDxfId="5147" totalsRowDxfId="5146"/>
    <tableColumn id="24" name="بازار" dataDxfId="5145" totalsRowDxfId="5144"/>
    <tableColumn id="25" name="مجموع صفحات  مشاهده شده   " totalsRowFunction="sum" dataDxfId="5143" totalsRowDxfId="5142">
      <calculatedColumnFormula>(AA2*Y2)</calculatedColumnFormula>
    </tableColumn>
    <tableColumn id="26" name="مجموع زمان حضور در سایت " totalsRowFunction="sum" dataDxfId="5141" totalsRowDxfId="5140">
      <calculatedColumnFormula>((((RIGHT(Z2,2))/60)+(LEFT(Z2,2)))*AA2)</calculatedColumnFormula>
    </tableColumn>
    <tableColumn id="27" name="سهم سایت از کل ترافیک طبقه بندی" totalsRowFunction="sum" dataDxfId="5139" totalsRowDxfId="5138">
      <calculatedColumnFormula>(AA2/$AA$36)*100</calculatedColumnFormula>
    </tableColumn>
    <tableColumn id="28" name="شاخص هرفیندال هیرشمن (ترافیک)" totalsRowFunction="sum" dataDxfId="5137" totalsRowDxfId="5136">
      <calculatedColumnFormula>(AH2*AH2)</calculatedColumnFormula>
    </tableColumn>
    <tableColumn id="29" name="سهم سایت از کل صفحات مشاهده شده در طبقه بندی" totalsRowFunction="sum" dataDxfId="5135" totalsRowDxfId="5134">
      <calculatedColumnFormula>(AF2/$AF$36)*100</calculatedColumnFormula>
    </tableColumn>
    <tableColumn id="30" name="شاخص هرفیندال -هیرشمن (صفحات مشاهده شده )" totalsRowFunction="sum" dataDxfId="5133" totalsRowDxfId="5132">
      <calculatedColumnFormula>(AJ2*AJ2)</calculatedColumnFormula>
    </tableColumn>
    <tableColumn id="31" name="سهم سایت از کل زمان حضور در طبقه بندی" totalsRowFunction="sum" dataDxfId="5131" totalsRowDxfId="5130">
      <calculatedColumnFormula>(AG2/$AG$36)*100</calculatedColumnFormula>
    </tableColumn>
    <tableColumn id="32" name="شاخص هرفیندال هیرشمن (زمان حضور)" totalsRowFunction="sum" dataDxfId="5129" totalsRowDxfId="5128">
      <calculatedColumnFormula>(AL2*AL2)</calculatedColumnFormula>
    </tableColumn>
    <tableColumn id="33" name="نام سایت" dataDxfId="5127" totalsRowDxfId="512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35" name="Table136323436" displayName="Table136323436" ref="H1:AN30" totalsRowCount="1" headerRowDxfId="5125" headerRowBorderDxfId="5124" tableBorderDxfId="5123">
  <autoFilter ref="H1:AN29"/>
  <sortState ref="H2:AN29">
    <sortCondition descending="1" ref="AA1:AA2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122" totalsRowDxfId="5121"/>
    <tableColumn id="7" name="استان" dataDxfId="5120" totalsRowDxfId="5119"/>
    <tableColumn id="8" name="Column1" dataDxfId="5118" totalsRowDxfId="5117"/>
    <tableColumn id="9" name="IPG" dataDxfId="5116" totalsRowDxfId="5115"/>
    <tableColumn id="10" name="Column2" dataDxfId="5114" totalsRowDxfId="5113"/>
    <tableColumn id="11" name="Column3" dataDxfId="5112" totalsRowDxfId="5111"/>
    <tableColumn id="12" name="Column4" dataDxfId="5110" totalsRowDxfId="5109"/>
    <tableColumn id="13" name="Column5" dataDxfId="5108" totalsRowDxfId="5107"/>
    <tableColumn id="14" name="Column6" dataDxfId="5106" totalsRowDxfId="5105"/>
    <tableColumn id="15" name="Column7" dataDxfId="5104" totalsRowDxfId="5103"/>
    <tableColumn id="16" name="نام سایت 3" dataDxfId="5102" totalsRowDxfId="5101"/>
    <tableColumn id="17" name="نرخ پرش  " dataDxfId="5100" totalsRowDxfId="5099"/>
    <tableColumn id="18" name="تعداد صفحات مشاهده شده" dataDxfId="5098" totalsRowDxfId="5097"/>
    <tableColumn id="19" name="میزان زمان حضور در سایت" dataDxfId="5096" totalsRowDxfId="5095"/>
    <tableColumn id="20" name="ترافیک کل" totalsRowFunction="sum" dataDxfId="5094" totalsRowDxfId="5093"/>
    <tableColumn id="21" name="رتبه در سیمیلار وب" dataDxfId="5092" totalsRowDxfId="5091"/>
    <tableColumn id="22" name="نام سایت 2" dataDxfId="5090" totalsRowDxfId="5089"/>
    <tableColumn id="23" name="طبقه بندی" dataDxfId="5088" totalsRowDxfId="5087"/>
    <tableColumn id="24" name="بازار" dataDxfId="5086" totalsRowDxfId="5085"/>
    <tableColumn id="25" name="مجموع صفحات  مشاهده شده   " totalsRowFunction="sum" dataDxfId="5084" totalsRowDxfId="5083">
      <calculatedColumnFormula>(AA2*Y2)</calculatedColumnFormula>
    </tableColumn>
    <tableColumn id="26" name="مجموع زمان حضور در سایت " totalsRowFunction="sum" dataDxfId="5082" totalsRowDxfId="5081">
      <calculatedColumnFormula>((((RIGHT(Z2,2))/60)+(LEFT(Z2,2)))*AA2)</calculatedColumnFormula>
    </tableColumn>
    <tableColumn id="27" name="سهم سایت از کل ترافیک طبقه بندی" totalsRowFunction="sum" dataDxfId="5080" totalsRowDxfId="5079">
      <calculatedColumnFormula>(AA2/$AA$30)*100</calculatedColumnFormula>
    </tableColumn>
    <tableColumn id="28" name="شاخص هرفیندال هیرشمن (ترافیک)" totalsRowFunction="sum" dataDxfId="5078" totalsRowDxfId="5077">
      <calculatedColumnFormula>(AH2*AH2)</calculatedColumnFormula>
    </tableColumn>
    <tableColumn id="29" name="سهم سایت از کل صفحات مشاهده شده در طبقه بندی" totalsRowFunction="sum" dataDxfId="5076" totalsRowDxfId="5075">
      <calculatedColumnFormula>(AF2/$AF$30)*100</calculatedColumnFormula>
    </tableColumn>
    <tableColumn id="30" name="شاخص هرفیندال -هیرشمن (صفحات مشاهده شده )" totalsRowFunction="sum" dataDxfId="5074" totalsRowDxfId="5073">
      <calculatedColumnFormula>(AJ2*AJ2)</calculatedColumnFormula>
    </tableColumn>
    <tableColumn id="31" name="سهم سایت از کل زمان حضور در طبقه بندی" totalsRowFunction="sum" dataDxfId="5072" totalsRowDxfId="5071">
      <calculatedColumnFormula>(AG2/$AG$30)*100</calculatedColumnFormula>
    </tableColumn>
    <tableColumn id="32" name="شاخص هرفیندال هیرشمن (زمان حضور)" totalsRowFunction="sum" dataDxfId="5070" totalsRowDxfId="5069">
      <calculatedColumnFormula>(AL2*AL2)</calculatedColumnFormula>
    </tableColumn>
    <tableColumn id="33" name="نام سایت" dataDxfId="5068" totalsRowDxfId="5067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37" name="Table1363234363738" displayName="Table1363234363738" ref="H1:AN26" totalsRowCount="1" headerRowDxfId="5066" headerRowBorderDxfId="5065" tableBorderDxfId="5064">
  <autoFilter ref="H1:AN25"/>
  <sortState ref="H2:AN25">
    <sortCondition descending="1" ref="AA1:AA25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063" totalsRowDxfId="5062"/>
    <tableColumn id="7" name="استان" dataDxfId="5061" totalsRowDxfId="5060"/>
    <tableColumn id="8" name="Column1" dataDxfId="5059" totalsRowDxfId="5058"/>
    <tableColumn id="9" name="IPG" dataDxfId="5057" totalsRowDxfId="5056"/>
    <tableColumn id="10" name="Column2" dataDxfId="5055" totalsRowDxfId="5054"/>
    <tableColumn id="11" name="Column3" dataDxfId="5053" totalsRowDxfId="5052"/>
    <tableColumn id="12" name="Column4" dataDxfId="5051" totalsRowDxfId="5050"/>
    <tableColumn id="13" name="Column5" dataDxfId="5049" totalsRowDxfId="5048"/>
    <tableColumn id="14" name="Column6" dataDxfId="5047" totalsRowDxfId="5046"/>
    <tableColumn id="15" name="Column7" dataDxfId="5045" totalsRowDxfId="5044"/>
    <tableColumn id="16" name="نام سایت 3" dataDxfId="5043" totalsRowDxfId="5042"/>
    <tableColumn id="17" name="نرخ پرش  " dataDxfId="5041" totalsRowDxfId="5040"/>
    <tableColumn id="18" name="تعداد صفحات مشاهده شده" dataDxfId="5039" totalsRowDxfId="5038"/>
    <tableColumn id="19" name="میزان زمان حضور در سایت" dataDxfId="5037" totalsRowDxfId="5036"/>
    <tableColumn id="20" name="ترافیک کل" totalsRowFunction="sum" dataDxfId="5035" totalsRowDxfId="5034"/>
    <tableColumn id="21" name="رتبه در سیمیلار وب" dataDxfId="5033" totalsRowDxfId="5032"/>
    <tableColumn id="22" name="نام سایت 2" dataDxfId="5031" totalsRowDxfId="5030"/>
    <tableColumn id="23" name="طبقه بندی" dataDxfId="5029" totalsRowDxfId="5028"/>
    <tableColumn id="24" name="بازار" dataDxfId="5027" totalsRowDxfId="5026"/>
    <tableColumn id="25" name="مجموع صفحات  مشاهده شده   " totalsRowFunction="sum" dataDxfId="5025" totalsRowDxfId="5024">
      <calculatedColumnFormula>(AA2*Y2)</calculatedColumnFormula>
    </tableColumn>
    <tableColumn id="26" name="مجموع زمان حضور در سایت " totalsRowFunction="sum" dataDxfId="5023" totalsRowDxfId="5022">
      <calculatedColumnFormula>((((RIGHT(Z2,2))/60)+(LEFT(Z2,2)))*AA2)</calculatedColumnFormula>
    </tableColumn>
    <tableColumn id="27" name="سهم سایت از کل ترافیک طبقه بندی" totalsRowFunction="sum" dataDxfId="5021" totalsRowDxfId="5020">
      <calculatedColumnFormula>(AA2/$AA$26)*100</calculatedColumnFormula>
    </tableColumn>
    <tableColumn id="28" name="شاخص هرفیندال هیرشمن (ترافیک)" totalsRowFunction="sum" dataDxfId="5019" totalsRowDxfId="5018">
      <calculatedColumnFormula>(AH2*AH2)</calculatedColumnFormula>
    </tableColumn>
    <tableColumn id="29" name="سهم سایت از کل صفحات مشاهده شده در طبقه بندی" totalsRowFunction="sum" dataDxfId="5017" totalsRowDxfId="5016">
      <calculatedColumnFormula>(AF2/$AF$26)*100</calculatedColumnFormula>
    </tableColumn>
    <tableColumn id="30" name="شاخص هرفیندال -هیرشمن (صفحات مشاهده شده )" totalsRowFunction="sum" dataDxfId="5015" totalsRowDxfId="5014">
      <calculatedColumnFormula>(AJ2*AJ2)</calculatedColumnFormula>
    </tableColumn>
    <tableColumn id="31" name="سهم سایت از کل زمان حضور در طبقه بندی" totalsRowFunction="sum" dataDxfId="5013" totalsRowDxfId="5012">
      <calculatedColumnFormula>(AG2/$AG$26)*100</calculatedColumnFormula>
    </tableColumn>
    <tableColumn id="32" name="شاخص هرفیندال هیرشمن (زمان حضور)" totalsRowFunction="sum" dataDxfId="5011" totalsRowDxfId="5010">
      <calculatedColumnFormula>(AL2*AL2)</calculatedColumnFormula>
    </tableColumn>
    <tableColumn id="33" name="نام سایت" dataDxfId="5009" totalsRowDxfId="500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41" name="Table136323436373839404142" displayName="Table136323436373839404142" ref="H1:AN30" totalsRowCount="1" headerRowDxfId="5007" headerRowBorderDxfId="5006" tableBorderDxfId="5005">
  <autoFilter ref="H1:AN29"/>
  <sortState ref="H2:AN29">
    <sortCondition descending="1" ref="AA1:AA2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004" totalsRowDxfId="5003"/>
    <tableColumn id="7" name="استان" dataDxfId="5002" totalsRowDxfId="5001"/>
    <tableColumn id="8" name="Column1" dataDxfId="5000" totalsRowDxfId="4999"/>
    <tableColumn id="9" name="IPG" dataDxfId="4998" totalsRowDxfId="4997"/>
    <tableColumn id="10" name="Column2" dataDxfId="4996" totalsRowDxfId="4995"/>
    <tableColumn id="11" name="Column3" dataDxfId="4994" totalsRowDxfId="4993"/>
    <tableColumn id="12" name="Column4" dataDxfId="4992" totalsRowDxfId="4991"/>
    <tableColumn id="13" name="Column5" dataDxfId="4990" totalsRowDxfId="4989"/>
    <tableColumn id="14" name="Column6" dataDxfId="4988" totalsRowDxfId="4987"/>
    <tableColumn id="15" name="Column7" dataDxfId="4986" totalsRowDxfId="4985"/>
    <tableColumn id="16" name="نام سایت 3" dataDxfId="4984" totalsRowDxfId="4983"/>
    <tableColumn id="17" name="نرخ پرش  " dataDxfId="4982" totalsRowDxfId="4981"/>
    <tableColumn id="18" name="تعداد صفحات مشاهده شده" dataDxfId="4980" totalsRowDxfId="4979"/>
    <tableColumn id="19" name="میزان زمان حضور در سایت" dataDxfId="4978" totalsRowDxfId="4977"/>
    <tableColumn id="20" name="ترافیک کل" totalsRowFunction="sum" dataDxfId="4976" totalsRowDxfId="4975"/>
    <tableColumn id="21" name="رتبه در سیمیلار وب" dataDxfId="4974" totalsRowDxfId="4973"/>
    <tableColumn id="22" name="نام سایت 2" dataDxfId="4972" totalsRowDxfId="4971"/>
    <tableColumn id="23" name="طبقه بندی" dataDxfId="4970" totalsRowDxfId="4969"/>
    <tableColumn id="24" name="بازار" dataDxfId="4968" totalsRowDxfId="4967"/>
    <tableColumn id="25" name="مجموع صفحات  مشاهده شده   " totalsRowFunction="sum" dataDxfId="4966" totalsRowDxfId="4965">
      <calculatedColumnFormula>(AA2*Y2)</calculatedColumnFormula>
    </tableColumn>
    <tableColumn id="26" name="مجموع زمان حضور در سایت " totalsRowFunction="sum" dataDxfId="4964" totalsRowDxfId="4963">
      <calculatedColumnFormula>((((RIGHT(Z2,2))/60)+(LEFT(Z2,2)))*AA2)</calculatedColumnFormula>
    </tableColumn>
    <tableColumn id="27" name="سهم سایت از کل ترافیک طبقه بندی" totalsRowFunction="sum" dataDxfId="4962" totalsRowDxfId="4961">
      <calculatedColumnFormula>(AA2/$AA$30)*100</calculatedColumnFormula>
    </tableColumn>
    <tableColumn id="28" name="شاخص هرفیندال هیرشمن (ترافیک)" totalsRowFunction="sum" dataDxfId="4960" totalsRowDxfId="4959">
      <calculatedColumnFormula>(AH2*AH2)</calculatedColumnFormula>
    </tableColumn>
    <tableColumn id="29" name="سهم سایت از کل صفحات مشاهده شده در طبقه بندی" totalsRowFunction="sum" dataDxfId="4958" totalsRowDxfId="4957">
      <calculatedColumnFormula>(AF2/$AF$30)*100</calculatedColumnFormula>
    </tableColumn>
    <tableColumn id="30" name="شاخص هرفیندال -هیرشمن (صفحات مشاهده شده )" totalsRowFunction="sum" dataDxfId="4956" totalsRowDxfId="4955">
      <calculatedColumnFormula>(AJ2*AJ2)</calculatedColumnFormula>
    </tableColumn>
    <tableColumn id="31" name="سهم سایت از کل زمان حضور در طبقه بندی" totalsRowFunction="sum" dataDxfId="4954" totalsRowDxfId="4953">
      <calculatedColumnFormula>(AG2/$AG$30)*100</calculatedColumnFormula>
    </tableColumn>
    <tableColumn id="32" name="شاخص هرفیندال هیرشمن (زمان حضور)" totalsRowFunction="sum" dataDxfId="4952" totalsRowDxfId="4951">
      <calculatedColumnFormula>(AL2*AL2)</calculatedColumnFormula>
    </tableColumn>
    <tableColumn id="33" name="نام سایت" dataDxfId="4950" totalsRowDxfId="4949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66" name="Table13664656667" displayName="Table13664656667" ref="H1:AN55" totalsRowCount="1" headerRowDxfId="4948" headerRowBorderDxfId="4947" tableBorderDxfId="4946">
  <autoFilter ref="H1:AN54"/>
  <sortState ref="H2:AN54">
    <sortCondition descending="1" ref="AA1:AA54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945" totalsRowDxfId="4944"/>
    <tableColumn id="7" name="استان" dataDxfId="4943" totalsRowDxfId="4942"/>
    <tableColumn id="8" name="Column1" dataDxfId="4941" totalsRowDxfId="4940"/>
    <tableColumn id="9" name="IPG" dataDxfId="4939" totalsRowDxfId="4938"/>
    <tableColumn id="10" name="Column2" dataDxfId="4937" totalsRowDxfId="4936"/>
    <tableColumn id="11" name="Column3" dataDxfId="4935" totalsRowDxfId="4934"/>
    <tableColumn id="12" name="Column4" dataDxfId="4933" totalsRowDxfId="4932"/>
    <tableColumn id="13" name="Column5" dataDxfId="4931" totalsRowDxfId="4930"/>
    <tableColumn id="14" name="Column6" dataDxfId="4929" totalsRowDxfId="4928"/>
    <tableColumn id="15" name="Column7" dataDxfId="4927" totalsRowDxfId="4926"/>
    <tableColumn id="16" name="نام سایت 3" dataDxfId="4925" totalsRowDxfId="4924"/>
    <tableColumn id="17" name="نرخ پرش  " dataDxfId="4923" totalsRowDxfId="4922"/>
    <tableColumn id="18" name="تعداد صفحات مشاهده شده" dataDxfId="4921" totalsRowDxfId="4920"/>
    <tableColumn id="19" name="میزان زمان حضور در سایت" dataDxfId="4919" totalsRowDxfId="4918"/>
    <tableColumn id="20" name="ترافیک کل" totalsRowFunction="sum" dataDxfId="4917" totalsRowDxfId="4916"/>
    <tableColumn id="21" name="رتبه در سیمیلار وب" dataDxfId="4915" totalsRowDxfId="4914"/>
    <tableColumn id="22" name="نام سایت 2" dataDxfId="4913" totalsRowDxfId="4912"/>
    <tableColumn id="23" name="طبقه بندی" dataDxfId="4911" totalsRowDxfId="4910"/>
    <tableColumn id="24" name="بازار" dataDxfId="4909" totalsRowDxfId="4908"/>
    <tableColumn id="25" name="مجموع صفحات  مشاهده شده   " totalsRowFunction="sum" dataDxfId="4907" totalsRowDxfId="4906">
      <calculatedColumnFormula>(AA2*Y2)</calculatedColumnFormula>
    </tableColumn>
    <tableColumn id="26" name="مجموع زمان حضور در سایت " totalsRowFunction="sum" dataDxfId="4905" totalsRowDxfId="4904">
      <calculatedColumnFormula>((((RIGHT(Z2,2))/60)+(LEFT(Z2,2)))*AA2)</calculatedColumnFormula>
    </tableColumn>
    <tableColumn id="27" name="سهم سایت از کل ترافیک طبقه بندی" totalsRowFunction="sum" dataDxfId="4903" totalsRowDxfId="4902">
      <calculatedColumnFormula>(AA2/$AA$55)*100</calculatedColumnFormula>
    </tableColumn>
    <tableColumn id="28" name="شاخص هرفیندال هیرشمن (ترافیک)" totalsRowFunction="sum" dataDxfId="4901" totalsRowDxfId="4900">
      <calculatedColumnFormula>(AH2*AH2)</calculatedColumnFormula>
    </tableColumn>
    <tableColumn id="29" name="سهم سایت از کل صفحات مشاهده شده در طبقه بندی" totalsRowFunction="sum" dataDxfId="4899" totalsRowDxfId="4898">
      <calculatedColumnFormula>(AF2/$AF$55)*100</calculatedColumnFormula>
    </tableColumn>
    <tableColumn id="30" name="شاخص هرفیندال -هیرشمن (صفحات مشاهده شده )" totalsRowFunction="sum" dataDxfId="4897" totalsRowDxfId="4896">
      <calculatedColumnFormula>(AJ2*AJ2)</calculatedColumnFormula>
    </tableColumn>
    <tableColumn id="31" name="سهم سایت از کل زمان حضور در طبقه بندی" totalsRowFunction="sum" dataDxfId="4895" totalsRowDxfId="4894">
      <calculatedColumnFormula>(AG2/2654.117)*100</calculatedColumnFormula>
    </tableColumn>
    <tableColumn id="32" name="شاخص هرفیندال هیرشمن (زمان حضور)" totalsRowFunction="sum" dataDxfId="4893" totalsRowDxfId="4892">
      <calculatedColumnFormula>(AL2*AL2)</calculatedColumnFormula>
    </tableColumn>
    <tableColumn id="33" name="نام سایت" dataDxfId="4891" totalsRowDxfId="489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52" name="Table13653" displayName="Table13653" ref="H1:AN17" totalsRowCount="1" headerRowDxfId="4889" headerRowBorderDxfId="4888" tableBorderDxfId="4887">
  <autoFilter ref="H1:AN16"/>
  <sortState ref="H2:AN16">
    <sortCondition descending="1" ref="AA1:AA16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886" totalsRowDxfId="4885"/>
    <tableColumn id="7" name="استان" dataDxfId="4884" totalsRowDxfId="4883"/>
    <tableColumn id="8" name="Column1" dataDxfId="4882" totalsRowDxfId="4881"/>
    <tableColumn id="9" name="IPG" dataDxfId="4880" totalsRowDxfId="4879"/>
    <tableColumn id="10" name="Column2" dataDxfId="4878" totalsRowDxfId="4877"/>
    <tableColumn id="11" name="Column3" dataDxfId="4876" totalsRowDxfId="4875"/>
    <tableColumn id="12" name="Column4" dataDxfId="4874" totalsRowDxfId="4873"/>
    <tableColumn id="13" name="Column5" dataDxfId="4872" totalsRowDxfId="4871"/>
    <tableColumn id="14" name="Column6" dataDxfId="4870" totalsRowDxfId="4869"/>
    <tableColumn id="15" name="Column7" dataDxfId="4868" totalsRowDxfId="4867"/>
    <tableColumn id="16" name="نام سایت 3" dataDxfId="4866" totalsRowDxfId="4865"/>
    <tableColumn id="17" name="نرخ پرش  " dataDxfId="4864" totalsRowDxfId="4863"/>
    <tableColumn id="18" name="تعداد صفحات مشاهده شده" dataDxfId="4862" totalsRowDxfId="4861"/>
    <tableColumn id="19" name="میزان زمان حضور در سایت" dataDxfId="4860" totalsRowDxfId="4859"/>
    <tableColumn id="20" name="ترافیک کل" totalsRowFunction="sum" dataDxfId="4858" totalsRowDxfId="4857"/>
    <tableColumn id="21" name="رتبه در سیمیلار وب" dataDxfId="4856" totalsRowDxfId="4855"/>
    <tableColumn id="22" name="نام سایت 2" dataDxfId="4854" totalsRowDxfId="4853"/>
    <tableColumn id="23" name="طبقه بندی" dataDxfId="4852" totalsRowDxfId="4851"/>
    <tableColumn id="24" name="بازار" dataDxfId="4850" totalsRowDxfId="4849"/>
    <tableColumn id="25" name="مجموع صفحات  مشاهده شده   " totalsRowFunction="sum" dataDxfId="4848" totalsRowDxfId="4847">
      <calculatedColumnFormula>(AA2*Y2)</calculatedColumnFormula>
    </tableColumn>
    <tableColumn id="26" name="مجموع زمان حضور در سایت " totalsRowFunction="sum" dataDxfId="4846" totalsRowDxfId="4845">
      <calculatedColumnFormula>((((RIGHT(Z2,2))/60)+(LEFT(Z2,2)))*AA2)</calculatedColumnFormula>
    </tableColumn>
    <tableColumn id="27" name="سهم سایت از کل ترافیک طبقه بندی" totalsRowFunction="sum" dataDxfId="4844" totalsRowDxfId="4843">
      <calculatedColumnFormula>(AA2/$AA$17)*100</calculatedColumnFormula>
    </tableColumn>
    <tableColumn id="28" name="شاخص هرفیندال هیرشمن (ترافیک)" totalsRowFunction="sum" dataDxfId="4842" totalsRowDxfId="4841">
      <calculatedColumnFormula>(AH2*AH2)</calculatedColumnFormula>
    </tableColumn>
    <tableColumn id="29" name="سهم سایت از کل صفحات مشاهده شده در طبقه بندی" totalsRowFunction="sum" dataDxfId="4840" totalsRowDxfId="4839">
      <calculatedColumnFormula>(AF2/$AF$17)*100</calculatedColumnFormula>
    </tableColumn>
    <tableColumn id="30" name="شاخص هرفیندال -هیرشمن (صفحات مشاهده شده )" totalsRowFunction="sum" dataDxfId="4838" totalsRowDxfId="4837">
      <calculatedColumnFormula>(AJ2*AJ2)</calculatedColumnFormula>
    </tableColumn>
    <tableColumn id="31" name="سهم سایت از کل زمان حضور در طبقه بندی" totalsRowFunction="sum" dataDxfId="4836" totalsRowDxfId="4835">
      <calculatedColumnFormula>(AG2/$AG$17)*100</calculatedColumnFormula>
    </tableColumn>
    <tableColumn id="32" name="شاخص هرفیندال هیرشمن (زمان حضور)" totalsRowFunction="sum" dataDxfId="4834" totalsRowDxfId="4833">
      <calculatedColumnFormula>(AL2*AL2)</calculatedColumnFormula>
    </tableColumn>
    <tableColumn id="33" name="نام سایت" dataDxfId="4832" totalsRowDxfId="4831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9" name="Table13632343637383940" displayName="Table13632343637383940" ref="H1:AN14" totalsRowCount="1" headerRowDxfId="4830" headerRowBorderDxfId="4829" tableBorderDxfId="4828">
  <autoFilter ref="H1:AN13"/>
  <sortState ref="H2:AN13">
    <sortCondition descending="1" ref="AA1:AA13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827" totalsRowDxfId="4826"/>
    <tableColumn id="7" name="استان" dataDxfId="4825" totalsRowDxfId="4824"/>
    <tableColumn id="8" name="Column1" dataDxfId="4823" totalsRowDxfId="4822"/>
    <tableColumn id="9" name="IPG" dataDxfId="4821" totalsRowDxfId="4820"/>
    <tableColumn id="10" name="Column2" dataDxfId="4819" totalsRowDxfId="4818"/>
    <tableColumn id="11" name="Column3" dataDxfId="4817" totalsRowDxfId="4816"/>
    <tableColumn id="12" name="Column4" dataDxfId="4815" totalsRowDxfId="4814"/>
    <tableColumn id="13" name="Column5" dataDxfId="4813" totalsRowDxfId="4812"/>
    <tableColumn id="14" name="Column6" dataDxfId="4811" totalsRowDxfId="4810"/>
    <tableColumn id="15" name="Column7" dataDxfId="4809" totalsRowDxfId="4808"/>
    <tableColumn id="16" name="نام سایت 3" dataDxfId="4807" totalsRowDxfId="4806"/>
    <tableColumn id="17" name="نرخ پرش  " dataDxfId="4805" totalsRowDxfId="4804"/>
    <tableColumn id="18" name="تعداد صفحات مشاهده شده" dataDxfId="4803" totalsRowDxfId="4802"/>
    <tableColumn id="19" name="میزان زمان حضور در سایت" dataDxfId="4801" totalsRowDxfId="4800"/>
    <tableColumn id="20" name="ترافیک کل" totalsRowFunction="sum" dataDxfId="4799" totalsRowDxfId="4798"/>
    <tableColumn id="21" name="رتبه در سیمیلار وب" dataDxfId="4797" totalsRowDxfId="4796"/>
    <tableColumn id="22" name="نام سایت 2" dataDxfId="4795" totalsRowDxfId="4794"/>
    <tableColumn id="23" name="طبقه بندی" dataDxfId="4793" totalsRowDxfId="4792"/>
    <tableColumn id="24" name="بازار" dataDxfId="4791" totalsRowDxfId="4790"/>
    <tableColumn id="25" name="مجموع صفحات  مشاهده شده   " totalsRowFunction="sum" dataDxfId="4789" totalsRowDxfId="4788">
      <calculatedColumnFormula>(AA2*Y2)</calculatedColumnFormula>
    </tableColumn>
    <tableColumn id="26" name="مجموع زمان حضور در سایت " totalsRowFunction="sum" dataDxfId="4787" totalsRowDxfId="4786">
      <calculatedColumnFormula>((((RIGHT(Z2,2))/60)+(LEFT(Z2,2)))*AA2)</calculatedColumnFormula>
    </tableColumn>
    <tableColumn id="27" name="سهم سایت از کل ترافیک طبقه بندی" totalsRowFunction="sum" dataDxfId="4785" totalsRowDxfId="4784">
      <calculatedColumnFormula>(AA2/$AA$14)*100</calculatedColumnFormula>
    </tableColumn>
    <tableColumn id="28" name="شاخص هرفیندال هیرشمن (ترافیک)" totalsRowFunction="sum" dataDxfId="4783" totalsRowDxfId="4782">
      <calculatedColumnFormula>(AH2*AH2)</calculatedColumnFormula>
    </tableColumn>
    <tableColumn id="29" name="سهم سایت از کل صفحات مشاهده شده در طبقه بندی" totalsRowFunction="sum" dataDxfId="4781" totalsRowDxfId="4780">
      <calculatedColumnFormula>(AF2/$AF$14)*100</calculatedColumnFormula>
    </tableColumn>
    <tableColumn id="30" name="شاخص هرفیندال -هیرشمن (صفحات مشاهده شده )" totalsRowFunction="sum" dataDxfId="4779" totalsRowDxfId="4778">
      <calculatedColumnFormula>(AJ2*AJ2)</calculatedColumnFormula>
    </tableColumn>
    <tableColumn id="31" name="سهم سایت از کل زمان حضور در طبقه بندی" totalsRowFunction="sum" dataDxfId="4777" totalsRowDxfId="4776">
      <calculatedColumnFormula>(AG2/$AG$14)*100</calculatedColumnFormula>
    </tableColumn>
    <tableColumn id="32" name="شاخص هرفیندال هیرشمن (زمان حضور)" totalsRowFunction="sum" dataDxfId="4775" totalsRowDxfId="4774">
      <calculatedColumnFormula>(AL2*AL2)</calculatedColumnFormula>
    </tableColumn>
    <tableColumn id="33" name="نام سایت" dataDxfId="4773" totalsRowDxfId="4772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40" name="Table1363234363738394041" displayName="Table1363234363738394041" ref="H1:AN8" totalsRowCount="1" headerRowDxfId="4771" headerRowBorderDxfId="4770" tableBorderDxfId="4769">
  <autoFilter ref="H1:AN7"/>
  <sortState ref="H2:AN7">
    <sortCondition descending="1" ref="AA1:AA7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768" totalsRowDxfId="4767"/>
    <tableColumn id="7" name="استان" dataDxfId="4766" totalsRowDxfId="4765"/>
    <tableColumn id="8" name="Column1" dataDxfId="4764" totalsRowDxfId="4763"/>
    <tableColumn id="9" name="IPG" dataDxfId="4762" totalsRowDxfId="4761"/>
    <tableColumn id="10" name="Column2" dataDxfId="4760" totalsRowDxfId="4759"/>
    <tableColumn id="11" name="Column3" dataDxfId="4758" totalsRowDxfId="4757"/>
    <tableColumn id="12" name="Column4" dataDxfId="4756" totalsRowDxfId="4755"/>
    <tableColumn id="13" name="Column5" dataDxfId="4754" totalsRowDxfId="4753"/>
    <tableColumn id="14" name="Column6" dataDxfId="4752" totalsRowDxfId="4751"/>
    <tableColumn id="15" name="Column7" dataDxfId="4750" totalsRowDxfId="4749"/>
    <tableColumn id="16" name="نام سایت 3" dataDxfId="4748" totalsRowDxfId="4747"/>
    <tableColumn id="17" name="نرخ پرش  " dataDxfId="4746" totalsRowDxfId="4745"/>
    <tableColumn id="18" name="تعداد صفحات مشاهده شده" dataDxfId="4744" totalsRowDxfId="4743"/>
    <tableColumn id="19" name="میزان زمان حضور در سایت" dataDxfId="4742" totalsRowDxfId="4741"/>
    <tableColumn id="20" name="ترافیک کل" totalsRowFunction="sum" dataDxfId="4740" totalsRowDxfId="4739"/>
    <tableColumn id="21" name="رتبه در سیمیلار وب" dataDxfId="4738" totalsRowDxfId="4737"/>
    <tableColumn id="22" name="نام سایت 2" dataDxfId="4736" totalsRowDxfId="4735"/>
    <tableColumn id="23" name="طبقه بندی" dataDxfId="4734" totalsRowDxfId="4733"/>
    <tableColumn id="24" name="بازار" dataDxfId="4732" totalsRowDxfId="4731"/>
    <tableColumn id="25" name="مجموع صفحات  مشاهده شده   " totalsRowFunction="sum" dataDxfId="4730" totalsRowDxfId="4729">
      <calculatedColumnFormula>(AA2*Y2)</calculatedColumnFormula>
    </tableColumn>
    <tableColumn id="26" name="مجموع زمان حضور در سایت " totalsRowFunction="sum" dataDxfId="4728" totalsRowDxfId="4727">
      <calculatedColumnFormula>((((RIGHT(Z2,2))/60)+(LEFT(Z2,2)))*AA2)</calculatedColumnFormula>
    </tableColumn>
    <tableColumn id="27" name="سهم سایت از کل ترافیک طبقه بندی" totalsRowFunction="sum" dataDxfId="4726" totalsRowDxfId="4725">
      <calculatedColumnFormula>(AA2/$AA$8)*100</calculatedColumnFormula>
    </tableColumn>
    <tableColumn id="28" name="شاخص هرفیندال هیرشمن (ترافیک)" totalsRowFunction="sum" dataDxfId="4724" totalsRowDxfId="4723">
      <calculatedColumnFormula>(AH2*AH2)</calculatedColumnFormula>
    </tableColumn>
    <tableColumn id="29" name="سهم سایت از کل صفحات مشاهده شده در طبقه بندی" totalsRowFunction="sum" dataDxfId="4722" totalsRowDxfId="4721">
      <calculatedColumnFormula>(AF2/$AF$8)*100</calculatedColumnFormula>
    </tableColumn>
    <tableColumn id="30" name="شاخص هرفیندال -هیرشمن (صفحات مشاهده شده )" totalsRowFunction="sum" dataDxfId="4720" totalsRowDxfId="4719">
      <calculatedColumnFormula>(AJ2*AJ2)</calculatedColumnFormula>
    </tableColumn>
    <tableColumn id="31" name="سهم سایت از کل زمان حضور در طبقه بندی" totalsRowFunction="sum" dataDxfId="4718" totalsRowDxfId="4717">
      <calculatedColumnFormula>(AG2/$AG$8)*100</calculatedColumnFormula>
    </tableColumn>
    <tableColumn id="32" name="شاخص هرفیندال هیرشمن (زمان حضور)" totalsRowFunction="sum" dataDxfId="4716" totalsRowDxfId="4715">
      <calculatedColumnFormula>(AL2*AL2)</calculatedColumnFormula>
    </tableColumn>
    <tableColumn id="33" name="نام سایت" dataDxfId="4714" totalsRowDxfId="47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113" name="Table13632343637113114" displayName="Table13632343637113114" ref="H1:AN5" totalsRowCount="1" headerRowDxfId="4712" headerRowBorderDxfId="4711" tableBorderDxfId="4710">
  <autoFilter ref="H1:AN4"/>
  <sortState ref="H2:AN4">
    <sortCondition descending="1" ref="AL1:AL4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709" totalsRowDxfId="4708"/>
    <tableColumn id="7" name="استان" dataDxfId="4707" totalsRowDxfId="4706"/>
    <tableColumn id="8" name="Column1" dataDxfId="4705" totalsRowDxfId="4704"/>
    <tableColumn id="9" name="IPG" dataDxfId="4703" totalsRowDxfId="4702"/>
    <tableColumn id="10" name="Column2" dataDxfId="4701" totalsRowDxfId="4700"/>
    <tableColumn id="11" name="Column3" dataDxfId="4699" totalsRowDxfId="4698"/>
    <tableColumn id="12" name="Column4" dataDxfId="4697" totalsRowDxfId="4696"/>
    <tableColumn id="13" name="Column5" dataDxfId="4695" totalsRowDxfId="4694"/>
    <tableColumn id="14" name="Column6" dataDxfId="4693" totalsRowDxfId="4692"/>
    <tableColumn id="15" name="Column7" dataDxfId="4691" totalsRowDxfId="4690"/>
    <tableColumn id="16" name="نام سایت 3" dataDxfId="4689" totalsRowDxfId="4688"/>
    <tableColumn id="17" name="نرخ پرش  " dataDxfId="4687" totalsRowDxfId="4686"/>
    <tableColumn id="18" name="تعداد صفحات مشاهده شده" dataDxfId="4685" totalsRowDxfId="4684"/>
    <tableColumn id="19" name="میزان زمان حضور در سایت" dataDxfId="4683" totalsRowDxfId="4682"/>
    <tableColumn id="20" name="ترافیک کل" totalsRowFunction="sum" dataDxfId="4681" totalsRowDxfId="4680"/>
    <tableColumn id="21" name="رتبه در سیمیلار وب" dataDxfId="4679" totalsRowDxfId="4678"/>
    <tableColumn id="22" name="نام سایت 2" dataDxfId="4677" totalsRowDxfId="4676"/>
    <tableColumn id="23" name="طبقه بندی" dataDxfId="4675" totalsRowDxfId="4674"/>
    <tableColumn id="24" name="بازار" dataDxfId="4673" totalsRowDxfId="4672"/>
    <tableColumn id="25" name="مجموع صفحات  مشاهده شده   " totalsRowFunction="sum" dataDxfId="4671" totalsRowDxfId="4670">
      <calculatedColumnFormula>(AA2*Y2)</calculatedColumnFormula>
    </tableColumn>
    <tableColumn id="26" name="مجموع زمان حضور در سایت " totalsRowFunction="sum" dataDxfId="4669" totalsRowDxfId="4668">
      <calculatedColumnFormula>((((RIGHT(Z2,2))/60)+(LEFT(Z2,2)))*AA2)</calculatedColumnFormula>
    </tableColumn>
    <tableColumn id="27" name="سهم سایت از کل ترافیک طبقه بندی" totalsRowFunction="sum" dataDxfId="4667" totalsRowDxfId="4666">
      <calculatedColumnFormula>(AA2/$AA$5)*100</calculatedColumnFormula>
    </tableColumn>
    <tableColumn id="28" name="شاخص هرفیندال هیرشمن (ترافیک)" totalsRowFunction="sum" dataDxfId="4665" totalsRowDxfId="4664">
      <calculatedColumnFormula>(AH2*AH2)</calculatedColumnFormula>
    </tableColumn>
    <tableColumn id="29" name="سهم سایت از کل صفحات مشاهده شده در طبقه بندی" totalsRowFunction="sum" dataDxfId="4663" totalsRowDxfId="4662">
      <calculatedColumnFormula>(AF2/$AF$5)*100</calculatedColumnFormula>
    </tableColumn>
    <tableColumn id="30" name="شاخص هرفیندال -هیرشمن (صفحات مشاهده شده )" totalsRowFunction="sum" dataDxfId="4661" totalsRowDxfId="4660">
      <calculatedColumnFormula>(AJ2*AJ2)</calculatedColumnFormula>
    </tableColumn>
    <tableColumn id="31" name="سهم سایت از کل زمان حضور در طبقه بندی" totalsRowFunction="sum" dataDxfId="4659" totalsRowDxfId="4658">
      <calculatedColumnFormula>(AG2/$AG$5)*100</calculatedColumnFormula>
    </tableColumn>
    <tableColumn id="32" name="شاخص هرفیندال هیرشمن (زمان حضور)" totalsRowFunction="sum" dataDxfId="4657" totalsRowDxfId="4656">
      <calculatedColumnFormula>(AL2*AL2)</calculatedColumnFormula>
    </tableColumn>
    <tableColumn id="33" name="نام سایت" dataDxfId="4655" totalsRowDxfId="465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14" name="Table1369111215" displayName="Table1369111215" ref="H1:AN91" totalsRowCount="1" headerRowDxfId="4653" headerRowBorderDxfId="4652" tableBorderDxfId="4651">
  <autoFilter ref="H1:AN90"/>
  <sortState ref="H2:AN90">
    <sortCondition descending="1" ref="AA1:AA90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650" totalsRowDxfId="4649"/>
    <tableColumn id="7" name="استان" dataDxfId="4648" totalsRowDxfId="4647"/>
    <tableColumn id="8" name="Column1" dataDxfId="4646" totalsRowDxfId="4645"/>
    <tableColumn id="9" name="IPG" dataDxfId="4644" totalsRowDxfId="4643"/>
    <tableColumn id="10" name="Column2" dataDxfId="4642" totalsRowDxfId="4641"/>
    <tableColumn id="11" name="Column3" dataDxfId="4640" totalsRowDxfId="4639"/>
    <tableColumn id="12" name="Column4" dataDxfId="4638" totalsRowDxfId="4637"/>
    <tableColumn id="13" name="Column5" dataDxfId="4636" totalsRowDxfId="4635"/>
    <tableColumn id="14" name="Column6" dataDxfId="4634" totalsRowDxfId="4633"/>
    <tableColumn id="15" name="Column7" dataDxfId="4632" totalsRowDxfId="4631"/>
    <tableColumn id="16" name="نام سایت 3" dataDxfId="4630" totalsRowDxfId="4629"/>
    <tableColumn id="17" name="نرخ پرش  " dataDxfId="4628" totalsRowDxfId="4627"/>
    <tableColumn id="18" name="تعداد صفحات مشاهده شده" dataDxfId="4626" totalsRowDxfId="4625"/>
    <tableColumn id="19" name="میزان زمان حضور در سایت" dataDxfId="4624" totalsRowDxfId="4623"/>
    <tableColumn id="20" name="ترافیک کل" totalsRowFunction="sum" dataDxfId="4622" totalsRowDxfId="4621"/>
    <tableColumn id="21" name="رتبه در سیمیلار وب" dataDxfId="4620" totalsRowDxfId="4619"/>
    <tableColumn id="22" name="نام سایت 2" dataDxfId="4618" totalsRowDxfId="4617"/>
    <tableColumn id="23" name="طبقه بندی" dataDxfId="4616" totalsRowDxfId="4615"/>
    <tableColumn id="24" name="بازار" dataDxfId="4614" totalsRowDxfId="4613"/>
    <tableColumn id="25" name="مجموع صفحات  مشاهده شده   " totalsRowFunction="sum" dataDxfId="4612" totalsRowDxfId="4611">
      <calculatedColumnFormula>(AA2*Y2)</calculatedColumnFormula>
    </tableColumn>
    <tableColumn id="26" name="مجموع زمان حضور در سایت " totalsRowFunction="sum" dataDxfId="4610" totalsRowDxfId="4609">
      <calculatedColumnFormula>((((RIGHT(Z2,2))/60)+(LEFT(Z2,2)))*AA2)</calculatedColumnFormula>
    </tableColumn>
    <tableColumn id="27" name="سهم سایت از کل ترافیک طبقه بندی" totalsRowFunction="sum" dataDxfId="4608" totalsRowDxfId="4607">
      <calculatedColumnFormula>(AA2/$AA$91)*100</calculatedColumnFormula>
    </tableColumn>
    <tableColumn id="28" name="شاخص هرفیندال هیرشمن (ترافیک)" totalsRowFunction="sum" dataDxfId="4606" totalsRowDxfId="4605">
      <calculatedColumnFormula>(AH2*AH2)</calculatedColumnFormula>
    </tableColumn>
    <tableColumn id="29" name="سهم سایت از کل صفحات مشاهده شده در طبقه بندی" totalsRowFunction="sum" dataDxfId="4604" totalsRowDxfId="4603">
      <calculatedColumnFormula>(AF2/$AF$91)*100</calculatedColumnFormula>
    </tableColumn>
    <tableColumn id="30" name="شاخص هرفیندال -هیرشمن (صفحات مشاهده شده )" totalsRowFunction="sum" dataDxfId="4602" totalsRowDxfId="4601">
      <calculatedColumnFormula>(AJ2*AJ2)</calculatedColumnFormula>
    </tableColumn>
    <tableColumn id="31" name="سهم سایت از کل زمان حضور در طبقه بندی" totalsRowFunction="sum" dataDxfId="4600" totalsRowDxfId="4599">
      <calculatedColumnFormula>(AG2/$AG$91)*100</calculatedColumnFormula>
    </tableColumn>
    <tableColumn id="32" name="شاخص هرفیندال هیرشمن (زمان حضور)" totalsRowFunction="sum" dataDxfId="4598" totalsRowDxfId="4597">
      <calculatedColumnFormula>(AL2*AL2)</calculatedColumnFormula>
    </tableColumn>
    <tableColumn id="33" name="نام سایت" dataDxfId="4596" totalsRowDxfId="45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8" name="Table1369" displayName="Table1369" ref="H1:AN28" totalsRowCount="1" headerRowDxfId="4594" headerRowBorderDxfId="4593" tableBorderDxfId="4592">
  <autoFilter ref="H1:AN27"/>
  <sortState ref="H2:AN27">
    <sortCondition descending="1" ref="AA1:AA27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591" totalsRowDxfId="4590"/>
    <tableColumn id="7" name="استان" dataDxfId="4589" totalsRowDxfId="4588"/>
    <tableColumn id="8" name="Column1" dataDxfId="4587" totalsRowDxfId="4586"/>
    <tableColumn id="9" name="IPG" dataDxfId="4585" totalsRowDxfId="4584"/>
    <tableColumn id="10" name="Column2" dataDxfId="4583" totalsRowDxfId="4582"/>
    <tableColumn id="11" name="Column3" dataDxfId="4581" totalsRowDxfId="4580"/>
    <tableColumn id="12" name="Column4" dataDxfId="4579" totalsRowDxfId="4578"/>
    <tableColumn id="13" name="Column5" dataDxfId="4577" totalsRowDxfId="4576"/>
    <tableColumn id="14" name="Column6" dataDxfId="4575" totalsRowDxfId="4574"/>
    <tableColumn id="15" name="Column7" dataDxfId="4573" totalsRowDxfId="4572"/>
    <tableColumn id="16" name="نام سایت 3" dataDxfId="4571" totalsRowDxfId="4570"/>
    <tableColumn id="17" name="نرخ پرش  " dataDxfId="4569" totalsRowDxfId="4568"/>
    <tableColumn id="18" name="تعداد صفحات مشاهده شده" dataDxfId="4567" totalsRowDxfId="4566"/>
    <tableColumn id="19" name="میزان زمان حضور در سایت" dataDxfId="4565" totalsRowDxfId="4564"/>
    <tableColumn id="20" name="ترافیک کل" totalsRowFunction="sum" dataDxfId="4563" totalsRowDxfId="4562"/>
    <tableColumn id="21" name="رتبه در سیمیلار وب" dataDxfId="4561" totalsRowDxfId="4560"/>
    <tableColumn id="22" name="نام سایت 2" dataDxfId="4559" totalsRowDxfId="4558"/>
    <tableColumn id="23" name="طبقه بندی" dataDxfId="4557" totalsRowDxfId="4556"/>
    <tableColumn id="24" name="بازار" dataDxfId="4555" totalsRowDxfId="4554"/>
    <tableColumn id="25" name="مجموع صفحات  مشاهده شده   " totalsRowFunction="sum" dataDxfId="4553" totalsRowDxfId="4552">
      <calculatedColumnFormula>(AA2*Y2)</calculatedColumnFormula>
    </tableColumn>
    <tableColumn id="26" name="مجموع زمان حضور در سایت " totalsRowFunction="sum" dataDxfId="4551" totalsRowDxfId="4550">
      <calculatedColumnFormula>((((RIGHT(Z2,2))/60)+(LEFT(Z2,2)))*AA2)</calculatedColumnFormula>
    </tableColumn>
    <tableColumn id="27" name="سهم سایت از کل ترافیک طبقه بندی" totalsRowFunction="sum" dataDxfId="4549" totalsRowDxfId="4548">
      <calculatedColumnFormula>(AA2/$AA$28)*100</calculatedColumnFormula>
    </tableColumn>
    <tableColumn id="28" name="شاخص هرفیندال هیرشمن (ترافیک)" totalsRowFunction="sum" dataDxfId="4547" totalsRowDxfId="4546">
      <calculatedColumnFormula>(AH2*AH2)</calculatedColumnFormula>
    </tableColumn>
    <tableColumn id="29" name="سهم سایت از کل صفحات مشاهده شده در طبقه بندی" totalsRowFunction="sum" dataDxfId="4545" totalsRowDxfId="4544">
      <calculatedColumnFormula>(AF2/$AF$28)*100</calculatedColumnFormula>
    </tableColumn>
    <tableColumn id="30" name="شاخص هرفیندال -هیرشمن (صفحات مشاهده شده )" totalsRowFunction="sum" dataDxfId="4543" totalsRowDxfId="4542">
      <calculatedColumnFormula>(AJ2*AJ2)</calculatedColumnFormula>
    </tableColumn>
    <tableColumn id="31" name="سهم سایت از کل زمان حضور در طبقه بندی" totalsRowFunction="sum" dataDxfId="4541" totalsRowDxfId="4540">
      <calculatedColumnFormula>(AG2/$AG$28)*100</calculatedColumnFormula>
    </tableColumn>
    <tableColumn id="32" name="شاخص هرفیندال هیرشمن (زمان حضور)" totalsRowFunction="sum" dataDxfId="4539" totalsRowDxfId="4538">
      <calculatedColumnFormula>(AL2*AL2)</calculatedColumnFormula>
    </tableColumn>
    <tableColumn id="33" name="نام سایت" dataDxfId="4537" totalsRowDxfId="453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6" name="Table1367" displayName="Table1367" ref="H1:AN28" totalsRowCount="1" headerRowDxfId="4535" headerRowBorderDxfId="4534" tableBorderDxfId="4533">
  <autoFilter ref="H1:AN27"/>
  <sortState ref="H2:AN27">
    <sortCondition descending="1" ref="AA1:AA27"/>
  </sortState>
  <tableColumns count="33">
    <tableColumn id="1" name="12" dataDxfId="4532" totalsRowDxfId="4531"/>
    <tableColumn id="2" name="11" dataDxfId="4530" totalsRowDxfId="4529"/>
    <tableColumn id="3" name="10" dataDxfId="4528" totalsRowDxfId="4527"/>
    <tableColumn id="4" name="9" dataDxfId="4526" totalsRowDxfId="4525"/>
    <tableColumn id="5" name="8" dataDxfId="4524" totalsRowDxfId="4523"/>
    <tableColumn id="6" name="نام سایت " dataDxfId="4522" totalsRowDxfId="4521"/>
    <tableColumn id="7" name="استان" dataDxfId="4520" totalsRowDxfId="4519"/>
    <tableColumn id="8" name="7" dataDxfId="4518" totalsRowDxfId="4517"/>
    <tableColumn id="9" name="IPG" dataDxfId="4516" totalsRowDxfId="4515"/>
    <tableColumn id="10" name="Column1" dataDxfId="4514" totalsRowDxfId="4513"/>
    <tableColumn id="11" name="Column2" dataDxfId="4512" totalsRowDxfId="4511"/>
    <tableColumn id="12" name="Column3" dataDxfId="4510" totalsRowDxfId="4509"/>
    <tableColumn id="13" name="Column4" dataDxfId="4508" totalsRowDxfId="4507"/>
    <tableColumn id="14" name="Column5" dataDxfId="4506" totalsRowDxfId="4505"/>
    <tableColumn id="15" name="Column6" dataDxfId="4504" totalsRowDxfId="4503"/>
    <tableColumn id="16" name="نام سایت 3" dataDxfId="4502" totalsRowDxfId="4501"/>
    <tableColumn id="17" name="نرخ پرش  " dataDxfId="4500" totalsRowDxfId="4499"/>
    <tableColumn id="18" name="تعداد صفحات مشاهده شده" dataDxfId="4498" totalsRowDxfId="4497"/>
    <tableColumn id="19" name="میزان زمان حضور در سایت" dataDxfId="4496" totalsRowDxfId="4495"/>
    <tableColumn id="20" name="ترافیک کل" totalsRowFunction="sum" dataDxfId="4494" totalsRowDxfId="4493"/>
    <tableColumn id="21" name="رتبه در سیمیلار وب" dataDxfId="4492" totalsRowDxfId="4491"/>
    <tableColumn id="22" name="نام سایت 2" dataDxfId="4490" totalsRowDxfId="4489"/>
    <tableColumn id="23" name="طبقه بندی" dataDxfId="4488" totalsRowDxfId="4487"/>
    <tableColumn id="24" name="بازار" dataDxfId="4486" totalsRowDxfId="4485"/>
    <tableColumn id="25" name="مجموع صفحات  مشاهده شده   " totalsRowFunction="sum" dataDxfId="4484" totalsRowDxfId="4483">
      <calculatedColumnFormula>(AA2*Y2)</calculatedColumnFormula>
    </tableColumn>
    <tableColumn id="26" name="مجموع زمان حضور در سایت " totalsRowFunction="sum" dataDxfId="4482" totalsRowDxfId="4481">
      <calculatedColumnFormula>((((RIGHT(Z2,2))/60)+(LEFT(Z2,2)))*AA2)</calculatedColumnFormula>
    </tableColumn>
    <tableColumn id="27" name="سهم سایت از کل ترافیک طبقه بندی" totalsRowFunction="sum" dataDxfId="4480" totalsRowDxfId="4479">
      <calculatedColumnFormula>(AA2/$AA$28)*100</calculatedColumnFormula>
    </tableColumn>
    <tableColumn id="28" name="شاخص هرفیندال هیرشمن (ترافیک)" totalsRowFunction="sum" dataDxfId="4478" totalsRowDxfId="4477">
      <calculatedColumnFormula>(AH2*AH2)</calculatedColumnFormula>
    </tableColumn>
    <tableColumn id="29" name="سهم سایت از کل صفحات مشاهده شده در طبقه بندی" totalsRowFunction="sum" dataDxfId="4476" totalsRowDxfId="4475">
      <calculatedColumnFormula>(AF2/$AF$28)*100</calculatedColumnFormula>
    </tableColumn>
    <tableColumn id="30" name="شاخص هرفیندال -هیرشمن (صفحات مشاهده شده )" totalsRowFunction="sum" dataDxfId="4474" totalsRowDxfId="4473">
      <calculatedColumnFormula>(AJ2*AJ2)</calculatedColumnFormula>
    </tableColumn>
    <tableColumn id="31" name="سهم سایت از کل زمان حضور در طبقه بندی" totalsRowFunction="sum" dataDxfId="4472" totalsRowDxfId="4471">
      <calculatedColumnFormula>(AG2/$AG$28)*100</calculatedColumnFormula>
    </tableColumn>
    <tableColumn id="32" name="شاخص هرفیندال هیرشمن (زمان حضور)" totalsRowFunction="sum" dataDxfId="4470" totalsRowDxfId="4469">
      <calculatedColumnFormula>(AL2*AL2)</calculatedColumnFormula>
    </tableColumn>
    <tableColumn id="33" name="نام سایت" dataDxfId="4468" totalsRowDxfId="446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15" name="Table136911121516" displayName="Table136911121516" ref="H1:AN70" totalsRowCount="1" headerRowDxfId="4466" headerRowBorderDxfId="4465" tableBorderDxfId="4464">
  <autoFilter ref="H1:AN69"/>
  <sortState ref="H2:AN69">
    <sortCondition descending="1" ref="AA1:AA6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463" totalsRowDxfId="4462"/>
    <tableColumn id="7" name="استان" dataDxfId="4461" totalsRowDxfId="4460"/>
    <tableColumn id="8" name="Column1" dataDxfId="4459" totalsRowDxfId="4458"/>
    <tableColumn id="9" name="IPG" dataDxfId="4457" totalsRowDxfId="4456"/>
    <tableColumn id="10" name="Column2" dataDxfId="4455" totalsRowDxfId="4454"/>
    <tableColumn id="11" name="Column3" dataDxfId="4453" totalsRowDxfId="4452"/>
    <tableColumn id="12" name="Column4" dataDxfId="4451" totalsRowDxfId="4450"/>
    <tableColumn id="13" name="Column5" dataDxfId="4449" totalsRowDxfId="4448"/>
    <tableColumn id="14" name="Column6" dataDxfId="4447" totalsRowDxfId="4446"/>
    <tableColumn id="15" name="Column7" dataDxfId="4445" totalsRowDxfId="4444"/>
    <tableColumn id="16" name="نام سایت 3" dataDxfId="4443" totalsRowDxfId="4442"/>
    <tableColumn id="17" name="نرخ پرش  " dataDxfId="4441" totalsRowDxfId="4440"/>
    <tableColumn id="18" name="تعداد صفحات مشاهده شده" dataDxfId="4439" totalsRowDxfId="4438"/>
    <tableColumn id="19" name="میزان زمان حضور در سایت" dataDxfId="4437" totalsRowDxfId="4436"/>
    <tableColumn id="20" name="ترافیک کل" totalsRowFunction="sum" dataDxfId="4435" totalsRowDxfId="4434"/>
    <tableColumn id="21" name="رتبه در سیمیلار وب" dataDxfId="4433" totalsRowDxfId="4432"/>
    <tableColumn id="22" name="نام سایت 2" dataDxfId="4431" totalsRowDxfId="4430"/>
    <tableColumn id="23" name="طبقه بندی" dataDxfId="4429" totalsRowDxfId="4428"/>
    <tableColumn id="24" name="بازار" dataDxfId="4427" totalsRowDxfId="4426"/>
    <tableColumn id="25" name="مجموع صفحات  مشاهده شده   " totalsRowFunction="sum" dataDxfId="4425" totalsRowDxfId="4424">
      <calculatedColumnFormula>(AA2*Y2)</calculatedColumnFormula>
    </tableColumn>
    <tableColumn id="26" name="مجموع زمان حضور در سایت " totalsRowFunction="sum" dataDxfId="4423" totalsRowDxfId="4422">
      <calculatedColumnFormula>((((RIGHT(Z2,2))/60)+(LEFT(Z2,2)))*AA2)</calculatedColumnFormula>
    </tableColumn>
    <tableColumn id="27" name="سهم سایت از کل ترافیک طبقه بندی" totalsRowFunction="sum" dataDxfId="4421" totalsRowDxfId="4420">
      <calculatedColumnFormula>(AA2/$AA$70)*100</calculatedColumnFormula>
    </tableColumn>
    <tableColumn id="28" name="شاخص هرفیندال هیرشمن (ترافیک)" totalsRowFunction="sum" dataDxfId="4419" totalsRowDxfId="4418">
      <calculatedColumnFormula>(AH2*AH2)</calculatedColumnFormula>
    </tableColumn>
    <tableColumn id="29" name="سهم سایت از کل صفحات مشاهده شده در طبقه بندی" totalsRowFunction="sum" dataDxfId="4417" totalsRowDxfId="4416">
      <calculatedColumnFormula>(AF2/$AF$70)*100</calculatedColumnFormula>
    </tableColumn>
    <tableColumn id="30" name="شاخص هرفیندال -هیرشمن (صفحات مشاهده شده )" totalsRowFunction="sum" dataDxfId="4415" totalsRowDxfId="4414">
      <calculatedColumnFormula>(AJ2*AJ2)</calculatedColumnFormula>
    </tableColumn>
    <tableColumn id="31" name="سهم سایت از کل زمان حضور در طبقه بندی" totalsRowFunction="sum" dataDxfId="4413" totalsRowDxfId="4412">
      <calculatedColumnFormula>(AG2/$AG$70)*100</calculatedColumnFormula>
    </tableColumn>
    <tableColumn id="32" name="شاخص هرفیندال هیرشمن (زمان حضور)" totalsRowFunction="sum" dataDxfId="4411" totalsRowDxfId="4410">
      <calculatedColumnFormula>(AL2*AL2)</calculatedColumnFormula>
    </tableColumn>
    <tableColumn id="33" name="نام سایت" dataDxfId="4409" totalsRowDxfId="440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11" name="Table13691112" displayName="Table13691112" ref="H1:AN47" totalsRowCount="1" headerRowDxfId="4407" headerRowBorderDxfId="4406" tableBorderDxfId="4405">
  <autoFilter ref="H1:AN46"/>
  <sortState ref="H2:AN46">
    <sortCondition descending="1" ref="AA1:AA46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404" totalsRowDxfId="4403"/>
    <tableColumn id="7" name="استان" dataDxfId="4402" totalsRowDxfId="4401"/>
    <tableColumn id="8" name="Column1" dataDxfId="4400" totalsRowDxfId="4399"/>
    <tableColumn id="9" name="IPG" dataDxfId="4398" totalsRowDxfId="4397"/>
    <tableColumn id="10" name="Column2" dataDxfId="4396" totalsRowDxfId="4395"/>
    <tableColumn id="11" name="Column3" dataDxfId="4394" totalsRowDxfId="4393"/>
    <tableColumn id="12" name="Column4" dataDxfId="4392" totalsRowDxfId="4391"/>
    <tableColumn id="13" name="Column5" dataDxfId="4390" totalsRowDxfId="4389"/>
    <tableColumn id="14" name="Column6" dataDxfId="4388" totalsRowDxfId="4387"/>
    <tableColumn id="15" name="Column7" dataDxfId="4386" totalsRowDxfId="4385"/>
    <tableColumn id="16" name="نام سایت 3" dataDxfId="4384" totalsRowDxfId="4383"/>
    <tableColumn id="17" name="نرخ پرش  " dataDxfId="4382" totalsRowDxfId="4381"/>
    <tableColumn id="18" name="تعداد صفحات مشاهده شده" dataDxfId="4380" totalsRowDxfId="4379"/>
    <tableColumn id="19" name="میزان زمان حضور در سایت" dataDxfId="4378" totalsRowDxfId="4377"/>
    <tableColumn id="20" name="ترافیک کل" totalsRowFunction="sum" dataDxfId="4376" totalsRowDxfId="4375"/>
    <tableColumn id="21" name="رتبه در سیمیلار وب" dataDxfId="4374" totalsRowDxfId="4373"/>
    <tableColumn id="22" name="نام سایت 2" dataDxfId="4372" totalsRowDxfId="4371"/>
    <tableColumn id="23" name="طبقه بندی" dataDxfId="4370" totalsRowDxfId="4369"/>
    <tableColumn id="24" name="بازار" dataDxfId="4368" totalsRowDxfId="4367"/>
    <tableColumn id="25" name="مجموع صفحات  مشاهده شده   " totalsRowFunction="sum" dataDxfId="4366" totalsRowDxfId="4365">
      <calculatedColumnFormula>(AA2*Y2)</calculatedColumnFormula>
    </tableColumn>
    <tableColumn id="26" name="مجموع زمان حضور در سایت " totalsRowFunction="sum" dataDxfId="4364" totalsRowDxfId="4363">
      <calculatedColumnFormula>((((RIGHT(Z2,2))/60)+(LEFT(Z2,2)))*AA2)</calculatedColumnFormula>
    </tableColumn>
    <tableColumn id="27" name="سهم سایت از کل ترافیک طبقه بندی" totalsRowFunction="sum" dataDxfId="4362" totalsRowDxfId="4361">
      <calculatedColumnFormula>(AA2/$AA$47)*100</calculatedColumnFormula>
    </tableColumn>
    <tableColumn id="28" name="شاخص هرفیندال هیرشمن (ترافیک)" totalsRowFunction="sum" dataDxfId="4360" totalsRowDxfId="4359">
      <calculatedColumnFormula>(AH2*AH2)</calculatedColumnFormula>
    </tableColumn>
    <tableColumn id="29" name="سهم سایت از کل صفحات مشاهده شده در طبقه بندی" totalsRowFunction="sum" dataDxfId="4358" totalsRowDxfId="4357">
      <calculatedColumnFormula>(AF2/$AF$47)*100</calculatedColumnFormula>
    </tableColumn>
    <tableColumn id="30" name="شاخص هرفیندال -هیرشمن (صفحات مشاهده شده )" totalsRowFunction="sum" dataDxfId="4356" totalsRowDxfId="4355">
      <calculatedColumnFormula>(AJ2*AJ2)</calculatedColumnFormula>
    </tableColumn>
    <tableColumn id="31" name="سهم سایت از کل زمان حضور در طبقه بندی" totalsRowFunction="sum" dataDxfId="4354" totalsRowDxfId="4353">
      <calculatedColumnFormula>(AG2/$AG$47)*100</calculatedColumnFormula>
    </tableColumn>
    <tableColumn id="32" name="شاخص هرفیندال هیرشمن (زمان حضور)" totalsRowFunction="sum" dataDxfId="4352" totalsRowDxfId="4351">
      <calculatedColumnFormula>(AL2*AL2)</calculatedColumnFormula>
    </tableColumn>
    <tableColumn id="33" name="نام سایت" dataDxfId="4350" totalsRowDxfId="434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56" name="Table13657" displayName="Table13657" ref="H1:AN30" totalsRowCount="1" headerRowDxfId="4348" headerRowBorderDxfId="4347" tableBorderDxfId="4346">
  <autoFilter ref="H1:AN29"/>
  <sortState ref="H2:AN29">
    <sortCondition descending="1" ref="AA1:AA2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345" totalsRowDxfId="4344"/>
    <tableColumn id="7" name="استان" dataDxfId="4343" totalsRowDxfId="4342"/>
    <tableColumn id="8" name="Column1" dataDxfId="4341" totalsRowDxfId="4340"/>
    <tableColumn id="9" name="IPG" dataDxfId="4339" totalsRowDxfId="4338"/>
    <tableColumn id="10" name="Column2" dataDxfId="4337" totalsRowDxfId="4336"/>
    <tableColumn id="11" name="Column3" dataDxfId="4335" totalsRowDxfId="4334"/>
    <tableColumn id="12" name="Column4" dataDxfId="4333" totalsRowDxfId="4332"/>
    <tableColumn id="13" name="Column5" dataDxfId="4331" totalsRowDxfId="4330"/>
    <tableColumn id="14" name="Column6" dataDxfId="4329" totalsRowDxfId="4328"/>
    <tableColumn id="15" name="Column7" dataDxfId="4327" totalsRowDxfId="4326"/>
    <tableColumn id="16" name="نام سایت 3" dataDxfId="4325" totalsRowDxfId="4324"/>
    <tableColumn id="17" name="نرخ پرش  " dataDxfId="4323" totalsRowDxfId="4322"/>
    <tableColumn id="18" name="تعداد صفحات مشاهده شده" dataDxfId="4321" totalsRowDxfId="4320"/>
    <tableColumn id="19" name="میزان زمان حضور در سایت" dataDxfId="4319" totalsRowDxfId="4318"/>
    <tableColumn id="20" name="ترافیک کل" totalsRowFunction="sum" dataDxfId="4317" totalsRowDxfId="4316"/>
    <tableColumn id="21" name="رتبه در سیمیلار وب" dataDxfId="4315" totalsRowDxfId="4314"/>
    <tableColumn id="22" name="نام سایت 2" dataDxfId="4313" totalsRowDxfId="4312"/>
    <tableColumn id="23" name="طبقه بندی" dataDxfId="4311" totalsRowDxfId="4310"/>
    <tableColumn id="24" name="بازار" dataDxfId="4309" totalsRowDxfId="4308"/>
    <tableColumn id="25" name="مجموع صفحات  مشاهده شده   " totalsRowFunction="sum" dataDxfId="4307" totalsRowDxfId="4306">
      <calculatedColumnFormula>(AA2*Y2)</calculatedColumnFormula>
    </tableColumn>
    <tableColumn id="26" name="مجموع زمان حضور در سایت " totalsRowFunction="sum" dataDxfId="4305" totalsRowDxfId="4304">
      <calculatedColumnFormula>((((RIGHT(Z2,2))/60)+(LEFT(Z2,2)))*AA2)</calculatedColumnFormula>
    </tableColumn>
    <tableColumn id="27" name="سهم سایت از کل ترافیک طبقه بندی" totalsRowFunction="sum" dataDxfId="4303" totalsRowDxfId="4302">
      <calculatedColumnFormula>(AA2/$AA$30)*100</calculatedColumnFormula>
    </tableColumn>
    <tableColumn id="28" name="شاخص هرفیندال هیرشمن (ترافیک)" totalsRowFunction="sum" dataDxfId="4301" totalsRowDxfId="4300">
      <calculatedColumnFormula>(AH2*AH2)</calculatedColumnFormula>
    </tableColumn>
    <tableColumn id="29" name="سهم سایت از کل صفحات مشاهده شده در طبقه بندی" totalsRowFunction="sum" dataDxfId="4299" totalsRowDxfId="4298">
      <calculatedColumnFormula>(AF2/$AF$30)*100</calculatedColumnFormula>
    </tableColumn>
    <tableColumn id="30" name="شاخص هرفیندال -هیرشمن (صفحات مشاهده شده )" totalsRowFunction="sum" dataDxfId="4297" totalsRowDxfId="4296">
      <calculatedColumnFormula>(AJ2*AJ2)</calculatedColumnFormula>
    </tableColumn>
    <tableColumn id="31" name="سهم سایت از کل زمان حضور در طبقه بندی" totalsRowFunction="sum" dataDxfId="4295" totalsRowDxfId="4294">
      <calculatedColumnFormula>(AG2/$AG$30)*100</calculatedColumnFormula>
    </tableColumn>
    <tableColumn id="32" name="شاخص هرفیندال هیرشمن (زمان حضور)" totalsRowFunction="sum" dataDxfId="4293" totalsRowDxfId="4292">
      <calculatedColumnFormula>(AL2*AL2)</calculatedColumnFormula>
    </tableColumn>
    <tableColumn id="33" name="نام سایت" dataDxfId="4291" totalsRowDxfId="4290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65" name="Table136646566" displayName="Table136646566" ref="H1:AN14" totalsRowCount="1" headerRowDxfId="4289" headerRowBorderDxfId="4288" tableBorderDxfId="4287">
  <autoFilter ref="H1:AN13"/>
  <sortState ref="H2:AN13">
    <sortCondition descending="1" ref="AA1:AA13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286" totalsRowDxfId="4285"/>
    <tableColumn id="7" name="استان" dataDxfId="4284" totalsRowDxfId="4283"/>
    <tableColumn id="8" name="Column1" dataDxfId="4282" totalsRowDxfId="4281"/>
    <tableColumn id="9" name="IPG" dataDxfId="4280" totalsRowDxfId="4279"/>
    <tableColumn id="10" name="Column2" dataDxfId="4278" totalsRowDxfId="4277"/>
    <tableColumn id="11" name="Column3" dataDxfId="4276" totalsRowDxfId="4275"/>
    <tableColumn id="12" name="Column4" dataDxfId="4274" totalsRowDxfId="4273"/>
    <tableColumn id="13" name="Column5" dataDxfId="4272" totalsRowDxfId="4271"/>
    <tableColumn id="14" name="Column6" dataDxfId="4270" totalsRowDxfId="4269"/>
    <tableColumn id="15" name="Column7" dataDxfId="4268" totalsRowDxfId="4267"/>
    <tableColumn id="16" name="نام سایت 3" dataDxfId="4266" totalsRowDxfId="4265"/>
    <tableColumn id="17" name="نرخ پرش  " dataDxfId="4264" totalsRowDxfId="4263"/>
    <tableColumn id="18" name="تعداد صفحات مشاهده شده" dataDxfId="4262" totalsRowDxfId="4261"/>
    <tableColumn id="19" name="میزان زمان حضور در سایت" dataDxfId="4260" totalsRowDxfId="4259"/>
    <tableColumn id="20" name="ترافیک کل" totalsRowFunction="sum" dataDxfId="4258" totalsRowDxfId="4257"/>
    <tableColumn id="21" name="رتبه در سیمیلار وب" dataDxfId="4256" totalsRowDxfId="4255"/>
    <tableColumn id="22" name="نام سایت 2" dataDxfId="4254" totalsRowDxfId="4253"/>
    <tableColumn id="23" name="طبقه بندی" dataDxfId="4252" totalsRowDxfId="4251"/>
    <tableColumn id="24" name="بازار" dataDxfId="4250" totalsRowDxfId="4249"/>
    <tableColumn id="25" name="مجموع صفحات  مشاهده شده   " totalsRowFunction="sum" dataDxfId="4248" totalsRowDxfId="4247">
      <calculatedColumnFormula>(AA2*Y2)</calculatedColumnFormula>
    </tableColumn>
    <tableColumn id="26" name="مجموع زمان حضور در سایت " totalsRowFunction="sum" dataDxfId="4246" totalsRowDxfId="4245">
      <calculatedColumnFormula>((((RIGHT(Z2,2))/60)+(LEFT(Z2,2)))*AA2)</calculatedColumnFormula>
    </tableColumn>
    <tableColumn id="27" name="سهم سایت از کل ترافیک طبقه بندی" totalsRowFunction="sum" dataDxfId="4244" totalsRowDxfId="4243">
      <calculatedColumnFormula>(AA2/$AA$14)*100</calculatedColumnFormula>
    </tableColumn>
    <tableColumn id="28" name="شاخص هرفیندال هیرشمن (ترافیک)" totalsRowFunction="sum" dataDxfId="4242" totalsRowDxfId="4241">
      <calculatedColumnFormula>(AH2*AH2)</calculatedColumnFormula>
    </tableColumn>
    <tableColumn id="29" name="سهم سایت از کل صفحات مشاهده شده در طبقه بندی" totalsRowFunction="sum" dataDxfId="4240" totalsRowDxfId="4239">
      <calculatedColumnFormula>(AF2/$AF$14)*100</calculatedColumnFormula>
    </tableColumn>
    <tableColumn id="30" name="شاخص هرفیندال -هیرشمن (صفحات مشاهده شده )" totalsRowFunction="sum" dataDxfId="4238" totalsRowDxfId="4237">
      <calculatedColumnFormula>(AJ2*AJ2)</calculatedColumnFormula>
    </tableColumn>
    <tableColumn id="31" name="سهم سایت از کل زمان حضور در طبقه بندی" totalsRowFunction="sum" dataDxfId="4236" totalsRowDxfId="4235">
      <calculatedColumnFormula>(AG2/$AG$14)*100</calculatedColumnFormula>
    </tableColumn>
    <tableColumn id="32" name="شاخص هرفیندال هیرشمن (زمان حضور)" totalsRowFunction="sum" dataDxfId="4234" totalsRowDxfId="4233">
      <calculatedColumnFormula>(AL2*AL2)</calculatedColumnFormula>
    </tableColumn>
    <tableColumn id="33" name="نام سایت" dataDxfId="4232" totalsRowDxfId="4231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9" name="Table136910" displayName="Table136910" ref="H1:AN46" totalsRowCount="1" headerRowDxfId="4230" headerRowBorderDxfId="4229" tableBorderDxfId="4228">
  <autoFilter ref="H1:AN45"/>
  <sortState ref="H2:AN45">
    <sortCondition descending="1" ref="AA1:AA45"/>
  </sortState>
  <tableColumns count="33">
    <tableColumn id="1" name="5" dataDxfId="4227" totalsRowDxfId="4226"/>
    <tableColumn id="2" name="4" dataDxfId="4225" totalsRowDxfId="4224"/>
    <tableColumn id="3" name="3" dataDxfId="4223" totalsRowDxfId="4222"/>
    <tableColumn id="4" name="2" dataDxfId="4221" totalsRowDxfId="4220"/>
    <tableColumn id="5" name="1" dataDxfId="4219" totalsRowDxfId="4218"/>
    <tableColumn id="6" name="نام سایت " dataDxfId="4217" totalsRowDxfId="4216"/>
    <tableColumn id="7" name="استان" dataDxfId="4215" totalsRowDxfId="4214"/>
    <tableColumn id="8" name="Column1" dataDxfId="4213" totalsRowDxfId="4212"/>
    <tableColumn id="9" name="IPG" dataDxfId="4211" totalsRowDxfId="4210"/>
    <tableColumn id="10" name="Column2" dataDxfId="4209" totalsRowDxfId="4208"/>
    <tableColumn id="11" name="Column3" dataDxfId="4207" totalsRowDxfId="4206"/>
    <tableColumn id="12" name="Column4" dataDxfId="4205" totalsRowDxfId="4204"/>
    <tableColumn id="13" name="Column5" dataDxfId="4203" totalsRowDxfId="4202"/>
    <tableColumn id="14" name="Column6" dataDxfId="4201" totalsRowDxfId="4200"/>
    <tableColumn id="15" name="Column7" dataDxfId="4199" totalsRowDxfId="4198"/>
    <tableColumn id="16" name="نام سایت 3" dataDxfId="4197" totalsRowDxfId="4196"/>
    <tableColumn id="17" name="نرخ پرش  " dataDxfId="4195" totalsRowDxfId="4194"/>
    <tableColumn id="18" name="تعداد صفحات مشاهده شده" dataDxfId="4193" totalsRowDxfId="4192"/>
    <tableColumn id="19" name="میزان زمان حضور در سایت" dataDxfId="4191" totalsRowDxfId="4190"/>
    <tableColumn id="20" name="ترافیک کل" totalsRowFunction="sum" dataDxfId="4189" totalsRowDxfId="4188"/>
    <tableColumn id="21" name="رتبه در سیمیلار وب" dataDxfId="4187" totalsRowDxfId="4186"/>
    <tableColumn id="22" name="نام سایت 2" dataDxfId="4185" totalsRowDxfId="4184"/>
    <tableColumn id="23" name="طبقه بندی" dataDxfId="4183" totalsRowDxfId="4182"/>
    <tableColumn id="24" name="بازار" dataDxfId="4181" totalsRowDxfId="4180"/>
    <tableColumn id="25" name="مجموع صفحات  مشاهده شده   " totalsRowFunction="sum" dataDxfId="4179" totalsRowDxfId="4178">
      <calculatedColumnFormula>(AA2*Y2)</calculatedColumnFormula>
    </tableColumn>
    <tableColumn id="26" name="مجموع زمان حضور در سایت " totalsRowFunction="sum" dataDxfId="4177" totalsRowDxfId="4176">
      <calculatedColumnFormula>((((RIGHT(Z2,2))/60)+(LEFT(Z2,2)))*AA2)</calculatedColumnFormula>
    </tableColumn>
    <tableColumn id="27" name="سهم سایت از کل ترافیک طبقه بندی" totalsRowFunction="sum" dataDxfId="4175" totalsRowDxfId="4174">
      <calculatedColumnFormula>(AA2/$AA$46)*100</calculatedColumnFormula>
    </tableColumn>
    <tableColumn id="28" name="شاخص هرفیندال هیرشمن (ترافیک)" totalsRowFunction="sum" dataDxfId="4173" totalsRowDxfId="4172">
      <calculatedColumnFormula>(AH2*AH2)</calculatedColumnFormula>
    </tableColumn>
    <tableColumn id="29" name="سهم سایت از کل صفحات مشاهده شده در طبقه بندی" totalsRowFunction="sum" dataDxfId="4171" totalsRowDxfId="4170">
      <calculatedColumnFormula>(AF2/$AF$46)*100</calculatedColumnFormula>
    </tableColumn>
    <tableColumn id="30" name="شاخص هرفیندال -هیرشمن (صفحات مشاهده شده )" totalsRowFunction="sum" dataDxfId="4169" totalsRowDxfId="4168">
      <calculatedColumnFormula>(AJ2*AJ2)</calculatedColumnFormula>
    </tableColumn>
    <tableColumn id="31" name="سهم سایت از کل زمان حضور در طبقه بندی" totalsRowFunction="sum" dataDxfId="4167" totalsRowDxfId="4166">
      <calculatedColumnFormula>(AG2/$AG$46)*100</calculatedColumnFormula>
    </tableColumn>
    <tableColumn id="32" name="شاخص هرفیندال هیرشمن (زمان حضور)" totalsRowFunction="sum" dataDxfId="4165" totalsRowDxfId="4164">
      <calculatedColumnFormula>(AL2*AL2)</calculatedColumnFormula>
    </tableColumn>
    <tableColumn id="33" name="نام سایت" dataDxfId="4163" totalsRowDxfId="4162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7" name="Table13678" displayName="Table13678" ref="H1:AN21" totalsRowCount="1" headerRowDxfId="4161" headerRowBorderDxfId="4160" tableBorderDxfId="4159">
  <autoFilter ref="H1:AN20"/>
  <sortState ref="H2:AN20">
    <sortCondition descending="1" ref="AA1:AA20"/>
  </sortState>
  <tableColumns count="33">
    <tableColumn id="1" name="5" dataDxfId="4158" totalsRowDxfId="4157"/>
    <tableColumn id="2" name="4" dataDxfId="4156" totalsRowDxfId="4155"/>
    <tableColumn id="3" name="3" dataDxfId="4154" totalsRowDxfId="4153"/>
    <tableColumn id="4" name="2" dataDxfId="4152" totalsRowDxfId="4151"/>
    <tableColumn id="5" name="1" dataDxfId="4150" totalsRowDxfId="4149"/>
    <tableColumn id="6" name="نام سایت " dataDxfId="4148" totalsRowDxfId="4147"/>
    <tableColumn id="7" name="استان" dataDxfId="4146" totalsRowDxfId="4145"/>
    <tableColumn id="8" name="Column1" dataDxfId="4144" totalsRowDxfId="4143"/>
    <tableColumn id="9" name="IPG" dataDxfId="4142" totalsRowDxfId="4141"/>
    <tableColumn id="10" name="Column2" dataDxfId="4140" totalsRowDxfId="4139"/>
    <tableColumn id="11" name="Column3" dataDxfId="4138" totalsRowDxfId="4137"/>
    <tableColumn id="12" name="Column4" dataDxfId="4136" totalsRowDxfId="4135"/>
    <tableColumn id="13" name="Column5" dataDxfId="4134" totalsRowDxfId="4133"/>
    <tableColumn id="14" name="Column6" dataDxfId="4132" totalsRowDxfId="4131"/>
    <tableColumn id="15" name="Column7" dataDxfId="4130" totalsRowDxfId="4129"/>
    <tableColumn id="16" name="نام سایت 3" dataDxfId="4128" totalsRowDxfId="4127"/>
    <tableColumn id="17" name="نرخ پرش  " dataDxfId="4126" totalsRowDxfId="4125"/>
    <tableColumn id="18" name="تعداد صفحات مشاهده شده" dataDxfId="4124" totalsRowDxfId="4123"/>
    <tableColumn id="19" name="میزان زمان حضور در سایت" dataDxfId="4122" totalsRowDxfId="4121"/>
    <tableColumn id="20" name="ترافیک کل" totalsRowFunction="sum" dataDxfId="4120" totalsRowDxfId="4119"/>
    <tableColumn id="21" name="رتبه در سیمیلار وب" dataDxfId="4118" totalsRowDxfId="4117"/>
    <tableColumn id="22" name="نام سایت 2" dataDxfId="4116" totalsRowDxfId="4115"/>
    <tableColumn id="23" name="طبقه بندی" dataDxfId="4114" totalsRowDxfId="4113"/>
    <tableColumn id="24" name="بازار" dataDxfId="4112" totalsRowDxfId="4111"/>
    <tableColumn id="25" name="مجموع صفحات  مشاهده شده   " totalsRowFunction="sum" dataDxfId="4110" totalsRowDxfId="4109">
      <calculatedColumnFormula>(AA2*Y2)</calculatedColumnFormula>
    </tableColumn>
    <tableColumn id="26" name="مجموع زمان حضور در سایت " totalsRowFunction="sum" dataDxfId="4108" totalsRowDxfId="4107">
      <calculatedColumnFormula>((((RIGHT(Z2,2))/60)+(LEFT(Z2,2)))*AA2)</calculatedColumnFormula>
    </tableColumn>
    <tableColumn id="27" name="سهم سایت از کل ترافیک طبقه بندی" totalsRowFunction="sum" dataDxfId="4106" totalsRowDxfId="4105">
      <calculatedColumnFormula>(AA2/$AA$21)*100</calculatedColumnFormula>
    </tableColumn>
    <tableColumn id="28" name="شاخص هرفیندال هیرشمن (ترافیک)" totalsRowFunction="sum" dataDxfId="4104" totalsRowDxfId="4103">
      <calculatedColumnFormula>(AH2*AH2)</calculatedColumnFormula>
    </tableColumn>
    <tableColumn id="29" name="سهم سایت از کل صفحات مشاهده شده در طبقه بندی" totalsRowFunction="sum" dataDxfId="4102" totalsRowDxfId="4101">
      <calculatedColumnFormula>(AF2/$AF$21)*100</calculatedColumnFormula>
    </tableColumn>
    <tableColumn id="30" name="شاخص هرفیندال -هیرشمن (صفحات مشاهده شده )" totalsRowFunction="sum" dataDxfId="4100" totalsRowDxfId="4099">
      <calculatedColumnFormula>(AJ2*AJ2)</calculatedColumnFormula>
    </tableColumn>
    <tableColumn id="31" name="سهم سایت از کل زمان حضور در طبقه بندی" totalsRowFunction="sum" dataDxfId="4098" totalsRowDxfId="4097">
      <calculatedColumnFormula>(AG2/$AG$21)*100</calculatedColumnFormula>
    </tableColumn>
    <tableColumn id="32" name="شاخص هرفیندال هیرشمن (زمان حضور)" totalsRowFunction="sum" dataDxfId="4096" totalsRowDxfId="4095">
      <calculatedColumnFormula>(AL2*AL2)</calculatedColumnFormula>
    </tableColumn>
    <tableColumn id="33" name="نام سایت" dataDxfId="4094" totalsRowDxfId="409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2" name="Table13" displayName="Table13" ref="H1:AN44" totalsRowCount="1" headerRowDxfId="4092" headerRowBorderDxfId="4091" tableBorderDxfId="4090">
  <autoFilter ref="H1:AN43"/>
  <sortState ref="H2:AN43">
    <sortCondition descending="1" ref="AA1:AA43"/>
  </sortState>
  <tableColumns count="33">
    <tableColumn id="1" name="5"/>
    <tableColumn id="2" name="4"/>
    <tableColumn id="3" name="3"/>
    <tableColumn id="4" name="2"/>
    <tableColumn id="5" name="1" dataDxfId="4089" totalsRowDxfId="4088"/>
    <tableColumn id="6" name="نام سایت " dataDxfId="4087" totalsRowDxfId="4086"/>
    <tableColumn id="7" name="استان" dataDxfId="4085" totalsRowDxfId="4084"/>
    <tableColumn id="8" name="Column1" dataDxfId="4083" totalsRowDxfId="4082"/>
    <tableColumn id="9" name="IPG" dataDxfId="4081" totalsRowDxfId="4080"/>
    <tableColumn id="10" name="Column2" dataDxfId="4079" totalsRowDxfId="4078"/>
    <tableColumn id="11" name="Column3" dataDxfId="4077" totalsRowDxfId="4076"/>
    <tableColumn id="12" name="Column4" dataDxfId="4075" totalsRowDxfId="4074"/>
    <tableColumn id="13" name="Column5" dataDxfId="4073" totalsRowDxfId="4072"/>
    <tableColumn id="14" name="Column6" dataDxfId="4071" totalsRowDxfId="4070"/>
    <tableColumn id="15" name="Column7" dataDxfId="4069" totalsRowDxfId="4068"/>
    <tableColumn id="16" name="نام سایت 3" dataDxfId="4067" totalsRowDxfId="4066"/>
    <tableColumn id="17" name="نرخ پرش  " dataDxfId="4065" totalsRowDxfId="4064"/>
    <tableColumn id="18" name="تعداد صفحات مشاهده شده" dataDxfId="4063" totalsRowDxfId="4062"/>
    <tableColumn id="19" name="میزان زمان حضور در سایت" dataDxfId="4061" totalsRowDxfId="4060"/>
    <tableColumn id="20" name="ترافیک کل" totalsRowFunction="sum" dataDxfId="4059" totalsRowDxfId="4058"/>
    <tableColumn id="21" name="رتبه در سیمیلار وب" dataDxfId="4057" totalsRowDxfId="4056"/>
    <tableColumn id="22" name="نام سایت 2" dataDxfId="4055" totalsRowDxfId="4054"/>
    <tableColumn id="23" name="طبقه بندی" dataDxfId="4053" totalsRowDxfId="4052"/>
    <tableColumn id="24" name="بازار" dataDxfId="4051" totalsRowDxfId="4050"/>
    <tableColumn id="25" name="مجموع صفحات  مشاهده شده   " totalsRowFunction="sum" dataDxfId="4049" totalsRowDxfId="4048">
      <calculatedColumnFormula>(AA2*Y2)</calculatedColumnFormula>
    </tableColumn>
    <tableColumn id="26" name="مجموع زمان حضور در سایت " totalsRowFunction="sum" dataDxfId="4047" totalsRowDxfId="4046">
      <calculatedColumnFormula>((((RIGHT(Z2,2))/60)+(LEFT(Z2,2)))*AA2)</calculatedColumnFormula>
    </tableColumn>
    <tableColumn id="27" name="سهم سایت از کل ترافیک طبقه بندی" totalsRowFunction="sum" dataDxfId="4045" totalsRowDxfId="4044">
      <calculatedColumnFormula>(AA2/$AA$44)*100</calculatedColumnFormula>
    </tableColumn>
    <tableColumn id="28" name="شاخص هرفیندال هیرشمن (ترافیک)" totalsRowFunction="sum" dataDxfId="4043" totalsRowDxfId="4042">
      <calculatedColumnFormula>(AH2*AH2)</calculatedColumnFormula>
    </tableColumn>
    <tableColumn id="29" name="سهم سایت از کل صفحات مشاهده شده در طبقه بندی" totalsRowFunction="sum" dataDxfId="4041" totalsRowDxfId="4040">
      <calculatedColumnFormula>(AF2/$AF$44)*100</calculatedColumnFormula>
    </tableColumn>
    <tableColumn id="30" name="شاخص هرفیندال -هیرشمن (صفحات مشاهده شده )" totalsRowFunction="sum" dataDxfId="4039" totalsRowDxfId="4038">
      <calculatedColumnFormula>(AJ2*AJ2)</calculatedColumnFormula>
    </tableColumn>
    <tableColumn id="31" name="سهم سایت از کل زمان حضور در طبقه بندی" totalsRowFunction="sum" dataDxfId="4037" totalsRowDxfId="4036">
      <calculatedColumnFormula>(AG2/$AG$44)*100</calculatedColumnFormula>
    </tableColumn>
    <tableColumn id="32" name="شاخص هرفیندال هیرشمن (زمان حضور)" totalsRowFunction="sum" dataDxfId="4035" totalsRowDxfId="4034">
      <calculatedColumnFormula>(AL2*AL2)</calculatedColumnFormula>
    </tableColumn>
    <tableColumn id="33" name="نام سایت" dataDxfId="4033" totalsRowDxfId="4032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51" name="Table1365152" displayName="Table1365152" ref="H1:AN19" totalsRowCount="1" headerRowDxfId="4031" headerRowBorderDxfId="4030" tableBorderDxfId="4029">
  <autoFilter ref="H1:AN18"/>
  <sortState ref="H2:AN18">
    <sortCondition descending="1" ref="AA1:AA18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028" totalsRowDxfId="4027"/>
    <tableColumn id="7" name="استان" dataDxfId="4026" totalsRowDxfId="4025"/>
    <tableColumn id="8" name="Column1" dataDxfId="4024" totalsRowDxfId="4023"/>
    <tableColumn id="9" name="IPG" dataDxfId="4022" totalsRowDxfId="4021"/>
    <tableColumn id="10" name="Column2" dataDxfId="4020" totalsRowDxfId="4019"/>
    <tableColumn id="11" name="Column3" dataDxfId="4018" totalsRowDxfId="4017"/>
    <tableColumn id="12" name="Column4" dataDxfId="4016" totalsRowDxfId="4015"/>
    <tableColumn id="13" name="Column5" dataDxfId="4014" totalsRowDxfId="4013"/>
    <tableColumn id="14" name="Column6" dataDxfId="4012" totalsRowDxfId="4011"/>
    <tableColumn id="15" name="Column7" dataDxfId="4010" totalsRowDxfId="4009"/>
    <tableColumn id="16" name="نام سایت 3" dataDxfId="4008" totalsRowDxfId="4007"/>
    <tableColumn id="17" name="نرخ پرش  " dataDxfId="4006" totalsRowDxfId="4005"/>
    <tableColumn id="18" name="تعداد صفحات مشاهده شده" dataDxfId="4004" totalsRowDxfId="4003"/>
    <tableColumn id="19" name="میزان زمان حضور در سایت" dataDxfId="4002" totalsRowDxfId="4001"/>
    <tableColumn id="20" name="ترافیک کل" totalsRowFunction="sum" dataDxfId="4000" totalsRowDxfId="3999"/>
    <tableColumn id="21" name="رتبه در سیمیلار وب" dataDxfId="3998" totalsRowDxfId="3997"/>
    <tableColumn id="22" name="نام سایت 2" dataDxfId="3996" totalsRowDxfId="3995"/>
    <tableColumn id="23" name="طبقه بندی" dataDxfId="3994" totalsRowDxfId="3993"/>
    <tableColumn id="24" name="بازار" dataDxfId="3992" totalsRowDxfId="3991"/>
    <tableColumn id="25" name="مجموع صفحات  مشاهده شده   " totalsRowFunction="sum" dataDxfId="3990" totalsRowDxfId="3989">
      <calculatedColumnFormula>(AA2*Y2)</calculatedColumnFormula>
    </tableColumn>
    <tableColumn id="26" name="مجموع زمان حضور در سایت " totalsRowFunction="sum" dataDxfId="3988" totalsRowDxfId="3987">
      <calculatedColumnFormula>((((RIGHT(Z2,2))/60)+(LEFT(Z2,2)))*AA2)</calculatedColumnFormula>
    </tableColumn>
    <tableColumn id="27" name="سهم سایت از کل ترافیک طبقه بندی" totalsRowFunction="sum" dataDxfId="3986" totalsRowDxfId="3985">
      <calculatedColumnFormula>(AA2/$AA$19)*100</calculatedColumnFormula>
    </tableColumn>
    <tableColumn id="28" name="شاخص هرفیندال هیرشمن (ترافیک)" totalsRowFunction="sum" dataDxfId="3984" totalsRowDxfId="3983">
      <calculatedColumnFormula>(AH2*AH2)</calculatedColumnFormula>
    </tableColumn>
    <tableColumn id="29" name="سهم سایت از کل صفحات مشاهده شده در طبقه بندی" totalsRowFunction="sum" dataDxfId="3982" totalsRowDxfId="3981">
      <calculatedColumnFormula>(AF2/$AF$19)*100</calculatedColumnFormula>
    </tableColumn>
    <tableColumn id="30" name="شاخص هرفیندال -هیرشمن (صفحات مشاهده شده )" totalsRowFunction="sum" dataDxfId="3980" totalsRowDxfId="3979">
      <calculatedColumnFormula>(AJ2*AJ2)</calculatedColumnFormula>
    </tableColumn>
    <tableColumn id="31" name="سهم سایت از کل زمان حضور در طبقه بندی" totalsRowFunction="sum" dataDxfId="3978" totalsRowDxfId="3977">
      <calculatedColumnFormula>(AG2/$AG$19)*100</calculatedColumnFormula>
    </tableColumn>
    <tableColumn id="32" name="شاخص هرفیندال هیرشمن (زمان حضور)" totalsRowFunction="sum" dataDxfId="3976" totalsRowDxfId="3975">
      <calculatedColumnFormula>(AL2*AL2)</calculatedColumnFormula>
    </tableColumn>
    <tableColumn id="33" name="نام سایت" dataDxfId="3974" totalsRowDxfId="3973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82" name="Table13684" displayName="Table13684" ref="H1:AN17" totalsRowCount="1" headerRowDxfId="3972" headerRowBorderDxfId="3971" tableBorderDxfId="3970">
  <autoFilter ref="H1:AN16"/>
  <sortState ref="H2:AN16">
    <sortCondition descending="1" ref="AA1:AA16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969" totalsRowDxfId="3968"/>
    <tableColumn id="7" name="استان" dataDxfId="3967" totalsRowDxfId="3966"/>
    <tableColumn id="8" name="Column1" dataDxfId="3965" totalsRowDxfId="3964"/>
    <tableColumn id="9" name="IPG" dataDxfId="3963" totalsRowDxfId="3962"/>
    <tableColumn id="10" name="Column2" dataDxfId="3961" totalsRowDxfId="3960"/>
    <tableColumn id="11" name="Column3" dataDxfId="3959" totalsRowDxfId="3958"/>
    <tableColumn id="12" name="Column4" dataDxfId="3957" totalsRowDxfId="3956"/>
    <tableColumn id="13" name="Column5" dataDxfId="3955" totalsRowDxfId="3954"/>
    <tableColumn id="14" name="Column6" dataDxfId="3953" totalsRowDxfId="3952"/>
    <tableColumn id="15" name="Column7" dataDxfId="3951" totalsRowDxfId="3950"/>
    <tableColumn id="16" name="نام سایت 3" dataDxfId="3949" totalsRowDxfId="3948"/>
    <tableColumn id="17" name="نرخ پرش  " dataDxfId="3947" totalsRowDxfId="3946"/>
    <tableColumn id="18" name="تعداد صفحات مشاهده شده" dataDxfId="3945" totalsRowDxfId="3944"/>
    <tableColumn id="19" name="میزان زمان حضور در سایت" dataDxfId="3943" totalsRowDxfId="3942"/>
    <tableColumn id="20" name="ترافیک کل" totalsRowFunction="sum" dataDxfId="3941" totalsRowDxfId="3940"/>
    <tableColumn id="21" name="رتبه در سیمیلار وب" dataDxfId="3939" totalsRowDxfId="3938"/>
    <tableColumn id="22" name="نام سایت 2" dataDxfId="3937" totalsRowDxfId="3936"/>
    <tableColumn id="23" name="طبقه بندی" dataDxfId="3935" totalsRowDxfId="3934"/>
    <tableColumn id="24" name="بازار" dataDxfId="3933" totalsRowDxfId="3932"/>
    <tableColumn id="25" name="مجموع صفحات  مشاهده شده   " totalsRowFunction="sum" dataDxfId="3931" totalsRowDxfId="3930">
      <calculatedColumnFormula>(AA2*Y2)</calculatedColumnFormula>
    </tableColumn>
    <tableColumn id="26" name="مجموع زمان حضور در سایت " totalsRowFunction="sum" dataDxfId="3929" totalsRowDxfId="3928">
      <calculatedColumnFormula>((((RIGHT(Z2,2))/60)+(LEFT(Z2,2)))*AA2)</calculatedColumnFormula>
    </tableColumn>
    <tableColumn id="27" name="سهم سایت از کل ترافیک طبقه بندی" totalsRowFunction="sum" dataDxfId="3927" totalsRowDxfId="3926">
      <calculatedColumnFormula>(AA2/$AA$17)*100</calculatedColumnFormula>
    </tableColumn>
    <tableColumn id="28" name="شاخص هرفیندال هیرشمن (ترافیک)" totalsRowFunction="sum" dataDxfId="3925" totalsRowDxfId="3924">
      <calculatedColumnFormula>(AH2*AH2)</calculatedColumnFormula>
    </tableColumn>
    <tableColumn id="29" name="سهم سایت از کل صفحات مشاهده شده در طبقه بندی" totalsRowFunction="sum" dataDxfId="3923" totalsRowDxfId="3922">
      <calculatedColumnFormula>(AF2/$AF$17)*100</calculatedColumnFormula>
    </tableColumn>
    <tableColumn id="30" name="شاخص هرفیندال -هیرشمن (صفحات مشاهده شده )" totalsRowFunction="sum" dataDxfId="3921" totalsRowDxfId="3920">
      <calculatedColumnFormula>(AJ2*AJ2)</calculatedColumnFormula>
    </tableColumn>
    <tableColumn id="31" name="سهم سایت از کل زمان حضور در طبقه بندی" totalsRowFunction="sum" dataDxfId="3919" totalsRowDxfId="3918">
      <calculatedColumnFormula>(AG2/11384.387)*100</calculatedColumnFormula>
    </tableColumn>
    <tableColumn id="32" name="شاخص هرفیندال هیرشمن (زمان حضور)" totalsRowFunction="sum" dataDxfId="3917" totalsRowDxfId="3916">
      <calculatedColumnFormula>(AL2*AL2)</calculatedColumnFormula>
    </tableColumn>
    <tableColumn id="33" name="نام سایت" dataDxfId="3915" totalsRowDxfId="391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57" name="Table13658" displayName="Table13658" ref="H1:AN31" totalsRowCount="1" headerRowDxfId="3913" headerRowBorderDxfId="3912" tableBorderDxfId="3911">
  <autoFilter ref="H1:AN30"/>
  <sortState ref="H2:AN30">
    <sortCondition descending="1" ref="AA1:AA30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910" totalsRowDxfId="3909"/>
    <tableColumn id="7" name="استان" dataDxfId="3908" totalsRowDxfId="3907"/>
    <tableColumn id="8" name="Column1" dataDxfId="3906" totalsRowDxfId="3905"/>
    <tableColumn id="9" name="IPG" dataDxfId="3904" totalsRowDxfId="3903"/>
    <tableColumn id="10" name="Column2" dataDxfId="3902" totalsRowDxfId="3901"/>
    <tableColumn id="11" name="Column3" dataDxfId="3900" totalsRowDxfId="3899"/>
    <tableColumn id="12" name="Column4" dataDxfId="3898" totalsRowDxfId="3897"/>
    <tableColumn id="13" name="Column5" dataDxfId="3896" totalsRowDxfId="3895"/>
    <tableColumn id="14" name="Column6" dataDxfId="3894" totalsRowDxfId="3893"/>
    <tableColumn id="15" name="Column7" dataDxfId="3892" totalsRowDxfId="3891"/>
    <tableColumn id="16" name="نام سایت 3" dataDxfId="3890" totalsRowDxfId="3889"/>
    <tableColumn id="17" name="نرخ پرش  " dataDxfId="3888" totalsRowDxfId="3887"/>
    <tableColumn id="18" name="تعداد صفحات مشاهده شده" dataDxfId="3886" totalsRowDxfId="3885"/>
    <tableColumn id="19" name="میزان زمان حضور در سایت" dataDxfId="3884" totalsRowDxfId="3883"/>
    <tableColumn id="20" name="ترافیک کل" totalsRowFunction="sum" dataDxfId="3882" totalsRowDxfId="3881"/>
    <tableColumn id="21" name="رتبه در سیمیلار وب" dataDxfId="3880" totalsRowDxfId="3879"/>
    <tableColumn id="22" name="نام سایت 2" dataDxfId="3878" totalsRowDxfId="3877"/>
    <tableColumn id="23" name="طبقه بندی" dataDxfId="3876" totalsRowDxfId="3875"/>
    <tableColumn id="24" name="بازار" dataDxfId="3874" totalsRowDxfId="3873"/>
    <tableColumn id="25" name="مجموع صفحات  مشاهده شده   " totalsRowFunction="sum" dataDxfId="3872" totalsRowDxfId="3871">
      <calculatedColumnFormula>(AA2*Y2)</calculatedColumnFormula>
    </tableColumn>
    <tableColumn id="26" name="مجموع زمان حضور در سایت " totalsRowFunction="sum" dataDxfId="3870" totalsRowDxfId="3869">
      <calculatedColumnFormula>((((RIGHT(Z2,2))/60)+(LEFT(Z2,2)))*AA2)</calculatedColumnFormula>
    </tableColumn>
    <tableColumn id="27" name="سهم سایت از کل ترافیک طبقه بندی" totalsRowFunction="sum" dataDxfId="3868" totalsRowDxfId="3867">
      <calculatedColumnFormula>(AA2/$AA$31)*100</calculatedColumnFormula>
    </tableColumn>
    <tableColumn id="28" name="شاخص هرفیندال هیرشمن (ترافیک)" totalsRowFunction="sum" dataDxfId="3866" totalsRowDxfId="3865">
      <calculatedColumnFormula>(AH2*AH2)</calculatedColumnFormula>
    </tableColumn>
    <tableColumn id="29" name="سهم سایت از کل صفحات مشاهده شده در طبقه بندی" totalsRowFunction="sum" dataDxfId="3864" totalsRowDxfId="3863">
      <calculatedColumnFormula>(AF2/$AF$31)*100</calculatedColumnFormula>
    </tableColumn>
    <tableColumn id="30" name="شاخص هرفیندال -هیرشمن (صفحات مشاهده شده )" totalsRowFunction="sum" dataDxfId="3862" totalsRowDxfId="3861">
      <calculatedColumnFormula>(AJ2*AJ2)</calculatedColumnFormula>
    </tableColumn>
    <tableColumn id="31" name="سهم سایت از کل زمان حضور در طبقه بندی" totalsRowFunction="sum" dataDxfId="3860" totalsRowDxfId="3859">
      <calculatedColumnFormula>(AG2/$AG$31)*100</calculatedColumnFormula>
    </tableColumn>
    <tableColumn id="32" name="شاخص هرفیندال هیرشمن (زمان حضور)" totalsRowFunction="sum" dataDxfId="3858" totalsRowDxfId="3857">
      <calculatedColumnFormula>(AL2*AL2)</calculatedColumnFormula>
    </tableColumn>
    <tableColumn id="33" name="نام سایت" dataDxfId="3856" totalsRowDxfId="3855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58" name="Table13659" displayName="Table13659" ref="H1:AN26" totalsRowCount="1" headerRowDxfId="3854" headerRowBorderDxfId="3853" tableBorderDxfId="3852">
  <autoFilter ref="H1:AN25"/>
  <sortState ref="H2:AN25">
    <sortCondition descending="1" ref="AA1:AA25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851" totalsRowDxfId="3850"/>
    <tableColumn id="7" name="استان" dataDxfId="3849" totalsRowDxfId="3848"/>
    <tableColumn id="8" name="Column1" dataDxfId="3847" totalsRowDxfId="3846"/>
    <tableColumn id="9" name="IPG" dataDxfId="3845" totalsRowDxfId="3844"/>
    <tableColumn id="10" name="Column2" dataDxfId="3843" totalsRowDxfId="3842"/>
    <tableColumn id="11" name="Column3" dataDxfId="3841" totalsRowDxfId="3840"/>
    <tableColumn id="12" name="Column4" dataDxfId="3839" totalsRowDxfId="3838"/>
    <tableColumn id="13" name="Column5" dataDxfId="3837" totalsRowDxfId="3836"/>
    <tableColumn id="14" name="Column6" dataDxfId="3835" totalsRowDxfId="3834"/>
    <tableColumn id="15" name="Column7" dataDxfId="3833" totalsRowDxfId="3832"/>
    <tableColumn id="16" name="نام سایت 3" dataDxfId="3831" totalsRowDxfId="3830"/>
    <tableColumn id="17" name="نرخ پرش  " dataDxfId="3829" totalsRowDxfId="3828"/>
    <tableColumn id="18" name="تعداد صفحات مشاهده شده" dataDxfId="3827" totalsRowDxfId="3826"/>
    <tableColumn id="19" name="میزان زمان حضور در سایت" dataDxfId="3825" totalsRowDxfId="3824"/>
    <tableColumn id="20" name="ترافیک کل" totalsRowFunction="sum" dataDxfId="3823" totalsRowDxfId="3822"/>
    <tableColumn id="21" name="رتبه در سیمیلار وب" dataDxfId="3821" totalsRowDxfId="3820"/>
    <tableColumn id="22" name="نام سایت 2" dataDxfId="3819" totalsRowDxfId="3818"/>
    <tableColumn id="23" name="طبقه بندی" dataDxfId="3817" totalsRowDxfId="3816"/>
    <tableColumn id="24" name="بازار" dataDxfId="3815" totalsRowDxfId="3814"/>
    <tableColumn id="25" name="مجموع صفحات  مشاهده شده   " totalsRowFunction="sum" dataDxfId="3813" totalsRowDxfId="3812">
      <calculatedColumnFormula>(AA2*Y2)</calculatedColumnFormula>
    </tableColumn>
    <tableColumn id="26" name="مجموع زمان حضور در سایت " totalsRowFunction="sum" dataDxfId="3811" totalsRowDxfId="3810">
      <calculatedColumnFormula>((((RIGHT(Z2,2))/60)+(LEFT(Z2,2)))*AA2)</calculatedColumnFormula>
    </tableColumn>
    <tableColumn id="27" name="سهم سایت از کل ترافیک طبقه بندی" totalsRowFunction="sum" dataDxfId="3809" totalsRowDxfId="3808">
      <calculatedColumnFormula>(AA2/$AA$26)*100</calculatedColumnFormula>
    </tableColumn>
    <tableColumn id="28" name="شاخص هرفیندال هیرشمن (ترافیک)" totalsRowFunction="sum" dataDxfId="3807" totalsRowDxfId="3806">
      <calculatedColumnFormula>(AH2*AH2)</calculatedColumnFormula>
    </tableColumn>
    <tableColumn id="29" name="سهم سایت از کل صفحات مشاهده شده در طبقه بندی" totalsRowFunction="sum" dataDxfId="3805" totalsRowDxfId="3804">
      <calculatedColumnFormula>(AF2/$AF$26)*100</calculatedColumnFormula>
    </tableColumn>
    <tableColumn id="30" name="شاخص هرفیندال -هیرشمن (صفحات مشاهده شده )" totalsRowFunction="sum" dataDxfId="3803" totalsRowDxfId="3802">
      <calculatedColumnFormula>(AJ2*AJ2)</calculatedColumnFormula>
    </tableColumn>
    <tableColumn id="31" name="سهم سایت از کل زمان حضور در طبقه بندی" totalsRowFunction="sum" dataDxfId="3801" totalsRowDxfId="3800">
      <calculatedColumnFormula>(AG2/$AG$26)*100</calculatedColumnFormula>
    </tableColumn>
    <tableColumn id="32" name="شاخص هرفیندال هیرشمن (زمان حضور)" totalsRowFunction="sum" dataDxfId="3799" totalsRowDxfId="3798">
      <calculatedColumnFormula>(AL2*AL2)</calculatedColumnFormula>
    </tableColumn>
    <tableColumn id="33" name="نام سایت" dataDxfId="3797" totalsRowDxfId="3796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9" name="Table13660" displayName="Table13660" ref="H1:AN29" totalsRowCount="1" headerRowDxfId="3795" headerRowBorderDxfId="3794" tableBorderDxfId="3793">
  <autoFilter ref="H1:AN28"/>
  <sortState ref="H2:AN28">
    <sortCondition descending="1" ref="AA1:AA28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792" totalsRowDxfId="3791"/>
    <tableColumn id="7" name="استان" dataDxfId="3790" totalsRowDxfId="3789"/>
    <tableColumn id="8" name="Column1" dataDxfId="3788" totalsRowDxfId="3787"/>
    <tableColumn id="9" name="IPG" dataDxfId="3786" totalsRowDxfId="3785"/>
    <tableColumn id="10" name="Column2" dataDxfId="3784" totalsRowDxfId="3783"/>
    <tableColumn id="11" name="Column3" dataDxfId="3782" totalsRowDxfId="3781"/>
    <tableColumn id="12" name="Column4" dataDxfId="3780" totalsRowDxfId="3779"/>
    <tableColumn id="13" name="Column5" dataDxfId="3778" totalsRowDxfId="3777"/>
    <tableColumn id="14" name="Column6" dataDxfId="3776" totalsRowDxfId="3775"/>
    <tableColumn id="15" name="Column7" dataDxfId="3774" totalsRowDxfId="3773"/>
    <tableColumn id="16" name="نام سایت 3" dataDxfId="3772" totalsRowDxfId="3771"/>
    <tableColumn id="17" name="نرخ پرش  " dataDxfId="3770" totalsRowDxfId="3769"/>
    <tableColumn id="18" name="تعداد صفحات مشاهده شده" dataDxfId="3768" totalsRowDxfId="3767"/>
    <tableColumn id="19" name="میزان زمان حضور در سایت" dataDxfId="3766" totalsRowDxfId="3765"/>
    <tableColumn id="20" name="ترافیک کل" totalsRowFunction="sum" dataDxfId="3764" totalsRowDxfId="3763"/>
    <tableColumn id="21" name="رتبه در سیمیلار وب" dataDxfId="3762" totalsRowDxfId="3761"/>
    <tableColumn id="22" name="نام سایت 2" dataDxfId="3760" totalsRowDxfId="3759"/>
    <tableColumn id="23" name="طبقه بندی" dataDxfId="3758" totalsRowDxfId="3757"/>
    <tableColumn id="24" name="بازار" dataDxfId="3756" totalsRowDxfId="3755"/>
    <tableColumn id="25" name="مجموع صفحات  مشاهده شده   " totalsRowFunction="sum" dataDxfId="3754" totalsRowDxfId="3753">
      <calculatedColumnFormula>(AA2*Y2)</calculatedColumnFormula>
    </tableColumn>
    <tableColumn id="26" name="مجموع زمان حضور در سایت " totalsRowFunction="sum" dataDxfId="3752" totalsRowDxfId="3751">
      <calculatedColumnFormula>((((RIGHT(Z2,2))/60)+(LEFT(Z2,2)))*AA2)</calculatedColumnFormula>
    </tableColumn>
    <tableColumn id="27" name="سهم سایت از کل ترافیک طبقه بندی" totalsRowFunction="sum" dataDxfId="3750" totalsRowDxfId="3749">
      <calculatedColumnFormula>(AA2/$AA$29)*100</calculatedColumnFormula>
    </tableColumn>
    <tableColumn id="28" name="شاخص هرفیندال هیرشمن (ترافیک)" totalsRowFunction="sum" dataDxfId="3748" totalsRowDxfId="3747">
      <calculatedColumnFormula>(AH2*AH2)</calculatedColumnFormula>
    </tableColumn>
    <tableColumn id="29" name="سهم سایت از کل صفحات مشاهده شده در طبقه بندی" totalsRowFunction="sum" dataDxfId="3746" totalsRowDxfId="3745">
      <calculatedColumnFormula>(AF2/$AF$29)*100</calculatedColumnFormula>
    </tableColumn>
    <tableColumn id="30" name="شاخص هرفیندال -هیرشمن (صفحات مشاهده شده )" totalsRowFunction="sum" dataDxfId="3744" totalsRowDxfId="3743">
      <calculatedColumnFormula>(AJ2*AJ2)</calculatedColumnFormula>
    </tableColumn>
    <tableColumn id="31" name="سهم سایت از کل زمان حضور در طبقه بندی" totalsRowFunction="sum" dataDxfId="3742" totalsRowDxfId="3741">
      <calculatedColumnFormula>(AG2/$AG$29)*100</calculatedColumnFormula>
    </tableColumn>
    <tableColumn id="32" name="شاخص هرفیندال هیرشمن (زمان حضور)" totalsRowFunction="sum" dataDxfId="3740" totalsRowDxfId="3739">
      <calculatedColumnFormula>(AL2*AL2)</calculatedColumnFormula>
    </tableColumn>
    <tableColumn id="33" name="نام سایت" dataDxfId="3738" totalsRowDxfId="3737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63" name="Table13664" displayName="Table13664" ref="H1:AN12" totalsRowCount="1" headerRowDxfId="3736" headerRowBorderDxfId="3735" tableBorderDxfId="3734">
  <autoFilter ref="H1:AN11"/>
  <sortState ref="H2:AN11">
    <sortCondition descending="1" ref="AA1:AA11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733" totalsRowDxfId="3732"/>
    <tableColumn id="7" name="استان" dataDxfId="3731" totalsRowDxfId="3730"/>
    <tableColumn id="8" name="Column1" dataDxfId="3729" totalsRowDxfId="3728"/>
    <tableColumn id="9" name="IPG" dataDxfId="3727" totalsRowDxfId="3726"/>
    <tableColumn id="10" name="Column2" dataDxfId="3725" totalsRowDxfId="3724"/>
    <tableColumn id="11" name="Column3" dataDxfId="3723" totalsRowDxfId="3722"/>
    <tableColumn id="12" name="Column4" dataDxfId="3721" totalsRowDxfId="3720"/>
    <tableColumn id="13" name="Column5" dataDxfId="3719" totalsRowDxfId="3718"/>
    <tableColumn id="14" name="Column6" dataDxfId="3717" totalsRowDxfId="3716"/>
    <tableColumn id="15" name="Column7" dataDxfId="3715" totalsRowDxfId="3714"/>
    <tableColumn id="16" name="نام سایت 3" dataDxfId="3713" totalsRowDxfId="3712"/>
    <tableColumn id="17" name="نرخ پرش  " dataDxfId="3711" totalsRowDxfId="3710"/>
    <tableColumn id="18" name="تعداد صفحات مشاهده شده" dataDxfId="3709" totalsRowDxfId="3708"/>
    <tableColumn id="19" name="میزان زمان حضور در سایت" dataDxfId="3707" totalsRowDxfId="3706"/>
    <tableColumn id="20" name="ترافیک کل" totalsRowFunction="sum" dataDxfId="3705" totalsRowDxfId="3704"/>
    <tableColumn id="21" name="رتبه در سیمیلار وب" dataDxfId="3703" totalsRowDxfId="3702"/>
    <tableColumn id="22" name="نام سایت 2" dataDxfId="3701" totalsRowDxfId="3700"/>
    <tableColumn id="23" name="طبقه بندی" dataDxfId="3699" totalsRowDxfId="3698"/>
    <tableColumn id="24" name="بازار" dataDxfId="3697" totalsRowDxfId="3696"/>
    <tableColumn id="25" name="مجموع صفحات  مشاهده شده   " totalsRowFunction="sum" dataDxfId="3695" totalsRowDxfId="3694">
      <calculatedColumnFormula>(AA2*Y2)</calculatedColumnFormula>
    </tableColumn>
    <tableColumn id="26" name="مجموع زمان حضور در سایت " totalsRowFunction="sum" dataDxfId="3693" totalsRowDxfId="3692">
      <calculatedColumnFormula>((((RIGHT(Z2,2))/60)+(LEFT(Z2,2)))*AA2)</calculatedColumnFormula>
    </tableColumn>
    <tableColumn id="27" name="سهم سایت از کل ترافیک طبقه بندی" totalsRowFunction="sum" dataDxfId="3691" totalsRowDxfId="3690">
      <calculatedColumnFormula>(AA2/$AA$12)*100</calculatedColumnFormula>
    </tableColumn>
    <tableColumn id="28" name="شاخص هرفیندال هیرشمن (ترافیک)" totalsRowFunction="sum" dataDxfId="3689" totalsRowDxfId="3688">
      <calculatedColumnFormula>(AH2*AH2)</calculatedColumnFormula>
    </tableColumn>
    <tableColumn id="29" name="سهم سایت از کل صفحات مشاهده شده در طبقه بندی" totalsRowFunction="sum" dataDxfId="3687" totalsRowDxfId="3686">
      <calculatedColumnFormula>(AF2/$AF$12)*100</calculatedColumnFormula>
    </tableColumn>
    <tableColumn id="30" name="شاخص هرفیندال -هیرشمن (صفحات مشاهده شده )" totalsRowFunction="sum" dataDxfId="3685" totalsRowDxfId="3684">
      <calculatedColumnFormula>(AJ2*AJ2)</calculatedColumnFormula>
    </tableColumn>
    <tableColumn id="31" name="سهم سایت از کل زمان حضور در طبقه بندی" totalsRowFunction="sum" dataDxfId="3683" totalsRowDxfId="3682">
      <calculatedColumnFormula>(AG2/$AG$12)*100</calculatedColumnFormula>
    </tableColumn>
    <tableColumn id="32" name="شاخص هرفیندال هیرشمن (زمان حضور)" totalsRowFunction="sum" dataDxfId="3681" totalsRowDxfId="3680">
      <calculatedColumnFormula>(AL2*AL2)</calculatedColumnFormula>
    </tableColumn>
    <tableColumn id="33" name="نام سایت" dataDxfId="3679" totalsRowDxfId="3678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60" name="Table13661" displayName="Table13661" ref="H1:AN158" totalsRowCount="1" headerRowDxfId="3677" headerRowBorderDxfId="3676" tableBorderDxfId="3675">
  <autoFilter ref="H1:AN157"/>
  <sortState ref="H2:AN157">
    <sortCondition descending="1" ref="AA1:AA157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674" totalsRowDxfId="3673"/>
    <tableColumn id="7" name="استان" dataDxfId="3672" totalsRowDxfId="3671"/>
    <tableColumn id="8" name="Column1" dataDxfId="3670" totalsRowDxfId="3669"/>
    <tableColumn id="9" name="IPG" dataDxfId="3668" totalsRowDxfId="3667"/>
    <tableColumn id="10" name="Column2" dataDxfId="3666" totalsRowDxfId="3665"/>
    <tableColumn id="11" name="Column3" dataDxfId="3664" totalsRowDxfId="3663"/>
    <tableColumn id="12" name="Column4" dataDxfId="3662" totalsRowDxfId="3661"/>
    <tableColumn id="13" name="Column5" dataDxfId="3660" totalsRowDxfId="3659"/>
    <tableColumn id="14" name="Column6" dataDxfId="3658" totalsRowDxfId="3657"/>
    <tableColumn id="15" name="Column7" dataDxfId="3656" totalsRowDxfId="3655"/>
    <tableColumn id="16" name="نام سایت 3" dataDxfId="3654" totalsRowDxfId="3653"/>
    <tableColumn id="17" name="نرخ پرش  " dataDxfId="3652" totalsRowDxfId="3651"/>
    <tableColumn id="18" name="تعداد صفحات مشاهده شده" dataDxfId="3650" totalsRowDxfId="3649"/>
    <tableColumn id="19" name="میزان زمان حضور در سایت" dataDxfId="3648" totalsRowDxfId="3647"/>
    <tableColumn id="20" name="ترافیک کل" totalsRowFunction="sum" dataDxfId="3646" totalsRowDxfId="3645"/>
    <tableColumn id="21" name="رتبه در سیمیلار وب" dataDxfId="3644" totalsRowDxfId="3643"/>
    <tableColumn id="22" name="نام سایت 2" dataDxfId="3642" totalsRowDxfId="3641"/>
    <tableColumn id="23" name="طبقه بندی" dataDxfId="3640" totalsRowDxfId="3639"/>
    <tableColumn id="24" name="بازار" dataDxfId="3638" totalsRowDxfId="3637"/>
    <tableColumn id="25" name="مجموع صفحات  مشاهده شده   " totalsRowFunction="sum" dataDxfId="3636" totalsRowDxfId="3635">
      <calculatedColumnFormula>(AA2*Y2)</calculatedColumnFormula>
    </tableColumn>
    <tableColumn id="26" name="مجموع زمان حضور در سایت " totalsRowFunction="sum" dataDxfId="3634" totalsRowDxfId="3633">
      <calculatedColumnFormula>((((RIGHT(Z2,2))/60)+(LEFT(Z2,2)))*AA2)</calculatedColumnFormula>
    </tableColumn>
    <tableColumn id="27" name="سهم سایت از کل ترافیک طبقه بندی" totalsRowFunction="sum" dataDxfId="3632" totalsRowDxfId="3631">
      <calculatedColumnFormula>(AA2/$AA$158)*100</calculatedColumnFormula>
    </tableColumn>
    <tableColumn id="28" name="شاخص هرفیندال هیرشمن (ترافیک)" totalsRowFunction="sum" dataDxfId="3630" totalsRowDxfId="3629">
      <calculatedColumnFormula>(AH2*AH2)</calculatedColumnFormula>
    </tableColumn>
    <tableColumn id="29" name="سهم سایت از کل صفحات مشاهده شده در طبقه بندی" totalsRowFunction="sum" dataDxfId="3628" totalsRowDxfId="3627">
      <calculatedColumnFormula>(AF2/$AF$158)*100</calculatedColumnFormula>
    </tableColumn>
    <tableColumn id="30" name="شاخص هرفیندال -هیرشمن (صفحات مشاهده شده )" totalsRowFunction="sum" dataDxfId="3626" totalsRowDxfId="3625">
      <calculatedColumnFormula>(AJ2*AJ2)</calculatedColumnFormula>
    </tableColumn>
    <tableColumn id="31" name="سهم سایت از کل زمان حضور در طبقه بندی" totalsRowFunction="sum" dataDxfId="3624" totalsRowDxfId="3623">
      <calculatedColumnFormula>(AG2/$AG$158)*100</calculatedColumnFormula>
    </tableColumn>
    <tableColumn id="32" name="شاخص هرفیندال هیرشمن (زمان حضور)" totalsRowFunction="sum" dataDxfId="3622" totalsRowDxfId="3621">
      <calculatedColumnFormula>(AL2*AL2)</calculatedColumnFormula>
    </tableColumn>
    <tableColumn id="33" name="نام سایت" dataDxfId="3620" totalsRowDxfId="361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61" name="Table13662" displayName="Table13662" ref="H1:AN42" totalsRowCount="1" headerRowDxfId="3618" headerRowBorderDxfId="3617" tableBorderDxfId="3616">
  <autoFilter ref="H1:AN41"/>
  <sortState ref="H2:AN41">
    <sortCondition descending="1" ref="AA1:AA41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615" totalsRowDxfId="3614"/>
    <tableColumn id="7" name="استان" dataDxfId="3613" totalsRowDxfId="3612"/>
    <tableColumn id="8" name="Column1" dataDxfId="3611" totalsRowDxfId="3610"/>
    <tableColumn id="9" name="IPG" dataDxfId="3609" totalsRowDxfId="3608"/>
    <tableColumn id="10" name="Column2" dataDxfId="3607" totalsRowDxfId="3606"/>
    <tableColumn id="11" name="Column3" dataDxfId="3605" totalsRowDxfId="3604"/>
    <tableColumn id="12" name="Column4" dataDxfId="3603" totalsRowDxfId="3602"/>
    <tableColumn id="13" name="Column5" dataDxfId="3601" totalsRowDxfId="3600"/>
    <tableColumn id="14" name="Column6" dataDxfId="3599" totalsRowDxfId="3598"/>
    <tableColumn id="15" name="Column7" dataDxfId="3597" totalsRowDxfId="3596"/>
    <tableColumn id="16" name="نام سایت 3" dataDxfId="3595" totalsRowDxfId="3594"/>
    <tableColumn id="17" name="نرخ پرش  " dataDxfId="3593" totalsRowDxfId="3592"/>
    <tableColumn id="18" name="تعداد صفحات مشاهده شده" dataDxfId="3591" totalsRowDxfId="3590"/>
    <tableColumn id="19" name="میزان زمان حضور در سایت" dataDxfId="3589" totalsRowDxfId="3588"/>
    <tableColumn id="20" name="ترافیک کل" totalsRowFunction="sum" dataDxfId="3587" totalsRowDxfId="3586"/>
    <tableColumn id="21" name="رتبه در سیمیلار وب" dataDxfId="3585" totalsRowDxfId="3584"/>
    <tableColumn id="22" name="نام سایت 2" dataDxfId="3583" totalsRowDxfId="3582"/>
    <tableColumn id="23" name="طبقه بندی" dataDxfId="3581" totalsRowDxfId="3580"/>
    <tableColumn id="24" name="بازار" dataDxfId="3579" totalsRowDxfId="3578"/>
    <tableColumn id="25" name="مجموع صفحات  مشاهده شده   " totalsRowFunction="sum" dataDxfId="3577" totalsRowDxfId="3576">
      <calculatedColumnFormula>(AA2*Y2)</calculatedColumnFormula>
    </tableColumn>
    <tableColumn id="26" name="مجموع زمان حضور در سایت " totalsRowFunction="sum" dataDxfId="3575" totalsRowDxfId="3574">
      <calculatedColumnFormula>((((RIGHT(Z2,2))/60)+(LEFT(Z2,2)))*AA2)</calculatedColumnFormula>
    </tableColumn>
    <tableColumn id="27" name="سهم سایت از کل ترافیک طبقه بندی" totalsRowFunction="sum" dataDxfId="3573" totalsRowDxfId="3572">
      <calculatedColumnFormula>(AA2/$AA$42)*100</calculatedColumnFormula>
    </tableColumn>
    <tableColumn id="28" name="شاخص هرفیندال هیرشمن (ترافیک)" totalsRowFunction="sum" dataDxfId="3571" totalsRowDxfId="3570">
      <calculatedColumnFormula>(AH2*AH2)</calculatedColumnFormula>
    </tableColumn>
    <tableColumn id="29" name="سهم سایت از کل صفحات مشاهده شده در طبقه بندی" totalsRowFunction="sum" dataDxfId="3569" totalsRowDxfId="3568">
      <calculatedColumnFormula>(AF2/$AF$42)*100</calculatedColumnFormula>
    </tableColumn>
    <tableColumn id="30" name="شاخص هرفیندال -هیرشمن (صفحات مشاهده شده )" totalsRowFunction="sum" dataDxfId="3567" totalsRowDxfId="3566">
      <calculatedColumnFormula>(AJ2*AJ2)</calculatedColumnFormula>
    </tableColumn>
    <tableColumn id="31" name="سهم سایت از کل زمان حضور در طبقه بندی" totalsRowFunction="sum" dataDxfId="3565" totalsRowDxfId="3564">
      <calculatedColumnFormula>(AG2/$AG$42)*100</calculatedColumnFormula>
    </tableColumn>
    <tableColumn id="32" name="شاخص هرفیندال هیرشمن (زمان حضور)" totalsRowFunction="sum" dataDxfId="3563" totalsRowDxfId="3562">
      <calculatedColumnFormula>(AL2*AL2)</calculatedColumnFormula>
    </tableColumn>
    <tableColumn id="33" name="نام سایت" dataDxfId="3561" totalsRowDxfId="3560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62" name="Table13663" displayName="Table13663" ref="H1:AN21" totalsRowCount="1" headerRowDxfId="3559" headerRowBorderDxfId="3558" tableBorderDxfId="3557">
  <autoFilter ref="H1:AN20"/>
  <sortState ref="H2:AN20">
    <sortCondition descending="1" ref="AA1:AA20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556" totalsRowDxfId="3555"/>
    <tableColumn id="7" name="استان" dataDxfId="3554" totalsRowDxfId="3553"/>
    <tableColumn id="8" name="Column1" dataDxfId="3552" totalsRowDxfId="3551"/>
    <tableColumn id="9" name="IPG" dataDxfId="3550" totalsRowDxfId="3549"/>
    <tableColumn id="10" name="Column2" dataDxfId="3548" totalsRowDxfId="3547"/>
    <tableColumn id="11" name="Column3" dataDxfId="3546" totalsRowDxfId="3545"/>
    <tableColumn id="12" name="Column4" dataDxfId="3544" totalsRowDxfId="3543"/>
    <tableColumn id="13" name="Column5" dataDxfId="3542" totalsRowDxfId="3541"/>
    <tableColumn id="14" name="Column6" dataDxfId="3540" totalsRowDxfId="3539"/>
    <tableColumn id="15" name="Column7" dataDxfId="3538" totalsRowDxfId="3537"/>
    <tableColumn id="16" name="نام سایت 3" dataDxfId="3536" totalsRowDxfId="3535"/>
    <tableColumn id="17" name="نرخ پرش  " dataDxfId="3534" totalsRowDxfId="3533"/>
    <tableColumn id="18" name="تعداد صفحات مشاهده شده" dataDxfId="3532" totalsRowDxfId="3531"/>
    <tableColumn id="19" name="میزان زمان حضور در سایت" dataDxfId="3530" totalsRowDxfId="3529"/>
    <tableColumn id="20" name="ترافیک کل" totalsRowFunction="sum" dataDxfId="3528" totalsRowDxfId="3527"/>
    <tableColumn id="21" name="رتبه در سیمیلار وب" dataDxfId="3526" totalsRowDxfId="3525"/>
    <tableColumn id="22" name="نام سایت 2" dataDxfId="3524" totalsRowDxfId="3523"/>
    <tableColumn id="23" name="طبقه بندی" dataDxfId="3522" totalsRowDxfId="3521"/>
    <tableColumn id="24" name="بازار" dataDxfId="3520" totalsRowDxfId="3519"/>
    <tableColumn id="25" name="مجموع صفحات  مشاهده شده   " totalsRowFunction="sum" dataDxfId="3518" totalsRowDxfId="3517">
      <calculatedColumnFormula>(AA2*Y2)</calculatedColumnFormula>
    </tableColumn>
    <tableColumn id="26" name="مجموع زمان حضور در سایت " totalsRowFunction="sum" dataDxfId="3516" totalsRowDxfId="3515">
      <calculatedColumnFormula>((((RIGHT(Z2,2))/60)+(LEFT(Z2,2)))*AA2)</calculatedColumnFormula>
    </tableColumn>
    <tableColumn id="27" name="سهم سایت از کل ترافیک طبقه بندی" totalsRowFunction="sum" dataDxfId="3514" totalsRowDxfId="3513">
      <calculatedColumnFormula>(AA2/$AA$24)*100</calculatedColumnFormula>
    </tableColumn>
    <tableColumn id="28" name="شاخص هرفیندال هیرشمن (ترافیک)" totalsRowFunction="sum" dataDxfId="3512" totalsRowDxfId="3511">
      <calculatedColumnFormula>(AH2*AH2)</calculatedColumnFormula>
    </tableColumn>
    <tableColumn id="29" name="سهم سایت از کل صفحات مشاهده شده در طبقه بندی" totalsRowFunction="sum" dataDxfId="3510" totalsRowDxfId="3509">
      <calculatedColumnFormula>(AF2/$AF$24)*100</calculatedColumnFormula>
    </tableColumn>
    <tableColumn id="30" name="شاخص هرفیندال -هیرشمن (صفحات مشاهده شده )" totalsRowFunction="sum" dataDxfId="3508" totalsRowDxfId="3507">
      <calculatedColumnFormula>(AJ2*AJ2)</calculatedColumnFormula>
    </tableColumn>
    <tableColumn id="31" name="سهم سایت از کل زمان حضور در طبقه بندی" totalsRowFunction="sum" dataDxfId="3506" totalsRowDxfId="3505">
      <calculatedColumnFormula>(AG2/$AG$24)*100</calculatedColumnFormula>
    </tableColumn>
    <tableColumn id="32" name="شاخص هرفیندال هیرشمن (زمان حضور)" totalsRowFunction="sum" dataDxfId="3504" totalsRowDxfId="3503">
      <calculatedColumnFormula>(AL2*AL2)</calculatedColumnFormula>
    </tableColumn>
    <tableColumn id="33" name="نام سایت" dataDxfId="3502" totalsRowDxfId="3501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81" name="Table13683" displayName="Table13683" ref="H1:AN17" totalsRowCount="1" headerRowDxfId="3500" headerRowBorderDxfId="3499" tableBorderDxfId="3498">
  <autoFilter ref="H1:AN16"/>
  <sortState ref="H2:AN16">
    <sortCondition descending="1" ref="AA1:AA16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497" totalsRowDxfId="3496"/>
    <tableColumn id="7" name="استان" dataDxfId="3495" totalsRowDxfId="3494"/>
    <tableColumn id="8" name="Column1" dataDxfId="3493" totalsRowDxfId="3492"/>
    <tableColumn id="9" name="IPG" dataDxfId="3491" totalsRowDxfId="3490"/>
    <tableColumn id="10" name="Column2" dataDxfId="3489" totalsRowDxfId="3488"/>
    <tableColumn id="11" name="Column3" dataDxfId="3487" totalsRowDxfId="3486"/>
    <tableColumn id="12" name="Column4" dataDxfId="3485" totalsRowDxfId="3484"/>
    <tableColumn id="13" name="Column5" dataDxfId="3483" totalsRowDxfId="3482"/>
    <tableColumn id="14" name="Column6" dataDxfId="3481" totalsRowDxfId="3480"/>
    <tableColumn id="15" name="Column7" dataDxfId="3479" totalsRowDxfId="3478"/>
    <tableColumn id="16" name="نام سایت 3" dataDxfId="3477" totalsRowDxfId="3476"/>
    <tableColumn id="17" name="نرخ پرش  " dataDxfId="3475" totalsRowDxfId="3474"/>
    <tableColumn id="18" name="تعداد صفحات مشاهده شده" dataDxfId="3473" totalsRowDxfId="3472"/>
    <tableColumn id="19" name="میزان زمان حضور در سایت" dataDxfId="3471" totalsRowDxfId="3470"/>
    <tableColumn id="20" name="ترافیک کل" totalsRowFunction="sum" dataDxfId="3469" totalsRowDxfId="3468"/>
    <tableColumn id="21" name="رتبه در سیمیلار وب" dataDxfId="3467" totalsRowDxfId="3466"/>
    <tableColumn id="22" name="نام سایت 2" dataDxfId="3465" totalsRowDxfId="3464"/>
    <tableColumn id="23" name="طبقه بندی" dataDxfId="3463" totalsRowDxfId="3462"/>
    <tableColumn id="24" name="بازار" dataDxfId="3461" totalsRowDxfId="3460"/>
    <tableColumn id="25" name="مجموع صفحات  مشاهده شده   " totalsRowFunction="sum" dataDxfId="3459" totalsRowDxfId="3458">
      <calculatedColumnFormula>(AA2*Y2)</calculatedColumnFormula>
    </tableColumn>
    <tableColumn id="26" name="مجموع زمان حضور در سایت " totalsRowFunction="sum" dataDxfId="3457" totalsRowDxfId="3456">
      <calculatedColumnFormula>((((RIGHT(Z2,2))/60)+(LEFT(Z2,2)))*AA2)</calculatedColumnFormula>
    </tableColumn>
    <tableColumn id="27" name="سهم سایت از کل ترافیک طبقه بندی" totalsRowFunction="sum" dataDxfId="3455" totalsRowDxfId="3454">
      <calculatedColumnFormula>(AA2/$AA$17)*100</calculatedColumnFormula>
    </tableColumn>
    <tableColumn id="28" name="شاخص هرفیندال هیرشمن (ترافیک)" totalsRowFunction="sum" dataDxfId="3453" totalsRowDxfId="3452">
      <calculatedColumnFormula>(AH2*AH2)</calculatedColumnFormula>
    </tableColumn>
    <tableColumn id="29" name="سهم سایت از کل صفحات مشاهده شده در طبقه بندی" totalsRowFunction="sum" dataDxfId="3451" totalsRowDxfId="3450">
      <calculatedColumnFormula>(AF2/$AF$17)*100</calculatedColumnFormula>
    </tableColumn>
    <tableColumn id="30" name="شاخص هرفیندال -هیرشمن (صفحات مشاهده شده )" totalsRowFunction="sum" dataDxfId="3449" totalsRowDxfId="3448">
      <calculatedColumnFormula>(AJ2*AJ2)</calculatedColumnFormula>
    </tableColumn>
    <tableColumn id="31" name="سهم سایت از کل زمان حضور در طبقه بندی" totalsRowFunction="sum" dataDxfId="3447" totalsRowDxfId="3446">
      <calculatedColumnFormula>(AG2/$AG$17)*100</calculatedColumnFormula>
    </tableColumn>
    <tableColumn id="32" name="شاخص هرفیندال هیرشمن (زمان حضور)" totalsRowFunction="sum" dataDxfId="3445" totalsRowDxfId="3444">
      <calculatedColumnFormula>(AL2*AL2)</calculatedColumnFormula>
    </tableColumn>
    <tableColumn id="33" name="نام سایت" dataDxfId="3443" totalsRowDxfId="3442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77" name="Table13679" displayName="Table13679" ref="H1:AN13" totalsRowCount="1" headerRowDxfId="3441" headerRowBorderDxfId="3440" tableBorderDxfId="3439">
  <autoFilter ref="H1:AN12"/>
  <sortState ref="H2:AN12">
    <sortCondition descending="1" ref="AA1:AA12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438" totalsRowDxfId="3437"/>
    <tableColumn id="7" name="استان" dataDxfId="3436" totalsRowDxfId="3435"/>
    <tableColumn id="8" name="Column1" dataDxfId="3434" totalsRowDxfId="3433"/>
    <tableColumn id="9" name="IPG" dataDxfId="3432" totalsRowDxfId="3431"/>
    <tableColumn id="10" name="Column2" dataDxfId="3430" totalsRowDxfId="3429"/>
    <tableColumn id="11" name="Column3" dataDxfId="3428" totalsRowDxfId="3427"/>
    <tableColumn id="12" name="Column4" dataDxfId="3426" totalsRowDxfId="3425"/>
    <tableColumn id="13" name="Column5" dataDxfId="3424" totalsRowDxfId="3423"/>
    <tableColumn id="14" name="Column6" dataDxfId="3422" totalsRowDxfId="3421"/>
    <tableColumn id="15" name="Column7" dataDxfId="3420" totalsRowDxfId="3419"/>
    <tableColumn id="16" name="نام سایت 3" dataDxfId="3418" totalsRowDxfId="3417"/>
    <tableColumn id="17" name="نرخ پرش  " dataDxfId="3416" totalsRowDxfId="3415"/>
    <tableColumn id="18" name="تعداد صفحات مشاهده شده" dataDxfId="3414" totalsRowDxfId="3413"/>
    <tableColumn id="19" name="میزان زمان حضور در سایت" dataDxfId="3412" totalsRowDxfId="3411"/>
    <tableColumn id="20" name="ترافیک کل" totalsRowFunction="sum" dataDxfId="3410" totalsRowDxfId="3409"/>
    <tableColumn id="21" name="رتبه در سیمیلار وب" dataDxfId="3408" totalsRowDxfId="3407"/>
    <tableColumn id="22" name="نام سایت 2" dataDxfId="3406" totalsRowDxfId="3405"/>
    <tableColumn id="23" name="طبقه بندی" dataDxfId="3404" totalsRowDxfId="3403"/>
    <tableColumn id="24" name="بازار" dataDxfId="3402" totalsRowDxfId="3401"/>
    <tableColumn id="25" name="مجموع صفحات  مشاهده شده   " totalsRowFunction="sum" dataDxfId="3400" totalsRowDxfId="3399">
      <calculatedColumnFormula>(AA2*Y2)</calculatedColumnFormula>
    </tableColumn>
    <tableColumn id="26" name="مجموع زمان حضور در سایت " totalsRowFunction="sum" dataDxfId="3398" totalsRowDxfId="3397">
      <calculatedColumnFormula>((((RIGHT(Z2,2))/60)+(LEFT(Z2,2)))*AA2)</calculatedColumnFormula>
    </tableColumn>
    <tableColumn id="27" name="سهم سایت از کل ترافیک طبقه بندی" totalsRowFunction="sum" dataDxfId="3396" totalsRowDxfId="3395">
      <calculatedColumnFormula>(AA2/$AA$13)*100</calculatedColumnFormula>
    </tableColumn>
    <tableColumn id="28" name="شاخص هرفیندال هیرشمن (ترافیک)" totalsRowFunction="sum" dataDxfId="3394" totalsRowDxfId="3393">
      <calculatedColumnFormula>(AH2*AH2)</calculatedColumnFormula>
    </tableColumn>
    <tableColumn id="29" name="سهم سایت از کل صفحات مشاهده شده در طبقه بندی" totalsRowFunction="sum" dataDxfId="3392" totalsRowDxfId="3391">
      <calculatedColumnFormula>(AF2/$AF$13)*100</calculatedColumnFormula>
    </tableColumn>
    <tableColumn id="30" name="شاخص هرفیندال -هیرشمن (صفحات مشاهده شده )" totalsRowFunction="sum" dataDxfId="3390" totalsRowDxfId="3389">
      <calculatedColumnFormula>(AJ2*AJ2)</calculatedColumnFormula>
    </tableColumn>
    <tableColumn id="31" name="سهم سایت از کل زمان حضور در طبقه بندی" totalsRowFunction="sum" dataDxfId="3388" totalsRowDxfId="3387">
      <calculatedColumnFormula>(AG2/$AG$13)*100</calculatedColumnFormula>
    </tableColumn>
    <tableColumn id="32" name="شاخص هرفیندال هیرشمن (زمان حضور)" totalsRowFunction="sum" dataDxfId="3386" totalsRowDxfId="3385">
      <calculatedColumnFormula>(AL2*AL2)</calculatedColumnFormula>
    </tableColumn>
    <tableColumn id="33" name="نام سایت" dataDxfId="3384" totalsRowDxfId="3383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79" name="Table13681" displayName="Table13681" ref="H1:AN28" totalsRowCount="1" headerRowDxfId="3382" headerRowBorderDxfId="3381" tableBorderDxfId="3380">
  <autoFilter ref="H1:AN27"/>
  <sortState ref="H2:AN27">
    <sortCondition descending="1" ref="AA1:AA27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379" totalsRowDxfId="3378"/>
    <tableColumn id="7" name="استان" dataDxfId="3377" totalsRowDxfId="3376"/>
    <tableColumn id="8" name="Column1" dataDxfId="3375" totalsRowDxfId="3374"/>
    <tableColumn id="9" name="IPG" dataDxfId="3373" totalsRowDxfId="3372"/>
    <tableColumn id="10" name="Column2" dataDxfId="3371" totalsRowDxfId="3370"/>
    <tableColumn id="11" name="Column3" dataDxfId="3369" totalsRowDxfId="3368"/>
    <tableColumn id="12" name="Column4" dataDxfId="3367" totalsRowDxfId="3366"/>
    <tableColumn id="13" name="Column5" dataDxfId="3365" totalsRowDxfId="3364"/>
    <tableColumn id="14" name="Column6" dataDxfId="3363" totalsRowDxfId="3362"/>
    <tableColumn id="15" name="Column7" dataDxfId="3361" totalsRowDxfId="3360"/>
    <tableColumn id="16" name="نام سایت 3" dataDxfId="3359" totalsRowDxfId="3358"/>
    <tableColumn id="17" name="نرخ پرش  " dataDxfId="3357" totalsRowDxfId="3356"/>
    <tableColumn id="18" name="تعداد صفحات مشاهده شده" dataDxfId="3355" totalsRowDxfId="3354"/>
    <tableColumn id="19" name="میزان زمان حضور در سایت" dataDxfId="3353" totalsRowDxfId="3352"/>
    <tableColumn id="20" name="ترافیک کل" totalsRowFunction="sum" dataDxfId="3351" totalsRowDxfId="3350"/>
    <tableColumn id="21" name="رتبه در سیمیلار وب" dataDxfId="3349" totalsRowDxfId="3348"/>
    <tableColumn id="22" name="نام سایت 2" dataDxfId="3347" totalsRowDxfId="3346"/>
    <tableColumn id="23" name="طبقه بندی" dataDxfId="3345" totalsRowDxfId="3344"/>
    <tableColumn id="24" name="بازار" dataDxfId="3343" totalsRowDxfId="3342"/>
    <tableColumn id="25" name="مجموع صفحات  مشاهده شده   " totalsRowFunction="sum" dataDxfId="3341" totalsRowDxfId="3340">
      <calculatedColumnFormula>(AA2*Y2)</calculatedColumnFormula>
    </tableColumn>
    <tableColumn id="26" name="مجموع زمان حضور در سایت " totalsRowFunction="sum" dataDxfId="3339" totalsRowDxfId="3338">
      <calculatedColumnFormula>((((RIGHT(Z2,2))/60)+(LEFT(Z2,2)))*AA2)</calculatedColumnFormula>
    </tableColumn>
    <tableColumn id="27" name="سهم سایت از کل ترافیک طبقه بندی" totalsRowFunction="sum" dataDxfId="3337" totalsRowDxfId="3336">
      <calculatedColumnFormula>(AA2/$AA$28)*100</calculatedColumnFormula>
    </tableColumn>
    <tableColumn id="28" name="شاخص هرفیندال هیرشمن (ترافیک)" totalsRowFunction="sum" dataDxfId="3335" totalsRowDxfId="3334">
      <calculatedColumnFormula>(AH2*AH2)</calculatedColumnFormula>
    </tableColumn>
    <tableColumn id="29" name="سهم سایت از کل صفحات مشاهده شده در طبقه بندی" totalsRowFunction="sum" dataDxfId="3333" totalsRowDxfId="3332">
      <calculatedColumnFormula>(AF2/$AF$28)*100</calculatedColumnFormula>
    </tableColumn>
    <tableColumn id="30" name="شاخص هرفیندال -هیرشمن (صفحات مشاهده شده )" totalsRowFunction="sum" dataDxfId="3331" totalsRowDxfId="3330">
      <calculatedColumnFormula>(AJ2*AJ2)</calculatedColumnFormula>
    </tableColumn>
    <tableColumn id="31" name="سهم سایت از کل زمان حضور در طبقه بندی" totalsRowFunction="sum" dataDxfId="3329" totalsRowDxfId="3328">
      <calculatedColumnFormula>(AG2/$AG$28)*100</calculatedColumnFormula>
    </tableColumn>
    <tableColumn id="32" name="شاخص هرفیندال هیرشمن (زمان حضور)" totalsRowFunction="sum" dataDxfId="3327" totalsRowDxfId="3326">
      <calculatedColumnFormula>(AL2*AL2)</calculatedColumnFormula>
    </tableColumn>
    <tableColumn id="33" name="نام سایت" dataDxfId="3325" totalsRowDxfId="3324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83" name="Table13685" displayName="Table13685" ref="H1:AN8" totalsRowCount="1" headerRowDxfId="3323" headerRowBorderDxfId="3322" tableBorderDxfId="3321">
  <autoFilter ref="H1:AN7"/>
  <sortState ref="H2:AN7">
    <sortCondition descending="1" ref="AA1:AA7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320" totalsRowDxfId="3319"/>
    <tableColumn id="7" name="استان" dataDxfId="3318" totalsRowDxfId="3317"/>
    <tableColumn id="8" name="Column1" dataDxfId="3316" totalsRowDxfId="3315"/>
    <tableColumn id="9" name="IPG" dataDxfId="3314" totalsRowDxfId="3313"/>
    <tableColumn id="10" name="Column2" dataDxfId="3312" totalsRowDxfId="3311"/>
    <tableColumn id="11" name="Column3" dataDxfId="3310" totalsRowDxfId="3309"/>
    <tableColumn id="12" name="Column4" dataDxfId="3308" totalsRowDxfId="3307"/>
    <tableColumn id="13" name="Column5" dataDxfId="3306" totalsRowDxfId="3305"/>
    <tableColumn id="14" name="Column6" dataDxfId="3304" totalsRowDxfId="3303"/>
    <tableColumn id="15" name="Column7" dataDxfId="3302" totalsRowDxfId="3301"/>
    <tableColumn id="16" name="نام سایت 3" dataDxfId="3300" totalsRowDxfId="3299"/>
    <tableColumn id="17" name="نرخ پرش  " dataDxfId="3298" totalsRowDxfId="3297"/>
    <tableColumn id="18" name="تعداد صفحات مشاهده شده" dataDxfId="3296" totalsRowDxfId="3295"/>
    <tableColumn id="19" name="میزان زمان حضور در سایت" dataDxfId="3294" totalsRowDxfId="3293"/>
    <tableColumn id="20" name="ترافیک کل" totalsRowFunction="sum" dataDxfId="3292" totalsRowDxfId="3291"/>
    <tableColumn id="21" name="رتبه در سیمیلار وب" dataDxfId="3290" totalsRowDxfId="3289"/>
    <tableColumn id="22" name="نام سایت 2" dataDxfId="3288" totalsRowDxfId="3287"/>
    <tableColumn id="23" name="طبقه بندی" dataDxfId="3286" totalsRowDxfId="3285"/>
    <tableColumn id="24" name="بازار" dataDxfId="3284" totalsRowDxfId="3283"/>
    <tableColumn id="25" name="مجموع صفحات  مشاهده شده   " totalsRowFunction="sum" dataDxfId="3282" totalsRowDxfId="3281">
      <calculatedColumnFormula>(AA2*Y2)</calculatedColumnFormula>
    </tableColumn>
    <tableColumn id="26" name="مجموع زمان حضور در سایت " totalsRowFunction="sum" dataDxfId="3280" totalsRowDxfId="3279">
      <calculatedColumnFormula>((((RIGHT(Z2,2))/60)+(LEFT(Z2,2)))*AA2)</calculatedColumnFormula>
    </tableColumn>
    <tableColumn id="27" name="سهم سایت از کل ترافیک طبقه بندی" totalsRowFunction="sum" dataDxfId="3278" totalsRowDxfId="3277">
      <calculatedColumnFormula>(AA2/$AA$8)*100</calculatedColumnFormula>
    </tableColumn>
    <tableColumn id="28" name="شاخص هرفیندال هیرشمن (ترافیک)" totalsRowFunction="sum" dataDxfId="3276" totalsRowDxfId="3275">
      <calculatedColumnFormula>(AH2*AH2)</calculatedColumnFormula>
    </tableColumn>
    <tableColumn id="29" name="سهم سایت از کل صفحات مشاهده شده در طبقه بندی" totalsRowFunction="sum" dataDxfId="3274" totalsRowDxfId="3273">
      <calculatedColumnFormula>(AF2/$AF$8)*100</calculatedColumnFormula>
    </tableColumn>
    <tableColumn id="30" name="شاخص هرفیندال -هیرشمن (صفحات مشاهده شده )" totalsRowFunction="sum" dataDxfId="3272" totalsRowDxfId="3271">
      <calculatedColumnFormula>(AJ2*AJ2)</calculatedColumnFormula>
    </tableColumn>
    <tableColumn id="31" name="سهم سایت از کل زمان حضور در طبقه بندی" totalsRowFunction="sum" dataDxfId="3270" totalsRowDxfId="3269">
      <calculatedColumnFormula>(AG2/$AG$8)*100</calculatedColumnFormula>
    </tableColumn>
    <tableColumn id="32" name="شاخص هرفیندال هیرشمن (زمان حضور)" totalsRowFunction="sum" dataDxfId="3268" totalsRowDxfId="3267">
      <calculatedColumnFormula>(AL2*AL2)</calculatedColumnFormula>
    </tableColumn>
    <tableColumn id="33" name="نام سایت" dataDxfId="3266" totalsRowDxfId="3265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26" name="Table1362627" displayName="Table1362627" ref="H1:AN101" totalsRowCount="1" headerRowDxfId="3264" headerRowBorderDxfId="3263" tableBorderDxfId="3262">
  <autoFilter ref="H1:AN100"/>
  <sortState ref="H2:AN100">
    <sortCondition descending="1" ref="AA1:AA100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261" totalsRowDxfId="3260"/>
    <tableColumn id="7" name="استان" dataDxfId="3259" totalsRowDxfId="3258"/>
    <tableColumn id="8" name="Column1" dataDxfId="3257" totalsRowDxfId="3256"/>
    <tableColumn id="9" name="IPG" dataDxfId="3255" totalsRowDxfId="3254"/>
    <tableColumn id="10" name="Column2" dataDxfId="3253" totalsRowDxfId="3252"/>
    <tableColumn id="11" name="Column3" dataDxfId="3251" totalsRowDxfId="3250"/>
    <tableColumn id="12" name="Column4" dataDxfId="3249" totalsRowDxfId="3248"/>
    <tableColumn id="13" name="Column5" dataDxfId="3247" totalsRowDxfId="3246"/>
    <tableColumn id="14" name="Column6" dataDxfId="3245" totalsRowDxfId="3244"/>
    <tableColumn id="15" name="Column7" dataDxfId="3243" totalsRowDxfId="3242"/>
    <tableColumn id="16" name="نام سایت 3" dataDxfId="3241" totalsRowDxfId="3240"/>
    <tableColumn id="17" name="نرخ پرش  " dataDxfId="3239" totalsRowDxfId="3238"/>
    <tableColumn id="18" name="تعداد صفحات مشاهده شده" dataDxfId="3237" totalsRowDxfId="3236"/>
    <tableColumn id="19" name="میزان زمان حضور در سایت" dataDxfId="3235" totalsRowDxfId="3234"/>
    <tableColumn id="20" name="ترافیک کل" totalsRowFunction="sum" dataDxfId="3233" totalsRowDxfId="3232"/>
    <tableColumn id="21" name="رتبه در سیمیلار وب" dataDxfId="3231" totalsRowDxfId="3230"/>
    <tableColumn id="22" name="نام سایت 2" dataDxfId="3229" totalsRowDxfId="3228"/>
    <tableColumn id="23" name="طبقه بندی" dataDxfId="3227" totalsRowDxfId="3226"/>
    <tableColumn id="24" name="بازار" dataDxfId="3225" totalsRowDxfId="3224"/>
    <tableColumn id="25" name="مجموع صفحات  مشاهده شده   " totalsRowFunction="sum" dataDxfId="3223" totalsRowDxfId="3222">
      <calculatedColumnFormula>(AA2*Y2)</calculatedColumnFormula>
    </tableColumn>
    <tableColumn id="26" name="مجموع زمان حضور در سایت " totalsRowFunction="sum" dataDxfId="3221" totalsRowDxfId="3220">
      <calculatedColumnFormula>((((RIGHT(Z2,2))/60)+(LEFT(Z2,2)))*AA2)</calculatedColumnFormula>
    </tableColumn>
    <tableColumn id="27" name="سهم سایت از کل ترافیک طبقه بندی" totalsRowFunction="sum" dataDxfId="3219" totalsRowDxfId="3218">
      <calculatedColumnFormula>(AA2/$AA$101)*100</calculatedColumnFormula>
    </tableColumn>
    <tableColumn id="28" name="شاخص هرفیندال هیرشمن (ترافیک)" totalsRowFunction="sum" dataDxfId="3217" totalsRowDxfId="3216">
      <calculatedColumnFormula>(AH2*AH2)</calculatedColumnFormula>
    </tableColumn>
    <tableColumn id="29" name="سهم سایت از کل صفحات مشاهده شده در طبقه بندی" totalsRowFunction="sum" dataDxfId="3215" totalsRowDxfId="3214">
      <calculatedColumnFormula>(AF2/$AF$101)*100</calculatedColumnFormula>
    </tableColumn>
    <tableColumn id="30" name="شاخص هرفیندال -هیرشمن (صفحات مشاهده شده )" totalsRowFunction="sum" dataDxfId="3213" totalsRowDxfId="3212">
      <calculatedColumnFormula>(AJ2*AJ2)</calculatedColumnFormula>
    </tableColumn>
    <tableColumn id="31" name="سهم سایت از کل زمان حضور در طبقه بندی" totalsRowFunction="sum" dataDxfId="3211" totalsRowDxfId="3210">
      <calculatedColumnFormula>(AG2/$AG$101)*100</calculatedColumnFormula>
    </tableColumn>
    <tableColumn id="32" name="شاخص هرفیندال هیرشمن (زمان حضور)" totalsRowFunction="sum" dataDxfId="3209" totalsRowDxfId="3208">
      <calculatedColumnFormula>(AL2*AL2)</calculatedColumnFormula>
    </tableColumn>
    <tableColumn id="33" name="نام سایت" dataDxfId="3207" totalsRowDxfId="3206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27" name="Table13628" displayName="Table13628" ref="H1:AN8" totalsRowCount="1" headerRowDxfId="3205" headerRowBorderDxfId="3204" tableBorderDxfId="3203">
  <autoFilter ref="H1:AN7"/>
  <sortState ref="H2:AN7">
    <sortCondition descending="1" ref="AA1:AA7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202" totalsRowDxfId="3201"/>
    <tableColumn id="7" name="استان" dataDxfId="3200" totalsRowDxfId="3199"/>
    <tableColumn id="8" name="Column1" dataDxfId="3198" totalsRowDxfId="3197"/>
    <tableColumn id="9" name="IPG" dataDxfId="3196" totalsRowDxfId="3195"/>
    <tableColumn id="10" name="Column2" dataDxfId="3194" totalsRowDxfId="3193"/>
    <tableColumn id="11" name="Column3" dataDxfId="3192" totalsRowDxfId="3191"/>
    <tableColumn id="12" name="Column4" dataDxfId="3190" totalsRowDxfId="3189"/>
    <tableColumn id="13" name="Column5" dataDxfId="3188" totalsRowDxfId="3187"/>
    <tableColumn id="14" name="Column6" dataDxfId="3186" totalsRowDxfId="3185"/>
    <tableColumn id="15" name="Column7" dataDxfId="3184" totalsRowDxfId="3183"/>
    <tableColumn id="16" name="نام سایت 3" dataDxfId="3182" totalsRowDxfId="3181"/>
    <tableColumn id="17" name="نرخ پرش  " dataDxfId="3180" totalsRowDxfId="3179"/>
    <tableColumn id="18" name="تعداد صفحات مشاهده شده" dataDxfId="3178" totalsRowDxfId="3177"/>
    <tableColumn id="19" name="میزان زمان حضور در سایت" dataDxfId="3176" totalsRowDxfId="3175"/>
    <tableColumn id="20" name="ترافیک کل" totalsRowFunction="sum" dataDxfId="3174" totalsRowDxfId="3173"/>
    <tableColumn id="21" name="رتبه در سیمیلار وب" dataDxfId="3172" totalsRowDxfId="3171"/>
    <tableColumn id="22" name="نام سایت 2" dataDxfId="3170" totalsRowDxfId="3169"/>
    <tableColumn id="23" name="طبقه بندی" dataDxfId="3168" totalsRowDxfId="3167"/>
    <tableColumn id="24" name="بازار" dataDxfId="3166" totalsRowDxfId="3165"/>
    <tableColumn id="25" name="مجموع صفحات  مشاهده شده   " totalsRowFunction="sum" dataDxfId="3164" totalsRowDxfId="3163">
      <calculatedColumnFormula>(AA2*Y2)</calculatedColumnFormula>
    </tableColumn>
    <tableColumn id="26" name="مجموع زمان حضور در سایت " totalsRowFunction="sum" dataDxfId="3162" totalsRowDxfId="3161">
      <calculatedColumnFormula>((((RIGHT(Z2,2))/60)+(LEFT(Z2,2)))*AA2)</calculatedColumnFormula>
    </tableColumn>
    <tableColumn id="27" name="سهم سایت از کل ترافیک طبقه بندی" totalsRowFunction="sum" dataDxfId="3160" totalsRowDxfId="3159">
      <calculatedColumnFormula>(AA2/$AA$8)*100</calculatedColumnFormula>
    </tableColumn>
    <tableColumn id="28" name="شاخص هرفیندال هیرشمن (ترافیک)" totalsRowFunction="sum" dataDxfId="3158" totalsRowDxfId="3157">
      <calculatedColumnFormula>(AH2*AH2)</calculatedColumnFormula>
    </tableColumn>
    <tableColumn id="29" name="سهم سایت از کل صفحات مشاهده شده در طبقه بندی" totalsRowFunction="sum" dataDxfId="3156" totalsRowDxfId="3155">
      <calculatedColumnFormula>(AF2/$AF$8)*100</calculatedColumnFormula>
    </tableColumn>
    <tableColumn id="30" name="شاخص هرفیندال -هیرشمن (صفحات مشاهده شده )" totalsRowFunction="sum" dataDxfId="3154" totalsRowDxfId="3153">
      <calculatedColumnFormula>(AJ2*AJ2)</calculatedColumnFormula>
    </tableColumn>
    <tableColumn id="31" name="سهم سایت از کل زمان حضور در طبقه بندی" totalsRowFunction="sum" dataDxfId="3152" totalsRowDxfId="3151">
      <calculatedColumnFormula>(AG2/$AG$8)*100</calculatedColumnFormula>
    </tableColumn>
    <tableColumn id="32" name="شاخص هرفیندال هیرشمن (زمان حضور)" totalsRowFunction="sum" dataDxfId="3150" totalsRowDxfId="3149">
      <calculatedColumnFormula>(AL2*AL2)</calculatedColumnFormula>
    </tableColumn>
    <tableColumn id="33" name="نام سایت" dataDxfId="3148" totalsRowDxfId="314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28" name="Table1362829" displayName="Table1362829" ref="H1:AN5" totalsRowCount="1" headerRowDxfId="3146" headerRowBorderDxfId="3145" tableBorderDxfId="3144">
  <autoFilter ref="H1:AN4"/>
  <sortState ref="H2:AN4">
    <sortCondition descending="1" ref="AL1:AL4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143" totalsRowDxfId="3142"/>
    <tableColumn id="7" name="استان" dataDxfId="3141" totalsRowDxfId="3140"/>
    <tableColumn id="8" name="Column1" dataDxfId="3139" totalsRowDxfId="3138"/>
    <tableColumn id="9" name="IPG" dataDxfId="3137" totalsRowDxfId="3136"/>
    <tableColumn id="10" name="Column2" dataDxfId="3135" totalsRowDxfId="3134"/>
    <tableColumn id="11" name="Column3" dataDxfId="3133" totalsRowDxfId="3132"/>
    <tableColumn id="12" name="Column4" dataDxfId="3131" totalsRowDxfId="3130"/>
    <tableColumn id="13" name="Column5" dataDxfId="3129" totalsRowDxfId="3128"/>
    <tableColumn id="14" name="Column6" dataDxfId="3127" totalsRowDxfId="3126"/>
    <tableColumn id="15" name="Column7" dataDxfId="3125" totalsRowDxfId="3124"/>
    <tableColumn id="16" name="نام سایت 3" dataDxfId="3123" totalsRowDxfId="3122"/>
    <tableColumn id="17" name="نرخ پرش  " dataDxfId="3121" totalsRowDxfId="3120"/>
    <tableColumn id="18" name="تعداد صفحات مشاهده شده" dataDxfId="3119" totalsRowDxfId="3118"/>
    <tableColumn id="19" name="میزان زمان حضور در سایت" dataDxfId="3117" totalsRowDxfId="3116"/>
    <tableColumn id="20" name="ترافیک کل" totalsRowFunction="sum" dataDxfId="3115" totalsRowDxfId="3114"/>
    <tableColumn id="21" name="رتبه در سیمیلار وب" dataDxfId="3113" totalsRowDxfId="3112"/>
    <tableColumn id="22" name="نام سایت 2" dataDxfId="3111" totalsRowDxfId="3110"/>
    <tableColumn id="23" name="طبقه بندی" dataDxfId="3109" totalsRowDxfId="3108"/>
    <tableColumn id="24" name="بازار" dataDxfId="3107" totalsRowDxfId="3106"/>
    <tableColumn id="25" name="مجموع صفحات  مشاهده شده   " totalsRowFunction="sum" dataDxfId="3105" totalsRowDxfId="3104">
      <calculatedColumnFormula>(AA2*Y2)</calculatedColumnFormula>
    </tableColumn>
    <tableColumn id="26" name="مجموع زمان حضور در سایت " totalsRowFunction="sum" dataDxfId="3103" totalsRowDxfId="3102">
      <calculatedColumnFormula>((((RIGHT(Z2,2))/60)+(LEFT(Z2,2)))*AA2)</calculatedColumnFormula>
    </tableColumn>
    <tableColumn id="27" name="سهم سایت از کل ترافیک طبقه بندی" totalsRowFunction="sum" dataDxfId="3101" totalsRowDxfId="3100">
      <calculatedColumnFormula>(AA2/$AA$5)*100</calculatedColumnFormula>
    </tableColumn>
    <tableColumn id="28" name="شاخص هرفیندال هیرشمن (ترافیک)" totalsRowFunction="sum" dataDxfId="3099" totalsRowDxfId="3098">
      <calculatedColumnFormula>(AH2*AH2)</calculatedColumnFormula>
    </tableColumn>
    <tableColumn id="29" name="سهم سایت از کل صفحات مشاهده شده در طبقه بندی" totalsRowFunction="sum" dataDxfId="3097" totalsRowDxfId="3096">
      <calculatedColumnFormula>(AF2/$AF$5)*100</calculatedColumnFormula>
    </tableColumn>
    <tableColumn id="30" name="شاخص هرفیندال -هیرشمن (صفحات مشاهده شده )" totalsRowFunction="sum" dataDxfId="3095" totalsRowDxfId="3094">
      <calculatedColumnFormula>(AJ2*AJ2)</calculatedColumnFormula>
    </tableColumn>
    <tableColumn id="31" name="سهم سایت از کل زمان حضور در طبقه بندی" totalsRowFunction="sum" dataDxfId="3093" totalsRowDxfId="3092">
      <calculatedColumnFormula>(AG2/$AG$5)*100</calculatedColumnFormula>
    </tableColumn>
    <tableColumn id="32" name="شاخص هرفیندال هیرشمن (زمان حضور)" totalsRowFunction="sum" dataDxfId="3091" totalsRowDxfId="3090">
      <calculatedColumnFormula>(AL2*AL2)</calculatedColumnFormula>
    </tableColumn>
    <tableColumn id="33" name="نام سایت" dataDxfId="3089" totalsRowDxfId="308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29" name="Table136282930" displayName="Table136282930" ref="H1:AN80" totalsRowCount="1" headerRowDxfId="3087" headerRowBorderDxfId="3086" tableBorderDxfId="3085">
  <autoFilter ref="H1:AN79"/>
  <sortState ref="H2:AN79">
    <sortCondition descending="1" ref="AA1:AA7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084" totalsRowDxfId="3083"/>
    <tableColumn id="7" name="استان" dataDxfId="3082" totalsRowDxfId="3081"/>
    <tableColumn id="8" name="Column1" dataDxfId="3080" totalsRowDxfId="3079"/>
    <tableColumn id="9" name="IPG" dataDxfId="3078" totalsRowDxfId="3077"/>
    <tableColumn id="10" name="Column2" dataDxfId="3076" totalsRowDxfId="3075"/>
    <tableColumn id="11" name="Column3" dataDxfId="3074" totalsRowDxfId="3073"/>
    <tableColumn id="12" name="Column4" dataDxfId="3072" totalsRowDxfId="3071"/>
    <tableColumn id="13" name="Column5" dataDxfId="3070" totalsRowDxfId="3069"/>
    <tableColumn id="14" name="Column6" dataDxfId="3068" totalsRowDxfId="3067"/>
    <tableColumn id="15" name="Column7" dataDxfId="3066" totalsRowDxfId="3065"/>
    <tableColumn id="16" name="نام سایت 3" dataDxfId="3064" totalsRowDxfId="3063"/>
    <tableColumn id="17" name="نرخ پرش  " dataDxfId="3062" totalsRowDxfId="3061"/>
    <tableColumn id="18" name="تعداد صفحات مشاهده شده" dataDxfId="3060" totalsRowDxfId="3059"/>
    <tableColumn id="19" name="میزان زمان حضور در سایت" dataDxfId="3058" totalsRowDxfId="3057"/>
    <tableColumn id="20" name="ترافیک کل" totalsRowFunction="sum" dataDxfId="3056" totalsRowDxfId="3055"/>
    <tableColumn id="21" name="رتبه در سیمیلار وب" dataDxfId="3054" totalsRowDxfId="3053"/>
    <tableColumn id="22" name="نام سایت 2" dataDxfId="3052" totalsRowDxfId="3051"/>
    <tableColumn id="23" name="طبقه بندی" dataDxfId="3050" totalsRowDxfId="3049"/>
    <tableColumn id="24" name="بازار" dataDxfId="3048" totalsRowDxfId="3047"/>
    <tableColumn id="25" name="مجموع صفحات  مشاهده شده   " totalsRowFunction="sum" dataDxfId="3046" totalsRowDxfId="3045">
      <calculatedColumnFormula>(AA2*Y2)</calculatedColumnFormula>
    </tableColumn>
    <tableColumn id="26" name="مجموع زمان حضور در سایت " totalsRowFunction="sum" dataDxfId="3044" totalsRowDxfId="3043">
      <calculatedColumnFormula>((((RIGHT(Z2,2))/60)+(LEFT(Z2,2)))*AA2)</calculatedColumnFormula>
    </tableColumn>
    <tableColumn id="27" name="سهم سایت از کل ترافیک طبقه بندی" totalsRowFunction="sum" dataDxfId="3042" totalsRowDxfId="3041">
      <calculatedColumnFormula>(AA2/$AA$80)*100</calculatedColumnFormula>
    </tableColumn>
    <tableColumn id="28" name="شاخص هرفیندال هیرشمن (ترافیک)" totalsRowFunction="sum" dataDxfId="3040" totalsRowDxfId="3039">
      <calculatedColumnFormula>(AH2*AH2)</calculatedColumnFormula>
    </tableColumn>
    <tableColumn id="29" name="سهم سایت از کل صفحات مشاهده شده در طبقه بندی" totalsRowFunction="sum" dataDxfId="3038" totalsRowDxfId="3037">
      <calculatedColumnFormula>(AF2/$AF$80)*100</calculatedColumnFormula>
    </tableColumn>
    <tableColumn id="30" name="شاخص هرفیندال -هیرشمن (صفحات مشاهده شده )" totalsRowFunction="sum" dataDxfId="3036" totalsRowDxfId="3035">
      <calculatedColumnFormula>(AJ2*AJ2)</calculatedColumnFormula>
    </tableColumn>
    <tableColumn id="31" name="سهم سایت از کل زمان حضور در طبقه بندی" totalsRowFunction="sum" dataDxfId="3034" totalsRowDxfId="3033">
      <calculatedColumnFormula>(AG2/$AG$80)*100</calculatedColumnFormula>
    </tableColumn>
    <tableColumn id="32" name="شاخص هرفیندال هیرشمن (زمان حضور)" totalsRowFunction="sum" dataDxfId="3032" totalsRowDxfId="3031">
      <calculatedColumnFormula>(AL2*AL2)</calculatedColumnFormula>
    </tableColumn>
    <tableColumn id="33" name="نام سایت" dataDxfId="3030" totalsRowDxfId="302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30" name="Table13631" displayName="Table13631" ref="H1:AN23" totalsRowCount="1" headerRowDxfId="3028" headerRowBorderDxfId="3027" tableBorderDxfId="3026">
  <autoFilter ref="H1:AN22"/>
  <sortState ref="H2:AN22">
    <sortCondition descending="1" ref="AA1:AA22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3025" totalsRowDxfId="3024"/>
    <tableColumn id="7" name="استان" dataDxfId="3023" totalsRowDxfId="3022"/>
    <tableColumn id="8" name="Column1" dataDxfId="3021" totalsRowDxfId="3020"/>
    <tableColumn id="9" name="IPG" dataDxfId="3019" totalsRowDxfId="3018"/>
    <tableColumn id="10" name="Column2" dataDxfId="3017" totalsRowDxfId="3016"/>
    <tableColumn id="11" name="Column3" dataDxfId="3015" totalsRowDxfId="3014"/>
    <tableColumn id="12" name="Column4" dataDxfId="3013" totalsRowDxfId="3012"/>
    <tableColumn id="13" name="Column5" dataDxfId="3011" totalsRowDxfId="3010"/>
    <tableColumn id="14" name="Column6" dataDxfId="3009" totalsRowDxfId="3008"/>
    <tableColumn id="15" name="Column7" dataDxfId="3007" totalsRowDxfId="3006"/>
    <tableColumn id="16" name="نام سایت 3" dataDxfId="3005" totalsRowDxfId="3004"/>
    <tableColumn id="17" name="نرخ پرش  " dataDxfId="3003" totalsRowDxfId="3002"/>
    <tableColumn id="18" name="تعداد صفحات مشاهده شده" dataDxfId="3001" totalsRowDxfId="3000"/>
    <tableColumn id="19" name="میزان زمان حضور در سایت" dataDxfId="2999" totalsRowDxfId="2998"/>
    <tableColumn id="20" name="ترافیک کل" totalsRowFunction="sum" dataDxfId="2997" totalsRowDxfId="2996"/>
    <tableColumn id="21" name="رتبه در سیمیلار وب" dataDxfId="2995" totalsRowDxfId="2994"/>
    <tableColumn id="22" name="نام سایت 2" dataDxfId="2993" totalsRowDxfId="2992"/>
    <tableColumn id="23" name="طبقه بندی" dataDxfId="2991" totalsRowDxfId="2990"/>
    <tableColumn id="24" name="بازار" dataDxfId="2989" totalsRowDxfId="2988"/>
    <tableColumn id="25" name="مجموع صفحات  مشاهده شده   " totalsRowFunction="sum" dataDxfId="2987" totalsRowDxfId="2986">
      <calculatedColumnFormula>(AA2*Y2)</calculatedColumnFormula>
    </tableColumn>
    <tableColumn id="26" name="مجموع زمان حضور در سایت " totalsRowFunction="sum" dataDxfId="2985" totalsRowDxfId="2984">
      <calculatedColumnFormula>((((RIGHT(Z2,2))/60)+(LEFT(Z2,2)))*AA2)</calculatedColumnFormula>
    </tableColumn>
    <tableColumn id="27" name="سهم سایت از کل ترافیک طبقه بندی" totalsRowFunction="sum" dataDxfId="2983" totalsRowDxfId="2982">
      <calculatedColumnFormula>(AA2/$AA$23)*100</calculatedColumnFormula>
    </tableColumn>
    <tableColumn id="28" name="شاخص هرفیندال هیرشمن (ترافیک)" totalsRowFunction="sum" dataDxfId="2981" totalsRowDxfId="2980">
      <calculatedColumnFormula>(AH2*AH2)</calculatedColumnFormula>
    </tableColumn>
    <tableColumn id="29" name="سهم سایت از کل صفحات مشاهده شده در طبقه بندی" totalsRowFunction="sum" dataDxfId="2979" totalsRowDxfId="2978">
      <calculatedColumnFormula>(AF2/$AF$23)*100</calculatedColumnFormula>
    </tableColumn>
    <tableColumn id="30" name="شاخص هرفیندال -هیرشمن (صفحات مشاهده شده )" totalsRowFunction="sum" dataDxfId="2977" totalsRowDxfId="2976">
      <calculatedColumnFormula>(AJ2*AJ2)</calculatedColumnFormula>
    </tableColumn>
    <tableColumn id="31" name="سهم سایت از کل زمان حضور در طبقه بندی" totalsRowFunction="sum" dataDxfId="2975" totalsRowDxfId="2974">
      <calculatedColumnFormula>(AG2/$AG$23)*100</calculatedColumnFormula>
    </tableColumn>
    <tableColumn id="32" name="شاخص هرفیندال هیرشمن (زمان حضور)" totalsRowFunction="sum" dataDxfId="2973" totalsRowDxfId="2972">
      <calculatedColumnFormula>(AL2*AL2)</calculatedColumnFormula>
    </tableColumn>
    <tableColumn id="33" name="نام سایت" dataDxfId="2971" totalsRowDxfId="2970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22" name="Table1361719212223" displayName="Table1361719212223" ref="H1:AN26" totalsRowCount="1" headerRowDxfId="2969" headerRowBorderDxfId="2968" tableBorderDxfId="2967">
  <autoFilter ref="H1:AN25"/>
  <sortState ref="H2:AN25">
    <sortCondition descending="1" ref="AA1:AA25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2966" totalsRowDxfId="2965"/>
    <tableColumn id="7" name="استان" dataDxfId="2964" totalsRowDxfId="2963"/>
    <tableColumn id="8" name="Column1" dataDxfId="2962" totalsRowDxfId="2961"/>
    <tableColumn id="9" name="IPG" dataDxfId="2960" totalsRowDxfId="2959"/>
    <tableColumn id="10" name="Column2" dataDxfId="2958" totalsRowDxfId="2957"/>
    <tableColumn id="11" name="Column3" dataDxfId="2956" totalsRowDxfId="2955"/>
    <tableColumn id="12" name="Column4" dataDxfId="2954" totalsRowDxfId="2953"/>
    <tableColumn id="13" name="Column5" dataDxfId="2952" totalsRowDxfId="2951"/>
    <tableColumn id="14" name="Column6" dataDxfId="2950" totalsRowDxfId="2949"/>
    <tableColumn id="15" name="Column7" dataDxfId="2948" totalsRowDxfId="2947"/>
    <tableColumn id="16" name="نام سایت 3" dataDxfId="2946" totalsRowDxfId="2945"/>
    <tableColumn id="17" name="نرخ پرش  " dataDxfId="2944" totalsRowDxfId="2943"/>
    <tableColumn id="18" name="تعداد صفحات مشاهده شده" dataDxfId="2942" totalsRowDxfId="2941"/>
    <tableColumn id="19" name="میزان زمان حضور در سایت" dataDxfId="2940" totalsRowDxfId="2939"/>
    <tableColumn id="20" name="ترافیک کل" totalsRowFunction="sum" dataDxfId="2938" totalsRowDxfId="2937"/>
    <tableColumn id="21" name="رتبه در سیمیلار وب" dataDxfId="2936" totalsRowDxfId="2935"/>
    <tableColumn id="22" name="نام سایت 2" dataDxfId="2934" totalsRowDxfId="2933"/>
    <tableColumn id="23" name="طبقه بندی" dataDxfId="2932" totalsRowDxfId="2931"/>
    <tableColumn id="24" name="بازار" dataDxfId="2930" totalsRowDxfId="2929"/>
    <tableColumn id="25" name="مجموع صفحات  مشاهده شده   " totalsRowFunction="sum" dataDxfId="2928" totalsRowDxfId="2927">
      <calculatedColumnFormula>(AA2*Y2)</calculatedColumnFormula>
    </tableColumn>
    <tableColumn id="26" name="مجموع زمان حضور در سایت " totalsRowFunction="sum" dataDxfId="2926" totalsRowDxfId="2925">
      <calculatedColumnFormula>((((RIGHT(Z2,2))/60)+(LEFT(Z2,2)))*AA2)</calculatedColumnFormula>
    </tableColumn>
    <tableColumn id="27" name="سهم سایت از کل ترافیک طبقه بندی" totalsRowFunction="sum" dataDxfId="2924" totalsRowDxfId="2923">
      <calculatedColumnFormula>(AA2/$AA$26)*100</calculatedColumnFormula>
    </tableColumn>
    <tableColumn id="28" name="شاخص هرفیندال هیرشمن (ترافیک)" totalsRowFunction="sum" dataDxfId="2922" totalsRowDxfId="2921">
      <calculatedColumnFormula>(AH2*AH2)</calculatedColumnFormula>
    </tableColumn>
    <tableColumn id="29" name="سهم سایت از کل صفحات مشاهده شده در طبقه بندی" totalsRowFunction="sum" dataDxfId="2920" totalsRowDxfId="2919">
      <calculatedColumnFormula>(AF2/$AF$26)*100</calculatedColumnFormula>
    </tableColumn>
    <tableColumn id="30" name="شاخص هرفیندال -هیرشمن (صفحات مشاهده شده )" totalsRowFunction="sum" dataDxfId="2918" totalsRowDxfId="2917">
      <calculatedColumnFormula>(AJ2*AJ2)</calculatedColumnFormula>
    </tableColumn>
    <tableColumn id="31" name="سهم سایت از کل زمان حضور در طبقه بندی" totalsRowFunction="sum" dataDxfId="2916" totalsRowDxfId="2915">
      <calculatedColumnFormula>(AG2/$AG$26)*100</calculatedColumnFormula>
    </tableColumn>
    <tableColumn id="32" name="شاخص هرفیندال هیرشمن (زمان حضور)" totalsRowFunction="sum" dataDxfId="2914" totalsRowDxfId="2913">
      <calculatedColumnFormula>(AL2*AL2)</calculatedColumnFormula>
    </tableColumn>
    <tableColumn id="33" name="نام سایت" dataDxfId="2912" totalsRowDxfId="2911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76" name="Table13677" displayName="Table13677" ref="H1:AN9" totalsRowCount="1" headerRowDxfId="2910" headerRowBorderDxfId="2909" tableBorderDxfId="2908">
  <autoFilter ref="H1:AN8"/>
  <sortState ref="H2:AN8">
    <sortCondition descending="1" ref="AA1:AA8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2907" totalsRowDxfId="2906"/>
    <tableColumn id="7" name="استان" dataDxfId="2905" totalsRowDxfId="2904"/>
    <tableColumn id="8" name="Column1" dataDxfId="2903" totalsRowDxfId="2902"/>
    <tableColumn id="9" name="IPG" dataDxfId="2901" totalsRowDxfId="2900"/>
    <tableColumn id="10" name="Column2" dataDxfId="2899" totalsRowDxfId="2898"/>
    <tableColumn id="11" name="Column3" dataDxfId="2897" totalsRowDxfId="2896"/>
    <tableColumn id="12" name="Column4" dataDxfId="2895" totalsRowDxfId="2894"/>
    <tableColumn id="13" name="Column5" dataDxfId="2893" totalsRowDxfId="2892"/>
    <tableColumn id="14" name="Column6" dataDxfId="2891" totalsRowDxfId="2890"/>
    <tableColumn id="15" name="Column7" dataDxfId="2889" totalsRowDxfId="2888"/>
    <tableColumn id="16" name="نام سایت 3" dataDxfId="2887" totalsRowDxfId="2886"/>
    <tableColumn id="17" name="نرخ پرش  " dataDxfId="2885" totalsRowDxfId="2884"/>
    <tableColumn id="18" name="تعداد صفحات مشاهده شده" dataDxfId="2883" totalsRowDxfId="2882"/>
    <tableColumn id="19" name="میزان زمان حضور در سایت" dataDxfId="2881" totalsRowDxfId="2880"/>
    <tableColumn id="20" name="ترافیک کل" totalsRowFunction="sum" dataDxfId="2879" totalsRowDxfId="2878"/>
    <tableColumn id="21" name="رتبه در سیمیلار وب" dataDxfId="2877" totalsRowDxfId="2876"/>
    <tableColumn id="22" name="نام سایت 2" dataDxfId="2875" totalsRowDxfId="2874"/>
    <tableColumn id="23" name="طبقه بندی" dataDxfId="2873" totalsRowDxfId="2872"/>
    <tableColumn id="24" name="بازار" dataDxfId="2871" totalsRowDxfId="2870"/>
    <tableColumn id="25" name="مجموع صفحات  مشاهده شده   " totalsRowFunction="sum" dataDxfId="2869" totalsRowDxfId="2868">
      <calculatedColumnFormula>(AA2*Y2)</calculatedColumnFormula>
    </tableColumn>
    <tableColumn id="26" name="مجموع زمان حضور در سایت " totalsRowFunction="sum" dataDxfId="2867" totalsRowDxfId="2866">
      <calculatedColumnFormula>((((RIGHT(Z2,2))/60)+(LEFT(Z2,2)))*AA2)</calculatedColumnFormula>
    </tableColumn>
    <tableColumn id="27" name="سهم سایت از کل ترافیک طبقه بندی" totalsRowFunction="sum" dataDxfId="2865" totalsRowDxfId="2864">
      <calculatedColumnFormula>(AA2/$AA$9)*100</calculatedColumnFormula>
    </tableColumn>
    <tableColumn id="28" name="شاخص هرفیندال هیرشمن (ترافیک)" totalsRowFunction="sum" dataDxfId="2863" totalsRowDxfId="2862">
      <calculatedColumnFormula>(AH2*AH2)</calculatedColumnFormula>
    </tableColumn>
    <tableColumn id="29" name="سهم سایت از کل صفحات مشاهده شده در طبقه بندی" totalsRowFunction="sum" dataDxfId="2861" totalsRowDxfId="2860">
      <calculatedColumnFormula>(AF2/$AF$9)*100</calculatedColumnFormula>
    </tableColumn>
    <tableColumn id="30" name="شاخص هرفیندال -هیرشمن (صفحات مشاهده شده )" totalsRowFunction="sum" dataDxfId="2859" totalsRowDxfId="2858">
      <calculatedColumnFormula>(AJ2*AJ2)</calculatedColumnFormula>
    </tableColumn>
    <tableColumn id="31" name="سهم سایت از کل زمان حضور در طبقه بندی" totalsRowFunction="sum" dataDxfId="2857" totalsRowDxfId="2856">
      <calculatedColumnFormula>(AG2/$AG$9)*100</calculatedColumnFormula>
    </tableColumn>
    <tableColumn id="32" name="شاخص هرفیندال هیرشمن (زمان حضور)" totalsRowFunction="sum" dataDxfId="2855" totalsRowDxfId="2854">
      <calculatedColumnFormula>(AL2*AL2)</calculatedColumnFormula>
    </tableColumn>
    <tableColumn id="33" name="نام سایت" dataDxfId="2853" totalsRowDxfId="2852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98" name="Table1367799" displayName="Table1367799" ref="H1:AN17" totalsRowCount="1" headerRowDxfId="2851" headerRowBorderDxfId="2850" tableBorderDxfId="2849">
  <autoFilter ref="H1:AN16"/>
  <sortState ref="H2:AN16">
    <sortCondition descending="1" ref="AA1:AA16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2848" totalsRowDxfId="2847"/>
    <tableColumn id="7" name="استان" dataDxfId="2846" totalsRowDxfId="2845"/>
    <tableColumn id="8" name="Column1" dataDxfId="2844" totalsRowDxfId="2843"/>
    <tableColumn id="9" name="IPG" dataDxfId="2842" totalsRowDxfId="2841"/>
    <tableColumn id="10" name="Column2" dataDxfId="2840" totalsRowDxfId="2839"/>
    <tableColumn id="11" name="Column3" dataDxfId="2838" totalsRowDxfId="2837"/>
    <tableColumn id="12" name="Column4" dataDxfId="2836" totalsRowDxfId="2835"/>
    <tableColumn id="13" name="Column5" dataDxfId="2834" totalsRowDxfId="2833"/>
    <tableColumn id="14" name="Column6" dataDxfId="2832" totalsRowDxfId="2831"/>
    <tableColumn id="15" name="Column7" dataDxfId="2830" totalsRowDxfId="2829"/>
    <tableColumn id="16" name="نام سایت 3" dataDxfId="2828" totalsRowDxfId="2827"/>
    <tableColumn id="17" name="نرخ پرش  " dataDxfId="2826" totalsRowDxfId="2825"/>
    <tableColumn id="18" name="تعداد صفحات مشاهده شده" dataDxfId="2824" totalsRowDxfId="2823"/>
    <tableColumn id="19" name="میزان زمان حضور در سایت" dataDxfId="2822" totalsRowDxfId="2821"/>
    <tableColumn id="20" name="ترافیک کل" totalsRowFunction="sum" dataDxfId="2820" totalsRowDxfId="2819"/>
    <tableColumn id="21" name="رتبه در سیمیلار وب" dataDxfId="2818" totalsRowDxfId="2817"/>
    <tableColumn id="22" name="نام سایت 2" dataDxfId="2816" totalsRowDxfId="2815"/>
    <tableColumn id="23" name="طبقه بندی" dataDxfId="2814" totalsRowDxfId="2813"/>
    <tableColumn id="24" name="بازار" dataDxfId="2812" totalsRowDxfId="2811"/>
    <tableColumn id="25" name="مجموع صفحات  مشاهده شده   " totalsRowFunction="sum" dataDxfId="2810" totalsRowDxfId="2809">
      <calculatedColumnFormula>(AA2*Y2)</calculatedColumnFormula>
    </tableColumn>
    <tableColumn id="26" name="مجموع زمان حضور در سایت " totalsRowFunction="sum" dataDxfId="2808" totalsRowDxfId="2807">
      <calculatedColumnFormula>((((RIGHT(Z2,2))/60)+(LEFT(Z2,2)))*AA2)</calculatedColumnFormula>
    </tableColumn>
    <tableColumn id="27" name="سهم سایت از کل ترافیک طبقه بندی" totalsRowFunction="sum" dataDxfId="2806" totalsRowDxfId="2805">
      <calculatedColumnFormula>(AA2/$AA$17)*100</calculatedColumnFormula>
    </tableColumn>
    <tableColumn id="28" name="شاخص هرفیندال هیرشمن (ترافیک)" totalsRowFunction="sum" dataDxfId="2804" totalsRowDxfId="2803">
      <calculatedColumnFormula>(AH2*AH2)</calculatedColumnFormula>
    </tableColumn>
    <tableColumn id="29" name="سهم سایت از کل صفحات مشاهده شده در طبقه بندی" totalsRowFunction="sum" dataDxfId="2802" totalsRowDxfId="2801">
      <calculatedColumnFormula>(AF2/$AF$17)*100</calculatedColumnFormula>
    </tableColumn>
    <tableColumn id="30" name="شاخص هرفیندال -هیرشمن (صفحات مشاهده شده )" totalsRowFunction="sum" dataDxfId="2800" totalsRowDxfId="2799">
      <calculatedColumnFormula>(AJ2*AJ2)</calculatedColumnFormula>
    </tableColumn>
    <tableColumn id="31" name="سهم سایت از کل زمان حضور در طبقه بندی" totalsRowFunction="sum" dataDxfId="2798" totalsRowDxfId="2797">
      <calculatedColumnFormula>(AG2/$AG$17)*100</calculatedColumnFormula>
    </tableColumn>
    <tableColumn id="32" name="شاخص هرفیندال هیرشمن (زمان حضور)" totalsRowFunction="sum" dataDxfId="2796" totalsRowDxfId="2795">
      <calculatedColumnFormula>(AL2*AL2)</calculatedColumnFormula>
    </tableColumn>
    <tableColumn id="33" name="نام سایت" dataDxfId="2794" totalsRowDxfId="2793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99" name="Table1367799100" displayName="Table1367799100" ref="H1:AN6" totalsRowCount="1" headerRowDxfId="2792" headerRowBorderDxfId="2791" tableBorderDxfId="2790">
  <autoFilter ref="H1:AN5"/>
  <sortState ref="H2:AN5">
    <sortCondition descending="1" ref="AA1:AA5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2789" totalsRowDxfId="2788"/>
    <tableColumn id="7" name="استان" dataDxfId="2787" totalsRowDxfId="2786"/>
    <tableColumn id="8" name="Column1" dataDxfId="2785" totalsRowDxfId="2784"/>
    <tableColumn id="9" name="IPG" dataDxfId="2783" totalsRowDxfId="2782"/>
    <tableColumn id="10" name="Column2" dataDxfId="2781" totalsRowDxfId="2780"/>
    <tableColumn id="11" name="Column3" dataDxfId="2779" totalsRowDxfId="2778"/>
    <tableColumn id="12" name="Column4" dataDxfId="2777" totalsRowDxfId="2776"/>
    <tableColumn id="13" name="Column5" dataDxfId="2775" totalsRowDxfId="2774"/>
    <tableColumn id="14" name="Column6" dataDxfId="2773" totalsRowDxfId="2772"/>
    <tableColumn id="15" name="Column7" dataDxfId="2771" totalsRowDxfId="2770"/>
    <tableColumn id="16" name="نام سایت 3" dataDxfId="2769" totalsRowDxfId="2768"/>
    <tableColumn id="17" name="نرخ پرش  " dataDxfId="2767" totalsRowDxfId="2766"/>
    <tableColumn id="18" name="تعداد صفحات مشاهده شده" dataDxfId="2765" totalsRowDxfId="2764"/>
    <tableColumn id="19" name="میزان زمان حضور در سایت" dataDxfId="2763" totalsRowDxfId="2762"/>
    <tableColumn id="20" name="ترافیک کل" totalsRowFunction="sum" dataDxfId="2761" totalsRowDxfId="2760"/>
    <tableColumn id="21" name="رتبه در سیمیلار وب" dataDxfId="2759" totalsRowDxfId="2758"/>
    <tableColumn id="22" name="نام سایت 2" dataDxfId="2757" totalsRowDxfId="2756"/>
    <tableColumn id="23" name="طبقه بندی" dataDxfId="2755" totalsRowDxfId="2754"/>
    <tableColumn id="24" name="بازار" dataDxfId="2753" totalsRowDxfId="2752"/>
    <tableColumn id="25" name="مجموع صفحات  مشاهده شده   " totalsRowFunction="sum" dataDxfId="2751" totalsRowDxfId="2750">
      <calculatedColumnFormula>(AA2*Y2)</calculatedColumnFormula>
    </tableColumn>
    <tableColumn id="26" name="مجموع زمان حضور در سایت " totalsRowFunction="sum" dataDxfId="2749" totalsRowDxfId="2748">
      <calculatedColumnFormula>((((RIGHT(Z2,2))/60)+(LEFT(Z2,2)))*AA2)</calculatedColumnFormula>
    </tableColumn>
    <tableColumn id="27" name="سهم سایت از کل ترافیک طبقه بندی" totalsRowFunction="sum" dataDxfId="2747" totalsRowDxfId="2746">
      <calculatedColumnFormula>(AA2/$AA$6)*100</calculatedColumnFormula>
    </tableColumn>
    <tableColumn id="28" name="شاخص هرفیندال هیرشمن (ترافیک)" totalsRowFunction="sum" dataDxfId="2745" totalsRowDxfId="2744">
      <calculatedColumnFormula>(AH2*AH2)</calculatedColumnFormula>
    </tableColumn>
    <tableColumn id="29" name="سهم سایت از کل صفحات مشاهده شده در طبقه بندی" totalsRowFunction="sum" dataDxfId="2743" totalsRowDxfId="2742">
      <calculatedColumnFormula>(AF2/$AF$6)*100</calculatedColumnFormula>
    </tableColumn>
    <tableColumn id="30" name="شاخص هرفیندال -هیرشمن (صفحات مشاهده شده )" totalsRowFunction="sum" dataDxfId="2741" totalsRowDxfId="2740">
      <calculatedColumnFormula>(AJ2*AJ2)</calculatedColumnFormula>
    </tableColumn>
    <tableColumn id="31" name="سهم سایت از کل زمان حضور در طبقه بندی" totalsRowFunction="sum" dataDxfId="2739" totalsRowDxfId="2738">
      <calculatedColumnFormula>(AG2/$AG$6)*100</calculatedColumnFormula>
    </tableColumn>
    <tableColumn id="32" name="شاخص هرفیندال هیرشمن (زمان حضور)" totalsRowFunction="sum" dataDxfId="2737" totalsRowDxfId="2736">
      <calculatedColumnFormula>(AL2*AL2)</calculatedColumnFormula>
    </tableColumn>
    <tableColumn id="33" name="نام سایت" dataDxfId="2735" totalsRowDxfId="2734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20" name="Table136171921" displayName="Table136171921" ref="H1:AN25" totalsRowCount="1" headerRowDxfId="2733" headerRowBorderDxfId="2732" tableBorderDxfId="2731">
  <autoFilter ref="H1:AN24"/>
  <sortState ref="H2:AN24">
    <sortCondition descending="1" ref="AA1:AA24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2730" totalsRowDxfId="2729"/>
    <tableColumn id="7" name="استان" dataDxfId="2728" totalsRowDxfId="2727"/>
    <tableColumn id="8" name="Column1" dataDxfId="2726" totalsRowDxfId="2725"/>
    <tableColumn id="9" name="IPG" dataDxfId="2724" totalsRowDxfId="2723"/>
    <tableColumn id="10" name="Column2" dataDxfId="2722" totalsRowDxfId="2721"/>
    <tableColumn id="11" name="Column3" dataDxfId="2720" totalsRowDxfId="2719"/>
    <tableColumn id="12" name="Column4" dataDxfId="2718" totalsRowDxfId="2717"/>
    <tableColumn id="13" name="Column5" dataDxfId="2716" totalsRowDxfId="2715"/>
    <tableColumn id="14" name="Column6" dataDxfId="2714" totalsRowDxfId="2713"/>
    <tableColumn id="15" name="Column7" dataDxfId="2712" totalsRowDxfId="2711"/>
    <tableColumn id="16" name="نام سایت 3" dataDxfId="2710" totalsRowDxfId="2709"/>
    <tableColumn id="17" name="نرخ پرش  " dataDxfId="2708" totalsRowDxfId="2707"/>
    <tableColumn id="18" name="تعداد صفحات مشاهده شده" dataDxfId="2706" totalsRowDxfId="2705"/>
    <tableColumn id="19" name="میزان زمان حضور در سایت" dataDxfId="2704" totalsRowDxfId="2703"/>
    <tableColumn id="20" name="ترافیک کل" totalsRowFunction="sum" dataDxfId="2702" totalsRowDxfId="2701"/>
    <tableColumn id="21" name="رتبه در سیمیلار وب" dataDxfId="2700" totalsRowDxfId="2699"/>
    <tableColumn id="22" name="نام سایت 2" dataDxfId="2698" totalsRowDxfId="2697"/>
    <tableColumn id="23" name="طبقه بندی" dataDxfId="2696" totalsRowDxfId="2695"/>
    <tableColumn id="24" name="بازار" dataDxfId="2694" totalsRowDxfId="2693"/>
    <tableColumn id="25" name="مجموع صفحات  مشاهده شده   " totalsRowFunction="sum" dataDxfId="2692" totalsRowDxfId="2691">
      <calculatedColumnFormula>(AA2*Y2)</calculatedColumnFormula>
    </tableColumn>
    <tableColumn id="26" name="مجموع زمان حضور در سایت " totalsRowFunction="sum" dataDxfId="2690" totalsRowDxfId="2689">
      <calculatedColumnFormula>((((RIGHT(Z2,2))/60)+(LEFT(Z2,2)))*AA2)</calculatedColumnFormula>
    </tableColumn>
    <tableColumn id="27" name="سهم سایت از کل ترافیک طبقه بندی" totalsRowFunction="sum" dataDxfId="2688" totalsRowDxfId="2687">
      <calculatedColumnFormula>(AA2/$AA$25)*100</calculatedColumnFormula>
    </tableColumn>
    <tableColumn id="28" name="شاخص هرفیندال هیرشمن (ترافیک)" totalsRowLabel="2881.00" dataDxfId="2686" totalsRowDxfId="2685">
      <calculatedColumnFormula>(AH2*AH2)</calculatedColumnFormula>
    </tableColumn>
    <tableColumn id="29" name="سهم سایت از کل صفحات مشاهده شده در طبقه بندی" totalsRowFunction="sum" dataDxfId="2684" totalsRowDxfId="2683">
      <calculatedColumnFormula>(AF2/$AF$25)*100</calculatedColumnFormula>
    </tableColumn>
    <tableColumn id="30" name="شاخص هرفیندال -هیرشمن (صفحات مشاهده شده )" totalsRowLabel="2600.00" dataDxfId="2682" totalsRowDxfId="2681">
      <calculatedColumnFormula>(AJ2*AJ2)</calculatedColumnFormula>
    </tableColumn>
    <tableColumn id="31" name="سهم سایت از کل زمان حضور در طبقه بندی" totalsRowFunction="sum" dataDxfId="2680" totalsRowDxfId="2679">
      <calculatedColumnFormula>(AG2/$AG$25)*100</calculatedColumnFormula>
    </tableColumn>
    <tableColumn id="32" name="شاخص هرفیندال هیرشمن (زمان حضور)" totalsRowLabel="3564.00" dataDxfId="2678" totalsRowDxfId="2677">
      <calculatedColumnFormula>(AL2*AL2)</calculatedColumnFormula>
    </tableColumn>
    <tableColumn id="33" name="نام سایت" dataDxfId="2676" totalsRowDxfId="2675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13" name="Table13614" displayName="Table13614" ref="H1:AN26" totalsRowCount="1" headerRowDxfId="2674" headerRowBorderDxfId="2673" tableBorderDxfId="2672">
  <autoFilter ref="H1:AN25"/>
  <sortState ref="H2:AN25">
    <sortCondition descending="1" ref="AA1:AA25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2671" totalsRowDxfId="2670"/>
    <tableColumn id="7" name="استان" dataDxfId="2669" totalsRowDxfId="2668"/>
    <tableColumn id="8" name="Column1" dataDxfId="2667" totalsRowDxfId="2666"/>
    <tableColumn id="9" name="IPG" dataDxfId="2665" totalsRowDxfId="2664"/>
    <tableColumn id="10" name="Column2" dataDxfId="2663" totalsRowDxfId="2662"/>
    <tableColumn id="11" name="Column3" dataDxfId="2661" totalsRowDxfId="2660"/>
    <tableColumn id="12" name="Column4" dataDxfId="2659" totalsRowDxfId="2658"/>
    <tableColumn id="13" name="Column5" dataDxfId="2657" totalsRowDxfId="2656"/>
    <tableColumn id="14" name="Column6" dataDxfId="2655" totalsRowDxfId="2654"/>
    <tableColumn id="15" name="Column7" dataDxfId="2653" totalsRowDxfId="2652"/>
    <tableColumn id="16" name="نام سایت 3" dataDxfId="2651" totalsRowDxfId="2650"/>
    <tableColumn id="17" name="نرخ پرش  " dataDxfId="2649" totalsRowDxfId="2648"/>
    <tableColumn id="18" name="تعداد صفحات مشاهده شده" dataDxfId="2647" totalsRowDxfId="2646"/>
    <tableColumn id="19" name="میزان زمان حضور در سایت" dataDxfId="2645" totalsRowDxfId="2644"/>
    <tableColumn id="20" name="ترافیک کل" totalsRowFunction="sum" dataDxfId="2643" totalsRowDxfId="2642"/>
    <tableColumn id="21" name="رتبه در سیمیلار وب" dataDxfId="2641" totalsRowDxfId="2640"/>
    <tableColumn id="22" name="نام سایت 2" dataDxfId="2639" totalsRowDxfId="2638"/>
    <tableColumn id="23" name="طبقه بندی" dataDxfId="2637" totalsRowDxfId="2636"/>
    <tableColumn id="24" name="بازار" dataDxfId="2635" totalsRowDxfId="2634"/>
    <tableColumn id="25" name="مجموع صفحات  مشاهده شده   " totalsRowFunction="sum" dataDxfId="2633" totalsRowDxfId="2632">
      <calculatedColumnFormula>(AA2*Y2)</calculatedColumnFormula>
    </tableColumn>
    <tableColumn id="26" name="مجموع زمان حضور در سایت " totalsRowFunction="sum" dataDxfId="2631" totalsRowDxfId="2630">
      <calculatedColumnFormula>((((RIGHT(Z2,2))/60)+(LEFT(Z2,2)))*AA2)</calculatedColumnFormula>
    </tableColumn>
    <tableColumn id="27" name="سهم سایت از کل ترافیک طبقه بندی" totalsRowFunction="sum" dataDxfId="2629" totalsRowDxfId="2628">
      <calculatedColumnFormula>(AA2/$AA$26)*100</calculatedColumnFormula>
    </tableColumn>
    <tableColumn id="28" name="شاخص هرفیندال هیرشمن (ترافیک)" totalsRowFunction="sum" dataDxfId="2627" totalsRowDxfId="2626">
      <calculatedColumnFormula>(AH2*AH2)</calculatedColumnFormula>
    </tableColumn>
    <tableColumn id="29" name="سهم سایت از کل صفحات مشاهده شده در طبقه بندی" totalsRowFunction="sum" dataDxfId="2625" totalsRowDxfId="2624">
      <calculatedColumnFormula>(AF2/$AF$26)*100</calculatedColumnFormula>
    </tableColumn>
    <tableColumn id="30" name="شاخص هرفیندال -هیرشمن (صفحات مشاهده شده )" totalsRowFunction="sum" dataDxfId="2623" totalsRowDxfId="2622">
      <calculatedColumnFormula>(AJ2*AJ2)</calculatedColumnFormula>
    </tableColumn>
    <tableColumn id="31" name="سهم سایت از کل زمان حضور در طبقه بندی" totalsRowFunction="sum" dataDxfId="2621" totalsRowDxfId="2620">
      <calculatedColumnFormula>(AG2/$AG$26)*100</calculatedColumnFormula>
    </tableColumn>
    <tableColumn id="32" name="شاخص هرفیندال هیرشمن (زمان حضور)" totalsRowFunction="sum" dataDxfId="2619" totalsRowDxfId="2618">
      <calculatedColumnFormula>(AL2*AL2)</calculatedColumnFormula>
    </tableColumn>
    <tableColumn id="33" name="نام سایت" dataDxfId="2617" totalsRowDxfId="2616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89" name="Table13691" displayName="Table13691" ref="H1:AN92" totalsRowCount="1" headerRowDxfId="2615" headerRowBorderDxfId="2614" tableBorderDxfId="2613">
  <autoFilter ref="H1:AN91"/>
  <sortState ref="H2:AN91">
    <sortCondition descending="1" ref="AA1:AA91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2612" totalsRowDxfId="2611"/>
    <tableColumn id="7" name="استان" dataDxfId="2610" totalsRowDxfId="2609"/>
    <tableColumn id="8" name="Column1" dataDxfId="2608" totalsRowDxfId="2607"/>
    <tableColumn id="9" name="IPG" dataDxfId="2606" totalsRowDxfId="2605"/>
    <tableColumn id="10" name="Column2" dataDxfId="2604" totalsRowDxfId="2603"/>
    <tableColumn id="11" name="Column3" dataDxfId="2602" totalsRowDxfId="2601"/>
    <tableColumn id="12" name="Column4" dataDxfId="2600" totalsRowDxfId="2599"/>
    <tableColumn id="13" name="Column5" dataDxfId="2598" totalsRowDxfId="2597"/>
    <tableColumn id="14" name="Column6" dataDxfId="2596" totalsRowDxfId="2595"/>
    <tableColumn id="15" name="Column7" dataDxfId="2594" totalsRowDxfId="2593"/>
    <tableColumn id="16" name="نام سایت 3" dataDxfId="2592" totalsRowDxfId="2591"/>
    <tableColumn id="17" name="نرخ پرش  " dataDxfId="2590" totalsRowDxfId="2589"/>
    <tableColumn id="18" name="تعداد صفحات مشاهده شده" dataDxfId="2588" totalsRowDxfId="2587"/>
    <tableColumn id="19" name="میزان زمان حضور در سایت" dataDxfId="2586" totalsRowDxfId="2585"/>
    <tableColumn id="20" name="ترافیک کل" totalsRowFunction="sum" dataDxfId="2584" totalsRowDxfId="2583"/>
    <tableColumn id="21" name="رتبه در سیمیلار وب" dataDxfId="2582" totalsRowDxfId="2581"/>
    <tableColumn id="22" name="نام سایت 2" dataDxfId="2580" totalsRowDxfId="2579"/>
    <tableColumn id="23" name="طبقه بندی" dataDxfId="2578" totalsRowDxfId="2577"/>
    <tableColumn id="24" name="بازار" dataDxfId="2576" totalsRowDxfId="2575"/>
    <tableColumn id="25" name="مجموع صفحات  مشاهده شده   " totalsRowFunction="sum" dataDxfId="2574" totalsRowDxfId="2573">
      <calculatedColumnFormula>(AA2*Y2)</calculatedColumnFormula>
    </tableColumn>
    <tableColumn id="26" name="مجموع زمان حضور در سایت " totalsRowFunction="sum" dataDxfId="2572" totalsRowDxfId="2571">
      <calculatedColumnFormula>((((RIGHT(Z2,2))/60)+(LEFT(Z2,2)))*AA2)</calculatedColumnFormula>
    </tableColumn>
    <tableColumn id="27" name="سهم سایت از کل ترافیک طبقه بندی" totalsRowFunction="sum" dataDxfId="2570" totalsRowDxfId="2569">
      <calculatedColumnFormula>(AA2/$AA$93)*100</calculatedColumnFormula>
    </tableColumn>
    <tableColumn id="28" name="شاخص هرفیندال هیرشمن (ترافیک)" totalsRowFunction="sum" dataDxfId="2568" totalsRowDxfId="2567">
      <calculatedColumnFormula>(AH2*AH2)</calculatedColumnFormula>
    </tableColumn>
    <tableColumn id="29" name="سهم سایت از کل صفحات مشاهده شده در طبقه بندی" totalsRowFunction="sum" dataDxfId="2566" totalsRowDxfId="2565">
      <calculatedColumnFormula>(AF2/$AF$93)*100</calculatedColumnFormula>
    </tableColumn>
    <tableColumn id="30" name="شاخص هرفیندال -هیرشمن (صفحات مشاهده شده )" totalsRowFunction="sum" dataDxfId="2564" totalsRowDxfId="2563">
      <calculatedColumnFormula>(AJ2*AJ2)</calculatedColumnFormula>
    </tableColumn>
    <tableColumn id="31" name="سهم سایت از کل زمان حضور در طبقه بندی" totalsRowFunction="sum" dataDxfId="2562" totalsRowDxfId="2561">
      <calculatedColumnFormula>(AG2/$AG$93)*100</calculatedColumnFormula>
    </tableColumn>
    <tableColumn id="32" name="شاخص هرفیندال هیرشمن (زمان حضور)" totalsRowFunction="sum" dataDxfId="2560" totalsRowDxfId="2559">
      <calculatedColumnFormula>(AL2*AL2)</calculatedColumnFormula>
    </tableColumn>
    <tableColumn id="33" name="نام سایت" dataDxfId="2558" totalsRowDxfId="2557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94" name="Table13695" displayName="Table13695" ref="H1:AN4" totalsRowCount="1" headerRowDxfId="2556" headerRowBorderDxfId="2555" tableBorderDxfId="2554">
  <autoFilter ref="H1:AN3"/>
  <sortState ref="H2:AN3">
    <sortCondition descending="1" ref="AA1:AA3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2553" totalsRowDxfId="2552"/>
    <tableColumn id="7" name="استان" dataDxfId="2551" totalsRowDxfId="2550"/>
    <tableColumn id="8" name="Column1" dataDxfId="2549" totalsRowDxfId="2548"/>
    <tableColumn id="9" name="IPG" dataDxfId="2547" totalsRowDxfId="2546"/>
    <tableColumn id="10" name="Column2" dataDxfId="2545" totalsRowDxfId="2544"/>
    <tableColumn id="11" name="Column3" dataDxfId="2543" totalsRowDxfId="2542"/>
    <tableColumn id="12" name="Column4" dataDxfId="2541" totalsRowDxfId="2540"/>
    <tableColumn id="13" name="Column5" dataDxfId="2539" totalsRowDxfId="2538"/>
    <tableColumn id="14" name="Column6" dataDxfId="2537" totalsRowDxfId="2536"/>
    <tableColumn id="15" name="Column7" dataDxfId="2535" totalsRowDxfId="2534"/>
    <tableColumn id="16" name="نام سایت 3" dataDxfId="2533" totalsRowDxfId="2532"/>
    <tableColumn id="17" name="نرخ پرش  " dataDxfId="2531" totalsRowDxfId="2530"/>
    <tableColumn id="18" name="تعداد صفحات مشاهده شده" dataDxfId="2529" totalsRowDxfId="2528"/>
    <tableColumn id="19" name="میزان زمان حضور در سایت" dataDxfId="2527" totalsRowDxfId="2526"/>
    <tableColumn id="20" name="ترافیک کل" totalsRowFunction="sum" dataDxfId="2525" totalsRowDxfId="2524"/>
    <tableColumn id="21" name="رتبه در سیمیلار وب" dataDxfId="2523" totalsRowDxfId="2522"/>
    <tableColumn id="22" name="نام سایت 2" dataDxfId="2521" totalsRowDxfId="2520"/>
    <tableColumn id="23" name="طبقه بندی" dataDxfId="2519" totalsRowDxfId="2518"/>
    <tableColumn id="24" name="بازار" dataDxfId="2517" totalsRowDxfId="2516"/>
    <tableColumn id="25" name="مجموع صفحات  مشاهده شده   " totalsRowFunction="sum" dataDxfId="2515" totalsRowDxfId="2514">
      <calculatedColumnFormula>(AA2*Y2)</calculatedColumnFormula>
    </tableColumn>
    <tableColumn id="26" name="مجموع زمان حضور در سایت " totalsRowFunction="sum" dataDxfId="2513" totalsRowDxfId="2512">
      <calculatedColumnFormula>((((RIGHT(Z2,2))/60)+(LEFT(Z2,2)))*AA2)</calculatedColumnFormula>
    </tableColumn>
    <tableColumn id="27" name="سهم سایت از کل ترافیک طبقه بندی" totalsRowFunction="sum" dataDxfId="2511" totalsRowDxfId="2510">
      <calculatedColumnFormula>(AA2/$AA$4)*100</calculatedColumnFormula>
    </tableColumn>
    <tableColumn id="28" name="شاخص هرفیندال هیرشمن (ترافیک)" totalsRowFunction="sum" dataDxfId="2509" totalsRowDxfId="2508">
      <calculatedColumnFormula>(AH2*AH2)</calculatedColumnFormula>
    </tableColumn>
    <tableColumn id="29" name="سهم سایت از کل صفحات مشاهده شده در طبقه بندی" totalsRowFunction="sum" dataDxfId="2507" totalsRowDxfId="2506">
      <calculatedColumnFormula>(AF2/$AF$4)*100</calculatedColumnFormula>
    </tableColumn>
    <tableColumn id="30" name="شاخص هرفیندال -هیرشمن (صفحات مشاهده شده )" totalsRowFunction="sum" dataDxfId="2505" totalsRowDxfId="2504">
      <calculatedColumnFormula>(AJ2*AJ2)</calculatedColumnFormula>
    </tableColumn>
    <tableColumn id="31" name="سهم سایت از کل زمان حضور در طبقه بندی" totalsRowFunction="sum" dataDxfId="2503" totalsRowDxfId="2502">
      <calculatedColumnFormula>(AG2/$AG$4)*100</calculatedColumnFormula>
    </tableColumn>
    <tableColumn id="32" name="شاخص هرفیندال هیرشمن (زمان حضور)" totalsRowFunction="sum" dataDxfId="2501" totalsRowDxfId="2500">
      <calculatedColumnFormula>(AL2*AL2)</calculatedColumnFormula>
    </tableColumn>
    <tableColumn id="33" name="نام سایت" dataDxfId="2499" totalsRowDxfId="2498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95" name="Table13696" displayName="Table13696" ref="H1:AN7" totalsRowCount="1" headerRowDxfId="2497" headerRowBorderDxfId="2496" tableBorderDxfId="2495">
  <autoFilter ref="H1:AN6"/>
  <sortState ref="H2:AN6">
    <sortCondition descending="1" ref="AA1:AA6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2494" totalsRowDxfId="2493"/>
    <tableColumn id="7" name="استان" dataDxfId="2492" totalsRowDxfId="2491"/>
    <tableColumn id="8" name="Column1" dataDxfId="2490" totalsRowDxfId="2489"/>
    <tableColumn id="9" name="IPG" dataDxfId="2488" totalsRowDxfId="2487"/>
    <tableColumn id="10" name="Column2" dataDxfId="2486" totalsRowDxfId="2485"/>
    <tableColumn id="11" name="Column3" dataDxfId="2484" totalsRowDxfId="2483"/>
    <tableColumn id="12" name="Column4" dataDxfId="2482" totalsRowDxfId="2481"/>
    <tableColumn id="13" name="Column5" dataDxfId="2480" totalsRowDxfId="2479"/>
    <tableColumn id="14" name="Column6" dataDxfId="2478" totalsRowDxfId="2477"/>
    <tableColumn id="15" name="Column7" dataDxfId="2476" totalsRowDxfId="2475"/>
    <tableColumn id="16" name="نام سایت 3" dataDxfId="2474" totalsRowDxfId="2473"/>
    <tableColumn id="17" name="نرخ پرش  " dataDxfId="2472" totalsRowDxfId="2471"/>
    <tableColumn id="18" name="تعداد صفحات مشاهده شده" dataDxfId="2470" totalsRowDxfId="2469"/>
    <tableColumn id="19" name="میزان زمان حضور در سایت" dataDxfId="2468" totalsRowDxfId="2467"/>
    <tableColumn id="20" name="ترافیک کل" totalsRowFunction="sum" dataDxfId="2466" totalsRowDxfId="2465"/>
    <tableColumn id="21" name="رتبه در سیمیلار وب" dataDxfId="2464" totalsRowDxfId="2463"/>
    <tableColumn id="22" name="نام سایت 2" dataDxfId="2462" totalsRowDxfId="2461"/>
    <tableColumn id="23" name="طبقه بندی" dataDxfId="2460" totalsRowDxfId="2459"/>
    <tableColumn id="24" name="بازار" dataDxfId="2458" totalsRowDxfId="2457"/>
    <tableColumn id="25" name="مجموع صفحات  مشاهده شده   " totalsRowFunction="sum" dataDxfId="2456" totalsRowDxfId="2455">
      <calculatedColumnFormula>(AA2*Y2)</calculatedColumnFormula>
    </tableColumn>
    <tableColumn id="26" name="مجموع زمان حضور در سایت " totalsRowFunction="sum" dataDxfId="2454" totalsRowDxfId="2453">
      <calculatedColumnFormula>((((RIGHT(Z2,2))/60)+(LEFT(Z2,2)))*AA2)</calculatedColumnFormula>
    </tableColumn>
    <tableColumn id="27" name="سهم سایت از کل ترافیک طبقه بندی" totalsRowFunction="sum" dataDxfId="2452" totalsRowDxfId="2451">
      <calculatedColumnFormula>(AA2/$AA$7)*100</calculatedColumnFormula>
    </tableColumn>
    <tableColumn id="28" name="شاخص هرفیندال هیرشمن (ترافیک)" totalsRowFunction="sum" dataDxfId="2450" totalsRowDxfId="2449">
      <calculatedColumnFormula>(AH2*AH2)</calculatedColumnFormula>
    </tableColumn>
    <tableColumn id="29" name="سهم سایت از کل صفحات مشاهده شده در طبقه بندی" totalsRowFunction="sum" dataDxfId="2448" totalsRowDxfId="2447">
      <calculatedColumnFormula>(AF2/$AF$7)*100</calculatedColumnFormula>
    </tableColumn>
    <tableColumn id="30" name="شاخص هرفیندال -هیرشمن (صفحات مشاهده شده )" totalsRowFunction="sum" dataDxfId="2446" totalsRowDxfId="2445">
      <calculatedColumnFormula>(AJ2*AJ2)</calculatedColumnFormula>
    </tableColumn>
    <tableColumn id="31" name="سهم سایت از کل زمان حضور در طبقه بندی" totalsRowFunction="sum" dataDxfId="2444" totalsRowDxfId="2443">
      <calculatedColumnFormula>(AG2/$AG$7)*100</calculatedColumnFormula>
    </tableColumn>
    <tableColumn id="32" name="شاخص هرفیندال هیرشمن (زمان حضور)" totalsRowFunction="sum" dataDxfId="2442" totalsRowDxfId="2441">
      <calculatedColumnFormula>(AL2*AL2)</calculatedColumnFormula>
    </tableColumn>
    <tableColumn id="33" name="نام سایت" dataDxfId="2440" totalsRowDxfId="2439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96" name="Table13697" displayName="Table13697" ref="H1:AN106" totalsRowCount="1" headerRowDxfId="2438" headerRowBorderDxfId="2437" tableBorderDxfId="2436">
  <autoFilter ref="H1:AN105"/>
  <sortState ref="H2:AN105">
    <sortCondition descending="1" ref="AA1:AA105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2435" totalsRowDxfId="2434"/>
    <tableColumn id="7" name="استان" dataDxfId="2433" totalsRowDxfId="2432"/>
    <tableColumn id="8" name="Column1" dataDxfId="2431" totalsRowDxfId="2430"/>
    <tableColumn id="9" name="IPG" dataDxfId="2429" totalsRowDxfId="2428"/>
    <tableColumn id="10" name="Column2" dataDxfId="2427" totalsRowDxfId="2426"/>
    <tableColumn id="11" name="Column3" dataDxfId="2425" totalsRowDxfId="2424"/>
    <tableColumn id="12" name="Column4" dataDxfId="2423" totalsRowDxfId="2422"/>
    <tableColumn id="13" name="Column5" dataDxfId="2421" totalsRowDxfId="2420"/>
    <tableColumn id="14" name="Column6" dataDxfId="2419" totalsRowDxfId="2418"/>
    <tableColumn id="15" name="Column7" dataDxfId="2417" totalsRowDxfId="2416"/>
    <tableColumn id="16" name="نام سایت 3" dataDxfId="2415" totalsRowDxfId="2414"/>
    <tableColumn id="17" name="نرخ پرش  " dataDxfId="2413" totalsRowDxfId="2412"/>
    <tableColumn id="18" name="تعداد صفحات مشاهده شده" dataDxfId="2411" totalsRowDxfId="2410"/>
    <tableColumn id="19" name="میزان زمان حضور در سایت" dataDxfId="2409" totalsRowDxfId="2408"/>
    <tableColumn id="20" name="ترافیک کل" totalsRowFunction="sum" dataDxfId="2407" totalsRowDxfId="2406"/>
    <tableColumn id="21" name="رتبه در سیمیلار وب" dataDxfId="2405" totalsRowDxfId="2404"/>
    <tableColumn id="22" name="نام سایت 2" dataDxfId="2403" totalsRowDxfId="2402"/>
    <tableColumn id="23" name="طبقه بندی" dataDxfId="2401" totalsRowDxfId="2400"/>
    <tableColumn id="24" name="بازار" dataDxfId="2399" totalsRowDxfId="2398"/>
    <tableColumn id="25" name="مجموع صفحات  مشاهده شده   " totalsRowFunction="sum" dataDxfId="2397" totalsRowDxfId="2396">
      <calculatedColumnFormula>(AA2*Y2)</calculatedColumnFormula>
    </tableColumn>
    <tableColumn id="26" name="مجموع زمان حضور در سایت " totalsRowFunction="sum" dataDxfId="2395" totalsRowDxfId="2394">
      <calculatedColumnFormula>((((RIGHT(Z2,2))/60)+(LEFT(Z2,2)))*AA2)</calculatedColumnFormula>
    </tableColumn>
    <tableColumn id="27" name="سهم سایت از کل ترافیک طبقه بندی" totalsRowFunction="sum" dataDxfId="2393" totalsRowDxfId="2392">
      <calculatedColumnFormula>(AA2/$AA$106)*100</calculatedColumnFormula>
    </tableColumn>
    <tableColumn id="28" name="شاخص هرفیندال هیرشمن (ترافیک)" totalsRowFunction="sum" dataDxfId="2391" totalsRowDxfId="2390">
      <calculatedColumnFormula>(AH2*AH2)</calculatedColumnFormula>
    </tableColumn>
    <tableColumn id="29" name="سهم سایت از کل صفحات مشاهده شده در طبقه بندی" totalsRowFunction="sum" dataDxfId="2389" totalsRowDxfId="2388">
      <calculatedColumnFormula>(AF2/$AF$106)*100</calculatedColumnFormula>
    </tableColumn>
    <tableColumn id="30" name="شاخص هرفیندال -هیرشمن (صفحات مشاهده شده )" totalsRowFunction="sum" dataDxfId="2387" totalsRowDxfId="2386">
      <calculatedColumnFormula>(AJ2*AJ2)</calculatedColumnFormula>
    </tableColumn>
    <tableColumn id="31" name="سهم سایت از کل زمان حضور در طبقه بندی" totalsRowFunction="sum" dataDxfId="2385" totalsRowDxfId="2384">
      <calculatedColumnFormula>(AG2/$AG$106)*100</calculatedColumnFormula>
    </tableColumn>
    <tableColumn id="32" name="شاخص هرفیندال هیرشمن (زمان حضور)" totalsRowFunction="sum" dataDxfId="2383" totalsRowDxfId="2382">
      <calculatedColumnFormula>(AL2*AL2)</calculatedColumnFormula>
    </tableColumn>
    <tableColumn id="33" name="نام سایت" dataDxfId="2381" totalsRowDxfId="2380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5" name="Table136" displayName="Table136" ref="H1:AN59" totalsRowCount="1" headerRowDxfId="2379" headerRowBorderDxfId="2378" tableBorderDxfId="2377">
  <autoFilter ref="H1:AN58"/>
  <sortState ref="H2:AN58">
    <sortCondition descending="1" ref="AA1:AA58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2376" totalsRowDxfId="2375"/>
    <tableColumn id="7" name="استان" dataDxfId="2374" totalsRowDxfId="2373"/>
    <tableColumn id="8" name="Column1" dataDxfId="2372" totalsRowDxfId="2371"/>
    <tableColumn id="9" name="IPG" dataDxfId="2370" totalsRowDxfId="2369"/>
    <tableColumn id="10" name="Column2" dataDxfId="2368" totalsRowDxfId="2367"/>
    <tableColumn id="11" name="Column3" dataDxfId="2366" totalsRowDxfId="2365"/>
    <tableColumn id="12" name="Column4" dataDxfId="2364" totalsRowDxfId="2363"/>
    <tableColumn id="13" name="Column5" dataDxfId="2362" totalsRowDxfId="2361"/>
    <tableColumn id="14" name="Column6" dataDxfId="2360" totalsRowDxfId="2359"/>
    <tableColumn id="15" name="Column7" dataDxfId="2358" totalsRowDxfId="2357"/>
    <tableColumn id="16" name="نام سایت 3" dataDxfId="2356" totalsRowDxfId="2355"/>
    <tableColumn id="17" name="نرخ پرش  " dataDxfId="2354" totalsRowDxfId="2353"/>
    <tableColumn id="18" name="تعداد صفحات مشاهده شده" dataDxfId="2352" totalsRowDxfId="2351"/>
    <tableColumn id="19" name="میزان زمان حضور در سایت" dataDxfId="2350" totalsRowDxfId="2349"/>
    <tableColumn id="20" name="ترافیک کل" totalsRowFunction="sum" dataDxfId="2348" totalsRowDxfId="2347"/>
    <tableColumn id="21" name="رتبه در سیمیلار وب" dataDxfId="2346" totalsRowDxfId="2345"/>
    <tableColumn id="22" name="نام سایت 2" dataDxfId="2344" totalsRowDxfId="2343"/>
    <tableColumn id="23" name="طبقه بندی" dataDxfId="2342" totalsRowDxfId="2341"/>
    <tableColumn id="24" name="بازار" dataDxfId="2340" totalsRowDxfId="2339"/>
    <tableColumn id="25" name="مجموع صفحات  مشاهده شده   " totalsRowFunction="sum" dataDxfId="2338" totalsRowDxfId="2337">
      <calculatedColumnFormula>(AA2*Y2)</calculatedColumnFormula>
    </tableColumn>
    <tableColumn id="26" name="مجموع زمان حضور در سایت " totalsRowFunction="sum" dataDxfId="2336" totalsRowDxfId="2335">
      <calculatedColumnFormula>((((RIGHT(Z2,2))/60)+(LEFT(Z2,2)))*AA2)</calculatedColumnFormula>
    </tableColumn>
    <tableColumn id="27" name="سهم سایت از کل ترافیک طبقه بندی" totalsRowFunction="sum" dataDxfId="2334" totalsRowDxfId="2333">
      <calculatedColumnFormula>(AA2/$AA$59)*100</calculatedColumnFormula>
    </tableColumn>
    <tableColumn id="28" name="شاخص هرفیندال هیرشمن (ترافیک)" totalsRowFunction="sum" dataDxfId="2332" totalsRowDxfId="2331">
      <calculatedColumnFormula>(AH2*AH2)</calculatedColumnFormula>
    </tableColumn>
    <tableColumn id="29" name="سهم سایت از کل صفحات مشاهده شده در طبقه بندی" totalsRowFunction="sum" dataDxfId="2330" totalsRowDxfId="2329">
      <calculatedColumnFormula>(AF2/$AF$59)*100</calculatedColumnFormula>
    </tableColumn>
    <tableColumn id="30" name="شاخص هرفیندال -هیرشمن (صفحات مشاهده شده )" totalsRowFunction="sum" dataDxfId="2328" totalsRowDxfId="2327">
      <calculatedColumnFormula>(AJ2*AJ2)</calculatedColumnFormula>
    </tableColumn>
    <tableColumn id="31" name="سهم سایت از کل زمان حضور در طبقه بندی" totalsRowFunction="sum" dataDxfId="2326" totalsRowDxfId="2325">
      <calculatedColumnFormula>(AG2/$AG$59)*100</calculatedColumnFormula>
    </tableColumn>
    <tableColumn id="32" name="شاخص هرفیندال هیرشمن (زمان حضور)" totalsRowFunction="sum" dataDxfId="2324" totalsRowDxfId="2323">
      <calculatedColumnFormula>(AL2*AL2)</calculatedColumnFormula>
    </tableColumn>
    <tableColumn id="33" name="نام سایت" dataDxfId="2322" totalsRowDxfId="2321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104" name="Table136105" displayName="Table136105" ref="H1:AN17" totalsRowCount="1" headerRowDxfId="2320" headerRowBorderDxfId="2319" tableBorderDxfId="2318">
  <autoFilter ref="H1:AN16"/>
  <sortState ref="H2:AN16">
    <sortCondition descending="1" ref="AA1:AA16"/>
  </sortState>
  <tableColumns count="33">
    <tableColumn id="1" name="5" dataDxfId="2317" totalsRowDxfId="2316"/>
    <tableColumn id="2" name="4" dataDxfId="2315" totalsRowDxfId="2314"/>
    <tableColumn id="3" name="3" dataDxfId="2313" totalsRowDxfId="2312"/>
    <tableColumn id="4" name="2" dataDxfId="2311" totalsRowDxfId="2310"/>
    <tableColumn id="5" name="1" dataDxfId="2309" totalsRowDxfId="2308"/>
    <tableColumn id="6" name="نام سایت " dataDxfId="2307" totalsRowDxfId="2306"/>
    <tableColumn id="7" name="استان" dataDxfId="2305" totalsRowDxfId="2304"/>
    <tableColumn id="8" name="Column1" dataDxfId="2303" totalsRowDxfId="2302"/>
    <tableColumn id="9" name="IPG" dataDxfId="2301" totalsRowDxfId="2300"/>
    <tableColumn id="10" name="Column2" dataDxfId="2299" totalsRowDxfId="2298"/>
    <tableColumn id="11" name="Column3" dataDxfId="2297" totalsRowDxfId="2296"/>
    <tableColumn id="12" name="Column4" dataDxfId="2295" totalsRowDxfId="2294"/>
    <tableColumn id="13" name="Column5" dataDxfId="2293" totalsRowDxfId="2292"/>
    <tableColumn id="14" name="Column6" dataDxfId="2291" totalsRowDxfId="2290"/>
    <tableColumn id="15" name="Column7" dataDxfId="2289" totalsRowDxfId="2288"/>
    <tableColumn id="16" name="نام سایت 3" dataDxfId="2287" totalsRowDxfId="2286"/>
    <tableColumn id="17" name="نرخ پرش  " dataDxfId="2285" totalsRowDxfId="2284"/>
    <tableColumn id="18" name="تعداد صفحات مشاهده شده" dataDxfId="2283" totalsRowDxfId="2282"/>
    <tableColumn id="19" name="میزان زمان حضور در سایت" dataDxfId="2281" totalsRowDxfId="2280"/>
    <tableColumn id="20" name="ترافیک کل" totalsRowFunction="sum" dataDxfId="2279" totalsRowDxfId="2278"/>
    <tableColumn id="21" name="رتبه در سیمیلار وب" dataDxfId="2277" totalsRowDxfId="2276"/>
    <tableColumn id="22" name="نام سایت 2" dataDxfId="2275" totalsRowDxfId="2274"/>
    <tableColumn id="23" name="طبقه بندی" dataDxfId="2273" totalsRowDxfId="2272"/>
    <tableColumn id="24" name="بازار" dataDxfId="2271" totalsRowDxfId="2270"/>
    <tableColumn id="25" name="مجموع صفحات  مشاهده شده   " totalsRowFunction="sum" dataDxfId="2269" totalsRowDxfId="2268">
      <calculatedColumnFormula>(AA2*Y2)</calculatedColumnFormula>
    </tableColumn>
    <tableColumn id="26" name="مجموع زمان حضور در سایت " totalsRowFunction="sum" dataDxfId="2267" totalsRowDxfId="2266">
      <calculatedColumnFormula>((((RIGHT(Z2,2))/60)+(LEFT(Z2,2)))*AA2)</calculatedColumnFormula>
    </tableColumn>
    <tableColumn id="27" name="سهم سایت از کل ترافیک طبقه بندی" totalsRowFunction="sum" dataDxfId="2265" totalsRowDxfId="2264">
      <calculatedColumnFormula>(AA2/$AA$17)*100</calculatedColumnFormula>
    </tableColumn>
    <tableColumn id="28" name="شاخص هرفیندال هیرشمن (ترافیک)" totalsRowFunction="sum" dataDxfId="2263" totalsRowDxfId="2262">
      <calculatedColumnFormula>(AH2*AH2)</calculatedColumnFormula>
    </tableColumn>
    <tableColumn id="29" name="سهم سایت از کل صفحات مشاهده شده در طبقه بندی" totalsRowFunction="sum" dataDxfId="2261" totalsRowDxfId="2260">
      <calculatedColumnFormula>(AF2/$AF$17)*100</calculatedColumnFormula>
    </tableColumn>
    <tableColumn id="30" name="شاخص هرفیندال -هیرشمن (صفحات مشاهده شده )" totalsRowFunction="sum" dataDxfId="2259" totalsRowDxfId="2258">
      <calculatedColumnFormula>(AJ2*AJ2)</calculatedColumnFormula>
    </tableColumn>
    <tableColumn id="31" name="سهم سایت از کل زمان حضور در طبقه بندی" totalsRowFunction="sum" dataDxfId="2257" totalsRowDxfId="2256">
      <calculatedColumnFormula>(AG2/$AG$17)*100</calculatedColumnFormula>
    </tableColumn>
    <tableColumn id="32" name="شاخص هرفیندال هیرشمن (زمان حضور)" totalsRowFunction="sum" dataDxfId="2255" totalsRowDxfId="2254">
      <calculatedColumnFormula>(AL2*AL2)</calculatedColumnFormula>
    </tableColumn>
    <tableColumn id="33" name="نام سایت" dataDxfId="2253" totalsRowDxfId="225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3" name="Table1361054" displayName="Table1361054" ref="H1:AN95" totalsRowCount="1" headerRowDxfId="2251" headerRowBorderDxfId="2250" tableBorderDxfId="2249">
  <autoFilter ref="H1:AN94"/>
  <sortState ref="H2:AN94">
    <sortCondition descending="1" ref="AA1:AA94"/>
  </sortState>
  <tableColumns count="33">
    <tableColumn id="1" name="5" dataDxfId="2248" totalsRowDxfId="2247"/>
    <tableColumn id="2" name="4" dataDxfId="2246" totalsRowDxfId="2245"/>
    <tableColumn id="3" name="3" dataDxfId="2244" totalsRowDxfId="2243"/>
    <tableColumn id="4" name="2" dataDxfId="2242" totalsRowDxfId="2241"/>
    <tableColumn id="5" name="1" dataDxfId="2240" totalsRowDxfId="2239"/>
    <tableColumn id="6" name="نام سایت " dataDxfId="2238" totalsRowDxfId="2237"/>
    <tableColumn id="7" name="استان" dataDxfId="2236" totalsRowDxfId="2235"/>
    <tableColumn id="8" name="Column1" dataDxfId="2234" totalsRowDxfId="2233"/>
    <tableColumn id="9" name="IPG" dataDxfId="2232" totalsRowDxfId="2231"/>
    <tableColumn id="10" name="Column2" dataDxfId="2230" totalsRowDxfId="2229"/>
    <tableColumn id="11" name="Column3" dataDxfId="2228" totalsRowDxfId="2227"/>
    <tableColumn id="12" name="Column4" dataDxfId="2226" totalsRowDxfId="2225"/>
    <tableColumn id="13" name="Column5" dataDxfId="2224" totalsRowDxfId="2223"/>
    <tableColumn id="14" name="Column6" dataDxfId="2222" totalsRowDxfId="2221"/>
    <tableColumn id="15" name="Column7" dataDxfId="2220" totalsRowDxfId="2219"/>
    <tableColumn id="16" name="نام سایت 3" dataDxfId="2218" totalsRowDxfId="2217"/>
    <tableColumn id="17" name="نرخ پرش  " dataDxfId="2216" totalsRowDxfId="2215"/>
    <tableColumn id="18" name="تعداد صفحات مشاهده شده" dataDxfId="2214" totalsRowDxfId="2213"/>
    <tableColumn id="19" name="میزان زمان حضور در سایت" dataDxfId="2212" totalsRowDxfId="2211"/>
    <tableColumn id="20" name="ترافیک کل" totalsRowFunction="sum" dataDxfId="2210" totalsRowDxfId="2209"/>
    <tableColumn id="21" name="رتبه در سیمیلار وب" dataDxfId="2208" totalsRowDxfId="2207"/>
    <tableColumn id="22" name="نام سایت 2" dataDxfId="2206" totalsRowDxfId="2205"/>
    <tableColumn id="23" name="طبقه بندی" dataDxfId="2204" totalsRowDxfId="2203"/>
    <tableColumn id="24" name="بازار" dataDxfId="2202" totalsRowDxfId="2201"/>
    <tableColumn id="25" name="مجموع صفحات  مشاهده شده   " totalsRowFunction="sum" dataDxfId="2200" totalsRowDxfId="2199">
      <calculatedColumnFormula>(AA2*Y2)</calculatedColumnFormula>
    </tableColumn>
    <tableColumn id="26" name="مجموع زمان حضور در سایت " totalsRowFunction="sum" dataDxfId="2198" totalsRowDxfId="2197">
      <calculatedColumnFormula>((((RIGHT(Z2,2))/60)+(LEFT(Z2,2)))*AA2)</calculatedColumnFormula>
    </tableColumn>
    <tableColumn id="27" name="سهم سایت از کل ترافیک طبقه بندی" totalsRowFunction="sum" dataDxfId="2196" totalsRowDxfId="2195">
      <calculatedColumnFormula>(AA2/$AA$95)*100</calculatedColumnFormula>
    </tableColumn>
    <tableColumn id="28" name="شاخص هرفیندال هیرشمن (ترافیک)" totalsRowFunction="sum" dataDxfId="2194" totalsRowDxfId="2193">
      <calculatedColumnFormula>(AH2*AH2)</calculatedColumnFormula>
    </tableColumn>
    <tableColumn id="29" name="سهم سایت از کل صفحات مشاهده شده در طبقه بندی" totalsRowFunction="sum" dataDxfId="2192" totalsRowDxfId="2191">
      <calculatedColumnFormula>(AF2/$AF$95)*100</calculatedColumnFormula>
    </tableColumn>
    <tableColumn id="30" name="شاخص هرفیندال -هیرشمن (صفحات مشاهده شده )" totalsRowFunction="sum" dataDxfId="2190" totalsRowDxfId="2189">
      <calculatedColumnFormula>(AJ2*AJ2)</calculatedColumnFormula>
    </tableColumn>
    <tableColumn id="31" name="سهم سایت از کل زمان حضور در طبقه بندی" totalsRowFunction="sum" dataDxfId="2188" totalsRowDxfId="2187">
      <calculatedColumnFormula>(AG2/$AG$95)*100</calculatedColumnFormula>
    </tableColumn>
    <tableColumn id="32" name="شاخص هرفیندال هیرشمن (زمان حضور)" totalsRowFunction="sum" dataDxfId="2186" totalsRowDxfId="2185">
      <calculatedColumnFormula>(AL2*AL2)</calculatedColumnFormula>
    </tableColumn>
    <tableColumn id="33" name="نام سایت" dataDxfId="2184" totalsRowDxfId="2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114" name="Table13698115" displayName="Table13698115" ref="H1:AN7" totalsRowCount="1" headerRowDxfId="2182" headerRowBorderDxfId="2181" tableBorderDxfId="2180">
  <autoFilter ref="H1:AN6"/>
  <sortState ref="H2:AN6">
    <sortCondition descending="1" ref="AG1:AG6"/>
  </sortState>
  <tableColumns count="33">
    <tableColumn id="1" name="5" dataDxfId="2179" totalsRowDxfId="2178"/>
    <tableColumn id="2" name="4" dataDxfId="2177" totalsRowDxfId="2176"/>
    <tableColumn id="3" name="3" dataDxfId="2175" totalsRowDxfId="2174"/>
    <tableColumn id="4" name="2" dataDxfId="2173" totalsRowDxfId="2172"/>
    <tableColumn id="5" name="1" dataDxfId="2171" totalsRowDxfId="2170"/>
    <tableColumn id="6" name="نام سایت " dataDxfId="2169" totalsRowDxfId="2168"/>
    <tableColumn id="7" name="استان" dataDxfId="2167" totalsRowDxfId="2166"/>
    <tableColumn id="8" name="Column1" dataDxfId="2165" totalsRowDxfId="2164"/>
    <tableColumn id="9" name="IPG" dataDxfId="2163" totalsRowDxfId="2162"/>
    <tableColumn id="10" name="Column2" dataDxfId="2161" totalsRowDxfId="2160"/>
    <tableColumn id="11" name="Column3" dataDxfId="2159" totalsRowDxfId="2158"/>
    <tableColumn id="12" name="Column4" dataDxfId="2157" totalsRowDxfId="2156"/>
    <tableColumn id="13" name="Column5" dataDxfId="2155" totalsRowDxfId="2154"/>
    <tableColumn id="14" name="Column6" dataDxfId="2153" totalsRowDxfId="2152"/>
    <tableColumn id="15" name="Column7" dataDxfId="2151" totalsRowDxfId="2150"/>
    <tableColumn id="16" name="نام سایت 3" dataDxfId="2149" totalsRowDxfId="2148"/>
    <tableColumn id="17" name="نرخ پرش  " dataDxfId="2147" totalsRowDxfId="2146"/>
    <tableColumn id="18" name="تعداد صفحات مشاهده شده" dataDxfId="2145" totalsRowDxfId="2144"/>
    <tableColumn id="19" name="میزان زمان حضور در سایت" dataDxfId="2143" totalsRowDxfId="2142"/>
    <tableColumn id="20" name="ترافیک کل" totalsRowFunction="sum" dataDxfId="2141" totalsRowDxfId="2140"/>
    <tableColumn id="21" name="رتبه در سیمیلار وب" dataDxfId="2139" totalsRowDxfId="2138"/>
    <tableColumn id="22" name="نام سایت 2" dataDxfId="2137" totalsRowDxfId="2136"/>
    <tableColumn id="23" name="طبقه بندی" dataDxfId="2135" totalsRowDxfId="2134"/>
    <tableColumn id="24" name="بازار" dataDxfId="2133" totalsRowDxfId="2132"/>
    <tableColumn id="25" name="مجموع صفحات  مشاهده شده   " totalsRowFunction="sum" dataDxfId="2131" totalsRowDxfId="2130">
      <calculatedColumnFormula>(AA2*Y2)</calculatedColumnFormula>
    </tableColumn>
    <tableColumn id="26" name="مجموع زمان حضور در سایت " totalsRowFunction="sum" dataDxfId="2129" totalsRowDxfId="2128">
      <calculatedColumnFormula>((((RIGHT(Z2,2))/60)+(LEFT(Z2,2)))*AA2)</calculatedColumnFormula>
    </tableColumn>
    <tableColumn id="27" name="سهم سایت از کل ترافیک طبقه بندی" totalsRowFunction="sum" dataDxfId="2127" totalsRowDxfId="2126">
      <calculatedColumnFormula>(AA2/$AA$7)*100</calculatedColumnFormula>
    </tableColumn>
    <tableColumn id="28" name="شاخص هرفیندال هیرشمن (ترافیک)" totalsRowFunction="sum" dataDxfId="2125" totalsRowDxfId="2124">
      <calculatedColumnFormula>(AH2*AH2)</calculatedColumnFormula>
    </tableColumn>
    <tableColumn id="29" name="سهم سایت از کل صفحات مشاهده شده در طبقه بندی" totalsRowFunction="sum" dataDxfId="2123" totalsRowDxfId="2122">
      <calculatedColumnFormula>(AF2/$AF$7)*100</calculatedColumnFormula>
    </tableColumn>
    <tableColumn id="30" name="شاخص هرفیندال -هیرشمن (صفحات مشاهده شده )" totalsRowFunction="sum" dataDxfId="2121" totalsRowDxfId="2120">
      <calculatedColumnFormula>(AJ2*AJ2)</calculatedColumnFormula>
    </tableColumn>
    <tableColumn id="31" name="سهم سایت از کل زمان حضور در طبقه بندی" totalsRowFunction="sum" dataDxfId="2119" totalsRowDxfId="2118">
      <calculatedColumnFormula>(AG2/$AG$7)*100</calculatedColumnFormula>
    </tableColumn>
    <tableColumn id="32" name="شاخص هرفیندال هیرشمن (زمان حضور)" totalsRowFunction="sum" dataDxfId="2117" totalsRowDxfId="2116">
      <calculatedColumnFormula>(AL2*AL2)</calculatedColumnFormula>
    </tableColumn>
    <tableColumn id="33" name="نام سایت" dataDxfId="2115" totalsRowDxfId="2114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97" name="Table13698" displayName="Table13698" ref="H1:AN12" totalsRowCount="1" headerRowDxfId="2113" headerRowBorderDxfId="2112" tableBorderDxfId="2111">
  <autoFilter ref="H1:AN11"/>
  <sortState ref="H2:AN11">
    <sortCondition descending="1" ref="AA1:AA11"/>
  </sortState>
  <tableColumns count="33">
    <tableColumn id="1" name="5" dataDxfId="2110" totalsRowDxfId="2109"/>
    <tableColumn id="2" name="4" dataDxfId="2108" totalsRowDxfId="2107"/>
    <tableColumn id="3" name="3" dataDxfId="2106" totalsRowDxfId="2105"/>
    <tableColumn id="4" name="2" dataDxfId="2104" totalsRowDxfId="2103"/>
    <tableColumn id="5" name="1" dataDxfId="2102" totalsRowDxfId="2101"/>
    <tableColumn id="6" name="نام سایت " dataDxfId="2100" totalsRowDxfId="2099"/>
    <tableColumn id="7" name="استان" dataDxfId="2098" totalsRowDxfId="2097"/>
    <tableColumn id="8" name="Column1" dataDxfId="2096" totalsRowDxfId="2095"/>
    <tableColumn id="9" name="IPG" dataDxfId="2094" totalsRowDxfId="2093"/>
    <tableColumn id="10" name="Column2" dataDxfId="2092" totalsRowDxfId="2091"/>
    <tableColumn id="11" name="Column3" dataDxfId="2090" totalsRowDxfId="2089"/>
    <tableColumn id="12" name="Column4" dataDxfId="2088" totalsRowDxfId="2087"/>
    <tableColumn id="13" name="Column5" dataDxfId="2086" totalsRowDxfId="2085"/>
    <tableColumn id="14" name="Column6" dataDxfId="2084" totalsRowDxfId="2083"/>
    <tableColumn id="15" name="Column7" dataDxfId="2082" totalsRowDxfId="2081"/>
    <tableColumn id="16" name="نام سایت 3" dataDxfId="2080" totalsRowDxfId="2079"/>
    <tableColumn id="17" name="نرخ پرش  " dataDxfId="2078" totalsRowDxfId="2077"/>
    <tableColumn id="18" name="تعداد صفحات مشاهده شده" dataDxfId="2076" totalsRowDxfId="2075"/>
    <tableColumn id="19" name="میزان زمان حضور در سایت" dataDxfId="2074" totalsRowDxfId="2073"/>
    <tableColumn id="20" name="ترافیک کل" totalsRowFunction="sum" dataDxfId="2072" totalsRowDxfId="2071"/>
    <tableColumn id="21" name="رتبه در سیمیلار وب" dataDxfId="2070" totalsRowDxfId="2069"/>
    <tableColumn id="22" name="نام سایت 2" dataDxfId="2068" totalsRowDxfId="2067"/>
    <tableColumn id="23" name="طبقه بندی" dataDxfId="2066" totalsRowDxfId="2065"/>
    <tableColumn id="24" name="بازار" dataDxfId="2064" totalsRowDxfId="2063"/>
    <tableColumn id="25" name="مجموع صفحات  مشاهده شده   " totalsRowFunction="sum" dataDxfId="2062" totalsRowDxfId="2061">
      <calculatedColumnFormula>(AA2*Y2)</calculatedColumnFormula>
    </tableColumn>
    <tableColumn id="26" name="مجموع زمان حضور در سایت " totalsRowFunction="sum" dataDxfId="2060" totalsRowDxfId="2059">
      <calculatedColumnFormula>((((RIGHT(Z2,2))/60)+(LEFT(Z2,2)))*AA2)</calculatedColumnFormula>
    </tableColumn>
    <tableColumn id="27" name="سهم سایت از کل ترافیک طبقه بندی" totalsRowFunction="sum" dataDxfId="2058" totalsRowDxfId="2057">
      <calculatedColumnFormula>(AA2/$AA$12)*100</calculatedColumnFormula>
    </tableColumn>
    <tableColumn id="28" name="شاخص هرفیندال هیرشمن (ترافیک)" totalsRowLabel="7084.00" dataDxfId="2056" totalsRowDxfId="2055">
      <calculatedColumnFormula>(AH2*AH2)</calculatedColumnFormula>
    </tableColumn>
    <tableColumn id="29" name="سهم سایت از کل صفحات مشاهده شده در طبقه بندی" totalsRowFunction="sum" dataDxfId="2054" totalsRowDxfId="2053">
      <calculatedColumnFormula>(AF2/$AF$12)*100</calculatedColumnFormula>
    </tableColumn>
    <tableColumn id="30" name="شاخص هرفیندال -هیرشمن (صفحات مشاهده شده )" totalsRowLabel="7190.00" dataDxfId="2052" totalsRowDxfId="2051">
      <calculatedColumnFormula>(AJ2*AJ2)</calculatedColumnFormula>
    </tableColumn>
    <tableColumn id="31" name="سهم سایت از کل زمان حضور در طبقه بندی" totalsRowFunction="sum" dataDxfId="2050" totalsRowDxfId="2049">
      <calculatedColumnFormula>(AG2/$AG$12)*100</calculatedColumnFormula>
    </tableColumn>
    <tableColumn id="32" name="شاخص هرفیندال هیرشمن (زمان حضور)" totalsRowLabel="7337.00" dataDxfId="2048" totalsRowDxfId="2047">
      <calculatedColumnFormula>(AL2*AL2)</calculatedColumnFormula>
    </tableColumn>
    <tableColumn id="33" name="نام سایت" dataDxfId="2046" totalsRowDxfId="2045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101" name="Table136102" displayName="Table136102" ref="H1:AN6" totalsRowCount="1" headerRowDxfId="2044" headerRowBorderDxfId="2043" tableBorderDxfId="2042">
  <autoFilter ref="H1:AN5"/>
  <sortState ref="H2:AN5">
    <sortCondition descending="1" ref="AA1:AA5"/>
  </sortState>
  <tableColumns count="33">
    <tableColumn id="1" name="5" dataDxfId="2041" totalsRowDxfId="2040"/>
    <tableColumn id="2" name="4" dataDxfId="2039" totalsRowDxfId="2038"/>
    <tableColumn id="3" name="3" dataDxfId="2037" totalsRowDxfId="2036"/>
    <tableColumn id="4" name="2" dataDxfId="2035" totalsRowDxfId="2034"/>
    <tableColumn id="5" name="1" dataDxfId="2033" totalsRowDxfId="2032"/>
    <tableColumn id="6" name="نام سایت " dataDxfId="2031" totalsRowDxfId="2030"/>
    <tableColumn id="7" name="استان" dataDxfId="2029" totalsRowDxfId="2028"/>
    <tableColumn id="8" name="Column1" dataDxfId="2027" totalsRowDxfId="2026"/>
    <tableColumn id="9" name="IPG" dataDxfId="2025" totalsRowDxfId="2024"/>
    <tableColumn id="10" name="Column2" dataDxfId="2023" totalsRowDxfId="2022"/>
    <tableColumn id="11" name="Column3" dataDxfId="2021" totalsRowDxfId="2020"/>
    <tableColumn id="12" name="Column4" dataDxfId="2019" totalsRowDxfId="2018"/>
    <tableColumn id="13" name="Column5" dataDxfId="2017" totalsRowDxfId="2016"/>
    <tableColumn id="14" name="Column6" dataDxfId="2015" totalsRowDxfId="2014"/>
    <tableColumn id="15" name="Column7" dataDxfId="2013" totalsRowDxfId="2012"/>
    <tableColumn id="16" name="نام سایت 3" dataDxfId="2011" totalsRowDxfId="2010"/>
    <tableColumn id="17" name="نرخ پرش  " dataDxfId="2009" totalsRowDxfId="2008"/>
    <tableColumn id="18" name="تعداد صفحات مشاهده شده" dataDxfId="2007" totalsRowDxfId="2006"/>
    <tableColumn id="19" name="میزان زمان حضور در سایت" dataDxfId="2005" totalsRowDxfId="2004"/>
    <tableColumn id="20" name="ترافیک کل" totalsRowFunction="sum" dataDxfId="2003" totalsRowDxfId="2002"/>
    <tableColumn id="21" name="رتبه در سیمیلار وب" dataDxfId="2001" totalsRowDxfId="2000"/>
    <tableColumn id="22" name="نام سایت 2" dataDxfId="1999" totalsRowDxfId="1998"/>
    <tableColumn id="23" name="طبقه بندی" dataDxfId="1997" totalsRowDxfId="1996"/>
    <tableColumn id="24" name="بازار" dataDxfId="1995" totalsRowDxfId="1994"/>
    <tableColumn id="25" name="مجموع صفحات  مشاهده شده   " totalsRowFunction="sum" dataDxfId="1993" totalsRowDxfId="1992">
      <calculatedColumnFormula>(AA2*Y2)</calculatedColumnFormula>
    </tableColumn>
    <tableColumn id="26" name="مجموع زمان حضور در سایت " totalsRowFunction="sum" dataDxfId="1991" totalsRowDxfId="1990">
      <calculatedColumnFormula>((((RIGHT(Z2,2))/60)+(LEFT(Z2,2)))*AA2)</calculatedColumnFormula>
    </tableColumn>
    <tableColumn id="27" name="سهم سایت از کل ترافیک طبقه بندی" totalsRowFunction="sum" dataDxfId="1989" totalsRowDxfId="1988">
      <calculatedColumnFormula>(AA2/$AA$6)*100</calculatedColumnFormula>
    </tableColumn>
    <tableColumn id="28" name="شاخص هرفیندال هیرشمن (ترافیک)" totalsRowFunction="sum" dataDxfId="1987" totalsRowDxfId="1986">
      <calculatedColumnFormula>(AH2*AH2)</calculatedColumnFormula>
    </tableColumn>
    <tableColumn id="29" name="سهم سایت از کل صفحات مشاهده شده در طبقه بندی" totalsRowFunction="sum" dataDxfId="1985" totalsRowDxfId="1984">
      <calculatedColumnFormula>(AF2/$AF$6)*100</calculatedColumnFormula>
    </tableColumn>
    <tableColumn id="30" name="شاخص هرفیندال -هیرشمن (صفحات مشاهده شده )" totalsRowFunction="sum" dataDxfId="1983" totalsRowDxfId="1982">
      <calculatedColumnFormula>(AJ2*AJ2)</calculatedColumnFormula>
    </tableColumn>
    <tableColumn id="31" name="سهم سایت از کل زمان حضور در طبقه بندی" totalsRowFunction="sum" dataDxfId="1981" totalsRowDxfId="1980">
      <calculatedColumnFormula>(AG2/$AG$6)*100</calculatedColumnFormula>
    </tableColumn>
    <tableColumn id="32" name="شاخص هرفیندال هیرشمن (زمان حضور)" totalsRowFunction="sum" dataDxfId="1979" totalsRowDxfId="1978">
      <calculatedColumnFormula>(AL2*AL2)</calculatedColumnFormula>
    </tableColumn>
    <tableColumn id="33" name="نام سایت" dataDxfId="1977" totalsRowDxfId="1976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109" name="Table136103110" displayName="Table136103110" ref="H1:AN6" totalsRowCount="1" headerRowDxfId="1975" headerRowBorderDxfId="1974" tableBorderDxfId="1973">
  <autoFilter ref="H1:AN5"/>
  <sortState ref="H2:AN5">
    <sortCondition descending="1" ref="AA1:AA5"/>
  </sortState>
  <tableColumns count="33">
    <tableColumn id="1" name="5" dataDxfId="1972" totalsRowDxfId="1971"/>
    <tableColumn id="2" name="4" dataDxfId="1970" totalsRowDxfId="1969"/>
    <tableColumn id="3" name="3" dataDxfId="1968" totalsRowDxfId="1967"/>
    <tableColumn id="4" name="2" dataDxfId="1966" totalsRowDxfId="1965"/>
    <tableColumn id="5" name="1" dataDxfId="1964" totalsRowDxfId="1963"/>
    <tableColumn id="6" name="نام سایت " dataDxfId="1962" totalsRowDxfId="1961"/>
    <tableColumn id="7" name="استان" dataDxfId="1960" totalsRowDxfId="1959"/>
    <tableColumn id="8" name="Column1" dataDxfId="1958" totalsRowDxfId="1957"/>
    <tableColumn id="9" name="IPG" dataDxfId="1956" totalsRowDxfId="1955"/>
    <tableColumn id="10" name="Column2" dataDxfId="1954" totalsRowDxfId="1953"/>
    <tableColumn id="11" name="Column3" dataDxfId="1952" totalsRowDxfId="1951"/>
    <tableColumn id="12" name="Column4" dataDxfId="1950" totalsRowDxfId="1949"/>
    <tableColumn id="13" name="Column5" dataDxfId="1948" totalsRowDxfId="1947"/>
    <tableColumn id="14" name="Column6" dataDxfId="1946" totalsRowDxfId="1945"/>
    <tableColumn id="15" name="Column7" dataDxfId="1944" totalsRowDxfId="1943"/>
    <tableColumn id="16" name="نام سایت 3" dataDxfId="1942" totalsRowDxfId="1941"/>
    <tableColumn id="17" name="نرخ پرش  " dataDxfId="1940" totalsRowDxfId="1939"/>
    <tableColumn id="18" name="تعداد صفحات مشاهده شده" dataDxfId="1938" totalsRowDxfId="1937"/>
    <tableColumn id="19" name="میزان زمان حضور در سایت" dataDxfId="1936" totalsRowDxfId="1935"/>
    <tableColumn id="20" name="ترافیک کل" totalsRowFunction="sum" dataDxfId="1934" totalsRowDxfId="1933"/>
    <tableColumn id="21" name="رتبه در سیمیلار وب" dataDxfId="1932" totalsRowDxfId="1931"/>
    <tableColumn id="22" name="نام سایت 2" dataDxfId="1930" totalsRowDxfId="1929"/>
    <tableColumn id="23" name="طبقه بندی" dataDxfId="1928" totalsRowDxfId="1927"/>
    <tableColumn id="24" name="بازار" dataDxfId="1926" totalsRowDxfId="1925"/>
    <tableColumn id="25" name="مجموع صفحات  مشاهده شده   " totalsRowFunction="sum" dataDxfId="1924" totalsRowDxfId="1923">
      <calculatedColumnFormula>(AA2*Y2)</calculatedColumnFormula>
    </tableColumn>
    <tableColumn id="26" name="مجموع زمان حضور در سایت " totalsRowFunction="sum" dataDxfId="1922" totalsRowDxfId="1921">
      <calculatedColumnFormula>((((RIGHT(Z2,2))/60)+(LEFT(Z2,2)))*AA2)</calculatedColumnFormula>
    </tableColumn>
    <tableColumn id="27" name="سهم سایت از کل ترافیک طبقه بندی" totalsRowFunction="sum" dataDxfId="1920" totalsRowDxfId="1919">
      <calculatedColumnFormula>(AA2/$AA$6)*100</calculatedColumnFormula>
    </tableColumn>
    <tableColumn id="28" name="شاخص هرفیندال هیرشمن (ترافیک)" totalsRowFunction="sum" dataDxfId="1918" totalsRowDxfId="1917">
      <calculatedColumnFormula>(AH2*AH2)</calculatedColumnFormula>
    </tableColumn>
    <tableColumn id="29" name="سهم سایت از کل صفحات مشاهده شده در طبقه بندی" totalsRowFunction="sum" dataDxfId="1916" totalsRowDxfId="1915">
      <calculatedColumnFormula>(AF2/$AF$6)*100</calculatedColumnFormula>
    </tableColumn>
    <tableColumn id="30" name="شاخص هرفیندال -هیرشمن (صفحات مشاهده شده )" totalsRowFunction="sum" dataDxfId="1914" totalsRowDxfId="1913">
      <calculatedColumnFormula>(AJ2*AJ2)</calculatedColumnFormula>
    </tableColumn>
    <tableColumn id="31" name="سهم سایت از کل زمان حضور در طبقه بندی" totalsRowFunction="sum" dataDxfId="1912" totalsRowDxfId="1911">
      <calculatedColumnFormula>(AG2/$AG$6)*100</calculatedColumnFormula>
    </tableColumn>
    <tableColumn id="32" name="شاخص هرفیندال هیرشمن (زمان حضور)" totalsRowFunction="sum" dataDxfId="1910" totalsRowDxfId="1909">
      <calculatedColumnFormula>(AL2*AL2)</calculatedColumnFormula>
    </tableColumn>
    <tableColumn id="33" name="نام سایت" dataDxfId="1908" totalsRowDxfId="1907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102" name="Table136103" displayName="Table136103" ref="H1:AN12" totalsRowCount="1" headerRowDxfId="1906" headerRowBorderDxfId="1905" tableBorderDxfId="1904">
  <autoFilter ref="H1:AN11"/>
  <sortState ref="H2:AN11">
    <sortCondition descending="1" ref="AA1:AA11"/>
  </sortState>
  <tableColumns count="33">
    <tableColumn id="1" name="5" dataDxfId="1903" totalsRowDxfId="1902"/>
    <tableColumn id="2" name="4" dataDxfId="1901" totalsRowDxfId="1900"/>
    <tableColumn id="3" name="3" dataDxfId="1899" totalsRowDxfId="1898"/>
    <tableColumn id="4" name="2" dataDxfId="1897" totalsRowDxfId="1896"/>
    <tableColumn id="5" name="1" dataDxfId="1895" totalsRowDxfId="1894"/>
    <tableColumn id="6" name="نام سایت " dataDxfId="1893" totalsRowDxfId="1892"/>
    <tableColumn id="7" name="استان" dataDxfId="1891" totalsRowDxfId="1890"/>
    <tableColumn id="8" name="Column1" dataDxfId="1889" totalsRowDxfId="1888"/>
    <tableColumn id="9" name="IPG" dataDxfId="1887" totalsRowDxfId="1886"/>
    <tableColumn id="10" name="Column2" dataDxfId="1885" totalsRowDxfId="1884"/>
    <tableColumn id="11" name="Column3" dataDxfId="1883" totalsRowDxfId="1882"/>
    <tableColumn id="12" name="Column4" dataDxfId="1881" totalsRowDxfId="1880"/>
    <tableColumn id="13" name="Column5" dataDxfId="1879" totalsRowDxfId="1878"/>
    <tableColumn id="14" name="Column6" dataDxfId="1877" totalsRowDxfId="1876"/>
    <tableColumn id="15" name="Column7" dataDxfId="1875" totalsRowDxfId="1874"/>
    <tableColumn id="16" name="نام سایت 3" dataDxfId="1873" totalsRowDxfId="1872"/>
    <tableColumn id="17" name="نرخ پرش  " dataDxfId="1871" totalsRowDxfId="1870"/>
    <tableColumn id="18" name="تعداد صفحات مشاهده شده" dataDxfId="1869" totalsRowDxfId="1868"/>
    <tableColumn id="19" name="میزان زمان حضور در سایت" dataDxfId="1867" totalsRowDxfId="1866"/>
    <tableColumn id="20" name="ترافیک کل" totalsRowFunction="sum" dataDxfId="1865" totalsRowDxfId="1864"/>
    <tableColumn id="21" name="رتبه در سیمیلار وب" dataDxfId="1863" totalsRowDxfId="1862"/>
    <tableColumn id="22" name="نام سایت 2" dataDxfId="1861" totalsRowDxfId="1860"/>
    <tableColumn id="23" name="طبقه بندی" dataDxfId="1859" totalsRowDxfId="1858"/>
    <tableColumn id="24" name="بازار" dataDxfId="1857" totalsRowDxfId="1856"/>
    <tableColumn id="25" name="مجموع صفحات  مشاهده شده   " totalsRowFunction="sum" dataDxfId="1855" totalsRowDxfId="1854">
      <calculatedColumnFormula>(AA2*Y2)</calculatedColumnFormula>
    </tableColumn>
    <tableColumn id="26" name="مجموع زمان حضور در سایت " totalsRowFunction="sum" dataDxfId="1853" totalsRowDxfId="1852">
      <calculatedColumnFormula>((((RIGHT(Z2,2))/60)+(LEFT(Z2,2)))*AA2)</calculatedColumnFormula>
    </tableColumn>
    <tableColumn id="27" name="سهم سایت از کل ترافیک طبقه بندی" totalsRowFunction="sum" dataDxfId="1851" totalsRowDxfId="1850">
      <calculatedColumnFormula>(AA2/$AA$12)*100</calculatedColumnFormula>
    </tableColumn>
    <tableColumn id="28" name="شاخص هرفیندال هیرشمن (ترافیک)" totalsRowFunction="sum" dataDxfId="1849" totalsRowDxfId="1848">
      <calculatedColumnFormula>(AH2*AH2)</calculatedColumnFormula>
    </tableColumn>
    <tableColumn id="29" name="سهم سایت از کل صفحات مشاهده شده در طبقه بندی" totalsRowFunction="sum" dataDxfId="1847" totalsRowDxfId="1846">
      <calculatedColumnFormula>(AF2/$AF$12)*100</calculatedColumnFormula>
    </tableColumn>
    <tableColumn id="30" name="شاخص هرفیندال -هیرشمن (صفحات مشاهده شده )" totalsRowFunction="sum" dataDxfId="1845" totalsRowDxfId="1844">
      <calculatedColumnFormula>(AJ2*AJ2)</calculatedColumnFormula>
    </tableColumn>
    <tableColumn id="31" name="سهم سایت از کل زمان حضور در طبقه بندی" totalsRowFunction="sum" dataDxfId="1843" totalsRowDxfId="1842">
      <calculatedColumnFormula>(AG2/$AG$12)*100</calculatedColumnFormula>
    </tableColumn>
    <tableColumn id="32" name="شاخص هرفیندال هیرشمن (زمان حضور)" totalsRowFunction="sum" dataDxfId="1841" totalsRowDxfId="1840">
      <calculatedColumnFormula>(AL2*AL2)</calculatedColumnFormula>
    </tableColumn>
    <tableColumn id="33" name="نام سایت" dataDxfId="1839" totalsRowDxfId="1838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103" name="Table136104" displayName="Table136104" ref="H1:AN15" totalsRowCount="1" headerRowDxfId="1837" headerRowBorderDxfId="1836" tableBorderDxfId="1835">
  <autoFilter ref="H1:AN14"/>
  <sortState ref="H2:AN14">
    <sortCondition descending="1" ref="AA1:AA14"/>
  </sortState>
  <tableColumns count="33">
    <tableColumn id="1" name="5" dataDxfId="1834" totalsRowDxfId="1833"/>
    <tableColumn id="2" name="4" dataDxfId="1832" totalsRowDxfId="1831"/>
    <tableColumn id="3" name="3" dataDxfId="1830" totalsRowDxfId="1829"/>
    <tableColumn id="4" name="2" dataDxfId="1828" totalsRowDxfId="1827"/>
    <tableColumn id="5" name="1" dataDxfId="1826" totalsRowDxfId="1825"/>
    <tableColumn id="6" name="نام سایت " dataDxfId="1824" totalsRowDxfId="1823"/>
    <tableColumn id="7" name="استان" dataDxfId="1822" totalsRowDxfId="1821"/>
    <tableColumn id="8" name="Column1" dataDxfId="1820" totalsRowDxfId="1819"/>
    <tableColumn id="9" name="IPG" dataDxfId="1818" totalsRowDxfId="1817"/>
    <tableColumn id="10" name="Column2" dataDxfId="1816" totalsRowDxfId="1815"/>
    <tableColumn id="11" name="Column3" dataDxfId="1814" totalsRowDxfId="1813"/>
    <tableColumn id="12" name="Column4" dataDxfId="1812" totalsRowDxfId="1811"/>
    <tableColumn id="13" name="Column5" dataDxfId="1810" totalsRowDxfId="1809"/>
    <tableColumn id="14" name="Column6" dataDxfId="1808" totalsRowDxfId="1807"/>
    <tableColumn id="15" name="Column7" dataDxfId="1806" totalsRowDxfId="1805"/>
    <tableColumn id="16" name="نام سایت 3" dataDxfId="1804" totalsRowDxfId="1803"/>
    <tableColumn id="17" name="نرخ پرش  " dataDxfId="1802" totalsRowDxfId="1801"/>
    <tableColumn id="18" name="تعداد صفحات مشاهده شده" dataDxfId="1800" totalsRowDxfId="1799"/>
    <tableColumn id="19" name="میزان زمان حضور در سایت" dataDxfId="1798" totalsRowDxfId="1797"/>
    <tableColumn id="20" name="ترافیک کل" totalsRowFunction="sum" dataDxfId="1796" totalsRowDxfId="1795"/>
    <tableColumn id="21" name="رتبه در سیمیلار وب" dataDxfId="1794" totalsRowDxfId="1793"/>
    <tableColumn id="22" name="نام سایت 2" dataDxfId="1792" totalsRowDxfId="1791"/>
    <tableColumn id="23" name="طبقه بندی" dataDxfId="1790" totalsRowDxfId="1789"/>
    <tableColumn id="24" name="بازار" dataDxfId="1788" totalsRowDxfId="1787"/>
    <tableColumn id="25" name="مجموع صفحات  مشاهده شده   " totalsRowFunction="sum" dataDxfId="1786" totalsRowDxfId="1785">
      <calculatedColumnFormula>(AA2*Y2)</calculatedColumnFormula>
    </tableColumn>
    <tableColumn id="26" name="مجموع زمان حضور در سایت " totalsRowFunction="sum" dataDxfId="1784" totalsRowDxfId="1783">
      <calculatedColumnFormula>((((RIGHT(Z2,2))/60)+(LEFT(Z2,2)))*AA2)</calculatedColumnFormula>
    </tableColumn>
    <tableColumn id="27" name="سهم سایت از کل ترافیک طبقه بندی" totalsRowFunction="sum" dataDxfId="1782" totalsRowDxfId="1781">
      <calculatedColumnFormula>(AA2/$AA$15)*100</calculatedColumnFormula>
    </tableColumn>
    <tableColumn id="28" name="شاخص هرفیندال هیرشمن (ترافیک)" totalsRowFunction="sum" dataDxfId="1780" totalsRowDxfId="1779">
      <calculatedColumnFormula>(AH2*AH2)</calculatedColumnFormula>
    </tableColumn>
    <tableColumn id="29" name="سهم سایت از کل صفحات مشاهده شده در طبقه بندی" totalsRowFunction="sum" dataDxfId="1778" totalsRowDxfId="1777">
      <calculatedColumnFormula>(AF2/$AF$15)*100</calculatedColumnFormula>
    </tableColumn>
    <tableColumn id="30" name="شاخص هرفیندال -هیرشمن (صفحات مشاهده شده )" totalsRowFunction="sum" dataDxfId="1776" totalsRowDxfId="1775">
      <calculatedColumnFormula>(AJ2*AJ2)</calculatedColumnFormula>
    </tableColumn>
    <tableColumn id="31" name="سهم سایت از کل زمان حضور در طبقه بندی" totalsRowFunction="sum" dataDxfId="1774" totalsRowDxfId="1773">
      <calculatedColumnFormula>(AG2/$AG$15)*100</calculatedColumnFormula>
    </tableColumn>
    <tableColumn id="32" name="شاخص هرفیندال هیرشمن (زمان حضور)" totalsRowFunction="sum" dataDxfId="1772" totalsRowDxfId="1771">
      <calculatedColumnFormula>(AL2*AL2)</calculatedColumnFormula>
    </tableColumn>
    <tableColumn id="33" name="نام سایت" dataDxfId="1770" totalsRowDxfId="1769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64" name="Table1366465" displayName="Table1366465" ref="H1:AN12" totalsRowCount="1" headerRowDxfId="1768" headerRowBorderDxfId="1767" tableBorderDxfId="1766">
  <autoFilter ref="H1:AN11"/>
  <sortState ref="H2:AN11">
    <sortCondition descending="1" ref="AA1:AA11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765" totalsRowDxfId="1764"/>
    <tableColumn id="7" name="استان" dataDxfId="1763" totalsRowDxfId="1762"/>
    <tableColumn id="8" name="Column1" dataDxfId="1761" totalsRowDxfId="1760"/>
    <tableColumn id="9" name="IPG" dataDxfId="1759" totalsRowDxfId="1758"/>
    <tableColumn id="10" name="Column2" dataDxfId="1757" totalsRowDxfId="1756"/>
    <tableColumn id="11" name="Column3" dataDxfId="1755" totalsRowDxfId="1754"/>
    <tableColumn id="12" name="Column4" dataDxfId="1753" totalsRowDxfId="1752"/>
    <tableColumn id="13" name="Column5" dataDxfId="1751" totalsRowDxfId="1750"/>
    <tableColumn id="14" name="Column6" dataDxfId="1749" totalsRowDxfId="1748"/>
    <tableColumn id="15" name="Column7" dataDxfId="1747" totalsRowDxfId="1746"/>
    <tableColumn id="16" name="نام سایت 3" dataDxfId="1745" totalsRowDxfId="1744"/>
    <tableColumn id="17" name="نرخ پرش  " dataDxfId="1743" totalsRowDxfId="1742"/>
    <tableColumn id="18" name="تعداد صفحات مشاهده شده" dataDxfId="1741" totalsRowDxfId="1740"/>
    <tableColumn id="19" name="میزان زمان حضور در سایت" dataDxfId="1739" totalsRowDxfId="1738"/>
    <tableColumn id="20" name="ترافیک کل" totalsRowFunction="sum" dataDxfId="1737" totalsRowDxfId="1736"/>
    <tableColumn id="21" name="رتبه در سیمیلار وب" dataDxfId="1735" totalsRowDxfId="1734"/>
    <tableColumn id="22" name="نام سایت 2" dataDxfId="1733" totalsRowDxfId="1732"/>
    <tableColumn id="23" name="طبقه بندی" dataDxfId="1731" totalsRowDxfId="1730"/>
    <tableColumn id="24" name="بازار" dataDxfId="1729" totalsRowDxfId="1728"/>
    <tableColumn id="25" name="مجموع صفحات  مشاهده شده   " totalsRowFunction="sum" dataDxfId="1727" totalsRowDxfId="1726">
      <calculatedColumnFormula>(AA2*Y2)</calculatedColumnFormula>
    </tableColumn>
    <tableColumn id="26" name="مجموع زمان حضور در سایت " totalsRowFunction="sum" dataDxfId="1725" totalsRowDxfId="1724">
      <calculatedColumnFormula>((((RIGHT(Z2,2))/60)+(LEFT(Z2,2)))*AA2)</calculatedColumnFormula>
    </tableColumn>
    <tableColumn id="27" name="سهم سایت از کل ترافیک طبقه بندی" totalsRowFunction="sum" dataDxfId="1723" totalsRowDxfId="1722">
      <calculatedColumnFormula>(AA2/$AA$12)*100</calculatedColumnFormula>
    </tableColumn>
    <tableColumn id="28" name="شاخص هرفیندال هیرشمن (ترافیک)" totalsRowFunction="sum" dataDxfId="1721" totalsRowDxfId="1720">
      <calculatedColumnFormula>(AH2*AH2)</calculatedColumnFormula>
    </tableColumn>
    <tableColumn id="29" name="سهم سایت از کل صفحات مشاهده شده در طبقه بندی" totalsRowFunction="sum" dataDxfId="1719" totalsRowDxfId="1718">
      <calculatedColumnFormula>(AF2/$AF$12)*100</calculatedColumnFormula>
    </tableColumn>
    <tableColumn id="30" name="شاخص هرفیندال -هیرشمن (صفحات مشاهده شده )" totalsRowFunction="sum" dataDxfId="1717" totalsRowDxfId="1716">
      <calculatedColumnFormula>(AJ2*AJ2)</calculatedColumnFormula>
    </tableColumn>
    <tableColumn id="31" name="سهم سایت از کل زمان حضور در طبقه بندی" totalsRowFunction="sum" dataDxfId="1715" totalsRowDxfId="1714">
      <calculatedColumnFormula>(AG2/$AG$12)*100</calculatedColumnFormula>
    </tableColumn>
    <tableColumn id="32" name="شاخص هرفیندال هیرشمن (زمان حضور)" totalsRowFunction="sum" dataDxfId="1713" totalsRowDxfId="1712">
      <calculatedColumnFormula>(AL2*AL2)</calculatedColumnFormula>
    </tableColumn>
    <tableColumn id="33" name="نام سایت" dataDxfId="1711" totalsRowDxfId="1710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100" name="Table13696101" displayName="Table13696101" ref="H1:AN6" totalsRowCount="1" headerRowDxfId="1709" headerRowBorderDxfId="1708" tableBorderDxfId="1707">
  <autoFilter ref="H1:AN5"/>
  <sortState ref="H2:AN5">
    <sortCondition descending="1" ref="AA1:AA5"/>
  </sortState>
  <tableColumns count="33">
    <tableColumn id="1" name="5" dataDxfId="1706" totalsRowDxfId="1705"/>
    <tableColumn id="2" name="4" dataDxfId="1704" totalsRowDxfId="1703"/>
    <tableColumn id="3" name="3" dataDxfId="1702" totalsRowDxfId="1701"/>
    <tableColumn id="4" name="2" dataDxfId="1700" totalsRowDxfId="1699"/>
    <tableColumn id="5" name="1" dataDxfId="1698" totalsRowDxfId="1697"/>
    <tableColumn id="6" name="نام سایت " dataDxfId="1696" totalsRowDxfId="1695"/>
    <tableColumn id="7" name="استان" dataDxfId="1694" totalsRowDxfId="1693"/>
    <tableColumn id="8" name="Column1" dataDxfId="1692" totalsRowDxfId="1691"/>
    <tableColumn id="9" name="IPG" dataDxfId="1690" totalsRowDxfId="1689"/>
    <tableColumn id="10" name="Column2" dataDxfId="1688" totalsRowDxfId="1687"/>
    <tableColumn id="11" name="Column3" dataDxfId="1686" totalsRowDxfId="1685"/>
    <tableColumn id="12" name="Column4" dataDxfId="1684" totalsRowDxfId="1683"/>
    <tableColumn id="13" name="Column5" dataDxfId="1682" totalsRowDxfId="1681"/>
    <tableColumn id="14" name="Column6" dataDxfId="1680" totalsRowDxfId="1679"/>
    <tableColumn id="15" name="Column7" dataDxfId="1678" totalsRowDxfId="1677"/>
    <tableColumn id="16" name="نام سایت 3" dataDxfId="1676" totalsRowDxfId="1675"/>
    <tableColumn id="17" name="نرخ پرش  " dataDxfId="1674" totalsRowDxfId="1673"/>
    <tableColumn id="18" name="تعداد صفحات مشاهده شده" dataDxfId="1672" totalsRowDxfId="1671"/>
    <tableColumn id="19" name="میزان زمان حضور در سایت" dataDxfId="1670" totalsRowDxfId="1669"/>
    <tableColumn id="20" name="ترافیک کل" totalsRowFunction="sum" dataDxfId="1668" totalsRowDxfId="1667"/>
    <tableColumn id="21" name="رتبه در سیمیلار وب" dataDxfId="1666" totalsRowDxfId="1665"/>
    <tableColumn id="22" name="نام سایت 2" dataDxfId="1664" totalsRowDxfId="1663"/>
    <tableColumn id="23" name="طبقه بندی" dataDxfId="1662" totalsRowDxfId="1661"/>
    <tableColumn id="24" name="بازار" dataDxfId="1660" totalsRowDxfId="1659"/>
    <tableColumn id="25" name="مجموع صفحات  مشاهده شده   " totalsRowFunction="sum" dataDxfId="1658" totalsRowDxfId="1657">
      <calculatedColumnFormula>(AA2*Y2)</calculatedColumnFormula>
    </tableColumn>
    <tableColumn id="26" name="مجموع زمان حضور در سایت " totalsRowFunction="sum" dataDxfId="1656" totalsRowDxfId="1655">
      <calculatedColumnFormula>((((RIGHT(Z2,2))/60)+(LEFT(Z2,2)))*AA2)</calculatedColumnFormula>
    </tableColumn>
    <tableColumn id="27" name="سهم سایت از کل ترافیک طبقه بندی" totalsRowFunction="sum" dataDxfId="1654" totalsRowDxfId="1653">
      <calculatedColumnFormula>(AA2/$AA$6)*100</calculatedColumnFormula>
    </tableColumn>
    <tableColumn id="28" name="شاخص هرفیندال هیرشمن (ترافیک)" totalsRowFunction="sum" dataDxfId="1652" totalsRowDxfId="1651">
      <calculatedColumnFormula>(AH2*AH2)</calculatedColumnFormula>
    </tableColumn>
    <tableColumn id="29" name="سهم سایت از کل صفحات مشاهده شده در طبقه بندی" totalsRowFunction="sum" dataDxfId="1650" totalsRowDxfId="1649">
      <calculatedColumnFormula>(AF2/$AF$6)*100</calculatedColumnFormula>
    </tableColumn>
    <tableColumn id="30" name="شاخص هرفیندال -هیرشمن (صفحات مشاهده شده )" totalsRowFunction="sum" dataDxfId="1648" totalsRowDxfId="1647">
      <calculatedColumnFormula>(AJ2*AJ2)</calculatedColumnFormula>
    </tableColumn>
    <tableColumn id="31" name="سهم سایت از کل زمان حضور در طبقه بندی" totalsRowFunction="sum" dataDxfId="1646" totalsRowDxfId="1645">
      <calculatedColumnFormula>(AG2/$AG$6)*100</calculatedColumnFormula>
    </tableColumn>
    <tableColumn id="32" name="شاخص هرفیندال هیرشمن (زمان حضور)" totalsRowFunction="sum" dataDxfId="1644" totalsRowDxfId="1643">
      <calculatedColumnFormula>(AL2*AL2)</calculatedColumnFormula>
    </tableColumn>
    <tableColumn id="33" name="نام سایت" dataDxfId="1642" totalsRowDxfId="1641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73" name="Table13674" displayName="Table13674" ref="H1:AN83" totalsRowCount="1" headerRowDxfId="1640" headerRowBorderDxfId="1639" tableBorderDxfId="1638">
  <autoFilter ref="H1:AN82"/>
  <sortState ref="H2:AN82">
    <sortCondition descending="1" ref="AA1:AA82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637" totalsRowDxfId="1636"/>
    <tableColumn id="7" name="استان" dataDxfId="1635" totalsRowDxfId="1634"/>
    <tableColumn id="8" name="Column1" dataDxfId="1633" totalsRowDxfId="1632"/>
    <tableColumn id="9" name="IPG" dataDxfId="1631" totalsRowDxfId="1630"/>
    <tableColumn id="10" name="Column2" dataDxfId="1629" totalsRowDxfId="1628"/>
    <tableColumn id="11" name="Column3" dataDxfId="1627" totalsRowDxfId="1626"/>
    <tableColumn id="12" name="Column4" dataDxfId="1625" totalsRowDxfId="1624"/>
    <tableColumn id="13" name="Column5" dataDxfId="1623" totalsRowDxfId="1622"/>
    <tableColumn id="14" name="Column6" dataDxfId="1621" totalsRowDxfId="1620"/>
    <tableColumn id="15" name="Column7" dataDxfId="1619" totalsRowDxfId="1618"/>
    <tableColumn id="16" name="نام سایت 3" dataDxfId="1617" totalsRowDxfId="1616"/>
    <tableColumn id="17" name="نرخ پرش  " dataDxfId="1615" totalsRowDxfId="1614"/>
    <tableColumn id="18" name="تعداد صفحات مشاهده شده" dataDxfId="1613" totalsRowDxfId="1612"/>
    <tableColumn id="19" name="میزان زمان حضور در سایت" dataDxfId="1611" totalsRowDxfId="1610"/>
    <tableColumn id="20" name="ترافیک کل" totalsRowFunction="sum" dataDxfId="1609" totalsRowDxfId="1608"/>
    <tableColumn id="21" name="رتبه در سیمیلار وب" dataDxfId="1607" totalsRowDxfId="1606"/>
    <tableColumn id="22" name="نام سایت 2" dataDxfId="1605" totalsRowDxfId="1604"/>
    <tableColumn id="23" name="طبقه بندی" dataDxfId="1603" totalsRowDxfId="1602"/>
    <tableColumn id="24" name="بازار" dataDxfId="1601" totalsRowDxfId="1600"/>
    <tableColumn id="25" name="مجموع صفحات  مشاهده شده   " totalsRowFunction="sum" dataDxfId="1599" totalsRowDxfId="1598">
      <calculatedColumnFormula>(AA2*Y2)</calculatedColumnFormula>
    </tableColumn>
    <tableColumn id="26" name="مجموع زمان حضور در سایت " totalsRowFunction="sum" dataDxfId="1597" totalsRowDxfId="1596">
      <calculatedColumnFormula>((((RIGHT(Z2,2))/60)+(LEFT(Z2,2)))*AA2)</calculatedColumnFormula>
    </tableColumn>
    <tableColumn id="27" name="سهم سایت از کل ترافیک طبقه بندی" totalsRowFunction="sum" dataDxfId="1595" totalsRowDxfId="1594">
      <calculatedColumnFormula>(AA2/$AA$83)*100</calculatedColumnFormula>
    </tableColumn>
    <tableColumn id="28" name="شاخص هرفیندال هیرشمن (ترافیک)" totalsRowFunction="sum" dataDxfId="1593" totalsRowDxfId="1592">
      <calculatedColumnFormula>(AH2*AH2)</calculatedColumnFormula>
    </tableColumn>
    <tableColumn id="29" name="سهم سایت از کل صفحات مشاهده شده در طبقه بندی" totalsRowFunction="sum" dataDxfId="1591" totalsRowDxfId="1590">
      <calculatedColumnFormula>(AF2/$AF$83)*100</calculatedColumnFormula>
    </tableColumn>
    <tableColumn id="30" name="شاخص هرفیندال -هیرشمن (صفحات مشاهده شده )" totalsRowFunction="sum" dataDxfId="1589" totalsRowDxfId="1588">
      <calculatedColumnFormula>(AJ2*AJ2)</calculatedColumnFormula>
    </tableColumn>
    <tableColumn id="31" name="سهم سایت از کل زمان حضور در طبقه بندی" totalsRowFunction="sum" dataDxfId="1587" totalsRowDxfId="1586">
      <calculatedColumnFormula>(AG2/$AG$83)*100</calculatedColumnFormula>
    </tableColumn>
    <tableColumn id="32" name="شاخص هرفیندال هیرشمن (زمان حضور)" totalsRowFunction="sum" dataDxfId="1585" totalsRowDxfId="1584">
      <calculatedColumnFormula>(AL2*AL2)</calculatedColumnFormula>
    </tableColumn>
    <tableColumn id="33" name="نام سایت" dataDxfId="1583" totalsRowDxfId="1582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12" name="Table1369111213" displayName="Table1369111213" ref="H1:AN8" totalsRowCount="1" headerRowDxfId="1581" headerRowBorderDxfId="1580" tableBorderDxfId="1579">
  <autoFilter ref="H1:AN7"/>
  <sortState ref="H2:AN7">
    <sortCondition descending="1" ref="AA1:AA7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578" totalsRowDxfId="1577"/>
    <tableColumn id="7" name="استان" dataDxfId="1576" totalsRowDxfId="1575"/>
    <tableColumn id="8" name="Column1" dataDxfId="1574" totalsRowDxfId="1573"/>
    <tableColumn id="9" name="IPG" dataDxfId="1572" totalsRowDxfId="1571"/>
    <tableColumn id="10" name="Column2" dataDxfId="1570" totalsRowDxfId="1569"/>
    <tableColumn id="11" name="Column3" dataDxfId="1568" totalsRowDxfId="1567"/>
    <tableColumn id="12" name="Column4" dataDxfId="1566" totalsRowDxfId="1565"/>
    <tableColumn id="13" name="Column5" dataDxfId="1564" totalsRowDxfId="1563"/>
    <tableColumn id="14" name="Column6" dataDxfId="1562" totalsRowDxfId="1561"/>
    <tableColumn id="15" name="Column7" dataDxfId="1560" totalsRowDxfId="1559"/>
    <tableColumn id="16" name="نام سایت 3" dataDxfId="1558" totalsRowDxfId="1557"/>
    <tableColumn id="17" name="نرخ پرش  " dataDxfId="1556" totalsRowDxfId="1555"/>
    <tableColumn id="18" name="تعداد صفحات مشاهده شده" dataDxfId="1554" totalsRowDxfId="1553"/>
    <tableColumn id="19" name="میزان زمان حضور در سایت" dataDxfId="1552" totalsRowDxfId="1551"/>
    <tableColumn id="20" name="ترافیک کل" totalsRowFunction="sum" dataDxfId="1550" totalsRowDxfId="1549"/>
    <tableColumn id="21" name="رتبه در سیمیلار وب" dataDxfId="1548" totalsRowDxfId="1547"/>
    <tableColumn id="22" name="نام سایت 2" dataDxfId="1546" totalsRowDxfId="1545"/>
    <tableColumn id="23" name="طبقه بندی" dataDxfId="1544" totalsRowDxfId="1543"/>
    <tableColumn id="24" name="بازار" dataDxfId="1542" totalsRowDxfId="1541"/>
    <tableColumn id="25" name="مجموع صفحات  مشاهده شده   " totalsRowFunction="sum" dataDxfId="1540" totalsRowDxfId="1539">
      <calculatedColumnFormula>(AA2*Y2)</calculatedColumnFormula>
    </tableColumn>
    <tableColumn id="26" name="مجموع زمان حضور در سایت " totalsRowFunction="sum" dataDxfId="1538" totalsRowDxfId="1537">
      <calculatedColumnFormula>((((RIGHT(Z2,2))/60)+(LEFT(Z2,2)))*AA2)</calculatedColumnFormula>
    </tableColumn>
    <tableColumn id="27" name="سهم سایت از کل ترافیک طبقه بندی" totalsRowFunction="sum" dataDxfId="1536" totalsRowDxfId="1535">
      <calculatedColumnFormula>(AA2/$AA$8)*100</calculatedColumnFormula>
    </tableColumn>
    <tableColumn id="28" name="شاخص هرفیندال هیرشمن (ترافیک)" totalsRowFunction="sum" dataDxfId="1534" totalsRowDxfId="1533">
      <calculatedColumnFormula>(AH2*AH2)</calculatedColumnFormula>
    </tableColumn>
    <tableColumn id="29" name="سهم سایت از کل صفحات مشاهده شده در طبقه بندی" totalsRowFunction="sum" dataDxfId="1532" totalsRowDxfId="1531">
      <calculatedColumnFormula>(AF2/$AF$8)*100</calculatedColumnFormula>
    </tableColumn>
    <tableColumn id="30" name="شاخص هرفیندال -هیرشمن (صفحات مشاهده شده )" totalsRowFunction="sum" dataDxfId="1530" totalsRowDxfId="1529">
      <calculatedColumnFormula>(AJ2*AJ2)</calculatedColumnFormula>
    </tableColumn>
    <tableColumn id="31" name="سهم سایت از کل زمان حضور در طبقه بندی" totalsRowFunction="sum" dataDxfId="1528" totalsRowDxfId="1527">
      <calculatedColumnFormula>(AG2/$AG$8)*100</calculatedColumnFormula>
    </tableColumn>
    <tableColumn id="32" name="شاخص هرفیندال هیرشمن (زمان حضور)" totalsRowFunction="sum" dataDxfId="1526" totalsRowDxfId="1525">
      <calculatedColumnFormula>(AL2*AL2)</calculatedColumnFormula>
    </tableColumn>
    <tableColumn id="33" name="نام سایت" dataDxfId="1524" totalsRowDxfId="1523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49" name="Table1364950" displayName="Table1364950" ref="H1:AN7" totalsRowCount="1" headerRowDxfId="1522" headerRowBorderDxfId="1521" tableBorderDxfId="1520">
  <autoFilter ref="H1:AN6"/>
  <sortState ref="H2:AN6">
    <sortCondition descending="1" ref="AA1:AA6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519" totalsRowDxfId="1518"/>
    <tableColumn id="7" name="استان" dataDxfId="1517" totalsRowDxfId="1516"/>
    <tableColumn id="8" name="Column1" dataDxfId="1515" totalsRowDxfId="1514"/>
    <tableColumn id="9" name="IPG" dataDxfId="1513" totalsRowDxfId="1512"/>
    <tableColumn id="10" name="Column2" dataDxfId="1511" totalsRowDxfId="1510"/>
    <tableColumn id="11" name="Column3" dataDxfId="1509" totalsRowDxfId="1508"/>
    <tableColumn id="12" name="Column4" dataDxfId="1507" totalsRowDxfId="1506"/>
    <tableColumn id="13" name="Column5" dataDxfId="1505" totalsRowDxfId="1504"/>
    <tableColumn id="14" name="Column6" dataDxfId="1503" totalsRowDxfId="1502"/>
    <tableColumn id="15" name="Column7" dataDxfId="1501" totalsRowDxfId="1500"/>
    <tableColumn id="16" name="نام سایت 3" dataDxfId="1499" totalsRowDxfId="1498"/>
    <tableColumn id="17" name="نرخ پرش  " dataDxfId="1497" totalsRowDxfId="1496"/>
    <tableColumn id="18" name="تعداد صفحات مشاهده شده" dataDxfId="1495" totalsRowDxfId="1494"/>
    <tableColumn id="19" name="میزان زمان حضور در سایت" dataDxfId="1493" totalsRowDxfId="1492"/>
    <tableColumn id="20" name="ترافیک کل" totalsRowFunction="sum" dataDxfId="1491" totalsRowDxfId="1490"/>
    <tableColumn id="21" name="رتبه در سیمیلار وب" dataDxfId="1489" totalsRowDxfId="1488"/>
    <tableColumn id="22" name="نام سایت 2" dataDxfId="1487" totalsRowDxfId="1486"/>
    <tableColumn id="23" name="طبقه بندی" dataDxfId="1485" totalsRowDxfId="1484"/>
    <tableColumn id="24" name="بازار" dataDxfId="1483" totalsRowDxfId="1482"/>
    <tableColumn id="25" name="مجموع صفحات  مشاهده شده   " totalsRowFunction="sum" dataDxfId="1481" totalsRowDxfId="1480">
      <calculatedColumnFormula>(AA2*Y2)</calculatedColumnFormula>
    </tableColumn>
    <tableColumn id="26" name="مجموع زمان حضور در سایت " totalsRowFunction="sum" dataDxfId="1479" totalsRowDxfId="1478">
      <calculatedColumnFormula>(AA2*Z2)</calculatedColumnFormula>
    </tableColumn>
    <tableColumn id="27" name="سهم سایت از کل ترافیک طبقه بندی" totalsRowFunction="sum" dataDxfId="1477" totalsRowDxfId="1476">
      <calculatedColumnFormula>(AA2/259.4)*100</calculatedColumnFormula>
    </tableColumn>
    <tableColumn id="28" name="شاخص هرفیندال هیرشمن (ترافیک)" totalsRowFunction="stdDev" dataDxfId="1475" totalsRowDxfId="1474">
      <calculatedColumnFormula>(AH2*AH2)</calculatedColumnFormula>
    </tableColumn>
    <tableColumn id="29" name="سهم سایت از کل صفحات مشاهده شده در طبقه بندی" totalsRowFunction="sum" dataDxfId="1473" totalsRowDxfId="1472">
      <calculatedColumnFormula>(AF2/1229.515)*100</calculatedColumnFormula>
    </tableColumn>
    <tableColumn id="30" name="شاخص هرفیندال -هیرشمن (صفحات مشاهده شده )" totalsRowFunction="sum" dataDxfId="1471" totalsRowDxfId="1470">
      <calculatedColumnFormula>(AJ2*AJ2)</calculatedColumnFormula>
    </tableColumn>
    <tableColumn id="31" name="سهم سایت از کل زمان حضور در طبقه بندی" totalsRowFunction="sum" dataDxfId="1469" totalsRowDxfId="1468">
      <calculatedColumnFormula>(AG2/1051.605)*100</calculatedColumnFormula>
    </tableColumn>
    <tableColumn id="32" name="شاخص هرفیندال هیرشمن (زمان حضور)" totalsRowFunction="sum" dataDxfId="1467" totalsRowDxfId="1466">
      <calculatedColumnFormula>(AL2*AL2)</calculatedColumnFormula>
    </tableColumn>
    <tableColumn id="33" name="نام سایت" dataDxfId="1465" totalsRowDxfId="1464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74" name="Table13675" displayName="Table13675" ref="H1:AN180" totalsRowCount="1" headerRowDxfId="1463" headerRowBorderDxfId="1462" tableBorderDxfId="1461">
  <autoFilter ref="H1:AN179"/>
  <sortState ref="H2:AN179">
    <sortCondition descending="1" ref="AA1:AA17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460" totalsRowDxfId="1459"/>
    <tableColumn id="7" name="استان" dataDxfId="1458" totalsRowDxfId="1457"/>
    <tableColumn id="8" name="Column1" dataDxfId="1456" totalsRowDxfId="1455"/>
    <tableColumn id="9" name="IPG" dataDxfId="1454" totalsRowDxfId="1453"/>
    <tableColumn id="10" name="Column2" dataDxfId="1452" totalsRowDxfId="1451"/>
    <tableColumn id="11" name="Column3" dataDxfId="1450" totalsRowDxfId="1449"/>
    <tableColumn id="12" name="Column4" dataDxfId="1448" totalsRowDxfId="1447"/>
    <tableColumn id="13" name="Column5" dataDxfId="1446" totalsRowDxfId="1445"/>
    <tableColumn id="14" name="Column6" dataDxfId="1444" totalsRowDxfId="1443"/>
    <tableColumn id="15" name="Column7" dataDxfId="1442" totalsRowDxfId="1441"/>
    <tableColumn id="16" name="نام سایت 3" dataDxfId="1440" totalsRowDxfId="1439"/>
    <tableColumn id="17" name="نرخ پرش  " dataDxfId="1438" totalsRowDxfId="1437"/>
    <tableColumn id="18" name="تعداد صفحات مشاهده شده" dataDxfId="1436" totalsRowDxfId="1435"/>
    <tableColumn id="19" name="میزان زمان حضور در سایت" dataDxfId="1434" totalsRowDxfId="1433"/>
    <tableColumn id="20" name="ترافیک کل" totalsRowFunction="sum" dataDxfId="1432" totalsRowDxfId="1431"/>
    <tableColumn id="21" name="رتبه در سیمیلار وب" dataDxfId="1430" totalsRowDxfId="1429"/>
    <tableColumn id="22" name="نام سایت 2" dataDxfId="1428" totalsRowDxfId="1427"/>
    <tableColumn id="23" name="طبقه بندی" dataDxfId="1426" totalsRowDxfId="1425"/>
    <tableColumn id="24" name="بازار" dataDxfId="1424" totalsRowDxfId="1423"/>
    <tableColumn id="25" name="مجموع صفحات  مشاهده شده   " totalsRowFunction="sum" dataDxfId="1422" totalsRowDxfId="1421">
      <calculatedColumnFormula>(AA2*Y2)</calculatedColumnFormula>
    </tableColumn>
    <tableColumn id="26" name="مجموع زمان حضور در سایت " totalsRowFunction="sum" dataDxfId="1420" totalsRowDxfId="1419">
      <calculatedColumnFormula>((((RIGHT(Z2,2))/60)+(LEFT(Z2,2)))*AA2)</calculatedColumnFormula>
    </tableColumn>
    <tableColumn id="27" name="سهم سایت از کل ترافیک طبقه بندی" totalsRowFunction="sum" dataDxfId="1418" totalsRowDxfId="1417">
      <calculatedColumnFormula>(AA2/$AA$180)*100</calculatedColumnFormula>
    </tableColumn>
    <tableColumn id="28" name="شاخص هرفیندال هیرشمن (ترافیک)" totalsRowFunction="sum" dataDxfId="1416" totalsRowDxfId="1415">
      <calculatedColumnFormula>(AH2*AH2)</calculatedColumnFormula>
    </tableColumn>
    <tableColumn id="29" name="سهم سایت از کل صفحات مشاهده شده در طبقه بندی" totalsRowFunction="sum" dataDxfId="1414" totalsRowDxfId="1413">
      <calculatedColumnFormula>(AF2/$AF$180)*100</calculatedColumnFormula>
    </tableColumn>
    <tableColumn id="30" name="شاخص هرفیندال -هیرشمن (صفحات مشاهده شده )" totalsRowFunction="sum" dataDxfId="1412" totalsRowDxfId="1411">
      <calculatedColumnFormula>(AJ2*AJ2)</calculatedColumnFormula>
    </tableColumn>
    <tableColumn id="31" name="سهم سایت از کل زمان حضور در طبقه بندی" totalsRowFunction="sum" dataDxfId="1410" totalsRowDxfId="1409">
      <calculatedColumnFormula>(AG2/$AG$180)*100</calculatedColumnFormula>
    </tableColumn>
    <tableColumn id="32" name="شاخص هرفیندال هیرشمن (زمان حضور)" totalsRowFunction="sum" dataDxfId="1408" totalsRowDxfId="1407">
      <calculatedColumnFormula>(AL2*AL2)</calculatedColumnFormula>
    </tableColumn>
    <tableColumn id="33" name="نام سایت" dataDxfId="1406" totalsRowDxfId="1405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75" name="Table13676" displayName="Table13676" ref="H1:AN172" totalsRowCount="1" headerRowDxfId="1404" headerRowBorderDxfId="1403" tableBorderDxfId="1402">
  <autoFilter ref="H1:AN171"/>
  <sortState ref="H2:AN171">
    <sortCondition descending="1" ref="AA1:AA171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401" totalsRowDxfId="1400"/>
    <tableColumn id="7" name="استان" dataDxfId="1399" totalsRowDxfId="1398"/>
    <tableColumn id="8" name="Column1" dataDxfId="1397" totalsRowDxfId="1396"/>
    <tableColumn id="9" name="IPG" dataDxfId="1395" totalsRowDxfId="1394"/>
    <tableColumn id="10" name="Column2" dataDxfId="1393" totalsRowDxfId="1392"/>
    <tableColumn id="11" name="Column3" dataDxfId="1391" totalsRowDxfId="1390"/>
    <tableColumn id="12" name="Column4" dataDxfId="1389" totalsRowDxfId="1388"/>
    <tableColumn id="13" name="Column5" dataDxfId="1387" totalsRowDxfId="1386"/>
    <tableColumn id="14" name="Column6" dataDxfId="1385" totalsRowDxfId="1384"/>
    <tableColumn id="15" name="Column7" dataDxfId="1383" totalsRowDxfId="1382"/>
    <tableColumn id="16" name="نام سایت 3" dataDxfId="1381" totalsRowDxfId="1380"/>
    <tableColumn id="17" name="نرخ پرش  " dataDxfId="1379" totalsRowDxfId="1378"/>
    <tableColumn id="18" name="تعداد صفحات مشاهده شده" dataDxfId="1377" totalsRowDxfId="1376"/>
    <tableColumn id="19" name="میزان زمان حضور در سایت" dataDxfId="1375" totalsRowDxfId="1374"/>
    <tableColumn id="20" name="ترافیک کل" totalsRowFunction="sum" dataDxfId="1373" totalsRowDxfId="1372"/>
    <tableColumn id="21" name="رتبه در سیمیلار وب" dataDxfId="1371" totalsRowDxfId="1370"/>
    <tableColumn id="22" name="نام سایت 2" dataDxfId="1369" totalsRowDxfId="1368"/>
    <tableColumn id="23" name="طبقه بندی" dataDxfId="1367" totalsRowDxfId="1366"/>
    <tableColumn id="24" name="بازار" dataDxfId="1365" totalsRowDxfId="1364"/>
    <tableColumn id="25" name="مجموع صفحات  مشاهده شده   " totalsRowFunction="sum" dataDxfId="1363" totalsRowDxfId="1362">
      <calculatedColumnFormula>(AA2*Y2)</calculatedColumnFormula>
    </tableColumn>
    <tableColumn id="26" name="مجموع زمان حضور در سایت " totalsRowFunction="sum" dataDxfId="1361" totalsRowDxfId="1360">
      <calculatedColumnFormula>((((RIGHT(Z2,2))/60)+(LEFT(Z2,2)))*AA2)</calculatedColumnFormula>
    </tableColumn>
    <tableColumn id="27" name="سهم سایت از کل ترافیک طبقه بندی" totalsRowFunction="sum" dataDxfId="1359" totalsRowDxfId="1358">
      <calculatedColumnFormula>(AA2/$AA$172)*100</calculatedColumnFormula>
    </tableColumn>
    <tableColumn id="28" name="شاخص هرفیندال هیرشمن (ترافیک)" totalsRowFunction="sum" dataDxfId="1357" totalsRowDxfId="1356">
      <calculatedColumnFormula>(AH2*AH2)</calculatedColumnFormula>
    </tableColumn>
    <tableColumn id="29" name="سهم سایت از کل صفحات مشاهده شده در طبقه بندی" totalsRowFunction="sum" dataDxfId="1355" totalsRowDxfId="1354">
      <calculatedColumnFormula>(AF2/$AF$172)*100</calculatedColumnFormula>
    </tableColumn>
    <tableColumn id="30" name="شاخص هرفیندال -هیرشمن (صفحات مشاهده شده )" totalsRowFunction="sum" dataDxfId="1353" totalsRowDxfId="1352">
      <calculatedColumnFormula>(AJ2*AJ2)</calculatedColumnFormula>
    </tableColumn>
    <tableColumn id="31" name="سهم سایت از کل زمان حضور در طبقه بندی" totalsRowFunction="sum" dataDxfId="1351" totalsRowDxfId="1350">
      <calculatedColumnFormula>(AG2/$AG$172)*100</calculatedColumnFormula>
    </tableColumn>
    <tableColumn id="32" name="شاخص هرفیندال هیرشمن (زمان حضور)" totalsRowFunction="sum" dataDxfId="1349" totalsRowDxfId="1348">
      <calculatedColumnFormula>(AL2*AL2)</calculatedColumnFormula>
    </tableColumn>
    <tableColumn id="33" name="نام سایت" dataDxfId="1347" totalsRowDxfId="1346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71" name="Table13672" displayName="Table13672" ref="H1:AN73" totalsRowCount="1" headerRowDxfId="1345" headerRowBorderDxfId="1344" tableBorderDxfId="1343">
  <autoFilter ref="H1:AN72"/>
  <sortState ref="H2:AN72">
    <sortCondition descending="1" ref="AA1:AA72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342" totalsRowDxfId="1341"/>
    <tableColumn id="7" name="استان" dataDxfId="1340" totalsRowDxfId="1339"/>
    <tableColumn id="8" name="Column1" dataDxfId="1338" totalsRowDxfId="1337"/>
    <tableColumn id="9" name="IPG" dataDxfId="1336" totalsRowDxfId="1335"/>
    <tableColumn id="10" name="Column2" dataDxfId="1334" totalsRowDxfId="1333"/>
    <tableColumn id="11" name="Column3" dataDxfId="1332" totalsRowDxfId="1331"/>
    <tableColumn id="12" name="Column4" dataDxfId="1330" totalsRowDxfId="1329"/>
    <tableColumn id="13" name="Column5" dataDxfId="1328" totalsRowDxfId="1327"/>
    <tableColumn id="14" name="Column6" dataDxfId="1326" totalsRowDxfId="1325"/>
    <tableColumn id="15" name="Column7" dataDxfId="1324" totalsRowDxfId="1323"/>
    <tableColumn id="16" name="نام سایت 3" dataDxfId="1322" totalsRowDxfId="1321"/>
    <tableColumn id="17" name="نرخ پرش  " dataDxfId="1320" totalsRowDxfId="1319"/>
    <tableColumn id="18" name="تعداد صفحات مشاهده شده" dataDxfId="1318" totalsRowDxfId="1317"/>
    <tableColumn id="19" name="میزان زمان حضور در سایت" dataDxfId="1316" totalsRowDxfId="1315"/>
    <tableColumn id="20" name="ترافیک کل" totalsRowFunction="sum" dataDxfId="1314" totalsRowDxfId="1313"/>
    <tableColumn id="21" name="رتبه در سیمیلار وب" dataDxfId="1312" totalsRowDxfId="1311"/>
    <tableColumn id="22" name="نام سایت 2" dataDxfId="1310" totalsRowDxfId="1309"/>
    <tableColumn id="23" name="طبقه بندی" dataDxfId="1308" totalsRowDxfId="1307"/>
    <tableColumn id="24" name="بازار" dataDxfId="1306" totalsRowDxfId="1305"/>
    <tableColumn id="25" name="مجموع صفحات  مشاهده شده   " totalsRowFunction="sum" dataDxfId="1304" totalsRowDxfId="1303">
      <calculatedColumnFormula>(AA2*Y2)</calculatedColumnFormula>
    </tableColumn>
    <tableColumn id="26" name="مجموع زمان حضور در سایت " totalsRowFunction="sum" dataDxfId="1302" totalsRowDxfId="1301">
      <calculatedColumnFormula>((((RIGHT(Z2,2))/60)+(LEFT(Z2,2)))*AA2)</calculatedColumnFormula>
    </tableColumn>
    <tableColumn id="27" name="سهم سایت از کل ترافیک طبقه بندی" totalsRowFunction="sum" dataDxfId="1300" totalsRowDxfId="1299">
      <calculatedColumnFormula>(AA2/$AA$73)*100</calculatedColumnFormula>
    </tableColumn>
    <tableColumn id="28" name="شاخص هرفیندال هیرشمن (ترافیک)" totalsRowFunction="sum" dataDxfId="1298" totalsRowDxfId="1297">
      <calculatedColumnFormula>(AH2*AH2)</calculatedColumnFormula>
    </tableColumn>
    <tableColumn id="29" name="سهم سایت از کل صفحات مشاهده شده در طبقه بندی" totalsRowFunction="sum" dataDxfId="1296" totalsRowDxfId="1295">
      <calculatedColumnFormula>(AF2/$AF$73)*100</calculatedColumnFormula>
    </tableColumn>
    <tableColumn id="30" name="شاخص هرفیندال -هیرشمن (صفحات مشاهده شده )" totalsRowFunction="sum" dataDxfId="1294" totalsRowDxfId="1293">
      <calculatedColumnFormula>(AJ2*AJ2)</calculatedColumnFormula>
    </tableColumn>
    <tableColumn id="31" name="سهم سایت از کل زمان حضور در طبقه بندی" totalsRowFunction="sum" dataDxfId="1292" totalsRowDxfId="1291">
      <calculatedColumnFormula>(AG2/$AG$73)*100</calculatedColumnFormula>
    </tableColumn>
    <tableColumn id="32" name="شاخص هرفیندال هیرشمن (زمان حضور)" totalsRowFunction="sum" dataDxfId="1290" totalsRowDxfId="1289">
      <calculatedColumnFormula>(AL2*AL2)</calculatedColumnFormula>
    </tableColumn>
    <tableColumn id="33" name="نام سایت" dataDxfId="1288" totalsRowDxfId="1287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67" name="Table13668" displayName="Table13668" ref="H1:AN15" totalsRowCount="1" headerRowDxfId="1286" headerRowBorderDxfId="1285" tableBorderDxfId="1284">
  <autoFilter ref="H1:AN14"/>
  <sortState ref="H2:AN14">
    <sortCondition descending="1" ref="AA1:AA14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283" totalsRowDxfId="1282"/>
    <tableColumn id="7" name="استان" dataDxfId="1281" totalsRowDxfId="1280"/>
    <tableColumn id="8" name="Column1" dataDxfId="1279" totalsRowDxfId="1278"/>
    <tableColumn id="9" name="IPG" dataDxfId="1277" totalsRowDxfId="1276"/>
    <tableColumn id="10" name="Column2" dataDxfId="1275" totalsRowDxfId="1274"/>
    <tableColumn id="11" name="Column3" dataDxfId="1273" totalsRowDxfId="1272"/>
    <tableColumn id="12" name="Column4" dataDxfId="1271" totalsRowDxfId="1270"/>
    <tableColumn id="13" name="Column5" dataDxfId="1269" totalsRowDxfId="1268"/>
    <tableColumn id="14" name="Column6" dataDxfId="1267" totalsRowDxfId="1266"/>
    <tableColumn id="15" name="Column7" dataDxfId="1265" totalsRowDxfId="1264"/>
    <tableColumn id="16" name="نام سایت 3" dataDxfId="1263" totalsRowDxfId="1262"/>
    <tableColumn id="17" name="نرخ پرش  " dataDxfId="1261" totalsRowDxfId="1260"/>
    <tableColumn id="18" name="تعداد صفحات مشاهده شده" dataDxfId="1259" totalsRowDxfId="1258"/>
    <tableColumn id="19" name="میزان زمان حضور در سایت" dataDxfId="1257" totalsRowDxfId="1256"/>
    <tableColumn id="20" name="ترافیک کل" totalsRowFunction="sum" dataDxfId="1255" totalsRowDxfId="1254"/>
    <tableColumn id="21" name="رتبه در سیمیلار وب" dataDxfId="1253" totalsRowDxfId="1252"/>
    <tableColumn id="22" name="نام سایت 2" dataDxfId="1251" totalsRowDxfId="1250"/>
    <tableColumn id="23" name="طبقه بندی" dataDxfId="1249" totalsRowDxfId="1248"/>
    <tableColumn id="24" name="بازار" dataDxfId="1247" totalsRowDxfId="1246"/>
    <tableColumn id="25" name="مجموع صفحات  مشاهده شده   " totalsRowFunction="sum" dataDxfId="1245" totalsRowDxfId="1244">
      <calculatedColumnFormula>(AA2*Y2)</calculatedColumnFormula>
    </tableColumn>
    <tableColumn id="26" name="مجموع زمان حضور در سایت " totalsRowFunction="sum" dataDxfId="1243" totalsRowDxfId="1242">
      <calculatedColumnFormula>((((RIGHT(Z2,2))/60)+(LEFT(Z2,2)))*AA2)</calculatedColumnFormula>
    </tableColumn>
    <tableColumn id="27" name="سهم سایت از کل ترافیک طبقه بندی" totalsRowFunction="sum" dataDxfId="1241" totalsRowDxfId="1240">
      <calculatedColumnFormula>(AA2/$AA$15)*100</calculatedColumnFormula>
    </tableColumn>
    <tableColumn id="28" name="شاخص هرفیندال هیرشمن (ترافیک)" totalsRowFunction="sum" dataDxfId="1239" totalsRowDxfId="1238">
      <calculatedColumnFormula>(AH2*AH2)</calculatedColumnFormula>
    </tableColumn>
    <tableColumn id="29" name="سهم سایت از کل صفحات مشاهده شده در طبقه بندی" totalsRowFunction="sum" dataDxfId="1237" totalsRowDxfId="1236">
      <calculatedColumnFormula>(AF2/$AF$15)*100</calculatedColumnFormula>
    </tableColumn>
    <tableColumn id="30" name="شاخص هرفیندال -هیرشمن (صفحات مشاهده شده )" totalsRowFunction="sum" dataDxfId="1235" totalsRowDxfId="1234">
      <calculatedColumnFormula>(AJ2*AJ2)</calculatedColumnFormula>
    </tableColumn>
    <tableColumn id="31" name="سهم سایت از کل زمان حضور در طبقه بندی" totalsRowFunction="sum" dataDxfId="1233" totalsRowDxfId="1232">
      <calculatedColumnFormula>(AG2/$AG$15)*100</calculatedColumnFormula>
    </tableColumn>
    <tableColumn id="32" name="شاخص هرفیندال هیرشمن (زمان حضور)" totalsRowFunction="sum" dataDxfId="1231" totalsRowDxfId="1230">
      <calculatedColumnFormula>(AL2*AL2)</calculatedColumnFormula>
    </tableColumn>
    <tableColumn id="33" name="نام سایت" dataDxfId="1229" totalsRowDxfId="1228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68" name="Table13669" displayName="Table13669" ref="H1:AN40" totalsRowCount="1" headerRowDxfId="1227" headerRowBorderDxfId="1226" tableBorderDxfId="1225">
  <autoFilter ref="H1:AN39"/>
  <sortState ref="H2:AN39">
    <sortCondition descending="1" ref="AA1:AA3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224" totalsRowDxfId="1223"/>
    <tableColumn id="7" name="استان" dataDxfId="1222" totalsRowDxfId="1221"/>
    <tableColumn id="8" name="Column1" dataDxfId="1220" totalsRowDxfId="1219"/>
    <tableColumn id="9" name="IPG" dataDxfId="1218" totalsRowDxfId="1217"/>
    <tableColumn id="10" name="Column2" dataDxfId="1216" totalsRowDxfId="1215"/>
    <tableColumn id="11" name="Column3" dataDxfId="1214" totalsRowDxfId="1213"/>
    <tableColumn id="12" name="Column4" dataDxfId="1212" totalsRowDxfId="1211"/>
    <tableColumn id="13" name="Column5" dataDxfId="1210" totalsRowDxfId="1209"/>
    <tableColumn id="14" name="Column6" dataDxfId="1208" totalsRowDxfId="1207"/>
    <tableColumn id="15" name="Column7" dataDxfId="1206" totalsRowDxfId="1205"/>
    <tableColumn id="16" name="نام سایت 3" dataDxfId="1204" totalsRowDxfId="1203"/>
    <tableColumn id="17" name="نرخ پرش  " dataDxfId="1202" totalsRowDxfId="1201"/>
    <tableColumn id="18" name="تعداد صفحات مشاهده شده" dataDxfId="1200" totalsRowDxfId="1199"/>
    <tableColumn id="19" name="میزان زمان حضور در سایت" dataDxfId="1198" totalsRowDxfId="1197"/>
    <tableColumn id="20" name="ترافیک کل" totalsRowFunction="sum" dataDxfId="1196" totalsRowDxfId="1195"/>
    <tableColumn id="21" name="رتبه در سیمیلار وب" dataDxfId="1194" totalsRowDxfId="1193"/>
    <tableColumn id="22" name="نام سایت 2" dataDxfId="1192" totalsRowDxfId="1191"/>
    <tableColumn id="23" name="طبقه بندی" dataDxfId="1190" totalsRowDxfId="1189"/>
    <tableColumn id="24" name="بازار" dataDxfId="1188" totalsRowDxfId="1187"/>
    <tableColumn id="25" name="مجموع صفحات  مشاهده شده   " totalsRowFunction="sum" dataDxfId="1186" totalsRowDxfId="1185">
      <calculatedColumnFormula>(AA2*Y2)</calculatedColumnFormula>
    </tableColumn>
    <tableColumn id="26" name="مجموع زمان حضور در سایت " totalsRowFunction="sum" dataDxfId="1184" totalsRowDxfId="1183">
      <calculatedColumnFormula>((((RIGHT(Z2,2))/60)+(LEFT(Z2,2)))*AA2)</calculatedColumnFormula>
    </tableColumn>
    <tableColumn id="27" name="سهم سایت از کل ترافیک طبقه بندی" totalsRowFunction="sum" dataDxfId="1182" totalsRowDxfId="1181">
      <calculatedColumnFormula>(AA2/$AA$40)*100</calculatedColumnFormula>
    </tableColumn>
    <tableColumn id="28" name="شاخص هرفیندال هیرشمن (ترافیک)" totalsRowFunction="sum" dataDxfId="1180" totalsRowDxfId="1179">
      <calculatedColumnFormula>(AH2*AH2)</calculatedColumnFormula>
    </tableColumn>
    <tableColumn id="29" name="سهم سایت از کل صفحات مشاهده شده در طبقه بندی" totalsRowFunction="sum" dataDxfId="1178" totalsRowDxfId="1177">
      <calculatedColumnFormula>(AF2/$AF$40)*100</calculatedColumnFormula>
    </tableColumn>
    <tableColumn id="30" name="شاخص هرفیندال -هیرشمن (صفحات مشاهده شده )" totalsRowFunction="sum" dataDxfId="1176" totalsRowDxfId="1175">
      <calculatedColumnFormula>(AJ2*AJ2)</calculatedColumnFormula>
    </tableColumn>
    <tableColumn id="31" name="سهم سایت از کل زمان حضور در طبقه بندی" totalsRowFunction="sum" dataDxfId="1174" totalsRowDxfId="1173">
      <calculatedColumnFormula>(AG2/$AG$40)*100</calculatedColumnFormula>
    </tableColumn>
    <tableColumn id="32" name="شاخص هرفیندال هیرشمن (زمان حضور)" totalsRowFunction="sum" dataDxfId="1172" totalsRowDxfId="1171">
      <calculatedColumnFormula>(AL2*AL2)</calculatedColumnFormula>
    </tableColumn>
    <tableColumn id="33" name="نام سایت" dataDxfId="1170" totalsRowDxfId="1169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70" name="Table1367071" displayName="Table1367071" ref="H1:AN27" totalsRowCount="1" headerRowDxfId="1168" headerRowBorderDxfId="1167" tableBorderDxfId="1166">
  <autoFilter ref="H1:AN26"/>
  <sortState ref="H2:AN26">
    <sortCondition descending="1" ref="AA1:AA26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165" totalsRowDxfId="1164"/>
    <tableColumn id="7" name="استان" dataDxfId="1163" totalsRowDxfId="1162"/>
    <tableColumn id="8" name="Column1" dataDxfId="1161" totalsRowDxfId="1160"/>
    <tableColumn id="9" name="IPG" dataDxfId="1159" totalsRowDxfId="1158"/>
    <tableColumn id="10" name="Column2" dataDxfId="1157" totalsRowDxfId="1156"/>
    <tableColumn id="11" name="Column3" dataDxfId="1155" totalsRowDxfId="1154"/>
    <tableColumn id="12" name="Column4" dataDxfId="1153" totalsRowDxfId="1152"/>
    <tableColumn id="13" name="Column5" dataDxfId="1151" totalsRowDxfId="1150"/>
    <tableColumn id="14" name="Column6" dataDxfId="1149" totalsRowDxfId="1148"/>
    <tableColumn id="15" name="Column7" dataDxfId="1147" totalsRowDxfId="1146"/>
    <tableColumn id="16" name="نام سایت 3" dataDxfId="1145" totalsRowDxfId="1144"/>
    <tableColumn id="17" name="نرخ پرش  " dataDxfId="1143" totalsRowDxfId="1142"/>
    <tableColumn id="18" name="تعداد صفحات مشاهده شده" dataDxfId="1141" totalsRowDxfId="1140"/>
    <tableColumn id="19" name="میزان زمان حضور در سایت" dataDxfId="1139" totalsRowDxfId="1138"/>
    <tableColumn id="20" name="ترافیک کل" totalsRowFunction="sum" dataDxfId="1137" totalsRowDxfId="1136"/>
    <tableColumn id="21" name="رتبه در سیمیلار وب" dataDxfId="1135" totalsRowDxfId="1134"/>
    <tableColumn id="22" name="نام سایت 2" dataDxfId="1133" totalsRowDxfId="1132"/>
    <tableColumn id="23" name="طبقه بندی" dataDxfId="1131" totalsRowDxfId="1130"/>
    <tableColumn id="24" name="بازار" dataDxfId="1129" totalsRowDxfId="1128"/>
    <tableColumn id="25" name="مجموع صفحات  مشاهده شده   " totalsRowFunction="sum" dataDxfId="1127" totalsRowDxfId="1126">
      <calculatedColumnFormula>(AA2*Y2)</calculatedColumnFormula>
    </tableColumn>
    <tableColumn id="26" name="مجموع زمان حضور در سایت " totalsRowFunction="sum" dataDxfId="1125" totalsRowDxfId="1124">
      <calculatedColumnFormula>((((RIGHT(Z2,2))/60)+(LEFT(Z2,2)))*AA2)</calculatedColumnFormula>
    </tableColumn>
    <tableColumn id="27" name="سهم سایت از کل ترافیک طبقه بندی" totalsRowFunction="sum" dataDxfId="1123" totalsRowDxfId="1122">
      <calculatedColumnFormula>(AA2/$AA$27)*100</calculatedColumnFormula>
    </tableColumn>
    <tableColumn id="28" name="شاخص هرفیندال هیرشمن (ترافیک)" totalsRowFunction="sum" dataDxfId="1121" totalsRowDxfId="1120">
      <calculatedColumnFormula>(AH2*AH2)</calculatedColumnFormula>
    </tableColumn>
    <tableColumn id="29" name="سهم سایت از کل صفحات مشاهده شده در طبقه بندی" totalsRowFunction="sum" dataDxfId="1119" totalsRowDxfId="1118">
      <calculatedColumnFormula>(AF2/$AF$27)*100</calculatedColumnFormula>
    </tableColumn>
    <tableColumn id="30" name="شاخص هرفیندال -هیرشمن (صفحات مشاهده شده )" totalsRowFunction="sum" dataDxfId="1117" totalsRowDxfId="1116">
      <calculatedColumnFormula>(AJ2*AJ2)</calculatedColumnFormula>
    </tableColumn>
    <tableColumn id="31" name="سهم سایت از کل زمان حضور در طبقه بندی" totalsRowFunction="sum" dataDxfId="1115" totalsRowDxfId="1114">
      <calculatedColumnFormula>(AG2/$AG$27)*100</calculatedColumnFormula>
    </tableColumn>
    <tableColumn id="32" name="شاخص هرفیندال هیرشمن (زمان حضور)" totalsRowFunction="sum" dataDxfId="1113" totalsRowDxfId="1112">
      <calculatedColumnFormula>(AL2*AL2)</calculatedColumnFormula>
    </tableColumn>
    <tableColumn id="33" name="نام سایت" dataDxfId="1111" totalsRowDxfId="1110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80" name="Table13682" displayName="Table13682" ref="H1:AN31" totalsRowCount="1" headerRowDxfId="1109" headerRowBorderDxfId="1108" tableBorderDxfId="1107">
  <autoFilter ref="H1:AN30"/>
  <sortState ref="H2:AN30">
    <sortCondition descending="1" ref="AA1:AA30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106" totalsRowDxfId="1105"/>
    <tableColumn id="7" name="استان" dataDxfId="1104" totalsRowDxfId="1103"/>
    <tableColumn id="8" name="Column1" dataDxfId="1102" totalsRowDxfId="1101"/>
    <tableColumn id="9" name="IPG" dataDxfId="1100" totalsRowDxfId="1099"/>
    <tableColumn id="10" name="Column2" dataDxfId="1098" totalsRowDxfId="1097"/>
    <tableColumn id="11" name="Column3" dataDxfId="1096" totalsRowDxfId="1095"/>
    <tableColumn id="12" name="Column4" dataDxfId="1094" totalsRowDxfId="1093"/>
    <tableColumn id="13" name="Column5" dataDxfId="1092" totalsRowDxfId="1091"/>
    <tableColumn id="14" name="Column6" dataDxfId="1090" totalsRowDxfId="1089"/>
    <tableColumn id="15" name="Column7" dataDxfId="1088" totalsRowDxfId="1087"/>
    <tableColumn id="16" name="نام سایت 3" dataDxfId="1086" totalsRowDxfId="1085"/>
    <tableColumn id="17" name="نرخ پرش  " dataDxfId="1084" totalsRowDxfId="1083"/>
    <tableColumn id="18" name="تعداد صفحات مشاهده شده" dataDxfId="1082" totalsRowDxfId="1081"/>
    <tableColumn id="19" name="میزان زمان حضور در سایت" dataDxfId="1080" totalsRowDxfId="1079"/>
    <tableColumn id="20" name="ترافیک کل" totalsRowFunction="sum" dataDxfId="1078" totalsRowDxfId="1077"/>
    <tableColumn id="21" name="رتبه در سیمیلار وب" dataDxfId="1076" totalsRowDxfId="1075"/>
    <tableColumn id="22" name="نام سایت 2" dataDxfId="1074" totalsRowDxfId="1073"/>
    <tableColumn id="23" name="طبقه بندی" dataDxfId="1072" totalsRowDxfId="1071"/>
    <tableColumn id="24" name="بازار" dataDxfId="1070" totalsRowDxfId="1069"/>
    <tableColumn id="25" name="مجموع صفحات  مشاهده شده   " totalsRowFunction="sum" dataDxfId="1068" totalsRowDxfId="1067">
      <calculatedColumnFormula>(AA2*Y2)</calculatedColumnFormula>
    </tableColumn>
    <tableColumn id="26" name="مجموع زمان حضور در سایت " totalsRowFunction="sum" dataDxfId="1066" totalsRowDxfId="1065">
      <calculatedColumnFormula>((((RIGHT(Z2,2))/60)+(LEFT(Z2,2)))*AA2)</calculatedColumnFormula>
    </tableColumn>
    <tableColumn id="27" name="سهم سایت از کل ترافیک طبقه بندی" totalsRowFunction="sum" dataDxfId="1064" totalsRowDxfId="1063">
      <calculatedColumnFormula>(AA2/$AA$31)*100</calculatedColumnFormula>
    </tableColumn>
    <tableColumn id="28" name="شاخص هرفیندال هیرشمن (ترافیک)" totalsRowFunction="sum" dataDxfId="1062" totalsRowDxfId="1061">
      <calculatedColumnFormula>(AH2*AH2)</calculatedColumnFormula>
    </tableColumn>
    <tableColumn id="29" name="سهم سایت از کل صفحات مشاهده شده در طبقه بندی" totalsRowFunction="sum" dataDxfId="1060" totalsRowDxfId="1059">
      <calculatedColumnFormula>(AF2/$AF$31)*100</calculatedColumnFormula>
    </tableColumn>
    <tableColumn id="30" name="شاخص هرفیندال -هیرشمن (صفحات مشاهده شده )" totalsRowFunction="sum" dataDxfId="1058" totalsRowDxfId="1057">
      <calculatedColumnFormula>(AJ2*AJ2)</calculatedColumnFormula>
    </tableColumn>
    <tableColumn id="31" name="سهم سایت از کل زمان حضور در طبقه بندی" totalsRowFunction="sum" dataDxfId="1056" totalsRowDxfId="1055">
      <calculatedColumnFormula>(AG2/$AG$31)*100</calculatedColumnFormula>
    </tableColumn>
    <tableColumn id="32" name="شاخص هرفیندال هیرشمن (زمان حضور)" totalsRowFunction="sum" dataDxfId="1054" totalsRowDxfId="1053">
      <calculatedColumnFormula>(AL2*AL2)</calculatedColumnFormula>
    </tableColumn>
    <tableColumn id="33" name="نام سایت" dataDxfId="1052" totalsRowDxfId="1051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69" name="Table13670" displayName="Table13670" ref="H1:AN27" totalsRowCount="1" headerRowDxfId="1050" headerRowBorderDxfId="1049" tableBorderDxfId="1048">
  <autoFilter ref="H1:AN26"/>
  <sortState ref="H2:AN26">
    <sortCondition descending="1" ref="AA1:AA26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1047" totalsRowDxfId="1046"/>
    <tableColumn id="7" name="استان" dataDxfId="1045" totalsRowDxfId="1044"/>
    <tableColumn id="8" name="Column1" dataDxfId="1043" totalsRowDxfId="1042"/>
    <tableColumn id="9" name="IPG" dataDxfId="1041" totalsRowDxfId="1040"/>
    <tableColumn id="10" name="Column2" dataDxfId="1039" totalsRowDxfId="1038"/>
    <tableColumn id="11" name="Column3" dataDxfId="1037" totalsRowDxfId="1036"/>
    <tableColumn id="12" name="Column4" dataDxfId="1035" totalsRowDxfId="1034"/>
    <tableColumn id="13" name="Column5" dataDxfId="1033" totalsRowDxfId="1032"/>
    <tableColumn id="14" name="Column6" dataDxfId="1031" totalsRowDxfId="1030"/>
    <tableColumn id="15" name="Column7" dataDxfId="1029" totalsRowDxfId="1028"/>
    <tableColumn id="16" name="نام سایت 3" dataDxfId="1027" totalsRowDxfId="1026"/>
    <tableColumn id="17" name="نرخ پرش  " dataDxfId="1025" totalsRowDxfId="1024"/>
    <tableColumn id="18" name="تعداد صفحات مشاهده شده" dataDxfId="1023" totalsRowDxfId="1022"/>
    <tableColumn id="19" name="میزان زمان حضور در سایت" dataDxfId="1021" totalsRowDxfId="1020"/>
    <tableColumn id="20" name="ترافیک کل" totalsRowFunction="sum" dataDxfId="1019" totalsRowDxfId="1018"/>
    <tableColumn id="21" name="رتبه در سیمیلار وب" dataDxfId="1017" totalsRowDxfId="1016"/>
    <tableColumn id="22" name="نام سایت 2" dataDxfId="1015" totalsRowDxfId="1014"/>
    <tableColumn id="23" name="طبقه بندی" dataDxfId="1013" totalsRowDxfId="1012"/>
    <tableColumn id="24" name="بازار" dataDxfId="1011" totalsRowDxfId="1010"/>
    <tableColumn id="25" name="مجموع صفحات  مشاهده شده   " totalsRowFunction="sum" dataDxfId="1009" totalsRowDxfId="1008">
      <calculatedColumnFormula>(AA2*Y2)</calculatedColumnFormula>
    </tableColumn>
    <tableColumn id="26" name="مجموع زمان حضور در سایت " totalsRowFunction="sum" dataDxfId="1007" totalsRowDxfId="1006">
      <calculatedColumnFormula>((((RIGHT(Z2,2))/60)+(LEFT(Z2,2)))*AA2)</calculatedColumnFormula>
    </tableColumn>
    <tableColumn id="27" name="سهم سایت از کل ترافیک طبقه بندی" totalsRowFunction="sum" dataDxfId="1005" totalsRowDxfId="1004">
      <calculatedColumnFormula>(AA2/$AA$27)*100</calculatedColumnFormula>
    </tableColumn>
    <tableColumn id="28" name="شاخص هرفیندال هیرشمن (ترافیک)" totalsRowFunction="sum" dataDxfId="1003" totalsRowDxfId="1002">
      <calculatedColumnFormula>(AH2*AH2)</calculatedColumnFormula>
    </tableColumn>
    <tableColumn id="29" name="سهم سایت از کل صفحات مشاهده شده در طبقه بندی" totalsRowFunction="sum" dataDxfId="1001" totalsRowDxfId="1000">
      <calculatedColumnFormula>(AF2/$AF$27)*100</calculatedColumnFormula>
    </tableColumn>
    <tableColumn id="30" name="شاخص هرفیندال -هیرشمن (صفحات مشاهده شده )" totalsRowFunction="sum" dataDxfId="999" totalsRowDxfId="998">
      <calculatedColumnFormula>(AJ2*AJ2)</calculatedColumnFormula>
    </tableColumn>
    <tableColumn id="31" name="سهم سایت از کل زمان حضور در طبقه بندی" totalsRowFunction="sum" dataDxfId="997" totalsRowDxfId="996">
      <calculatedColumnFormula>(AG2/$AG$27)*100</calculatedColumnFormula>
    </tableColumn>
    <tableColumn id="32" name="شاخص هرفیندال هیرشمن (زمان حضور)" totalsRowFunction="sum" dataDxfId="995" totalsRowDxfId="994">
      <calculatedColumnFormula>(AL2*AL2)</calculatedColumnFormula>
    </tableColumn>
    <tableColumn id="33" name="نام سایت" dataDxfId="993" totalsRowDxfId="992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111" name="Table1361042111112" displayName="Table1361042111112" ref="H1:AN15" totalsRowCount="1" headerRowDxfId="991" headerRowBorderDxfId="990" tableBorderDxfId="989">
  <autoFilter ref="H1:AN14"/>
  <sortState ref="H2:AN14">
    <sortCondition descending="1" ref="AA1:AA14"/>
  </sortState>
  <tableColumns count="33">
    <tableColumn id="1" name="5" dataDxfId="988" totalsRowDxfId="987"/>
    <tableColumn id="2" name="4" dataDxfId="986" totalsRowDxfId="985"/>
    <tableColumn id="3" name="3" dataDxfId="984" totalsRowDxfId="983"/>
    <tableColumn id="4" name="2" dataDxfId="982" totalsRowDxfId="981"/>
    <tableColumn id="5" name="1" dataDxfId="980" totalsRowDxfId="979"/>
    <tableColumn id="6" name="نام سایت " dataDxfId="978" totalsRowDxfId="977"/>
    <tableColumn id="7" name="استان" dataDxfId="976" totalsRowDxfId="975"/>
    <tableColumn id="8" name="Column1" dataDxfId="974" totalsRowDxfId="973"/>
    <tableColumn id="9" name="IPG" dataDxfId="972" totalsRowDxfId="971"/>
    <tableColumn id="10" name="Column2" dataDxfId="970" totalsRowDxfId="969"/>
    <tableColumn id="11" name="Column3" dataDxfId="968" totalsRowDxfId="967"/>
    <tableColumn id="12" name="Column4" dataDxfId="966" totalsRowDxfId="965"/>
    <tableColumn id="13" name="Column5" dataDxfId="964" totalsRowDxfId="963"/>
    <tableColumn id="14" name="Column6" dataDxfId="962" totalsRowDxfId="961"/>
    <tableColumn id="15" name="Column7" dataDxfId="960" totalsRowDxfId="959"/>
    <tableColumn id="16" name="نام سایت 3" dataDxfId="958" totalsRowDxfId="957"/>
    <tableColumn id="17" name="نرخ پرش  " dataDxfId="956" totalsRowDxfId="955"/>
    <tableColumn id="18" name="تعداد صفحات مشاهده شده" dataDxfId="954" totalsRowDxfId="953"/>
    <tableColumn id="19" name="میزان زمان حضور در سایت" dataDxfId="952" totalsRowDxfId="951"/>
    <tableColumn id="20" name="ترافیک کل" totalsRowFunction="sum" dataDxfId="950" totalsRowDxfId="949"/>
    <tableColumn id="21" name="رتبه در سیمیلار وب" dataDxfId="948" totalsRowDxfId="947"/>
    <tableColumn id="22" name="نام سایت 2" dataDxfId="946" totalsRowDxfId="945"/>
    <tableColumn id="23" name="طبقه بندی" dataDxfId="944" totalsRowDxfId="943"/>
    <tableColumn id="24" name="بازار" dataDxfId="942" totalsRowDxfId="941"/>
    <tableColumn id="25" name="مجموع صفحات  مشاهده شده   " totalsRowFunction="sum" dataDxfId="940" totalsRowDxfId="939">
      <calculatedColumnFormula>(AA2*Y2)</calculatedColumnFormula>
    </tableColumn>
    <tableColumn id="26" name="مجموع زمان حضور در سایت " totalsRowFunction="sum" dataDxfId="938" totalsRowDxfId="937">
      <calculatedColumnFormula>((((RIGHT(Z2,2))/60)+(LEFT(Z2,2)))*AA2)</calculatedColumnFormula>
    </tableColumn>
    <tableColumn id="27" name="سهم سایت از کل ترافیک طبقه بندی" totalsRowFunction="sum" dataDxfId="936" totalsRowDxfId="935">
      <calculatedColumnFormula>(AA2/$AA$15)*100</calculatedColumnFormula>
    </tableColumn>
    <tableColumn id="28" name="شاخص هرفیندال هیرشمن (ترافیک)" totalsRowFunction="sum" dataDxfId="934" totalsRowDxfId="933">
      <calculatedColumnFormula>(AH2*AH2)</calculatedColumnFormula>
    </tableColumn>
    <tableColumn id="29" name="سهم سایت از کل صفحات مشاهده شده در طبقه بندی" totalsRowFunction="sum" dataDxfId="932" totalsRowDxfId="931">
      <calculatedColumnFormula>(AF2/$AF$15)*100</calculatedColumnFormula>
    </tableColumn>
    <tableColumn id="30" name="شاخص هرفیندال -هیرشمن (صفحات مشاهده شده )" totalsRowFunction="sum" dataDxfId="930" totalsRowDxfId="929">
      <calculatedColumnFormula>(AJ2*AJ2)</calculatedColumnFormula>
    </tableColumn>
    <tableColumn id="31" name="سهم سایت از کل زمان حضور در طبقه بندی" totalsRowFunction="sum" dataDxfId="928" totalsRowDxfId="927">
      <calculatedColumnFormula>(AG2/$AG$15)*100</calculatedColumnFormula>
    </tableColumn>
    <tableColumn id="32" name="شاخص هرفیندال هیرشمن (زمان حضور)" totalsRowFunction="sum" dataDxfId="926" totalsRowDxfId="925">
      <calculatedColumnFormula>(AL2*AL2)</calculatedColumnFormula>
    </tableColumn>
    <tableColumn id="33" name="نام سایت" dataDxfId="924" totalsRowDxfId="923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72" name="Table13673" displayName="Table13673" ref="H1:AN84" totalsRowCount="1" headerRowDxfId="922" headerRowBorderDxfId="921" tableBorderDxfId="920">
  <autoFilter ref="H1:AN83"/>
  <sortState ref="H2:AN81">
    <sortCondition descending="1" ref="AA1:AA81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919" totalsRowDxfId="918"/>
    <tableColumn id="7" name="استان" dataDxfId="917" totalsRowDxfId="916"/>
    <tableColumn id="8" name="Column1" dataDxfId="915" totalsRowDxfId="914"/>
    <tableColumn id="9" name="IPG" dataDxfId="913" totalsRowDxfId="912"/>
    <tableColumn id="10" name="Column2" dataDxfId="911" totalsRowDxfId="910"/>
    <tableColumn id="11" name="Column3" dataDxfId="909" totalsRowDxfId="908"/>
    <tableColumn id="12" name="Column4" dataDxfId="907" totalsRowDxfId="906"/>
    <tableColumn id="13" name="Column5" dataDxfId="905" totalsRowDxfId="904"/>
    <tableColumn id="14" name="Column6" dataDxfId="903" totalsRowDxfId="902"/>
    <tableColumn id="15" name="Column7" dataDxfId="901" totalsRowDxfId="900"/>
    <tableColumn id="16" name="نام سایت 3" dataDxfId="899" totalsRowDxfId="898"/>
    <tableColumn id="17" name="نرخ پرش  " dataDxfId="897" totalsRowDxfId="896"/>
    <tableColumn id="18" name="تعداد صفحات مشاهده شده" dataDxfId="895" totalsRowDxfId="894"/>
    <tableColumn id="19" name="میزان زمان حضور در سایت" dataDxfId="893" totalsRowDxfId="892"/>
    <tableColumn id="20" name="ترافیک کل" totalsRowFunction="sum" dataDxfId="891" totalsRowDxfId="890"/>
    <tableColumn id="21" name="رتبه در سیمیلار وب" dataDxfId="889" totalsRowDxfId="888"/>
    <tableColumn id="22" name="نام سایت 2" dataDxfId="887" totalsRowDxfId="886"/>
    <tableColumn id="23" name="طبقه بندی" dataDxfId="885" totalsRowDxfId="884"/>
    <tableColumn id="24" name="بازار" dataDxfId="883" totalsRowDxfId="882"/>
    <tableColumn id="25" name="مجموع صفحات  مشاهده شده   " totalsRowFunction="sum" dataDxfId="881" totalsRowDxfId="880">
      <calculatedColumnFormula>(AA2*Y2)</calculatedColumnFormula>
    </tableColumn>
    <tableColumn id="26" name="مجموع زمان حضور در سایت " totalsRowFunction="sum" dataDxfId="879" totalsRowDxfId="878">
      <calculatedColumnFormula>((((RIGHT(Z2,2))/60)+(LEFT(Z2,2)))*AA2)</calculatedColumnFormula>
    </tableColumn>
    <tableColumn id="27" name="سهم سایت از کل ترافیک طبقه بندی"/>
    <tableColumn id="28" name="شاخص هرفیندال هیرشمن (ترافیک)"/>
    <tableColumn id="29" name="سهم سایت از کل صفحات مشاهده شده در طبقه بندی"/>
    <tableColumn id="30" name="شاخص هرفیندال -هیرشمن (صفحات مشاهده شده )"/>
    <tableColumn id="31" name="سهم سایت از کل زمان حضور در طبقه بندی"/>
    <tableColumn id="32" name="شاخص هرفیندال هیرشمن (زمان حضور)"/>
    <tableColumn id="33" name="نام سایت" dataDxfId="877" totalsRowDxfId="876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55" name="Table13656" displayName="Table13656" ref="H1:AN35" totalsRowCount="1" headerRowDxfId="875" headerRowBorderDxfId="874" tableBorderDxfId="873">
  <autoFilter ref="H1:AN34"/>
  <sortState ref="H2:AN34">
    <sortCondition descending="1" ref="AA1:AA34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872" totalsRowDxfId="871"/>
    <tableColumn id="7" name="استان" dataDxfId="870" totalsRowDxfId="869"/>
    <tableColumn id="8" name="Column1" dataDxfId="868" totalsRowDxfId="867"/>
    <tableColumn id="9" name="IPG" dataDxfId="866" totalsRowDxfId="865"/>
    <tableColumn id="10" name="Column2" dataDxfId="864" totalsRowDxfId="863"/>
    <tableColumn id="11" name="Column3" dataDxfId="862" totalsRowDxfId="861"/>
    <tableColumn id="12" name="Column4" dataDxfId="860" totalsRowDxfId="859"/>
    <tableColumn id="13" name="Column5" dataDxfId="858" totalsRowDxfId="857"/>
    <tableColumn id="14" name="Column6" dataDxfId="856" totalsRowDxfId="855"/>
    <tableColumn id="15" name="Column7" dataDxfId="854" totalsRowDxfId="853"/>
    <tableColumn id="16" name="نام سایت 3" dataDxfId="852" totalsRowDxfId="851"/>
    <tableColumn id="17" name="نرخ پرش  " dataDxfId="850" totalsRowDxfId="849"/>
    <tableColumn id="18" name="تعداد صفحات مشاهده شده" dataDxfId="848" totalsRowDxfId="847"/>
    <tableColumn id="19" name="میزان زمان حضور در سایت" dataDxfId="846" totalsRowDxfId="845"/>
    <tableColumn id="20" name="ترافیک کل" totalsRowFunction="sum" dataDxfId="844" totalsRowDxfId="843"/>
    <tableColumn id="21" name="رتبه در سیمیلار وب" dataDxfId="842" totalsRowDxfId="841"/>
    <tableColumn id="22" name="نام سایت 2" dataDxfId="840" totalsRowDxfId="839"/>
    <tableColumn id="23" name="طبقه بندی" dataDxfId="838" totalsRowDxfId="837"/>
    <tableColumn id="24" name="بازار" dataDxfId="836" totalsRowDxfId="835"/>
    <tableColumn id="25" name="مجموع صفحات  مشاهده شده   " totalsRowFunction="sum" dataDxfId="834" totalsRowDxfId="833">
      <calculatedColumnFormula>(AA2*Y2)</calculatedColumnFormula>
    </tableColumn>
    <tableColumn id="26" name="مجموع زمان حضور در سایت " totalsRowFunction="sum" dataDxfId="832" totalsRowDxfId="831">
      <calculatedColumnFormula>((((RIGHT(Z2,2))/60)+(LEFT(Z2,2)))*AA2)</calculatedColumnFormula>
    </tableColumn>
    <tableColumn id="27" name="سهم سایت از کل ترافیک طبقه بندی" totalsRowFunction="sum" dataDxfId="830" totalsRowDxfId="829">
      <calculatedColumnFormula>(AA2/$AA$35)*100</calculatedColumnFormula>
    </tableColumn>
    <tableColumn id="28" name="شاخص هرفیندال هیرشمن (ترافیک)" totalsRowFunction="sum" dataDxfId="828" totalsRowDxfId="827">
      <calculatedColumnFormula>(AH2*AH2)</calculatedColumnFormula>
    </tableColumn>
    <tableColumn id="29" name="سهم سایت از کل صفحات مشاهده شده در طبقه بندی" totalsRowFunction="sum" dataDxfId="826" totalsRowDxfId="825">
      <calculatedColumnFormula>(AF2/$AF$35)*100</calculatedColumnFormula>
    </tableColumn>
    <tableColumn id="30" name="شاخص هرفیندال -هیرشمن (صفحات مشاهده شده )" totalsRowFunction="sum" dataDxfId="824" totalsRowDxfId="823">
      <calculatedColumnFormula>(AJ2*AJ2)</calculatedColumnFormula>
    </tableColumn>
    <tableColumn id="31" name="سهم سایت از کل زمان حضور در طبقه بندی" totalsRowFunction="sum" dataDxfId="822" totalsRowDxfId="821">
      <calculatedColumnFormula>(AG2/10906.69)*100</calculatedColumnFormula>
    </tableColumn>
    <tableColumn id="32" name="شاخص هرفیندال هیرشمن (زمان حضور)" totalsRowFunction="sum" dataDxfId="820" totalsRowDxfId="819">
      <calculatedColumnFormula>(AL2*AL2)</calculatedColumnFormula>
    </tableColumn>
    <tableColumn id="33" name="نام سایت" dataDxfId="818" totalsRowDxfId="817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53" name="Table13654" displayName="Table13654" ref="H1:AN15" totalsRowCount="1" headerRowDxfId="816" headerRowBorderDxfId="815" tableBorderDxfId="814">
  <autoFilter ref="H1:AN14"/>
  <sortState ref="H2:AN14">
    <sortCondition descending="1" ref="AA1:AA14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813" totalsRowDxfId="812"/>
    <tableColumn id="7" name="استان" dataDxfId="811" totalsRowDxfId="810"/>
    <tableColumn id="8" name="Column1" dataDxfId="809" totalsRowDxfId="808"/>
    <tableColumn id="9" name="IPG" dataDxfId="807" totalsRowDxfId="806"/>
    <tableColumn id="10" name="Column2" dataDxfId="805" totalsRowDxfId="804"/>
    <tableColumn id="11" name="Column3" dataDxfId="803" totalsRowDxfId="802"/>
    <tableColumn id="12" name="Column4" dataDxfId="801" totalsRowDxfId="800"/>
    <tableColumn id="13" name="Column5" dataDxfId="799" totalsRowDxfId="798"/>
    <tableColumn id="14" name="Column6" dataDxfId="797" totalsRowDxfId="796"/>
    <tableColumn id="15" name="Column7" dataDxfId="795" totalsRowDxfId="794"/>
    <tableColumn id="16" name="نام سایت 3" dataDxfId="793" totalsRowDxfId="792"/>
    <tableColumn id="17" name="نرخ پرش  " dataDxfId="791" totalsRowDxfId="790"/>
    <tableColumn id="18" name="تعداد صفحات مشاهده شده" dataDxfId="789" totalsRowDxfId="788"/>
    <tableColumn id="19" name="میزان زمان حضور در سایت" dataDxfId="787" totalsRowDxfId="786"/>
    <tableColumn id="20" name="ترافیک کل" totalsRowFunction="sum" dataDxfId="785" totalsRowDxfId="784"/>
    <tableColumn id="21" name="رتبه در سیمیلار وب" dataDxfId="783" totalsRowDxfId="782"/>
    <tableColumn id="22" name="نام سایت 2" dataDxfId="781" totalsRowDxfId="780"/>
    <tableColumn id="23" name="طبقه بندی" dataDxfId="779" totalsRowDxfId="778"/>
    <tableColumn id="24" name="بازار" dataDxfId="777" totalsRowDxfId="776"/>
    <tableColumn id="25" name="مجموع صفحات  مشاهده شده   " totalsRowFunction="sum" dataDxfId="775" totalsRowDxfId="774">
      <calculatedColumnFormula>(AA2*Y2)</calculatedColumnFormula>
    </tableColumn>
    <tableColumn id="26" name="مجموع زمان حضور در سایت " totalsRowFunction="sum" dataDxfId="773" totalsRowDxfId="772">
      <calculatedColumnFormula>((((RIGHT(Z2,2))/60)+(LEFT(Z2,2)))*AA2)</calculatedColumnFormula>
    </tableColumn>
    <tableColumn id="27" name="سهم سایت از کل ترافیک طبقه بندی" totalsRowFunction="sum" dataDxfId="771" totalsRowDxfId="770">
      <calculatedColumnFormula>(AA2/$AA$15)*100</calculatedColumnFormula>
    </tableColumn>
    <tableColumn id="28" name="شاخص هرفیندال هیرشمن (ترافیک)" totalsRowFunction="sum" dataDxfId="769" totalsRowDxfId="768">
      <calculatedColumnFormula>(AH2*AH2)</calculatedColumnFormula>
    </tableColumn>
    <tableColumn id="29" name="سهم سایت از کل صفحات مشاهده شده در طبقه بندی" totalsRowFunction="sum" dataDxfId="767" totalsRowDxfId="766">
      <calculatedColumnFormula>(AF2/$AF$15)*100</calculatedColumnFormula>
    </tableColumn>
    <tableColumn id="30" name="شاخص هرفیندال -هیرشمن (صفحات مشاهده شده )" totalsRowFunction="sum" dataDxfId="765" totalsRowDxfId="764">
      <calculatedColumnFormula>(AJ2*AJ2)</calculatedColumnFormula>
    </tableColumn>
    <tableColumn id="31" name="سهم سایت از کل زمان حضور در طبقه بندی" totalsRowFunction="sum" dataDxfId="763" totalsRowDxfId="762">
      <calculatedColumnFormula>(AG2/$AG$15)*100</calculatedColumnFormula>
    </tableColumn>
    <tableColumn id="32" name="شاخص هرفیندال هیرشمن (زمان حضور)" totalsRowFunction="sum" dataDxfId="761" totalsRowDxfId="760">
      <calculatedColumnFormula>(AL2*AL2)</calculatedColumnFormula>
    </tableColumn>
    <tableColumn id="33" name="نام سایت" dataDxfId="759" totalsRowDxfId="758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id="54" name="Table13655" displayName="Table13655" ref="H1:AN45" totalsRowCount="1" headerRowDxfId="757" headerRowBorderDxfId="756" tableBorderDxfId="755">
  <autoFilter ref="H1:AN44"/>
  <sortState ref="H2:AN44">
    <sortCondition descending="1" ref="AA1:AA44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754" totalsRowDxfId="753"/>
    <tableColumn id="7" name="استان" dataDxfId="752" totalsRowDxfId="751"/>
    <tableColumn id="8" name="Column1" dataDxfId="750" totalsRowDxfId="749"/>
    <tableColumn id="9" name="IPG" dataDxfId="748" totalsRowDxfId="747"/>
    <tableColumn id="10" name="Column2" dataDxfId="746" totalsRowDxfId="745"/>
    <tableColumn id="11" name="Column3" dataDxfId="744" totalsRowDxfId="743"/>
    <tableColumn id="12" name="Column4" dataDxfId="742" totalsRowDxfId="741"/>
    <tableColumn id="13" name="Column5" dataDxfId="740" totalsRowDxfId="739"/>
    <tableColumn id="14" name="Column6" dataDxfId="738" totalsRowDxfId="737"/>
    <tableColumn id="15" name="Column7" dataDxfId="736" totalsRowDxfId="735"/>
    <tableColumn id="16" name="نام سایت 3" dataDxfId="734" totalsRowDxfId="733"/>
    <tableColumn id="17" name="نرخ پرش  " dataDxfId="732" totalsRowDxfId="731"/>
    <tableColumn id="18" name="تعداد صفحات مشاهده شده" dataDxfId="730" totalsRowDxfId="729"/>
    <tableColumn id="19" name="میزان زمان حضور در سایت" dataDxfId="728" totalsRowDxfId="727"/>
    <tableColumn id="20" name="ترافیک کل" totalsRowFunction="sum" dataDxfId="726" totalsRowDxfId="725"/>
    <tableColumn id="21" name="رتبه در سیمیلار وب" dataDxfId="724" totalsRowDxfId="723"/>
    <tableColumn id="22" name="نام سایت 2" dataDxfId="722" totalsRowDxfId="721"/>
    <tableColumn id="23" name="طبقه بندی" dataDxfId="720" totalsRowDxfId="719"/>
    <tableColumn id="24" name="بازار" dataDxfId="718" totalsRowDxfId="717"/>
    <tableColumn id="25" name="مجموع صفحات  مشاهده شده   " totalsRowFunction="sum" dataDxfId="716" totalsRowDxfId="715">
      <calculatedColumnFormula>(AA2*Y2)</calculatedColumnFormula>
    </tableColumn>
    <tableColumn id="26" name="مجموع زمان حضور در سایت " totalsRowFunction="sum" dataDxfId="714" totalsRowDxfId="713">
      <calculatedColumnFormula>((((RIGHT(Z2,2))/60)+(LEFT(Z2,2)))*AA2)</calculatedColumnFormula>
    </tableColumn>
    <tableColumn id="27" name="سهم سایت از کل ترافیک طبقه بندی" totalsRowFunction="sum" dataDxfId="712" totalsRowDxfId="711">
      <calculatedColumnFormula>(AA2/$AA$45)*100</calculatedColumnFormula>
    </tableColumn>
    <tableColumn id="28" name="شاخص هرفیندال هیرشمن (ترافیک)" totalsRowFunction="sum" dataDxfId="710" totalsRowDxfId="709">
      <calculatedColumnFormula>(AH2*AH2)</calculatedColumnFormula>
    </tableColumn>
    <tableColumn id="29" name="سهم سایت از کل صفحات مشاهده شده در طبقه بندی" totalsRowFunction="sum" dataDxfId="708" totalsRowDxfId="707">
      <calculatedColumnFormula>(AF2/$AF$45)*100</calculatedColumnFormula>
    </tableColumn>
    <tableColumn id="30" name="شاخص هرفیندال -هیرشمن (صفحات مشاهده شده )" totalsRowFunction="sum" dataDxfId="706" totalsRowDxfId="705">
      <calculatedColumnFormula>(AJ2*AJ2)</calculatedColumnFormula>
    </tableColumn>
    <tableColumn id="31" name="سهم سایت از کل زمان حضور در طبقه بندی" totalsRowFunction="sum" dataDxfId="704" totalsRowDxfId="703">
      <calculatedColumnFormula>(AG2/$AG$45)*100</calculatedColumnFormula>
    </tableColumn>
    <tableColumn id="32" name="شاخص هرفیندال هیرشمن (زمان حضور)" totalsRowFunction="sum" dataDxfId="702" totalsRowDxfId="701">
      <calculatedColumnFormula>(AL2*AL2)</calculatedColumnFormula>
    </tableColumn>
    <tableColumn id="33" name="نام سایت" dataDxfId="700" totalsRowDxfId="699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id="38" name="Table136323436373839" displayName="Table136323436373839" ref="H1:AN25" totalsRowCount="1" headerRowDxfId="698" headerRowBorderDxfId="697" tableBorderDxfId="696">
  <autoFilter ref="H1:AN24"/>
  <sortState ref="H2:AN24">
    <sortCondition descending="1" ref="AA1:AA24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95" totalsRowDxfId="694"/>
    <tableColumn id="7" name="استان" dataDxfId="693" totalsRowDxfId="692"/>
    <tableColumn id="8" name="Column1" dataDxfId="691" totalsRowDxfId="690"/>
    <tableColumn id="9" name="IPG" dataDxfId="689" totalsRowDxfId="688"/>
    <tableColumn id="10" name="Column2" dataDxfId="687" totalsRowDxfId="686"/>
    <tableColumn id="11" name="Column3" dataDxfId="685" totalsRowDxfId="684"/>
    <tableColumn id="12" name="Column4" dataDxfId="683" totalsRowDxfId="682"/>
    <tableColumn id="13" name="Column5" dataDxfId="681" totalsRowDxfId="680"/>
    <tableColumn id="14" name="Column6" dataDxfId="679" totalsRowDxfId="678"/>
    <tableColumn id="15" name="Column7" dataDxfId="677" totalsRowDxfId="676"/>
    <tableColumn id="16" name="نام سایت 3" dataDxfId="675" totalsRowDxfId="674"/>
    <tableColumn id="17" name="نرخ پرش  " dataDxfId="673" totalsRowDxfId="672"/>
    <tableColumn id="18" name="تعداد صفحات مشاهده شده" dataDxfId="671" totalsRowDxfId="670"/>
    <tableColumn id="19" name="میزان زمان حضور در سایت" dataDxfId="669" totalsRowDxfId="668"/>
    <tableColumn id="20" name="ترافیک کل" totalsRowFunction="sum" dataDxfId="667" totalsRowDxfId="666"/>
    <tableColumn id="21" name="رتبه در سیمیلار وب" dataDxfId="665" totalsRowDxfId="664"/>
    <tableColumn id="22" name="نام سایت 2" dataDxfId="663" totalsRowDxfId="662"/>
    <tableColumn id="23" name="طبقه بندی" dataDxfId="661" totalsRowDxfId="660"/>
    <tableColumn id="24" name="بازار" dataDxfId="659" totalsRowDxfId="658"/>
    <tableColumn id="25" name="مجموع صفحات  مشاهده شده   " totalsRowFunction="sum" dataDxfId="657" totalsRowDxfId="656">
      <calculatedColumnFormula>(AA2*Y2)</calculatedColumnFormula>
    </tableColumn>
    <tableColumn id="26" name="مجموع زمان حضور در سایت " totalsRowFunction="sum" dataDxfId="655" totalsRowDxfId="654">
      <calculatedColumnFormula>((((RIGHT(Z2,2))/60)+(LEFT(Z2,2)))*AA2)</calculatedColumnFormula>
    </tableColumn>
    <tableColumn id="27" name="سهم سایت از کل ترافیک طبقه بندی" totalsRowFunction="sum" dataDxfId="653" totalsRowDxfId="652">
      <calculatedColumnFormula>(AA2/$AA$25)*100</calculatedColumnFormula>
    </tableColumn>
    <tableColumn id="28" name="شاخص هرفیندال هیرشمن (ترافیک)" totalsRowFunction="sum" dataDxfId="651" totalsRowDxfId="650">
      <calculatedColumnFormula>(AH2*AH2)</calculatedColumnFormula>
    </tableColumn>
    <tableColumn id="29" name="سهم سایت از کل صفحات مشاهده شده در طبقه بندی" totalsRowFunction="sum" dataDxfId="649" totalsRowDxfId="648">
      <calculatedColumnFormula>(AF2/$AF$25)*100</calculatedColumnFormula>
    </tableColumn>
    <tableColumn id="30" name="شاخص هرفیندال -هیرشمن (صفحات مشاهده شده )" totalsRowFunction="sum" dataDxfId="647" totalsRowDxfId="646">
      <calculatedColumnFormula>(AJ2*AJ2)</calculatedColumnFormula>
    </tableColumn>
    <tableColumn id="31" name="سهم سایت از کل زمان حضور در طبقه بندی" totalsRowFunction="sum" dataDxfId="645" totalsRowDxfId="644">
      <calculatedColumnFormula>(AG2/$AG$25)*100</calculatedColumnFormula>
    </tableColumn>
    <tableColumn id="32" name="شاخص هرفیندال هیرشمن (زمان حضور)" totalsRowFunction="sum" dataDxfId="643" totalsRowDxfId="642">
      <calculatedColumnFormula>(AL2*AL2)</calculatedColumnFormula>
    </tableColumn>
    <tableColumn id="33" name="نام سایت" dataDxfId="641" totalsRowDxfId="640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id="25" name="Table13626" displayName="Table13626" ref="H1:AN50" totalsRowCount="1" headerRowDxfId="639" headerRowBorderDxfId="638" tableBorderDxfId="637">
  <autoFilter ref="H1:AN49"/>
  <sortState ref="H2:AN49">
    <sortCondition descending="1" ref="AA1:AA49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636" totalsRowDxfId="635"/>
    <tableColumn id="7" name="استان" dataDxfId="634" totalsRowDxfId="633"/>
    <tableColumn id="8" name="Column1" dataDxfId="632" totalsRowDxfId="631"/>
    <tableColumn id="9" name="IPG" dataDxfId="630" totalsRowDxfId="629"/>
    <tableColumn id="10" name="Column2" dataDxfId="628" totalsRowDxfId="627"/>
    <tableColumn id="11" name="Column3" dataDxfId="626" totalsRowDxfId="625"/>
    <tableColumn id="12" name="Column4" dataDxfId="624" totalsRowDxfId="623"/>
    <tableColumn id="13" name="Column5" dataDxfId="622" totalsRowDxfId="621"/>
    <tableColumn id="14" name="Column6" dataDxfId="620" totalsRowDxfId="619"/>
    <tableColumn id="15" name="Column7" dataDxfId="618" totalsRowDxfId="617"/>
    <tableColumn id="16" name="نام سایت 3" dataDxfId="616" totalsRowDxfId="615"/>
    <tableColumn id="17" name="نرخ پرش  " dataDxfId="614" totalsRowDxfId="613"/>
    <tableColumn id="18" name="تعداد صفحات مشاهده شده" dataDxfId="612" totalsRowDxfId="611"/>
    <tableColumn id="19" name="میزان زمان حضور در سایت" dataDxfId="610" totalsRowDxfId="609"/>
    <tableColumn id="20" name="ترافیک کل" totalsRowFunction="sum" dataDxfId="608" totalsRowDxfId="607"/>
    <tableColumn id="21" name="رتبه در سیمیلار وب" dataDxfId="606" totalsRowDxfId="605"/>
    <tableColumn id="22" name="نام سایت 2" dataDxfId="604" totalsRowDxfId="603"/>
    <tableColumn id="23" name="طبقه بندی" dataDxfId="602" totalsRowDxfId="601"/>
    <tableColumn id="24" name="بازار" dataDxfId="600" totalsRowDxfId="599"/>
    <tableColumn id="25" name="مجموع صفحات  مشاهده شده   " totalsRowFunction="sum" dataDxfId="598" totalsRowDxfId="597">
      <calculatedColumnFormula>(AA2*Y2)</calculatedColumnFormula>
    </tableColumn>
    <tableColumn id="26" name="مجموع زمان حضور در سایت " totalsRowFunction="sum" dataDxfId="596" totalsRowDxfId="595">
      <calculatedColumnFormula>((((RIGHT(Z2,2))/60)+(LEFT(Z2,2)))*AA2)</calculatedColumnFormula>
    </tableColumn>
    <tableColumn id="27" name="سهم سایت از کل ترافیک طبقه بندی" totalsRowFunction="sum" dataDxfId="594" totalsRowDxfId="593">
      <calculatedColumnFormula>(AA2/$AA$50)*100</calculatedColumnFormula>
    </tableColumn>
    <tableColumn id="28" name="شاخص هرفیندال هیرشمن (ترافیک)" totalsRowFunction="sum" dataDxfId="592" totalsRowDxfId="591">
      <calculatedColumnFormula>(AH2*AH2)</calculatedColumnFormula>
    </tableColumn>
    <tableColumn id="29" name="سهم سایت از کل صفحات مشاهده شده در طبقه بندی" totalsRowFunction="sum" dataDxfId="590" totalsRowDxfId="589">
      <calculatedColumnFormula>(AF2/$AF$50)*100</calculatedColumnFormula>
    </tableColumn>
    <tableColumn id="30" name="شاخص هرفیندال -هیرشمن (صفحات مشاهده شده )" totalsRowFunction="sum" dataDxfId="588" totalsRowDxfId="587">
      <calculatedColumnFormula>(AJ2*AJ2)</calculatedColumnFormula>
    </tableColumn>
    <tableColumn id="31" name="سهم سایت از کل زمان حضور در طبقه بندی" totalsRowFunction="sum" dataDxfId="586" totalsRowDxfId="585">
      <calculatedColumnFormula>(AG2/$AG$50)*100</calculatedColumnFormula>
    </tableColumn>
    <tableColumn id="32" name="شاخص هرفیندال هیرشمن (زمان حضور)" totalsRowFunction="sum" dataDxfId="584" totalsRowDxfId="583">
      <calculatedColumnFormula>(AL2*AL2)</calculatedColumnFormula>
    </tableColumn>
    <tableColumn id="33" name="نام سایت" dataDxfId="582" totalsRowDxfId="581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id="84" name="Table13686" displayName="Table13686" ref="H1:AN33" totalsRowCount="1" headerRowDxfId="580" headerRowBorderDxfId="579" tableBorderDxfId="578">
  <autoFilter ref="H1:AN32"/>
  <sortState ref="H2:AN32">
    <sortCondition descending="1" ref="AA1:AA32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77" totalsRowDxfId="576"/>
    <tableColumn id="7" name="استان" dataDxfId="575" totalsRowDxfId="574"/>
    <tableColumn id="8" name="Column1" dataDxfId="573" totalsRowDxfId="572"/>
    <tableColumn id="9" name="IPG" dataDxfId="571" totalsRowDxfId="570"/>
    <tableColumn id="10" name="Column2" dataDxfId="569" totalsRowDxfId="568"/>
    <tableColumn id="11" name="Column3" dataDxfId="567" totalsRowDxfId="566"/>
    <tableColumn id="12" name="Column4" dataDxfId="565" totalsRowDxfId="564"/>
    <tableColumn id="13" name="Column5" dataDxfId="563" totalsRowDxfId="562"/>
    <tableColumn id="14" name="Column6" dataDxfId="561" totalsRowDxfId="560"/>
    <tableColumn id="15" name="Column7" dataDxfId="559" totalsRowDxfId="558"/>
    <tableColumn id="16" name="نام سایت 3" dataDxfId="557" totalsRowDxfId="556"/>
    <tableColumn id="17" name="نرخ پرش  " dataDxfId="555" totalsRowDxfId="554"/>
    <tableColumn id="18" name="تعداد صفحات مشاهده شده" dataDxfId="553" totalsRowDxfId="552"/>
    <tableColumn id="19" name="میزان زمان حضور در سایت" dataDxfId="551" totalsRowDxfId="550"/>
    <tableColumn id="20" name="ترافیک کل" totalsRowFunction="sum" dataDxfId="549" totalsRowDxfId="548"/>
    <tableColumn id="21" name="رتبه در سیمیلار وب" dataDxfId="547" totalsRowDxfId="546"/>
    <tableColumn id="22" name="نام سایت 2" dataDxfId="545" totalsRowDxfId="544"/>
    <tableColumn id="23" name="طبقه بندی" dataDxfId="543" totalsRowDxfId="542"/>
    <tableColumn id="24" name="بازار" dataDxfId="541" totalsRowDxfId="540"/>
    <tableColumn id="25" name="مجموع صفحات  مشاهده شده   " totalsRowFunction="sum" dataDxfId="539" totalsRowDxfId="538">
      <calculatedColumnFormula>(AA2*Y2)</calculatedColumnFormula>
    </tableColumn>
    <tableColumn id="26" name="مجموع زمان حضور در سایت " totalsRowFunction="sum" dataDxfId="537" totalsRowDxfId="536">
      <calculatedColumnFormula>((((RIGHT(Z2,2))/60)+(LEFT(Z2,2)))*AA2)</calculatedColumnFormula>
    </tableColumn>
    <tableColumn id="27" name="سهم سایت از کل ترافیک طبقه بندی" totalsRowFunction="sum" dataDxfId="535" totalsRowDxfId="534">
      <calculatedColumnFormula>(AA2/$AA$33)*100</calculatedColumnFormula>
    </tableColumn>
    <tableColumn id="28" name="شاخص هرفیندال هیرشمن (ترافیک)" totalsRowFunction="sum" dataDxfId="533" totalsRowDxfId="532">
      <calculatedColumnFormula>(AH2*AH2)</calculatedColumnFormula>
    </tableColumn>
    <tableColumn id="29" name="سهم سایت از کل صفحات مشاهده شده در طبقه بندی" totalsRowFunction="sum" dataDxfId="531" totalsRowDxfId="530">
      <calculatedColumnFormula>(AF2/$AF$33)*100</calculatedColumnFormula>
    </tableColumn>
    <tableColumn id="30" name="شاخص هرفیندال -هیرشمن (صفحات مشاهده شده )" totalsRowFunction="sum" dataDxfId="529" totalsRowDxfId="528">
      <calculatedColumnFormula>(AJ2*AJ2)</calculatedColumnFormula>
    </tableColumn>
    <tableColumn id="31" name="سهم سایت از کل زمان حضور در طبقه بندی" totalsRowFunction="sum" dataDxfId="527" totalsRowDxfId="526">
      <calculatedColumnFormula>(AG2/$AG$33)*100</calculatedColumnFormula>
    </tableColumn>
    <tableColumn id="32" name="شاخص هرفیندال هیرشمن (زمان حضور)" totalsRowFunction="sum" dataDxfId="525" totalsRowDxfId="524">
      <calculatedColumnFormula>(AL2*AL2)</calculatedColumnFormula>
    </tableColumn>
    <tableColumn id="33" name="نام سایت" dataDxfId="523" totalsRowDxfId="522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id="106" name="Table13683107" displayName="Table13683107" ref="H1:AN64" totalsRowCount="1" headerRowDxfId="521" headerRowBorderDxfId="520" tableBorderDxfId="519">
  <autoFilter ref="H1:AN63"/>
  <sortState ref="H2:AN63">
    <sortCondition descending="1" ref="AA1:AA63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18" totalsRowDxfId="517"/>
    <tableColumn id="7" name="استان" dataDxfId="516" totalsRowDxfId="515"/>
    <tableColumn id="8" name="Column1" dataDxfId="514" totalsRowDxfId="513"/>
    <tableColumn id="9" name="IPG" dataDxfId="512" totalsRowDxfId="511"/>
    <tableColumn id="10" name="Column2" dataDxfId="510" totalsRowDxfId="509"/>
    <tableColumn id="11" name="Column3" dataDxfId="508" totalsRowDxfId="507"/>
    <tableColumn id="12" name="Column4" dataDxfId="506" totalsRowDxfId="505"/>
    <tableColumn id="13" name="Column5" dataDxfId="504" totalsRowDxfId="503"/>
    <tableColumn id="14" name="Column6" dataDxfId="502" totalsRowDxfId="501"/>
    <tableColumn id="15" name="Column7" dataDxfId="500" totalsRowDxfId="499"/>
    <tableColumn id="16" name="نام سایت 3" dataDxfId="498" totalsRowDxfId="497"/>
    <tableColumn id="17" name="نرخ پرش  " dataDxfId="496" totalsRowDxfId="495"/>
    <tableColumn id="18" name="تعداد صفحات مشاهده شده" dataDxfId="494" totalsRowDxfId="493"/>
    <tableColumn id="19" name="میزان زمان حضور در سایت" dataDxfId="492" totalsRowDxfId="491"/>
    <tableColumn id="20" name="ترافیک کل" totalsRowFunction="sum" dataDxfId="490" totalsRowDxfId="489"/>
    <tableColumn id="21" name="رتبه در سیمیلار وب" dataDxfId="488" totalsRowDxfId="487"/>
    <tableColumn id="22" name="نام سایت 2" dataDxfId="486" totalsRowDxfId="485"/>
    <tableColumn id="23" name="طبقه بندی" dataDxfId="484" totalsRowDxfId="483"/>
    <tableColumn id="24" name="بازار" dataDxfId="482" totalsRowDxfId="481"/>
    <tableColumn id="25" name="مجموع صفحات  مشاهده شده   " totalsRowFunction="sum" dataDxfId="480" totalsRowDxfId="479">
      <calculatedColumnFormula>(AA2*Y2)</calculatedColumnFormula>
    </tableColumn>
    <tableColumn id="26" name="مجموع زمان حضور در سایت " totalsRowFunction="sum" dataDxfId="478" totalsRowDxfId="477">
      <calculatedColumnFormula>((((RIGHT(Z2,2))/60)+(LEFT(Z2,2)))*AA2)</calculatedColumnFormula>
    </tableColumn>
    <tableColumn id="27" name="سهم سایت از کل ترافیک طبقه بندی" totalsRowFunction="sum" dataDxfId="476" totalsRowDxfId="475">
      <calculatedColumnFormula>(AA2/$AA$64)*100</calculatedColumnFormula>
    </tableColumn>
    <tableColumn id="28" name="شاخص هرفیندال هیرشمن (ترافیک)" totalsRowFunction="sum" dataDxfId="474" totalsRowDxfId="473">
      <calculatedColumnFormula>(AH2*AH2)</calculatedColumnFormula>
    </tableColumn>
    <tableColumn id="29" name="سهم سایت از کل صفحات مشاهده شده در طبقه بندی" totalsRowFunction="sum" dataDxfId="472" totalsRowDxfId="471">
      <calculatedColumnFormula>(AF2/$AF$64)*100</calculatedColumnFormula>
    </tableColumn>
    <tableColumn id="30" name="شاخص هرفیندال -هیرشمن (صفحات مشاهده شده )" totalsRowFunction="sum" dataDxfId="470" totalsRowDxfId="469">
      <calculatedColumnFormula>(AJ2*AJ2)</calculatedColumnFormula>
    </tableColumn>
    <tableColumn id="31" name="سهم سایت از کل زمان حضور در طبقه بندی" totalsRowFunction="sum" dataDxfId="468" totalsRowDxfId="467">
      <calculatedColumnFormula>(AG2/$AG$64)*100</calculatedColumnFormula>
    </tableColumn>
    <tableColumn id="32" name="شاخص هرفیندال هیرشمن (زمان حضور)" totalsRowFunction="sum" dataDxfId="466" totalsRowDxfId="465">
      <calculatedColumnFormula>(AL2*AL2)</calculatedColumnFormula>
    </tableColumn>
    <tableColumn id="33" name="نام سایت" dataDxfId="464" totalsRowDxfId="463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id="85" name="Table13687" displayName="Table13687" ref="H1:AN9" totalsRowCount="1" headerRowDxfId="462" headerRowBorderDxfId="461" tableBorderDxfId="460">
  <autoFilter ref="H1:AN8"/>
  <sortState ref="H2:AN8">
    <sortCondition descending="1" ref="AA1:AA8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459" totalsRowDxfId="458"/>
    <tableColumn id="7" name="استان" dataDxfId="457" totalsRowDxfId="456"/>
    <tableColumn id="8" name="Column1" dataDxfId="455" totalsRowDxfId="454"/>
    <tableColumn id="9" name="IPG" dataDxfId="453" totalsRowDxfId="452"/>
    <tableColumn id="10" name="Column2" dataDxfId="451" totalsRowDxfId="450"/>
    <tableColumn id="11" name="Column3" dataDxfId="449" totalsRowDxfId="448"/>
    <tableColumn id="12" name="Column4" dataDxfId="447" totalsRowDxfId="446"/>
    <tableColumn id="13" name="Column5" dataDxfId="445" totalsRowDxfId="444"/>
    <tableColumn id="14" name="Column6" dataDxfId="443" totalsRowDxfId="442"/>
    <tableColumn id="15" name="Column7" dataDxfId="441" totalsRowDxfId="440"/>
    <tableColumn id="16" name="نام سایت 3" dataDxfId="439" totalsRowDxfId="438"/>
    <tableColumn id="17" name="نرخ پرش  " dataDxfId="437" totalsRowDxfId="436"/>
    <tableColumn id="18" name="تعداد صفحات مشاهده شده" dataDxfId="435" totalsRowDxfId="434"/>
    <tableColumn id="19" name="میزان زمان حضور در سایت" dataDxfId="433" totalsRowDxfId="432"/>
    <tableColumn id="20" name="ترافیک کل" totalsRowFunction="sum" dataDxfId="431" totalsRowDxfId="430"/>
    <tableColumn id="21" name="رتبه در سیمیلار وب" dataDxfId="429" totalsRowDxfId="428"/>
    <tableColumn id="22" name="نام سایت 2" dataDxfId="427" totalsRowDxfId="426"/>
    <tableColumn id="23" name="طبقه بندی" dataDxfId="425" totalsRowDxfId="424"/>
    <tableColumn id="24" name="بازار" dataDxfId="423" totalsRowDxfId="422"/>
    <tableColumn id="25" name="مجموع صفحات  مشاهده شده   " totalsRowFunction="sum" dataDxfId="421" totalsRowDxfId="420">
      <calculatedColumnFormula>(AA2*Y2)</calculatedColumnFormula>
    </tableColumn>
    <tableColumn id="26" name="مجموع زمان حضور در سایت " totalsRowFunction="sum" dataDxfId="419" totalsRowDxfId="418">
      <calculatedColumnFormula>((((RIGHT(Z2,2))/60)+(LEFT(Z2,2)))*AA2)</calculatedColumnFormula>
    </tableColumn>
    <tableColumn id="27" name="سهم سایت از کل ترافیک طبقه بندی" totalsRowFunction="sum" dataDxfId="417" totalsRowDxfId="416">
      <calculatedColumnFormula>(AA2/$AA$9)*100</calculatedColumnFormula>
    </tableColumn>
    <tableColumn id="28" name="شاخص هرفیندال هیرشمن (ترافیک)" totalsRowFunction="sum" dataDxfId="415" totalsRowDxfId="414">
      <calculatedColumnFormula>(AH2*AH2)</calculatedColumnFormula>
    </tableColumn>
    <tableColumn id="29" name="سهم سایت از کل صفحات مشاهده شده در طبقه بندی" totalsRowFunction="sum" dataDxfId="413" totalsRowDxfId="412">
      <calculatedColumnFormula>(AF2/$AF$9)*100</calculatedColumnFormula>
    </tableColumn>
    <tableColumn id="30" name="شاخص هرفیندال -هیرشمن (صفحات مشاهده شده )" totalsRowFunction="sum" dataDxfId="411" totalsRowDxfId="410">
      <calculatedColumnFormula>(AJ2*AJ2)</calculatedColumnFormula>
    </tableColumn>
    <tableColumn id="31" name="سهم سایت از کل زمان حضور در طبقه بندی" totalsRowFunction="sum" dataDxfId="409" totalsRowDxfId="408">
      <calculatedColumnFormula>(AG2/$AG$9)*100</calculatedColumnFormula>
    </tableColumn>
    <tableColumn id="32" name="شاخص هرفیندال هیرشمن (زمان حضور)" totalsRowFunction="sum" dataDxfId="407" totalsRowDxfId="406">
      <calculatedColumnFormula>(AL2*AL2)</calculatedColumnFormula>
    </tableColumn>
    <tableColumn id="33" name="نام سایت" dataDxfId="405" totalsRowDxfId="404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id="108" name="Table136104293109" displayName="Table136104293109" ref="H1:AN13" totalsRowCount="1" headerRowDxfId="403" headerRowBorderDxfId="402" tableBorderDxfId="401">
  <autoFilter ref="H1:AN12"/>
  <sortState ref="H2:AN12">
    <sortCondition descending="1" ref="AA1:AA12"/>
  </sortState>
  <tableColumns count="33">
    <tableColumn id="1" name="5" dataDxfId="400" totalsRowDxfId="399"/>
    <tableColumn id="2" name="4" dataDxfId="398" totalsRowDxfId="397"/>
    <tableColumn id="3" name="3" dataDxfId="396" totalsRowDxfId="395"/>
    <tableColumn id="4" name="2" dataDxfId="394" totalsRowDxfId="393"/>
    <tableColumn id="5" name="1" dataDxfId="392" totalsRowDxfId="391"/>
    <tableColumn id="6" name="نام سایت " dataDxfId="390" totalsRowDxfId="389"/>
    <tableColumn id="7" name="استان" dataDxfId="388" totalsRowDxfId="387"/>
    <tableColumn id="8" name="Column1" dataDxfId="386" totalsRowDxfId="385"/>
    <tableColumn id="9" name="IPG" dataDxfId="384" totalsRowDxfId="383"/>
    <tableColumn id="10" name="Column2" dataDxfId="382" totalsRowDxfId="381"/>
    <tableColumn id="11" name="Column3" dataDxfId="380" totalsRowDxfId="379"/>
    <tableColumn id="12" name="Column4" dataDxfId="378" totalsRowDxfId="377"/>
    <tableColumn id="13" name="Column5" dataDxfId="376" totalsRowDxfId="375"/>
    <tableColumn id="14" name="Column6" dataDxfId="374" totalsRowDxfId="373"/>
    <tableColumn id="15" name="Column7" dataDxfId="372" totalsRowDxfId="371"/>
    <tableColumn id="16" name="نام سایت 3" dataDxfId="370" totalsRowDxfId="369"/>
    <tableColumn id="17" name="نرخ پرش  " dataDxfId="368" totalsRowDxfId="367"/>
    <tableColumn id="18" name="تعداد صفحات مشاهده شده" dataDxfId="366" totalsRowDxfId="365"/>
    <tableColumn id="19" name="میزان زمان حضور در سایت" dataDxfId="364" totalsRowDxfId="363"/>
    <tableColumn id="20" name="ترافیک کل" totalsRowFunction="sum" dataDxfId="362" totalsRowDxfId="361"/>
    <tableColumn id="21" name="رتبه در سیمیلار وب" dataDxfId="360" totalsRowDxfId="359"/>
    <tableColumn id="22" name="نام سایت 2" dataDxfId="358" totalsRowDxfId="357"/>
    <tableColumn id="23" name="طبقه بندی" dataDxfId="356" totalsRowDxfId="355"/>
    <tableColumn id="24" name="بازار" dataDxfId="354" totalsRowDxfId="353"/>
    <tableColumn id="25" name="مجموع صفحات  مشاهده شده   " totalsRowFunction="sum" dataDxfId="352" totalsRowDxfId="351">
      <calculatedColumnFormula>(AA2*Y2)</calculatedColumnFormula>
    </tableColumn>
    <tableColumn id="26" name="مجموع زمان حضور در سایت " totalsRowFunction="sum" dataDxfId="350" totalsRowDxfId="349">
      <calculatedColumnFormula>((((RIGHT(Z2,2))/60)+(LEFT(Z2,2)))*AA2)</calculatedColumnFormula>
    </tableColumn>
    <tableColumn id="27" name="سهم سایت از کل ترافیک طبقه بندی" totalsRowFunction="sum" dataDxfId="348" totalsRowDxfId="347">
      <calculatedColumnFormula>(AA2/$AA$13)*100</calculatedColumnFormula>
    </tableColumn>
    <tableColumn id="28" name="شاخص هرفیندال هیرشمن (ترافیک)" totalsRowFunction="sum" dataDxfId="346" totalsRowDxfId="345">
      <calculatedColumnFormula>(AH2*AH2)</calculatedColumnFormula>
    </tableColumn>
    <tableColumn id="29" name="سهم سایت از کل صفحات مشاهده شده در طبقه بندی" totalsRowFunction="sum" dataDxfId="344" totalsRowDxfId="343">
      <calculatedColumnFormula>(AF2/$AF$13)*100</calculatedColumnFormula>
    </tableColumn>
    <tableColumn id="30" name="شاخص هرفیندال -هیرشمن (صفحات مشاهده شده )" totalsRowFunction="sum" dataDxfId="342" totalsRowDxfId="341">
      <calculatedColumnFormula>(AJ2*AJ2)</calculatedColumnFormula>
    </tableColumn>
    <tableColumn id="31" name="سهم سایت از کل زمان حضور در طبقه بندی" totalsRowFunction="sum" dataDxfId="340" totalsRowDxfId="339">
      <calculatedColumnFormula>(AG2/$AG$13)*100</calculatedColumnFormula>
    </tableColumn>
    <tableColumn id="32" name="شاخص هرفیندال هیرشمن (زمان حضور)" totalsRowFunction="sum" dataDxfId="338" totalsRowDxfId="337">
      <calculatedColumnFormula>(AL2*AL2)</calculatedColumnFormula>
    </tableColumn>
    <tableColumn id="33" name="نام سایت" dataDxfId="336" totalsRowDxfId="335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id="92" name="Table136104293" displayName="Table136104293" ref="H1:AN9" totalsRowCount="1" headerRowDxfId="334" headerRowBorderDxfId="333" tableBorderDxfId="332">
  <autoFilter ref="H1:AN8"/>
  <sortState ref="H2:AN8">
    <sortCondition descending="1" ref="AA1:AA8"/>
  </sortState>
  <tableColumns count="33">
    <tableColumn id="1" name="5" dataDxfId="331" totalsRowDxfId="330"/>
    <tableColumn id="2" name="4" dataDxfId="329" totalsRowDxfId="328"/>
    <tableColumn id="3" name="3" dataDxfId="327" totalsRowDxfId="326"/>
    <tableColumn id="4" name="2" dataDxfId="325" totalsRowDxfId="324"/>
    <tableColumn id="5" name="1" dataDxfId="323" totalsRowDxfId="322"/>
    <tableColumn id="6" name="نام سایت " dataDxfId="321" totalsRowDxfId="320"/>
    <tableColumn id="7" name="استان" dataDxfId="319" totalsRowDxfId="318"/>
    <tableColumn id="8" name="Column1" dataDxfId="317" totalsRowDxfId="316"/>
    <tableColumn id="9" name="IPG" dataDxfId="315" totalsRowDxfId="314"/>
    <tableColumn id="10" name="Column2" dataDxfId="313" totalsRowDxfId="312"/>
    <tableColumn id="11" name="Column3" dataDxfId="311" totalsRowDxfId="310"/>
    <tableColumn id="12" name="Column4" dataDxfId="309" totalsRowDxfId="308"/>
    <tableColumn id="13" name="Column5" dataDxfId="307" totalsRowDxfId="306"/>
    <tableColumn id="14" name="Column6" dataDxfId="305" totalsRowDxfId="304"/>
    <tableColumn id="15" name="Column7" dataDxfId="303" totalsRowDxfId="302"/>
    <tableColumn id="16" name="نام سایت 3" dataDxfId="301" totalsRowDxfId="300"/>
    <tableColumn id="17" name="نرخ پرش  " dataDxfId="299" totalsRowDxfId="298"/>
    <tableColumn id="18" name="تعداد صفحات مشاهده شده" dataDxfId="297" totalsRowDxfId="296"/>
    <tableColumn id="19" name="میزان زمان حضور در سایت" dataDxfId="295" totalsRowDxfId="294"/>
    <tableColumn id="20" name="ترافیک کل" totalsRowFunction="sum" dataDxfId="293" totalsRowDxfId="292"/>
    <tableColumn id="21" name="رتبه در سیمیلار وب" dataDxfId="291" totalsRowDxfId="290"/>
    <tableColumn id="22" name="نام سایت 2" dataDxfId="289" totalsRowDxfId="288"/>
    <tableColumn id="23" name="طبقه بندی" dataDxfId="287" totalsRowDxfId="286"/>
    <tableColumn id="24" name="بازار" dataDxfId="285" totalsRowDxfId="284"/>
    <tableColumn id="25" name="مجموع صفحات  مشاهده شده   " totalsRowFunction="sum" dataDxfId="283" totalsRowDxfId="282">
      <calculatedColumnFormula>(AA2*Y2)</calculatedColumnFormula>
    </tableColumn>
    <tableColumn id="26" name="مجموع زمان حضور در سایت " totalsRowFunction="sum" dataDxfId="281" totalsRowDxfId="280">
      <calculatedColumnFormula>((((RIGHT(Z2,2))/60)+(LEFT(Z2,2)))*AA2)</calculatedColumnFormula>
    </tableColumn>
    <tableColumn id="27" name="سهم سایت از کل ترافیک طبقه بندی" totalsRowFunction="sum" dataDxfId="279" totalsRowDxfId="278">
      <calculatedColumnFormula>(AA2/$AA$9)*100</calculatedColumnFormula>
    </tableColumn>
    <tableColumn id="28" name="شاخص هرفیندال هیرشمن (ترافیک)" totalsRowFunction="sum" dataDxfId="277" totalsRowDxfId="276">
      <calculatedColumnFormula>(AH2*AH2)</calculatedColumnFormula>
    </tableColumn>
    <tableColumn id="29" name="سهم سایت از کل صفحات مشاهده شده در طبقه بندی" totalsRowFunction="sum" dataDxfId="275" totalsRowDxfId="274">
      <calculatedColumnFormula>(AF2/$AF$9)*100</calculatedColumnFormula>
    </tableColumn>
    <tableColumn id="30" name="شاخص هرفیندال -هیرشمن (صفحات مشاهده شده )" totalsRowFunction="sum" dataDxfId="273" totalsRowDxfId="272">
      <calculatedColumnFormula>(AJ2*AJ2)</calculatedColumnFormula>
    </tableColumn>
    <tableColumn id="31" name="سهم سایت از کل زمان حضور در طبقه بندی" totalsRowFunction="sum" dataDxfId="271" totalsRowDxfId="270">
      <calculatedColumnFormula>(AG2/$AG$9)*100</calculatedColumnFormula>
    </tableColumn>
    <tableColumn id="32" name="شاخص هرفیندال هیرشمن (زمان حضور)" totalsRowFunction="sum" dataDxfId="269" totalsRowDxfId="268">
      <calculatedColumnFormula>(AL2*AL2)</calculatedColumnFormula>
    </tableColumn>
    <tableColumn id="33" name="نام سایت" dataDxfId="267" totalsRowDxfId="266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id="1" name="Table1361042" displayName="Table1361042" ref="H1:AN7" totalsRowCount="1" headerRowDxfId="265" headerRowBorderDxfId="264" tableBorderDxfId="263">
  <autoFilter ref="H1:AN6"/>
  <sortState ref="H2:AN6">
    <sortCondition descending="1" ref="AA1:AA6"/>
  </sortState>
  <tableColumns count="33">
    <tableColumn id="1" name="5" dataDxfId="262" totalsRowDxfId="261"/>
    <tableColumn id="2" name="4" dataDxfId="260" totalsRowDxfId="259"/>
    <tableColumn id="3" name="3" dataDxfId="258" totalsRowDxfId="257"/>
    <tableColumn id="4" name="2" dataDxfId="256" totalsRowDxfId="255"/>
    <tableColumn id="5" name="1" dataDxfId="254" totalsRowDxfId="253"/>
    <tableColumn id="6" name="نام سایت " dataDxfId="252" totalsRowDxfId="251"/>
    <tableColumn id="7" name="استان" dataDxfId="250" totalsRowDxfId="249"/>
    <tableColumn id="8" name="Column1" dataDxfId="248" totalsRowDxfId="247"/>
    <tableColumn id="9" name="IPG" dataDxfId="246" totalsRowDxfId="245"/>
    <tableColumn id="10" name="Column2" dataDxfId="244" totalsRowDxfId="243"/>
    <tableColumn id="11" name="Column3" dataDxfId="242" totalsRowDxfId="241"/>
    <tableColumn id="12" name="Column4" dataDxfId="240" totalsRowDxfId="239"/>
    <tableColumn id="13" name="Column5" dataDxfId="238" totalsRowDxfId="237"/>
    <tableColumn id="14" name="Column6" dataDxfId="236" totalsRowDxfId="235"/>
    <tableColumn id="15" name="Column7" dataDxfId="234" totalsRowDxfId="233"/>
    <tableColumn id="16" name="نام سایت 3" dataDxfId="232" totalsRowDxfId="231"/>
    <tableColumn id="17" name="نرخ پرش  " dataDxfId="230" totalsRowDxfId="229"/>
    <tableColumn id="18" name="تعداد صفحات مشاهده شده" dataDxfId="228" totalsRowDxfId="227"/>
    <tableColumn id="19" name="میزان زمان حضور در سایت" dataDxfId="226" totalsRowDxfId="225"/>
    <tableColumn id="20" name="ترافیک کل" totalsRowFunction="sum" dataDxfId="224" totalsRowDxfId="223"/>
    <tableColumn id="21" name="رتبه در سیمیلار وب" dataDxfId="222" totalsRowDxfId="221"/>
    <tableColumn id="22" name="نام سایت 2" dataDxfId="220" totalsRowDxfId="219"/>
    <tableColumn id="23" name="طبقه بندی" dataDxfId="218" totalsRowDxfId="217"/>
    <tableColumn id="24" name="بازار" dataDxfId="216" totalsRowDxfId="215"/>
    <tableColumn id="25" name="مجموع صفحات  مشاهده شده   " totalsRowFunction="sum" dataDxfId="214" totalsRowDxfId="213">
      <calculatedColumnFormula>(AA2*Y2)</calculatedColumnFormula>
    </tableColumn>
    <tableColumn id="26" name="مجموع زمان حضور در سایت " totalsRowFunction="sum" dataDxfId="212" totalsRowDxfId="211">
      <calculatedColumnFormula>((((RIGHT(Z2,2))/60)+(LEFT(Z2,2)))*AA2)</calculatedColumnFormula>
    </tableColumn>
    <tableColumn id="27" name="سهم سایت از کل ترافیک طبقه بندی" totalsRowFunction="sum" dataDxfId="210" totalsRowDxfId="209">
      <calculatedColumnFormula>(AA2/$AA$7)*100</calculatedColumnFormula>
    </tableColumn>
    <tableColumn id="28" name="شاخص هرفیندال هیرشمن (ترافیک)" totalsRowFunction="sum" dataDxfId="208" totalsRowDxfId="207">
      <calculatedColumnFormula>(AH2*AH2)</calculatedColumnFormula>
    </tableColumn>
    <tableColumn id="29" name="سهم سایت از کل صفحات مشاهده شده در طبقه بندی" totalsRowFunction="sum" dataDxfId="206" totalsRowDxfId="205">
      <calculatedColumnFormula>(AF2/$AF$7)*100</calculatedColumnFormula>
    </tableColumn>
    <tableColumn id="30" name="شاخص هرفیندال -هیرشمن (صفحات مشاهده شده )" totalsRowFunction="sum" dataDxfId="204" totalsRowDxfId="203">
      <calculatedColumnFormula>(AJ2*AJ2)</calculatedColumnFormula>
    </tableColumn>
    <tableColumn id="31" name="سهم سایت از کل زمان حضور در طبقه بندی" totalsRowFunction="sum" dataDxfId="202" totalsRowDxfId="201">
      <calculatedColumnFormula>(AG2/$AG$7)*100</calculatedColumnFormula>
    </tableColumn>
    <tableColumn id="32" name="شاخص هرفیندال هیرشمن (زمان حضور)" totalsRowFunction="sum" dataDxfId="200" totalsRowDxfId="199">
      <calculatedColumnFormula>(AL2*AL2)</calculatedColumnFormula>
    </tableColumn>
    <tableColumn id="33" name="نام سایت" dataDxfId="198" totalsRowDxfId="197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id="110" name="Table1361042111" displayName="Table1361042111" ref="H1:AN5" totalsRowCount="1" headerRowDxfId="196" headerRowBorderDxfId="195" tableBorderDxfId="194">
  <autoFilter ref="H1:AN4"/>
  <sortState ref="H2:AN4">
    <sortCondition descending="1" ref="AA1:AA4"/>
  </sortState>
  <tableColumns count="33">
    <tableColumn id="1" name="5" dataDxfId="193" totalsRowDxfId="192"/>
    <tableColumn id="2" name="4" dataDxfId="191" totalsRowDxfId="190"/>
    <tableColumn id="3" name="3" dataDxfId="189" totalsRowDxfId="188"/>
    <tableColumn id="4" name="2" dataDxfId="187" totalsRowDxfId="186"/>
    <tableColumn id="5" name="1" dataDxfId="185" totalsRowDxfId="184"/>
    <tableColumn id="6" name="نام سایت " dataDxfId="183" totalsRowDxfId="182"/>
    <tableColumn id="7" name="استان" dataDxfId="181" totalsRowDxfId="180"/>
    <tableColumn id="8" name="Column1" dataDxfId="179" totalsRowDxfId="178"/>
    <tableColumn id="9" name="IPG" dataDxfId="177" totalsRowDxfId="176"/>
    <tableColumn id="10" name="Column2" dataDxfId="175" totalsRowDxfId="174"/>
    <tableColumn id="11" name="Column3" dataDxfId="173" totalsRowDxfId="172"/>
    <tableColumn id="12" name="Column4" dataDxfId="171" totalsRowDxfId="170"/>
    <tableColumn id="13" name="Column5" dataDxfId="169" totalsRowDxfId="168"/>
    <tableColumn id="14" name="Column6" dataDxfId="167" totalsRowDxfId="166"/>
    <tableColumn id="15" name="Column7" dataDxfId="165" totalsRowDxfId="164"/>
    <tableColumn id="16" name="نام سایت 3" dataDxfId="163" totalsRowDxfId="162"/>
    <tableColumn id="17" name="نرخ پرش  " dataDxfId="161" totalsRowDxfId="160"/>
    <tableColumn id="18" name="تعداد صفحات مشاهده شده" dataDxfId="159" totalsRowDxfId="158"/>
    <tableColumn id="19" name="میزان زمان حضور در سایت" dataDxfId="157" totalsRowDxfId="156"/>
    <tableColumn id="20" name="ترافیک کل" totalsRowFunction="sum" dataDxfId="155" totalsRowDxfId="154"/>
    <tableColumn id="21" name="رتبه در سیمیلار وب" dataDxfId="153" totalsRowDxfId="152"/>
    <tableColumn id="22" name="نام سایت 2" dataDxfId="151" totalsRowDxfId="150"/>
    <tableColumn id="23" name="طبقه بندی" dataDxfId="149" totalsRowDxfId="148"/>
    <tableColumn id="24" name="بازار" dataDxfId="147" totalsRowDxfId="146"/>
    <tableColumn id="25" name="مجموع صفحات  مشاهده شده   " totalsRowFunction="sum" dataDxfId="145" totalsRowDxfId="144">
      <calculatedColumnFormula>(AA2*Y2)</calculatedColumnFormula>
    </tableColumn>
    <tableColumn id="26" name="مجموع زمان حضور در سایت " totalsRowFunction="sum" dataDxfId="143" totalsRowDxfId="142">
      <calculatedColumnFormula>((((RIGHT(Z2,2))/60)+(LEFT(Z2,2)))*AA2)</calculatedColumnFormula>
    </tableColumn>
    <tableColumn id="27" name="سهم سایت از کل ترافیک طبقه بندی" totalsRowFunction="sum" dataDxfId="141" totalsRowDxfId="140">
      <calculatedColumnFormula>(AA2/$AA$5)*100</calculatedColumnFormula>
    </tableColumn>
    <tableColumn id="28" name="شاخص هرفیندال هیرشمن (ترافیک)" totalsRowFunction="sum" dataDxfId="139" totalsRowDxfId="138">
      <calculatedColumnFormula>(AH2*AH2)</calculatedColumnFormula>
    </tableColumn>
    <tableColumn id="29" name="سهم سایت از کل صفحات مشاهده شده در طبقه بندی" totalsRowFunction="sum" dataDxfId="137" totalsRowDxfId="136">
      <calculatedColumnFormula>(AF2/$AF$5)*100</calculatedColumnFormula>
    </tableColumn>
    <tableColumn id="30" name="شاخص هرفیندال -هیرشمن (صفحات مشاهده شده )" totalsRowFunction="sum" dataDxfId="135" totalsRowDxfId="134">
      <calculatedColumnFormula>(AJ2*AJ2)</calculatedColumnFormula>
    </tableColumn>
    <tableColumn id="31" name="سهم سایت از کل زمان حضور در طبقه بندی" totalsRowFunction="sum" dataDxfId="133" totalsRowDxfId="132">
      <calculatedColumnFormula>(AG2/$AG$5)*100</calculatedColumnFormula>
    </tableColumn>
    <tableColumn id="32" name="شاخص هرفیندال هیرشمن (زمان حضور)" totalsRowFunction="sum" dataDxfId="131" totalsRowDxfId="130">
      <calculatedColumnFormula>(AL2*AL2)</calculatedColumnFormula>
    </tableColumn>
    <tableColumn id="33" name="نام سایت" dataDxfId="129" totalsRowDxfId="128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id="105" name="Table136104106" displayName="Table136104106" ref="H1:AN179" totalsRowCount="1" headerRowDxfId="127" headerRowBorderDxfId="126" tableBorderDxfId="125">
  <autoFilter ref="H1:AN178"/>
  <sortState ref="H2:AN178">
    <sortCondition descending="1" ref="AA1:AA178"/>
  </sortState>
  <tableColumns count="33">
    <tableColumn id="1" name="5" dataDxfId="124" totalsRowDxfId="123"/>
    <tableColumn id="2" name="4" dataDxfId="122" totalsRowDxfId="121"/>
    <tableColumn id="3" name="3" dataDxfId="120" totalsRowDxfId="119"/>
    <tableColumn id="4" name="2" dataDxfId="118" totalsRowDxfId="117"/>
    <tableColumn id="5" name="1" dataDxfId="116" totalsRowDxfId="115"/>
    <tableColumn id="6" name="نام سایت " dataDxfId="114" totalsRowDxfId="113"/>
    <tableColumn id="7" name="استان" dataDxfId="112" totalsRowDxfId="111"/>
    <tableColumn id="8" name="Column1" dataDxfId="110" totalsRowDxfId="109"/>
    <tableColumn id="9" name="IPG" dataDxfId="108" totalsRowDxfId="107"/>
    <tableColumn id="10" name="Column2" dataDxfId="106" totalsRowDxfId="105"/>
    <tableColumn id="11" name="Column3" dataDxfId="104" totalsRowDxfId="103"/>
    <tableColumn id="12" name="Column4" dataDxfId="102" totalsRowDxfId="101"/>
    <tableColumn id="13" name="Column5" dataDxfId="100" totalsRowDxfId="99"/>
    <tableColumn id="14" name="Column6" dataDxfId="98" totalsRowDxfId="97"/>
    <tableColumn id="15" name="Column7" dataDxfId="96" totalsRowDxfId="95"/>
    <tableColumn id="16" name="نام سایت 3" dataDxfId="94" totalsRowDxfId="93"/>
    <tableColumn id="17" name="نرخ پرش  " dataDxfId="92" totalsRowDxfId="91"/>
    <tableColumn id="18" name="تعداد صفحات مشاهده شده" dataDxfId="90" totalsRowDxfId="89"/>
    <tableColumn id="19" name="میزان زمان حضور در سایت" dataDxfId="88" totalsRowDxfId="87"/>
    <tableColumn id="20" name="ترافیک کل" totalsRowFunction="sum" dataDxfId="86" totalsRowDxfId="85"/>
    <tableColumn id="21" name="رتبه در سیمیلار وب" dataDxfId="84" totalsRowDxfId="83"/>
    <tableColumn id="22" name="نام سایت 2" dataDxfId="82" totalsRowDxfId="81"/>
    <tableColumn id="23" name="طبقه بندی" dataDxfId="80" totalsRowDxfId="79"/>
    <tableColumn id="24" name="بازار" dataDxfId="78" totalsRowDxfId="77"/>
    <tableColumn id="25" name="مجموع صفحات  مشاهده شده   " totalsRowFunction="sum" dataDxfId="76" totalsRowDxfId="75">
      <calculatedColumnFormula>(AA2*Y2)</calculatedColumnFormula>
    </tableColumn>
    <tableColumn id="26" name="مجموع زمان حضور در سایت " totalsRowFunction="sum" dataDxfId="74" totalsRowDxfId="73">
      <calculatedColumnFormula>((((RIGHT(Z2,2))/60)+(LEFT(Z2,2)))*AA2)</calculatedColumnFormula>
    </tableColumn>
    <tableColumn id="27" name="سهم سایت از کل ترافیک طبقه بندی" dataDxfId="72" totalsRowDxfId="71"/>
    <tableColumn id="28" name="شاخص هرفیندال هیرشمن (ترافیک)" dataDxfId="70" totalsRowDxfId="69"/>
    <tableColumn id="29" name="سهم سایت از کل صفحات مشاهده شده در طبقه بندی" dataDxfId="68" totalsRowDxfId="67"/>
    <tableColumn id="30" name="شاخص هرفیندال -هیرشمن (صفحات مشاهده شده )" dataDxfId="66" totalsRowDxfId="65"/>
    <tableColumn id="31" name="سهم سایت از کل زمان حضور در طبقه بندی" dataDxfId="64" totalsRowDxfId="63"/>
    <tableColumn id="32" name="شاخص هرفیندال هیرشمن (زمان حضور)" dataDxfId="62" totalsRowDxfId="61"/>
    <tableColumn id="33" name="نام سایت" dataDxfId="60" totalsRowDxfId="59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id="107" name="Table13683108" displayName="Table13683108" ref="H1:AN79" totalsRowCount="1" headerRowDxfId="58" headerRowBorderDxfId="57" tableBorderDxfId="56">
  <autoFilter ref="H1:AN78"/>
  <sortState ref="H2:AN78">
    <sortCondition descending="1" ref="AA1:AA78"/>
  </sortState>
  <tableColumns count="33">
    <tableColumn id="1" name="5"/>
    <tableColumn id="2" name="4"/>
    <tableColumn id="3" name="3"/>
    <tableColumn id="4" name="2"/>
    <tableColumn id="5" name="1"/>
    <tableColumn id="6" name="نام سایت " dataDxfId="55" totalsRowDxfId="54"/>
    <tableColumn id="7" name="استان" dataDxfId="53" totalsRowDxfId="52"/>
    <tableColumn id="8" name="Column1" dataDxfId="51" totalsRowDxfId="50"/>
    <tableColumn id="9" name="IPG" dataDxfId="49" totalsRowDxfId="48"/>
    <tableColumn id="10" name="Column2" dataDxfId="47" totalsRowDxfId="46"/>
    <tableColumn id="11" name="Column3" dataDxfId="45" totalsRowDxfId="44"/>
    <tableColumn id="12" name="Column4" dataDxfId="43" totalsRowDxfId="42"/>
    <tableColumn id="13" name="Column5" dataDxfId="41" totalsRowDxfId="40"/>
    <tableColumn id="14" name="Column6" dataDxfId="39" totalsRowDxfId="38"/>
    <tableColumn id="15" name="Column7" dataDxfId="37" totalsRowDxfId="36"/>
    <tableColumn id="16" name="نام سایت 3" dataDxfId="35" totalsRowDxfId="34"/>
    <tableColumn id="17" name="نرخ پرش  " dataDxfId="33" totalsRowDxfId="32"/>
    <tableColumn id="18" name="تعداد صفحات مشاهده شده" dataDxfId="31" totalsRowDxfId="30"/>
    <tableColumn id="19" name="میزان زمان حضور در سایت" dataDxfId="29" totalsRowDxfId="28"/>
    <tableColumn id="20" name="ترافیک کل" totalsRowFunction="sum" dataDxfId="27" totalsRowDxfId="26"/>
    <tableColumn id="21" name="رتبه در سیمیلار وب" dataDxfId="25" totalsRowDxfId="24"/>
    <tableColumn id="22" name="نام سایت 2" dataDxfId="23" totalsRowDxfId="22"/>
    <tableColumn id="23" name="طبقه بندی" dataDxfId="21" totalsRowDxfId="20"/>
    <tableColumn id="24" name="بازار" dataDxfId="19" totalsRowDxfId="18"/>
    <tableColumn id="25" name="مجموع صفحات  مشاهده شده   " totalsRowFunction="sum" dataDxfId="17" totalsRowDxfId="16">
      <calculatedColumnFormula>(AA2*Y2)</calculatedColumnFormula>
    </tableColumn>
    <tableColumn id="26" name="مجموع زمان حضور در سایت " totalsRowFunction="sum" dataDxfId="15" totalsRowDxfId="14">
      <calculatedColumnFormula>((((RIGHT(Z2,2))/60)+(LEFT(Z2,2)))*AA2)</calculatedColumnFormula>
    </tableColumn>
    <tableColumn id="27" name="سهم سایت از کل ترافیک طبقه بندی" totalsRowFunction="sum" dataDxfId="13" totalsRowDxfId="12"/>
    <tableColumn id="28" name="شاخص هرفیندال هیرشمن (ترافیک)" totalsRowFunction="sum" dataDxfId="11" totalsRowDxfId="10"/>
    <tableColumn id="29" name="سهم سایت از کل صفحات مشاهده شده در طبقه بندی" totalsRowFunction="sum" dataDxfId="9" totalsRowDxfId="8"/>
    <tableColumn id="30" name="شاخص هرفیندال -هیرشمن (صفحات مشاهده شده )" totalsRowFunction="sum" dataDxfId="7" totalsRowDxfId="6"/>
    <tableColumn id="31" name="سهم سایت از کل زمان حضور در طبقه بندی" totalsRowFunction="sum" dataDxfId="5" totalsRowDxfId="4"/>
    <tableColumn id="32" name="شاخص هرفیندال هیرشمن (زمان حضور)" totalsRowFunction="sum" dataDxfId="3" totalsRowDxfId="2"/>
    <tableColumn id="33" name="نام سایت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1.xml"/><Relationship Id="rId1" Type="http://schemas.openxmlformats.org/officeDocument/2006/relationships/printerSettings" Target="../printerSettings/printerSettings1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16"/>
  <sheetViews>
    <sheetView showGridLines="0" rightToLeft="1" tabSelected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22.33203125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6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208</v>
      </c>
      <c r="N2" s="8" t="s">
        <v>150</v>
      </c>
      <c r="O2" s="8"/>
      <c r="P2" s="8" t="s">
        <v>3696</v>
      </c>
      <c r="Q2" s="8"/>
      <c r="R2" s="8"/>
      <c r="S2" s="8"/>
      <c r="T2" s="8"/>
      <c r="U2" s="8"/>
      <c r="V2" s="8"/>
      <c r="W2" s="8" t="s">
        <v>208</v>
      </c>
      <c r="X2" s="8">
        <v>35.93</v>
      </c>
      <c r="Y2" s="8">
        <v>6.44</v>
      </c>
      <c r="Z2" s="9">
        <v>6.55</v>
      </c>
      <c r="AA2" s="8">
        <v>22986.9</v>
      </c>
      <c r="AB2" s="8">
        <v>5</v>
      </c>
      <c r="AC2" s="21" t="s">
        <v>208</v>
      </c>
      <c r="AD2" s="8" t="s">
        <v>3684</v>
      </c>
      <c r="AE2" s="8" t="s">
        <v>4083</v>
      </c>
      <c r="AF2" s="9">
        <f t="shared" ref="AF2:AF33" si="0">(AA2*Y2)</f>
        <v>148035.63600000003</v>
      </c>
      <c r="AG2" s="9">
        <f t="shared" ref="AG2:AG33" si="1">((((RIGHT(Z2,2))/60)+(LEFT(Z2,2)))*AA2)</f>
        <v>158992.72500000001</v>
      </c>
      <c r="AH2" s="9">
        <f t="shared" ref="AH2:AH33" si="2">(AA2/$AA$116)*100</f>
        <v>46.572347814106884</v>
      </c>
      <c r="AI2" s="9">
        <f t="shared" ref="AI2:AI33" si="3">(AH2*AH2)</f>
        <v>2168.9835809181463</v>
      </c>
      <c r="AJ2" s="9">
        <f t="shared" ref="AJ2:AJ33" si="4">(AF2/$AF$116)*100</f>
        <v>65.969050574749133</v>
      </c>
      <c r="AK2" s="9">
        <f t="shared" ref="AK2:AK33" si="5">(AJ2*AJ2)</f>
        <v>4351.915633733809</v>
      </c>
      <c r="AL2" s="9">
        <f t="shared" ref="AL2:AL33" si="6">(AG2/$AG$116)*100</f>
        <v>70.614504909031112</v>
      </c>
      <c r="AM2" s="9">
        <f t="shared" ref="AM2:AM33" si="7">(AL2*AL2)</f>
        <v>4986.4083035475787</v>
      </c>
      <c r="AN2" s="8" t="s">
        <v>208</v>
      </c>
    </row>
    <row r="3" spans="8:40" ht="23.5" customHeight="1">
      <c r="M3" s="8" t="s">
        <v>669</v>
      </c>
      <c r="N3" s="8" t="s">
        <v>150</v>
      </c>
      <c r="O3" s="8"/>
      <c r="P3" s="8" t="s">
        <v>4013</v>
      </c>
      <c r="Q3" s="8"/>
      <c r="R3" s="8"/>
      <c r="S3" s="8"/>
      <c r="T3" s="8"/>
      <c r="U3" s="8"/>
      <c r="V3" s="8"/>
      <c r="W3" s="8" t="s">
        <v>669</v>
      </c>
      <c r="X3" s="8">
        <v>47.65</v>
      </c>
      <c r="Y3" s="8">
        <v>5.35</v>
      </c>
      <c r="Z3" s="9">
        <v>4.17</v>
      </c>
      <c r="AA3" s="8">
        <v>5070.6000000000004</v>
      </c>
      <c r="AB3" s="8">
        <v>19</v>
      </c>
      <c r="AC3" s="21" t="s">
        <v>669</v>
      </c>
      <c r="AD3" s="8" t="s">
        <v>3684</v>
      </c>
      <c r="AE3" s="8" t="s">
        <v>4083</v>
      </c>
      <c r="AF3" s="9">
        <f t="shared" si="0"/>
        <v>27127.71</v>
      </c>
      <c r="AG3" s="9">
        <f t="shared" si="1"/>
        <v>21719.07</v>
      </c>
      <c r="AH3" s="9">
        <f t="shared" si="2"/>
        <v>10.273231572165468</v>
      </c>
      <c r="AI3" s="9">
        <f t="shared" si="3"/>
        <v>105.53928693533737</v>
      </c>
      <c r="AJ3" s="9">
        <f t="shared" si="4"/>
        <v>12.088908598785817</v>
      </c>
      <c r="AK3" s="9">
        <f t="shared" si="5"/>
        <v>146.14171110979768</v>
      </c>
      <c r="AL3" s="9">
        <f t="shared" si="6"/>
        <v>9.6462361729732624</v>
      </c>
      <c r="AM3" s="9">
        <f t="shared" si="7"/>
        <v>93.04987230477785</v>
      </c>
      <c r="AN3" s="8" t="s">
        <v>669</v>
      </c>
    </row>
    <row r="4" spans="8:40" ht="23.5" customHeight="1">
      <c r="M4" s="8" t="s">
        <v>3941</v>
      </c>
      <c r="N4" s="8" t="s">
        <v>1902</v>
      </c>
      <c r="O4" s="8"/>
      <c r="P4" s="8" t="s">
        <v>3691</v>
      </c>
      <c r="Q4" s="8"/>
      <c r="R4" s="8"/>
      <c r="S4" s="8"/>
      <c r="T4" s="8"/>
      <c r="U4" s="8"/>
      <c r="V4" s="8"/>
      <c r="W4" s="8" t="s">
        <v>3941</v>
      </c>
      <c r="X4" s="8">
        <v>84.92</v>
      </c>
      <c r="Y4" s="8">
        <v>1.23</v>
      </c>
      <c r="Z4" s="9">
        <v>2.5499999999999998</v>
      </c>
      <c r="AA4" s="8">
        <v>3996.2</v>
      </c>
      <c r="AB4" s="8">
        <v>8216</v>
      </c>
      <c r="AC4" s="21" t="s">
        <v>3941</v>
      </c>
      <c r="AD4" s="8" t="s">
        <v>3684</v>
      </c>
      <c r="AE4" s="8" t="s">
        <v>4083</v>
      </c>
      <c r="AF4" s="9">
        <f t="shared" si="0"/>
        <v>4915.326</v>
      </c>
      <c r="AG4" s="9">
        <f t="shared" si="1"/>
        <v>11655.583333333332</v>
      </c>
      <c r="AH4" s="9">
        <f t="shared" si="2"/>
        <v>8.0964556479879359</v>
      </c>
      <c r="AI4" s="9">
        <f t="shared" si="3"/>
        <v>65.552594059835741</v>
      </c>
      <c r="AJ4" s="9">
        <f t="shared" si="4"/>
        <v>2.1904144045787683</v>
      </c>
      <c r="AK4" s="9">
        <f t="shared" si="5"/>
        <v>4.7979152637861606</v>
      </c>
      <c r="AL4" s="9">
        <f t="shared" si="6"/>
        <v>5.1766723698162158</v>
      </c>
      <c r="AM4" s="9">
        <f t="shared" si="7"/>
        <v>26.797936824418635</v>
      </c>
      <c r="AN4" s="8" t="s">
        <v>3941</v>
      </c>
    </row>
    <row r="5" spans="8:40" ht="23">
      <c r="M5" s="8" t="s">
        <v>247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247</v>
      </c>
      <c r="X5" s="8">
        <v>82.55</v>
      </c>
      <c r="Y5" s="8">
        <v>1.33</v>
      </c>
      <c r="Z5" s="9">
        <v>1.29</v>
      </c>
      <c r="AA5" s="8">
        <v>2841.6</v>
      </c>
      <c r="AB5" s="8">
        <v>604</v>
      </c>
      <c r="AC5" s="21" t="s">
        <v>247</v>
      </c>
      <c r="AD5" s="8" t="s">
        <v>3684</v>
      </c>
      <c r="AE5" s="8" t="s">
        <v>4083</v>
      </c>
      <c r="AF5" s="9">
        <f t="shared" si="0"/>
        <v>3779.328</v>
      </c>
      <c r="AG5" s="9">
        <f t="shared" si="1"/>
        <v>4215.04</v>
      </c>
      <c r="AH5" s="9">
        <f t="shared" si="2"/>
        <v>5.7571914241836044</v>
      </c>
      <c r="AI5" s="9">
        <f t="shared" si="3"/>
        <v>33.145253094693238</v>
      </c>
      <c r="AJ5" s="9">
        <f t="shared" si="4"/>
        <v>1.6841801522071715</v>
      </c>
      <c r="AK5" s="9">
        <f t="shared" si="5"/>
        <v>2.8364627850885715</v>
      </c>
      <c r="AL5" s="9">
        <f t="shared" si="6"/>
        <v>1.8720539746190434</v>
      </c>
      <c r="AM5" s="9">
        <f t="shared" si="7"/>
        <v>3.504586083886958</v>
      </c>
      <c r="AN5" s="8" t="s">
        <v>247</v>
      </c>
    </row>
    <row r="6" spans="8:40" ht="24" customHeight="1">
      <c r="M6" s="8" t="s">
        <v>344</v>
      </c>
      <c r="N6" s="8" t="s">
        <v>150</v>
      </c>
      <c r="O6" s="8"/>
      <c r="P6" s="8" t="s">
        <v>3705</v>
      </c>
      <c r="Q6" s="8"/>
      <c r="R6" s="8"/>
      <c r="S6" s="8"/>
      <c r="T6" s="8"/>
      <c r="U6" s="8"/>
      <c r="V6" s="8"/>
      <c r="W6" s="8" t="s">
        <v>344</v>
      </c>
      <c r="X6" s="8">
        <v>41.26</v>
      </c>
      <c r="Y6" s="8">
        <v>4.62</v>
      </c>
      <c r="Z6" s="9">
        <v>6.01</v>
      </c>
      <c r="AA6" s="8">
        <v>2100.6999999999998</v>
      </c>
      <c r="AB6" s="8">
        <v>135</v>
      </c>
      <c r="AC6" s="21" t="s">
        <v>344</v>
      </c>
      <c r="AD6" s="8" t="s">
        <v>3684</v>
      </c>
      <c r="AE6" s="8" t="s">
        <v>4083</v>
      </c>
      <c r="AF6" s="9">
        <f t="shared" si="0"/>
        <v>9705.2339999999986</v>
      </c>
      <c r="AG6" s="9">
        <f t="shared" si="1"/>
        <v>12639.211666666666</v>
      </c>
      <c r="AH6" s="9">
        <f t="shared" si="2"/>
        <v>4.2560993893519488</v>
      </c>
      <c r="AI6" s="9">
        <f t="shared" si="3"/>
        <v>18.114382012042032</v>
      </c>
      <c r="AJ6" s="9">
        <f t="shared" si="4"/>
        <v>4.3249388450344117</v>
      </c>
      <c r="AK6" s="9">
        <f t="shared" si="5"/>
        <v>18.705096013287591</v>
      </c>
      <c r="AL6" s="9">
        <f t="shared" si="6"/>
        <v>5.613537816161819</v>
      </c>
      <c r="AM6" s="9">
        <f t="shared" si="7"/>
        <v>31.511806813478803</v>
      </c>
      <c r="AN6" s="8" t="s">
        <v>344</v>
      </c>
    </row>
    <row r="7" spans="8:40" ht="23">
      <c r="M7" s="8" t="s">
        <v>103</v>
      </c>
      <c r="N7" s="8" t="s">
        <v>82</v>
      </c>
      <c r="O7" s="8"/>
      <c r="P7" s="8" t="s">
        <v>4599</v>
      </c>
      <c r="Q7" s="8"/>
      <c r="R7" s="8"/>
      <c r="S7" s="8"/>
      <c r="T7" s="8"/>
      <c r="U7" s="8"/>
      <c r="V7" s="8"/>
      <c r="W7" s="8" t="s">
        <v>103</v>
      </c>
      <c r="X7" s="8">
        <v>85.22</v>
      </c>
      <c r="Y7" s="8">
        <v>1.46</v>
      </c>
      <c r="Z7" s="9">
        <v>0.36</v>
      </c>
      <c r="AA7" s="8">
        <v>1927.4</v>
      </c>
      <c r="AB7" s="8">
        <v>1359</v>
      </c>
      <c r="AC7" s="21" t="s">
        <v>103</v>
      </c>
      <c r="AD7" s="8" t="s">
        <v>3684</v>
      </c>
      <c r="AE7" s="8" t="s">
        <v>4083</v>
      </c>
      <c r="AF7" s="9">
        <f t="shared" si="0"/>
        <v>2814.0039999999999</v>
      </c>
      <c r="AG7" s="9">
        <f t="shared" si="1"/>
        <v>1156.44</v>
      </c>
      <c r="AH7" s="9">
        <f t="shared" si="2"/>
        <v>3.9049868915299415</v>
      </c>
      <c r="AI7" s="9">
        <f t="shared" si="3"/>
        <v>15.248922623020675</v>
      </c>
      <c r="AJ7" s="9">
        <f t="shared" si="4"/>
        <v>1.2540032738708016</v>
      </c>
      <c r="AK7" s="9">
        <f t="shared" si="5"/>
        <v>1.5725242108786885</v>
      </c>
      <c r="AL7" s="9">
        <f t="shared" si="6"/>
        <v>0.51361745046510743</v>
      </c>
      <c r="AM7" s="9">
        <f t="shared" si="7"/>
        <v>0.26380288542227709</v>
      </c>
      <c r="AN7" s="8" t="s">
        <v>103</v>
      </c>
    </row>
    <row r="8" spans="8:40" ht="23">
      <c r="M8" s="8" t="s">
        <v>1633</v>
      </c>
      <c r="N8" s="8" t="s">
        <v>1614</v>
      </c>
      <c r="O8" s="8"/>
      <c r="P8" s="8" t="s">
        <v>3693</v>
      </c>
      <c r="Q8" s="8"/>
      <c r="R8" s="8"/>
      <c r="S8" s="8"/>
      <c r="T8" s="8"/>
      <c r="U8" s="8"/>
      <c r="V8" s="8"/>
      <c r="W8" s="8" t="s">
        <v>1633</v>
      </c>
      <c r="X8" s="8">
        <v>43.55</v>
      </c>
      <c r="Y8" s="8">
        <v>3.89</v>
      </c>
      <c r="Z8" s="9">
        <v>1.53</v>
      </c>
      <c r="AA8" s="8">
        <v>1107.2</v>
      </c>
      <c r="AB8" s="8">
        <v>1636</v>
      </c>
      <c r="AC8" s="21" t="s">
        <v>1633</v>
      </c>
      <c r="AD8" s="8" t="s">
        <v>3684</v>
      </c>
      <c r="AE8" s="8" t="s">
        <v>4083</v>
      </c>
      <c r="AF8" s="9">
        <f t="shared" si="0"/>
        <v>4307.0080000000007</v>
      </c>
      <c r="AG8" s="9">
        <f t="shared" si="1"/>
        <v>2085.2266666666669</v>
      </c>
      <c r="AH8" s="9">
        <f t="shared" si="2"/>
        <v>2.2432299918553236</v>
      </c>
      <c r="AI8" s="9">
        <f t="shared" si="3"/>
        <v>5.0320807963592351</v>
      </c>
      <c r="AJ8" s="9">
        <f t="shared" si="4"/>
        <v>1.9193299414598326</v>
      </c>
      <c r="AK8" s="9">
        <f t="shared" si="5"/>
        <v>3.6838274241842046</v>
      </c>
      <c r="AL8" s="9">
        <f t="shared" si="6"/>
        <v>0.9261256997122097</v>
      </c>
      <c r="AM8" s="9">
        <f t="shared" si="7"/>
        <v>0.85770881166743007</v>
      </c>
      <c r="AN8" s="8" t="s">
        <v>1633</v>
      </c>
    </row>
    <row r="9" spans="8:40" ht="23">
      <c r="M9" s="8" t="s">
        <v>1063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1063</v>
      </c>
      <c r="X9" s="8">
        <v>55.29</v>
      </c>
      <c r="Y9" s="8">
        <v>2.04</v>
      </c>
      <c r="Z9" s="9">
        <v>1.3</v>
      </c>
      <c r="AA9" s="8">
        <v>1074.9000000000001</v>
      </c>
      <c r="AB9" s="8">
        <v>713</v>
      </c>
      <c r="AC9" s="21" t="s">
        <v>1063</v>
      </c>
      <c r="AD9" s="8" t="s">
        <v>3684</v>
      </c>
      <c r="AE9" s="8" t="s">
        <v>4083</v>
      </c>
      <c r="AF9" s="9">
        <f t="shared" si="0"/>
        <v>2192.7960000000003</v>
      </c>
      <c r="AG9" s="9">
        <f t="shared" si="1"/>
        <v>1080.2745</v>
      </c>
      <c r="AH9" s="9">
        <f t="shared" si="2"/>
        <v>2.1777889435018851</v>
      </c>
      <c r="AI9" s="9">
        <f t="shared" si="3"/>
        <v>4.7427646824390566</v>
      </c>
      <c r="AJ9" s="9">
        <f t="shared" si="4"/>
        <v>0.97717464613795813</v>
      </c>
      <c r="AK9" s="9">
        <f t="shared" si="5"/>
        <v>0.95487028905484372</v>
      </c>
      <c r="AL9" s="9">
        <f t="shared" si="6"/>
        <v>0.47978955630423425</v>
      </c>
      <c r="AM9" s="9">
        <f t="shared" si="7"/>
        <v>0.23019801833861397</v>
      </c>
      <c r="AN9" s="8" t="s">
        <v>1063</v>
      </c>
    </row>
    <row r="10" spans="8:40" ht="23">
      <c r="M10" s="9" t="s">
        <v>2990</v>
      </c>
      <c r="N10" s="8" t="s">
        <v>1717</v>
      </c>
      <c r="O10" s="8"/>
      <c r="P10" s="8"/>
      <c r="Q10" s="8"/>
      <c r="R10" s="8"/>
      <c r="S10" s="8"/>
      <c r="T10" s="8"/>
      <c r="U10" s="8"/>
      <c r="V10" s="8"/>
      <c r="W10" s="9" t="s">
        <v>2990</v>
      </c>
      <c r="X10" s="8">
        <v>65.040000000000006</v>
      </c>
      <c r="Y10" s="8">
        <v>1.35</v>
      </c>
      <c r="Z10" s="9">
        <v>1.51</v>
      </c>
      <c r="AA10" s="8">
        <v>876.5</v>
      </c>
      <c r="AB10" s="8">
        <v>2075</v>
      </c>
      <c r="AC10" s="22" t="s">
        <v>2990</v>
      </c>
      <c r="AD10" s="8" t="s">
        <v>3684</v>
      </c>
      <c r="AE10" s="8" t="s">
        <v>4083</v>
      </c>
      <c r="AF10" s="9">
        <f t="shared" si="0"/>
        <v>1183.2750000000001</v>
      </c>
      <c r="AG10" s="9">
        <f t="shared" si="1"/>
        <v>1621.5250000000001</v>
      </c>
      <c r="AH10" s="9">
        <f t="shared" si="2"/>
        <v>1.7758228755971741</v>
      </c>
      <c r="AI10" s="9">
        <f t="shared" si="3"/>
        <v>3.1535468854942166</v>
      </c>
      <c r="AJ10" s="9">
        <f t="shared" si="4"/>
        <v>0.52730227955947218</v>
      </c>
      <c r="AK10" s="9">
        <f t="shared" si="5"/>
        <v>0.27804769402861573</v>
      </c>
      <c r="AL10" s="9">
        <f t="shared" si="6"/>
        <v>0.72017876964255245</v>
      </c>
      <c r="AM10" s="9">
        <f t="shared" si="7"/>
        <v>0.51865746024386061</v>
      </c>
      <c r="AN10" s="9" t="s">
        <v>2990</v>
      </c>
    </row>
    <row r="11" spans="8:40" ht="23">
      <c r="M11" s="8" t="s">
        <v>261</v>
      </c>
      <c r="N11" s="8" t="s">
        <v>150</v>
      </c>
      <c r="O11" s="8"/>
      <c r="P11" s="8" t="s">
        <v>3693</v>
      </c>
      <c r="Q11" s="8"/>
      <c r="R11" s="8"/>
      <c r="S11" s="8"/>
      <c r="T11" s="8"/>
      <c r="U11" s="8"/>
      <c r="V11" s="8"/>
      <c r="W11" s="8" t="s">
        <v>261</v>
      </c>
      <c r="X11" s="8">
        <v>33.01</v>
      </c>
      <c r="Y11" s="8">
        <v>4.34</v>
      </c>
      <c r="Z11" s="9">
        <v>3.5</v>
      </c>
      <c r="AA11" s="8">
        <v>858.9</v>
      </c>
      <c r="AB11" s="8">
        <v>594</v>
      </c>
      <c r="AC11" s="21" t="s">
        <v>261</v>
      </c>
      <c r="AD11" s="8" t="s">
        <v>3684</v>
      </c>
      <c r="AE11" s="8" t="s">
        <v>4083</v>
      </c>
      <c r="AF11" s="9">
        <f t="shared" si="0"/>
        <v>3727.6259999999997</v>
      </c>
      <c r="AG11" s="9">
        <f t="shared" si="1"/>
        <v>2583.8575000000001</v>
      </c>
      <c r="AH11" s="9">
        <f t="shared" si="2"/>
        <v>1.7401645953798208</v>
      </c>
      <c r="AI11" s="9">
        <f t="shared" si="3"/>
        <v>3.0281728190134154</v>
      </c>
      <c r="AJ11" s="9">
        <f t="shared" si="4"/>
        <v>1.6611402143585869</v>
      </c>
      <c r="AK11" s="9">
        <f t="shared" si="5"/>
        <v>2.7593868117592923</v>
      </c>
      <c r="AL11" s="9">
        <f t="shared" si="6"/>
        <v>1.1475859547535077</v>
      </c>
      <c r="AM11" s="9">
        <f t="shared" si="7"/>
        <v>1.3169535235475198</v>
      </c>
      <c r="AN11" s="8" t="s">
        <v>261</v>
      </c>
    </row>
    <row r="12" spans="8:40" ht="23">
      <c r="M12" s="8" t="s">
        <v>5011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5011</v>
      </c>
      <c r="X12" s="8">
        <v>71.63</v>
      </c>
      <c r="Y12" s="8">
        <v>1.05</v>
      </c>
      <c r="Z12" s="9">
        <v>0.05</v>
      </c>
      <c r="AA12" s="8">
        <v>549.70000000000005</v>
      </c>
      <c r="AB12" s="8">
        <v>3789</v>
      </c>
      <c r="AC12" s="21" t="s">
        <v>5011</v>
      </c>
      <c r="AD12" s="8" t="s">
        <v>3684</v>
      </c>
      <c r="AE12" s="8" t="s">
        <v>4083</v>
      </c>
      <c r="AF12" s="9">
        <f t="shared" si="0"/>
        <v>577.18500000000006</v>
      </c>
      <c r="AG12" s="9">
        <f t="shared" si="1"/>
        <v>45.808333333333337</v>
      </c>
      <c r="AH12" s="9">
        <f t="shared" si="2"/>
        <v>1.1137134451976802</v>
      </c>
      <c r="AI12" s="9">
        <f t="shared" si="3"/>
        <v>1.2403576380140864</v>
      </c>
      <c r="AJ12" s="9">
        <f t="shared" si="4"/>
        <v>0.25721067902857236</v>
      </c>
      <c r="AK12" s="9">
        <f t="shared" si="5"/>
        <v>6.615733340633928E-2</v>
      </c>
      <c r="AL12" s="9">
        <f t="shared" si="6"/>
        <v>2.0345162201863016E-2</v>
      </c>
      <c r="AM12" s="9">
        <f t="shared" si="7"/>
        <v>4.1392562502011557E-4</v>
      </c>
      <c r="AN12" s="8" t="s">
        <v>5011</v>
      </c>
    </row>
    <row r="13" spans="8:40" ht="23">
      <c r="M13" s="8" t="s">
        <v>510</v>
      </c>
      <c r="N13" s="8" t="s">
        <v>150</v>
      </c>
      <c r="O13" s="8"/>
      <c r="P13" s="8" t="s">
        <v>3693</v>
      </c>
      <c r="Q13" s="8"/>
      <c r="R13" s="8"/>
      <c r="S13" s="8"/>
      <c r="T13" s="8"/>
      <c r="U13" s="8"/>
      <c r="V13" s="8"/>
      <c r="W13" s="8" t="s">
        <v>510</v>
      </c>
      <c r="X13" s="8">
        <v>35.96</v>
      </c>
      <c r="Y13" s="8">
        <v>4.7</v>
      </c>
      <c r="Z13" s="9">
        <v>1.26</v>
      </c>
      <c r="AA13" s="8">
        <v>487.1</v>
      </c>
      <c r="AB13" s="8">
        <v>4699</v>
      </c>
      <c r="AC13" s="21" t="s">
        <v>510</v>
      </c>
      <c r="AD13" s="8" t="s">
        <v>3684</v>
      </c>
      <c r="AE13" s="8" t="s">
        <v>4083</v>
      </c>
      <c r="AF13" s="9">
        <f t="shared" si="0"/>
        <v>2289.3700000000003</v>
      </c>
      <c r="AG13" s="9">
        <f t="shared" si="1"/>
        <v>698.17666666666673</v>
      </c>
      <c r="AH13" s="9">
        <f t="shared" si="2"/>
        <v>0.98688342578822985</v>
      </c>
      <c r="AI13" s="9">
        <f t="shared" si="3"/>
        <v>0.97393889609551254</v>
      </c>
      <c r="AJ13" s="9">
        <f t="shared" si="4"/>
        <v>1.0202108721599534</v>
      </c>
      <c r="AK13" s="9">
        <f t="shared" si="5"/>
        <v>1.0408302236733729</v>
      </c>
      <c r="AL13" s="9">
        <f t="shared" si="6"/>
        <v>0.31008588383968089</v>
      </c>
      <c r="AM13" s="9">
        <f t="shared" si="7"/>
        <v>9.6153255356636075E-2</v>
      </c>
      <c r="AN13" s="8" t="s">
        <v>510</v>
      </c>
    </row>
    <row r="14" spans="8:40" ht="23">
      <c r="M14" s="9" t="s">
        <v>2533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9" t="s">
        <v>2533</v>
      </c>
      <c r="X14" s="8">
        <v>61.1</v>
      </c>
      <c r="Y14" s="8">
        <v>1.49</v>
      </c>
      <c r="Z14" s="9">
        <v>0.4</v>
      </c>
      <c r="AA14" s="8">
        <v>440.3</v>
      </c>
      <c r="AB14" s="8">
        <v>2753</v>
      </c>
      <c r="AC14" s="22" t="s">
        <v>2533</v>
      </c>
      <c r="AD14" s="8" t="s">
        <v>3684</v>
      </c>
      <c r="AE14" s="8" t="s">
        <v>4083</v>
      </c>
      <c r="AF14" s="9">
        <f t="shared" si="0"/>
        <v>656.04700000000003</v>
      </c>
      <c r="AG14" s="9">
        <f t="shared" si="1"/>
        <v>2.9353333333333338</v>
      </c>
      <c r="AH14" s="9">
        <f t="shared" si="2"/>
        <v>0.89206481702844931</v>
      </c>
      <c r="AI14" s="9">
        <f t="shared" si="3"/>
        <v>0.79577963778000071</v>
      </c>
      <c r="AJ14" s="9">
        <f t="shared" si="4"/>
        <v>0.29235391485339673</v>
      </c>
      <c r="AK14" s="9">
        <f t="shared" si="5"/>
        <v>8.5470811530107146E-2</v>
      </c>
      <c r="AL14" s="9">
        <f t="shared" si="6"/>
        <v>1.3036892730551627E-3</v>
      </c>
      <c r="AM14" s="9">
        <f t="shared" si="7"/>
        <v>1.6996057206790985E-6</v>
      </c>
      <c r="AN14" s="9" t="s">
        <v>2533</v>
      </c>
    </row>
    <row r="15" spans="8:40" ht="23">
      <c r="M15" s="8" t="s">
        <v>198</v>
      </c>
      <c r="N15" s="8" t="s">
        <v>150</v>
      </c>
      <c r="O15" s="8"/>
      <c r="P15" s="8" t="s">
        <v>3692</v>
      </c>
      <c r="Q15" s="8"/>
      <c r="R15" s="8"/>
      <c r="S15" s="8"/>
      <c r="T15" s="8"/>
      <c r="U15" s="8"/>
      <c r="V15" s="8"/>
      <c r="W15" s="8" t="s">
        <v>198</v>
      </c>
      <c r="X15" s="8">
        <v>34.75</v>
      </c>
      <c r="Y15" s="8">
        <v>3.03</v>
      </c>
      <c r="Z15" s="9">
        <v>3.4</v>
      </c>
      <c r="AA15" s="8">
        <v>357.2</v>
      </c>
      <c r="AB15" s="8">
        <v>2602</v>
      </c>
      <c r="AC15" s="21" t="s">
        <v>198</v>
      </c>
      <c r="AD15" s="8" t="s">
        <v>3684</v>
      </c>
      <c r="AE15" s="8" t="s">
        <v>4083</v>
      </c>
      <c r="AF15" s="9">
        <f t="shared" si="0"/>
        <v>1082.3159999999998</v>
      </c>
      <c r="AG15" s="9">
        <f t="shared" si="1"/>
        <v>1073.9813333333334</v>
      </c>
      <c r="AH15" s="9">
        <f t="shared" si="2"/>
        <v>0.72370100532037718</v>
      </c>
      <c r="AI15" s="9">
        <f t="shared" si="3"/>
        <v>0.52374314510172459</v>
      </c>
      <c r="AJ15" s="9">
        <f t="shared" si="4"/>
        <v>0.48231196805788135</v>
      </c>
      <c r="AK15" s="9">
        <f t="shared" si="5"/>
        <v>0.23262483453186675</v>
      </c>
      <c r="AL15" s="9">
        <f t="shared" si="6"/>
        <v>0.47699453000050446</v>
      </c>
      <c r="AM15" s="9">
        <f t="shared" si="7"/>
        <v>0.22752378165040216</v>
      </c>
      <c r="AN15" s="8" t="s">
        <v>198</v>
      </c>
    </row>
    <row r="16" spans="8:40" ht="23">
      <c r="M16" s="8" t="s">
        <v>210</v>
      </c>
      <c r="N16" s="8" t="s">
        <v>150</v>
      </c>
      <c r="O16" s="8"/>
      <c r="P16" s="8" t="s">
        <v>4659</v>
      </c>
      <c r="Q16" s="8"/>
      <c r="R16" s="8"/>
      <c r="S16" s="8"/>
      <c r="T16" s="8"/>
      <c r="U16" s="8"/>
      <c r="V16" s="8"/>
      <c r="W16" s="8" t="s">
        <v>210</v>
      </c>
      <c r="X16" s="8">
        <v>55.56</v>
      </c>
      <c r="Y16" s="8">
        <v>2.67</v>
      </c>
      <c r="Z16" s="9">
        <v>1.19</v>
      </c>
      <c r="AA16" s="8">
        <v>315.2</v>
      </c>
      <c r="AB16" s="8">
        <v>1532</v>
      </c>
      <c r="AC16" s="21" t="s">
        <v>210</v>
      </c>
      <c r="AD16" s="8" t="s">
        <v>3684</v>
      </c>
      <c r="AE16" s="8" t="s">
        <v>4083</v>
      </c>
      <c r="AF16" s="9">
        <f t="shared" si="0"/>
        <v>841.58399999999995</v>
      </c>
      <c r="AG16" s="9">
        <f t="shared" si="1"/>
        <v>415.01333333333332</v>
      </c>
      <c r="AH16" s="9">
        <f t="shared" si="2"/>
        <v>0.63860738207442014</v>
      </c>
      <c r="AI16" s="9">
        <f t="shared" si="3"/>
        <v>0.40781938843994442</v>
      </c>
      <c r="AJ16" s="9">
        <f t="shared" si="4"/>
        <v>0.3750346805609675</v>
      </c>
      <c r="AK16" s="9">
        <f t="shared" si="5"/>
        <v>0.14065101162346694</v>
      </c>
      <c r="AL16" s="9">
        <f t="shared" si="6"/>
        <v>0.18432265415905058</v>
      </c>
      <c r="AM16" s="9">
        <f t="shared" si="7"/>
        <v>3.3974840836236968E-2</v>
      </c>
      <c r="AN16" s="8" t="s">
        <v>210</v>
      </c>
    </row>
    <row r="17" spans="13:40" ht="23">
      <c r="M17" s="8" t="s">
        <v>2052</v>
      </c>
      <c r="N17" s="8" t="s">
        <v>2041</v>
      </c>
      <c r="O17" s="8"/>
      <c r="P17" s="8"/>
      <c r="Q17" s="8"/>
      <c r="R17" s="8"/>
      <c r="S17" s="8"/>
      <c r="T17" s="8"/>
      <c r="U17" s="8"/>
      <c r="V17" s="8"/>
      <c r="W17" s="8" t="s">
        <v>2052</v>
      </c>
      <c r="X17" s="8">
        <v>54.16</v>
      </c>
      <c r="Y17" s="8">
        <v>1.45</v>
      </c>
      <c r="Z17" s="9">
        <v>0.22</v>
      </c>
      <c r="AA17" s="8">
        <v>283.8</v>
      </c>
      <c r="AB17" s="8">
        <v>3996</v>
      </c>
      <c r="AC17" s="21" t="s">
        <v>2052</v>
      </c>
      <c r="AD17" s="8" t="s">
        <v>3684</v>
      </c>
      <c r="AE17" s="8" t="s">
        <v>4083</v>
      </c>
      <c r="AF17" s="9">
        <f t="shared" si="0"/>
        <v>411.51</v>
      </c>
      <c r="AG17" s="9">
        <f t="shared" si="1"/>
        <v>104.06</v>
      </c>
      <c r="AH17" s="9">
        <f t="shared" si="2"/>
        <v>0.57498976850482375</v>
      </c>
      <c r="AI17" s="9">
        <f t="shared" si="3"/>
        <v>0.33061323388523078</v>
      </c>
      <c r="AJ17" s="9">
        <f t="shared" si="4"/>
        <v>0.18338100700303681</v>
      </c>
      <c r="AK17" s="9">
        <f t="shared" si="5"/>
        <v>3.3628593729447834E-2</v>
      </c>
      <c r="AL17" s="9">
        <f t="shared" si="6"/>
        <v>4.6216865462452947E-2</v>
      </c>
      <c r="AM17" s="9">
        <f t="shared" si="7"/>
        <v>2.1359986531744759E-3</v>
      </c>
      <c r="AN17" s="8" t="s">
        <v>2052</v>
      </c>
    </row>
    <row r="18" spans="13:40" ht="23">
      <c r="M18" s="8" t="s">
        <v>212</v>
      </c>
      <c r="N18" s="8" t="s">
        <v>150</v>
      </c>
      <c r="O18" s="8"/>
      <c r="P18" s="8" t="s">
        <v>3693</v>
      </c>
      <c r="Q18" s="8"/>
      <c r="R18" s="8"/>
      <c r="S18" s="8"/>
      <c r="T18" s="8"/>
      <c r="U18" s="8"/>
      <c r="V18" s="8"/>
      <c r="W18" s="8" t="s">
        <v>212</v>
      </c>
      <c r="X18" s="8">
        <v>12.47</v>
      </c>
      <c r="Y18" s="8">
        <v>2.2999999999999998</v>
      </c>
      <c r="Z18" s="9">
        <v>0.57999999999999996</v>
      </c>
      <c r="AA18" s="8">
        <v>276.8</v>
      </c>
      <c r="AB18" s="8">
        <v>1890</v>
      </c>
      <c r="AC18" s="21" t="s">
        <v>212</v>
      </c>
      <c r="AD18" s="8" t="s">
        <v>3684</v>
      </c>
      <c r="AE18" s="8" t="s">
        <v>4083</v>
      </c>
      <c r="AF18" s="9">
        <f t="shared" si="0"/>
        <v>636.64</v>
      </c>
      <c r="AG18" s="9">
        <f t="shared" si="1"/>
        <v>267.57333333333332</v>
      </c>
      <c r="AH18" s="9">
        <f t="shared" si="2"/>
        <v>0.56080749796383089</v>
      </c>
      <c r="AI18" s="9">
        <f t="shared" si="3"/>
        <v>0.31450504977245219</v>
      </c>
      <c r="AJ18" s="9">
        <f t="shared" si="4"/>
        <v>0.2837055826065305</v>
      </c>
      <c r="AK18" s="9">
        <f t="shared" si="5"/>
        <v>8.04888576021109E-2</v>
      </c>
      <c r="AL18" s="9">
        <f t="shared" si="6"/>
        <v>0.11883913845864635</v>
      </c>
      <c r="AM18" s="9">
        <f t="shared" si="7"/>
        <v>1.4122740829593319E-2</v>
      </c>
      <c r="AN18" s="8" t="s">
        <v>212</v>
      </c>
    </row>
    <row r="19" spans="13:40" ht="23">
      <c r="M19" s="9" t="s">
        <v>2353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9" t="s">
        <v>2353</v>
      </c>
      <c r="X19" s="8">
        <v>46.68</v>
      </c>
      <c r="Y19" s="8">
        <v>1.22</v>
      </c>
      <c r="Z19" s="9">
        <v>0.02</v>
      </c>
      <c r="AA19" s="8">
        <v>255.9</v>
      </c>
      <c r="AB19" s="8">
        <v>27187</v>
      </c>
      <c r="AC19" s="22" t="s">
        <v>2353</v>
      </c>
      <c r="AD19" s="8" t="s">
        <v>3684</v>
      </c>
      <c r="AE19" s="8" t="s">
        <v>4083</v>
      </c>
      <c r="AF19" s="9">
        <f t="shared" si="0"/>
        <v>312.19799999999998</v>
      </c>
      <c r="AG19" s="9">
        <f t="shared" si="1"/>
        <v>8.5299999999999994</v>
      </c>
      <c r="AH19" s="9">
        <f t="shared" si="2"/>
        <v>0.51846329020572379</v>
      </c>
      <c r="AI19" s="9">
        <f t="shared" si="3"/>
        <v>0.26880418329094458</v>
      </c>
      <c r="AJ19" s="9">
        <f t="shared" si="4"/>
        <v>0.13912464733380497</v>
      </c>
      <c r="AK19" s="9">
        <f t="shared" si="5"/>
        <v>1.9355667495755607E-2</v>
      </c>
      <c r="AL19" s="9">
        <f t="shared" si="6"/>
        <v>3.7884860887442205E-3</v>
      </c>
      <c r="AM19" s="9">
        <f t="shared" si="7"/>
        <v>1.4352626844608481E-5</v>
      </c>
      <c r="AN19" s="9" t="s">
        <v>2353</v>
      </c>
    </row>
    <row r="20" spans="13:40" ht="23">
      <c r="M20" s="8" t="s">
        <v>141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141</v>
      </c>
      <c r="X20" s="8">
        <v>36.03</v>
      </c>
      <c r="Y20" s="8">
        <v>2.85</v>
      </c>
      <c r="Z20" s="9">
        <v>1.28</v>
      </c>
      <c r="AA20" s="8">
        <v>232.9</v>
      </c>
      <c r="AB20" s="8">
        <v>1676</v>
      </c>
      <c r="AC20" s="21" t="s">
        <v>141</v>
      </c>
      <c r="AD20" s="8" t="s">
        <v>3684</v>
      </c>
      <c r="AE20" s="8" t="s">
        <v>4083</v>
      </c>
      <c r="AF20" s="9">
        <f t="shared" si="0"/>
        <v>663.76499999999999</v>
      </c>
      <c r="AG20" s="9">
        <f t="shared" si="1"/>
        <v>341.5866666666667</v>
      </c>
      <c r="AH20" s="9">
        <f t="shared" si="2"/>
        <v>0.47186440128531876</v>
      </c>
      <c r="AI20" s="9">
        <f t="shared" si="3"/>
        <v>0.22265601320035233</v>
      </c>
      <c r="AJ20" s="9">
        <f t="shared" si="4"/>
        <v>0.29579328354929579</v>
      </c>
      <c r="AK20" s="9">
        <f t="shared" si="5"/>
        <v>8.7493666592874095E-2</v>
      </c>
      <c r="AL20" s="9">
        <f t="shared" si="6"/>
        <v>0.15171117640881313</v>
      </c>
      <c r="AM20" s="9">
        <f t="shared" si="7"/>
        <v>2.3016281047346016E-2</v>
      </c>
      <c r="AN20" s="8" t="s">
        <v>141</v>
      </c>
    </row>
    <row r="21" spans="13:40" ht="23">
      <c r="M21" s="9" t="s">
        <v>2961</v>
      </c>
      <c r="N21" s="8" t="s">
        <v>1717</v>
      </c>
      <c r="O21" s="8"/>
      <c r="P21" s="8" t="s">
        <v>3700</v>
      </c>
      <c r="Q21" s="8"/>
      <c r="R21" s="8"/>
      <c r="S21" s="8"/>
      <c r="T21" s="8"/>
      <c r="U21" s="8"/>
      <c r="V21" s="8"/>
      <c r="W21" s="9" t="s">
        <v>2961</v>
      </c>
      <c r="X21" s="8">
        <v>34.76</v>
      </c>
      <c r="Y21" s="8">
        <v>1.45</v>
      </c>
      <c r="Z21" s="9">
        <v>0.21</v>
      </c>
      <c r="AA21" s="8">
        <v>210.6</v>
      </c>
      <c r="AB21" s="8">
        <v>12427</v>
      </c>
      <c r="AC21" s="22" t="s">
        <v>2961</v>
      </c>
      <c r="AD21" s="8" t="s">
        <v>3684</v>
      </c>
      <c r="AE21" s="8" t="s">
        <v>4083</v>
      </c>
      <c r="AF21" s="9">
        <f t="shared" si="0"/>
        <v>305.37</v>
      </c>
      <c r="AG21" s="9">
        <f t="shared" si="1"/>
        <v>73.709999999999994</v>
      </c>
      <c r="AH21" s="9">
        <f t="shared" si="2"/>
        <v>0.42668373941901294</v>
      </c>
      <c r="AI21" s="9">
        <f t="shared" si="3"/>
        <v>0.18205901348459214</v>
      </c>
      <c r="AJ21" s="9">
        <f t="shared" si="4"/>
        <v>0.13608188891768694</v>
      </c>
      <c r="AK21" s="9">
        <f t="shared" si="5"/>
        <v>1.8518280491405689E-2</v>
      </c>
      <c r="AL21" s="9">
        <f t="shared" si="6"/>
        <v>3.2737316483157849E-2</v>
      </c>
      <c r="AM21" s="9">
        <f t="shared" si="7"/>
        <v>1.0717318905184385E-3</v>
      </c>
      <c r="AN21" s="9" t="s">
        <v>2961</v>
      </c>
    </row>
    <row r="22" spans="13:40" ht="23">
      <c r="M22" s="9" t="s">
        <v>3463</v>
      </c>
      <c r="N22" s="8" t="s">
        <v>2017</v>
      </c>
      <c r="O22" s="8"/>
      <c r="P22" s="8"/>
      <c r="Q22" s="8"/>
      <c r="R22" s="8"/>
      <c r="S22" s="8"/>
      <c r="T22" s="8"/>
      <c r="U22" s="8"/>
      <c r="V22" s="8"/>
      <c r="W22" s="9" t="s">
        <v>3463</v>
      </c>
      <c r="X22" s="8">
        <v>21.67</v>
      </c>
      <c r="Y22" s="8">
        <v>3.11</v>
      </c>
      <c r="Z22" s="9">
        <v>1.44</v>
      </c>
      <c r="AA22" s="8">
        <v>208.3</v>
      </c>
      <c r="AB22" s="8">
        <v>1367</v>
      </c>
      <c r="AC22" s="9" t="s">
        <v>3463</v>
      </c>
      <c r="AD22" s="8" t="s">
        <v>3684</v>
      </c>
      <c r="AE22" s="8" t="s">
        <v>4083</v>
      </c>
      <c r="AF22" s="9">
        <f t="shared" si="0"/>
        <v>647.81299999999999</v>
      </c>
      <c r="AG22" s="9">
        <f t="shared" si="1"/>
        <v>361.05333333333334</v>
      </c>
      <c r="AH22" s="9">
        <f t="shared" si="2"/>
        <v>0.4220238505269725</v>
      </c>
      <c r="AI22" s="9">
        <f t="shared" si="3"/>
        <v>0.17810413041361242</v>
      </c>
      <c r="AJ22" s="9">
        <f t="shared" si="4"/>
        <v>0.28868460132113022</v>
      </c>
      <c r="AK22" s="9">
        <f t="shared" si="5"/>
        <v>8.3338799039939904E-2</v>
      </c>
      <c r="AL22" s="9">
        <f t="shared" si="6"/>
        <v>0.1603570375882841</v>
      </c>
      <c r="AM22" s="9">
        <f t="shared" si="7"/>
        <v>2.5714379504090359E-2</v>
      </c>
      <c r="AN22" s="9" t="s">
        <v>3463</v>
      </c>
    </row>
    <row r="23" spans="13:40" ht="23">
      <c r="M23" s="8" t="s">
        <v>4904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4904</v>
      </c>
      <c r="X23" s="8">
        <v>19.11</v>
      </c>
      <c r="Y23" s="8">
        <v>4.34</v>
      </c>
      <c r="Z23" s="9">
        <v>1</v>
      </c>
      <c r="AA23" s="8">
        <v>170.5</v>
      </c>
      <c r="AB23" s="8">
        <v>10335</v>
      </c>
      <c r="AC23" s="8" t="s">
        <v>4904</v>
      </c>
      <c r="AD23" s="8" t="s">
        <v>3684</v>
      </c>
      <c r="AE23" s="8" t="s">
        <v>4083</v>
      </c>
      <c r="AF23" s="9">
        <f t="shared" si="0"/>
        <v>739.97</v>
      </c>
      <c r="AG23" s="9">
        <f t="shared" si="1"/>
        <v>173.34166666666667</v>
      </c>
      <c r="AH23" s="9">
        <f t="shared" si="2"/>
        <v>0.34543958960561116</v>
      </c>
      <c r="AI23" s="9">
        <f t="shared" si="3"/>
        <v>0.11932851006689306</v>
      </c>
      <c r="AJ23" s="9">
        <f t="shared" si="4"/>
        <v>0.32975248171863908</v>
      </c>
      <c r="AK23" s="9">
        <f t="shared" si="5"/>
        <v>0.1087366991996014</v>
      </c>
      <c r="AL23" s="9">
        <f t="shared" si="6"/>
        <v>7.6987396572849282E-2</v>
      </c>
      <c r="AM23" s="9">
        <f t="shared" si="7"/>
        <v>5.9270592310651654E-3</v>
      </c>
      <c r="AN23" s="8" t="s">
        <v>4904</v>
      </c>
    </row>
    <row r="24" spans="13:40" ht="23">
      <c r="M24" s="9" t="s">
        <v>2742</v>
      </c>
      <c r="N24" s="8" t="s">
        <v>1614</v>
      </c>
      <c r="O24" s="8"/>
      <c r="P24" s="8"/>
      <c r="Q24" s="8"/>
      <c r="R24" s="8"/>
      <c r="S24" s="8"/>
      <c r="T24" s="8"/>
      <c r="U24" s="8"/>
      <c r="V24" s="8"/>
      <c r="W24" s="9" t="s">
        <v>2742</v>
      </c>
      <c r="X24" s="8">
        <v>24.4</v>
      </c>
      <c r="Y24" s="8">
        <v>1.07</v>
      </c>
      <c r="Z24" s="9">
        <v>0.06</v>
      </c>
      <c r="AA24" s="8">
        <v>163.30000000000001</v>
      </c>
      <c r="AB24" s="8">
        <v>20391</v>
      </c>
      <c r="AC24" s="9" t="s">
        <v>2742</v>
      </c>
      <c r="AD24" s="8" t="s">
        <v>3684</v>
      </c>
      <c r="AE24" s="8" t="s">
        <v>4083</v>
      </c>
      <c r="AF24" s="9">
        <f t="shared" si="0"/>
        <v>174.73100000000002</v>
      </c>
      <c r="AG24" s="9">
        <f t="shared" si="1"/>
        <v>16.330000000000002</v>
      </c>
      <c r="AH24" s="9">
        <f t="shared" si="2"/>
        <v>0.33085211133487569</v>
      </c>
      <c r="AI24" s="9">
        <f t="shared" si="3"/>
        <v>0.10946311957474497</v>
      </c>
      <c r="AJ24" s="9">
        <f t="shared" si="4"/>
        <v>7.7865293029689753E-2</v>
      </c>
      <c r="AK24" s="9">
        <f t="shared" si="5"/>
        <v>6.0630038585994519E-3</v>
      </c>
      <c r="AL24" s="9">
        <f t="shared" si="6"/>
        <v>7.2527523832582796E-3</v>
      </c>
      <c r="AM24" s="9">
        <f t="shared" si="7"/>
        <v>5.2602417132858652E-5</v>
      </c>
      <c r="AN24" s="9" t="s">
        <v>2742</v>
      </c>
    </row>
    <row r="25" spans="13:40" ht="23">
      <c r="M25" s="9" t="s">
        <v>2909</v>
      </c>
      <c r="N25" s="8" t="s">
        <v>1717</v>
      </c>
      <c r="O25" s="8"/>
      <c r="P25" s="8"/>
      <c r="Q25" s="8"/>
      <c r="R25" s="8"/>
      <c r="S25" s="8"/>
      <c r="T25" s="8"/>
      <c r="U25" s="8"/>
      <c r="V25" s="8"/>
      <c r="W25" s="9" t="s">
        <v>2909</v>
      </c>
      <c r="X25" s="8">
        <v>35.700000000000003</v>
      </c>
      <c r="Y25" s="8">
        <v>1.27</v>
      </c>
      <c r="Z25" s="9">
        <v>0.02</v>
      </c>
      <c r="AA25" s="8">
        <v>136.5</v>
      </c>
      <c r="AB25" s="8">
        <v>29722</v>
      </c>
      <c r="AC25" s="9" t="s">
        <v>2909</v>
      </c>
      <c r="AD25" s="8" t="s">
        <v>3684</v>
      </c>
      <c r="AE25" s="8" t="s">
        <v>4083</v>
      </c>
      <c r="AF25" s="9">
        <f t="shared" si="0"/>
        <v>173.35499999999999</v>
      </c>
      <c r="AG25" s="9">
        <f t="shared" si="1"/>
        <v>4.55</v>
      </c>
      <c r="AH25" s="9">
        <f t="shared" si="2"/>
        <v>0.27655427554936024</v>
      </c>
      <c r="AI25" s="9">
        <f t="shared" si="3"/>
        <v>7.6482267324631467E-2</v>
      </c>
      <c r="AJ25" s="9">
        <f t="shared" si="4"/>
        <v>7.7252106799376552E-2</v>
      </c>
      <c r="AK25" s="9">
        <f t="shared" si="5"/>
        <v>5.9678880049422811E-3</v>
      </c>
      <c r="AL25" s="9">
        <f t="shared" si="6"/>
        <v>2.020822005133201E-3</v>
      </c>
      <c r="AM25" s="9">
        <f t="shared" si="7"/>
        <v>4.0837215764305713E-6</v>
      </c>
      <c r="AN25" s="9" t="s">
        <v>2909</v>
      </c>
    </row>
    <row r="26" spans="13:40" ht="23">
      <c r="M26" s="8" t="s">
        <v>479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8" t="s">
        <v>479</v>
      </c>
      <c r="X26" s="8">
        <v>21.65</v>
      </c>
      <c r="Y26" s="8">
        <v>1.1599999999999999</v>
      </c>
      <c r="Z26" s="9">
        <v>0.1</v>
      </c>
      <c r="AA26" s="8">
        <v>132.9</v>
      </c>
      <c r="AB26" s="8">
        <v>12334</v>
      </c>
      <c r="AC26" s="8" t="s">
        <v>479</v>
      </c>
      <c r="AD26" s="8" t="s">
        <v>3684</v>
      </c>
      <c r="AE26" s="8" t="s">
        <v>4083</v>
      </c>
      <c r="AF26" s="9">
        <f t="shared" si="0"/>
        <v>154.16399999999999</v>
      </c>
      <c r="AG26" s="9">
        <f t="shared" si="1"/>
        <v>0.22150000000000003</v>
      </c>
      <c r="AH26" s="9">
        <f t="shared" si="2"/>
        <v>0.2692605364139925</v>
      </c>
      <c r="AI26" s="9">
        <f t="shared" si="3"/>
        <v>7.2501236469950978E-2</v>
      </c>
      <c r="AJ26" s="9">
        <f t="shared" si="4"/>
        <v>6.8700030530524578E-2</v>
      </c>
      <c r="AK26" s="9">
        <f t="shared" si="5"/>
        <v>4.719694194895009E-3</v>
      </c>
      <c r="AL26" s="9">
        <f t="shared" si="6"/>
        <v>9.8376280030110789E-5</v>
      </c>
      <c r="AM26" s="9">
        <f t="shared" si="7"/>
        <v>9.6778924725627743E-9</v>
      </c>
      <c r="AN26" s="8" t="s">
        <v>479</v>
      </c>
    </row>
    <row r="27" spans="13:40" ht="23">
      <c r="M27" s="8" t="s">
        <v>4963</v>
      </c>
      <c r="N27" s="8"/>
      <c r="O27" s="8"/>
      <c r="P27" s="8"/>
      <c r="Q27" s="8"/>
      <c r="R27" s="8"/>
      <c r="S27" s="8"/>
      <c r="T27" s="8"/>
      <c r="U27" s="8"/>
      <c r="V27" s="8"/>
      <c r="W27" s="8" t="s">
        <v>4963</v>
      </c>
      <c r="X27" s="8">
        <v>42.2</v>
      </c>
      <c r="Y27" s="8">
        <v>1.27</v>
      </c>
      <c r="Z27" s="9">
        <v>0.21</v>
      </c>
      <c r="AA27" s="8">
        <v>114</v>
      </c>
      <c r="AB27" s="8">
        <v>7228</v>
      </c>
      <c r="AC27" s="8" t="s">
        <v>4963</v>
      </c>
      <c r="AD27" s="8" t="s">
        <v>3684</v>
      </c>
      <c r="AE27" s="8" t="s">
        <v>4083</v>
      </c>
      <c r="AF27" s="9">
        <f t="shared" si="0"/>
        <v>144.78</v>
      </c>
      <c r="AG27" s="9">
        <f t="shared" si="1"/>
        <v>39.9</v>
      </c>
      <c r="AH27" s="9">
        <f t="shared" si="2"/>
        <v>0.23096840595331186</v>
      </c>
      <c r="AI27" s="9">
        <f t="shared" si="3"/>
        <v>5.334640454861387E-2</v>
      </c>
      <c r="AJ27" s="9">
        <f t="shared" si="4"/>
        <v>6.4518243041237572E-2</v>
      </c>
      <c r="AK27" s="9">
        <f t="shared" si="5"/>
        <v>4.1626036851282007E-3</v>
      </c>
      <c r="AL27" s="9">
        <f t="shared" si="6"/>
        <v>1.7721054506552682E-2</v>
      </c>
      <c r="AM27" s="9">
        <f t="shared" si="7"/>
        <v>3.1403577282421109E-4</v>
      </c>
      <c r="AN27" s="8" t="s">
        <v>4963</v>
      </c>
    </row>
    <row r="28" spans="13:40" ht="23">
      <c r="M28" s="9" t="s">
        <v>2784</v>
      </c>
      <c r="N28" s="8" t="s">
        <v>1614</v>
      </c>
      <c r="O28" s="8"/>
      <c r="P28" s="8"/>
      <c r="Q28" s="8"/>
      <c r="R28" s="8"/>
      <c r="S28" s="8"/>
      <c r="T28" s="8"/>
      <c r="U28" s="8"/>
      <c r="V28" s="8"/>
      <c r="W28" s="9" t="s">
        <v>2784</v>
      </c>
      <c r="X28" s="8">
        <v>36.76</v>
      </c>
      <c r="Y28" s="8">
        <v>1.44</v>
      </c>
      <c r="Z28" s="9">
        <v>0.36</v>
      </c>
      <c r="AA28" s="8">
        <v>110.5</v>
      </c>
      <c r="AB28" s="8">
        <v>5702</v>
      </c>
      <c r="AC28" s="9" t="s">
        <v>2784</v>
      </c>
      <c r="AD28" s="8" t="s">
        <v>3684</v>
      </c>
      <c r="AE28" s="8" t="s">
        <v>4083</v>
      </c>
      <c r="AF28" s="9">
        <f t="shared" si="0"/>
        <v>159.12</v>
      </c>
      <c r="AG28" s="9">
        <f t="shared" si="1"/>
        <v>66.3</v>
      </c>
      <c r="AH28" s="9">
        <f t="shared" si="2"/>
        <v>0.22387727068281546</v>
      </c>
      <c r="AI28" s="9">
        <f t="shared" si="3"/>
        <v>5.0121032328386619E-2</v>
      </c>
      <c r="AJ28" s="9">
        <f t="shared" si="4"/>
        <v>7.0908570470518864E-2</v>
      </c>
      <c r="AK28" s="9">
        <f t="shared" si="5"/>
        <v>5.0280253661725395E-3</v>
      </c>
      <c r="AL28" s="9">
        <f t="shared" si="6"/>
        <v>2.9446263503369496E-2</v>
      </c>
      <c r="AM28" s="9">
        <f t="shared" si="7"/>
        <v>8.6708243430987032E-4</v>
      </c>
      <c r="AN28" s="9" t="s">
        <v>2784</v>
      </c>
    </row>
    <row r="29" spans="13:40" ht="23">
      <c r="M29" s="8" t="s">
        <v>1955</v>
      </c>
      <c r="N29" s="8" t="s">
        <v>1939</v>
      </c>
      <c r="O29" s="8"/>
      <c r="P29" s="8"/>
      <c r="Q29" s="8"/>
      <c r="R29" s="8"/>
      <c r="S29" s="8"/>
      <c r="T29" s="8"/>
      <c r="U29" s="8"/>
      <c r="V29" s="8"/>
      <c r="W29" s="8" t="s">
        <v>1955</v>
      </c>
      <c r="X29" s="8">
        <v>12.57</v>
      </c>
      <c r="Y29" s="8">
        <v>1.49</v>
      </c>
      <c r="Z29" s="9">
        <v>0.26</v>
      </c>
      <c r="AA29" s="8">
        <v>110.4</v>
      </c>
      <c r="AB29" s="8">
        <v>20943</v>
      </c>
      <c r="AC29" s="8" t="s">
        <v>1955</v>
      </c>
      <c r="AD29" s="8" t="s">
        <v>3684</v>
      </c>
      <c r="AE29" s="8" t="s">
        <v>4083</v>
      </c>
      <c r="AF29" s="9">
        <f t="shared" si="0"/>
        <v>164.49600000000001</v>
      </c>
      <c r="AG29" s="9">
        <f t="shared" si="1"/>
        <v>47.84</v>
      </c>
      <c r="AH29" s="9">
        <f t="shared" si="2"/>
        <v>0.22367466681794415</v>
      </c>
      <c r="AI29" s="9">
        <f t="shared" si="3"/>
        <v>5.0030356576118325E-2</v>
      </c>
      <c r="AJ29" s="9">
        <f t="shared" si="4"/>
        <v>7.3304274812207595E-2</v>
      </c>
      <c r="AK29" s="9">
        <f t="shared" si="5"/>
        <v>5.3735167057436528E-3</v>
      </c>
      <c r="AL29" s="9">
        <f t="shared" si="6"/>
        <v>2.1247499939686228E-2</v>
      </c>
      <c r="AM29" s="9">
        <f t="shared" si="7"/>
        <v>4.5145625368696627E-4</v>
      </c>
      <c r="AN29" s="8" t="s">
        <v>1955</v>
      </c>
    </row>
    <row r="30" spans="13:40" ht="23">
      <c r="M30" s="8" t="s">
        <v>1549</v>
      </c>
      <c r="N30" s="8" t="s">
        <v>150</v>
      </c>
      <c r="O30" s="8"/>
      <c r="P30" s="8" t="s">
        <v>3715</v>
      </c>
      <c r="Q30" s="8"/>
      <c r="R30" s="8"/>
      <c r="S30" s="8"/>
      <c r="T30" s="8"/>
      <c r="U30" s="8"/>
      <c r="V30" s="8"/>
      <c r="W30" s="8" t="s">
        <v>1549</v>
      </c>
      <c r="X30" s="8">
        <v>26.44</v>
      </c>
      <c r="Y30" s="8">
        <v>3.38</v>
      </c>
      <c r="Z30" s="9">
        <v>3.12</v>
      </c>
      <c r="AA30" s="8">
        <v>101.4</v>
      </c>
      <c r="AB30" s="8">
        <v>3113</v>
      </c>
      <c r="AC30" s="8" t="s">
        <v>1549</v>
      </c>
      <c r="AD30" s="8" t="s">
        <v>3684</v>
      </c>
      <c r="AE30" s="8" t="s">
        <v>4083</v>
      </c>
      <c r="AF30" s="9">
        <f t="shared" si="0"/>
        <v>342.73200000000003</v>
      </c>
      <c r="AG30" s="9">
        <f t="shared" si="1"/>
        <v>324.48</v>
      </c>
      <c r="AH30" s="9">
        <f t="shared" si="2"/>
        <v>0.20544031897952478</v>
      </c>
      <c r="AI30" s="9">
        <f t="shared" si="3"/>
        <v>4.2205724662408892E-2</v>
      </c>
      <c r="AJ30" s="9">
        <f t="shared" si="4"/>
        <v>0.15273149933699015</v>
      </c>
      <c r="AK30" s="9">
        <f t="shared" si="5"/>
        <v>2.3326910889725022E-2</v>
      </c>
      <c r="AL30" s="9">
        <f t="shared" si="6"/>
        <v>0.14411347785178485</v>
      </c>
      <c r="AM30" s="9">
        <f t="shared" si="7"/>
        <v>2.0768694498536883E-2</v>
      </c>
      <c r="AN30" s="8" t="s">
        <v>1549</v>
      </c>
    </row>
    <row r="31" spans="13:40" ht="23">
      <c r="M31" s="8" t="s">
        <v>3095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8" t="s">
        <v>3095</v>
      </c>
      <c r="X31" s="8">
        <v>31.88</v>
      </c>
      <c r="Y31" s="8">
        <v>1.1000000000000001</v>
      </c>
      <c r="Z31" s="9">
        <v>0.09</v>
      </c>
      <c r="AA31" s="8">
        <v>94</v>
      </c>
      <c r="AB31" s="8">
        <v>30471</v>
      </c>
      <c r="AC31" s="8" t="s">
        <v>3095</v>
      </c>
      <c r="AD31" s="8" t="s">
        <v>3684</v>
      </c>
      <c r="AE31" s="8" t="s">
        <v>4083</v>
      </c>
      <c r="AF31" s="9">
        <f t="shared" si="0"/>
        <v>103.4</v>
      </c>
      <c r="AG31" s="9">
        <f t="shared" si="1"/>
        <v>14.1</v>
      </c>
      <c r="AH31" s="9">
        <f t="shared" si="2"/>
        <v>0.19044763297904663</v>
      </c>
      <c r="AI31" s="9">
        <f t="shared" si="3"/>
        <v>3.6270300907321647E-2</v>
      </c>
      <c r="AJ31" s="9">
        <f t="shared" si="4"/>
        <v>4.6078093179057637E-2</v>
      </c>
      <c r="AK31" s="9">
        <f t="shared" si="5"/>
        <v>2.1231906710179179E-3</v>
      </c>
      <c r="AL31" s="9">
        <f t="shared" si="6"/>
        <v>6.2623275323907988E-3</v>
      </c>
      <c r="AM31" s="9">
        <f t="shared" si="7"/>
        <v>3.9216746122939832E-5</v>
      </c>
      <c r="AN31" s="8" t="s">
        <v>3095</v>
      </c>
    </row>
    <row r="32" spans="13:40" ht="23">
      <c r="M32" s="8" t="s">
        <v>3095</v>
      </c>
      <c r="N32" s="24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3095</v>
      </c>
      <c r="X32" s="8">
        <v>31.88</v>
      </c>
      <c r="Y32" s="8">
        <v>1.1000000000000001</v>
      </c>
      <c r="Z32" s="9">
        <v>0.09</v>
      </c>
      <c r="AA32" s="8">
        <v>94</v>
      </c>
      <c r="AB32" s="8">
        <v>30471</v>
      </c>
      <c r="AC32" s="8" t="s">
        <v>3095</v>
      </c>
      <c r="AD32" s="8" t="s">
        <v>3684</v>
      </c>
      <c r="AE32" s="8" t="s">
        <v>4083</v>
      </c>
      <c r="AF32" s="9">
        <f t="shared" si="0"/>
        <v>103.4</v>
      </c>
      <c r="AG32" s="9">
        <f t="shared" si="1"/>
        <v>14.1</v>
      </c>
      <c r="AH32" s="9">
        <f t="shared" si="2"/>
        <v>0.19044763297904663</v>
      </c>
      <c r="AI32" s="9">
        <f t="shared" si="3"/>
        <v>3.6270300907321647E-2</v>
      </c>
      <c r="AJ32" s="9">
        <f t="shared" si="4"/>
        <v>4.6078093179057637E-2</v>
      </c>
      <c r="AK32" s="9">
        <f t="shared" si="5"/>
        <v>2.1231906710179179E-3</v>
      </c>
      <c r="AL32" s="9">
        <f t="shared" si="6"/>
        <v>6.2623275323907988E-3</v>
      </c>
      <c r="AM32" s="9">
        <f t="shared" si="7"/>
        <v>3.9216746122939832E-5</v>
      </c>
      <c r="AN32" s="9" t="s">
        <v>3095</v>
      </c>
    </row>
    <row r="33" spans="13:40" ht="23">
      <c r="M33" s="8" t="s">
        <v>4897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8" t="s">
        <v>4897</v>
      </c>
      <c r="X33" s="8">
        <v>4.76</v>
      </c>
      <c r="Y33" s="8">
        <v>3.1</v>
      </c>
      <c r="Z33" s="9">
        <v>0.44</v>
      </c>
      <c r="AA33" s="8">
        <v>88.1</v>
      </c>
      <c r="AB33" s="8">
        <v>12053</v>
      </c>
      <c r="AC33" s="8" t="s">
        <v>4897</v>
      </c>
      <c r="AD33" s="8" t="s">
        <v>3684</v>
      </c>
      <c r="AE33" s="8" t="s">
        <v>4083</v>
      </c>
      <c r="AF33" s="9">
        <f t="shared" si="0"/>
        <v>273.11</v>
      </c>
      <c r="AG33" s="9">
        <f t="shared" si="1"/>
        <v>64.606666666666655</v>
      </c>
      <c r="AH33" s="9">
        <f t="shared" si="2"/>
        <v>0.17849400495163836</v>
      </c>
      <c r="AI33" s="9">
        <f t="shared" si="3"/>
        <v>3.1860109803675499E-2</v>
      </c>
      <c r="AJ33" s="9">
        <f t="shared" si="4"/>
        <v>0.12170588034944324</v>
      </c>
      <c r="AK33" s="9">
        <f t="shared" si="5"/>
        <v>1.4812321311632994E-2</v>
      </c>
      <c r="AL33" s="9">
        <f t="shared" si="6"/>
        <v>2.8694192017210032E-2</v>
      </c>
      <c r="AM33" s="9">
        <f t="shared" si="7"/>
        <v>8.2335665552051994E-4</v>
      </c>
      <c r="AN33" s="8" t="s">
        <v>4897</v>
      </c>
    </row>
    <row r="34" spans="13:40" ht="23">
      <c r="M34" s="9" t="s">
        <v>3061</v>
      </c>
      <c r="N34" s="8" t="s">
        <v>1814</v>
      </c>
      <c r="O34" s="8"/>
      <c r="P34" s="8"/>
      <c r="Q34" s="8"/>
      <c r="R34" s="8"/>
      <c r="S34" s="8"/>
      <c r="T34" s="8"/>
      <c r="U34" s="8"/>
      <c r="V34" s="8"/>
      <c r="W34" s="9" t="s">
        <v>3061</v>
      </c>
      <c r="X34" s="8">
        <v>23.14</v>
      </c>
      <c r="Y34" s="8">
        <v>3.53</v>
      </c>
      <c r="Z34" s="9">
        <v>0.59</v>
      </c>
      <c r="AA34" s="8">
        <v>87.1</v>
      </c>
      <c r="AB34" s="8">
        <v>30205</v>
      </c>
      <c r="AC34" s="9" t="s">
        <v>3061</v>
      </c>
      <c r="AD34" s="8" t="s">
        <v>3684</v>
      </c>
      <c r="AE34" s="8" t="s">
        <v>4083</v>
      </c>
      <c r="AF34" s="9">
        <f t="shared" ref="AF34:AF65" si="8">(AA34*Y34)</f>
        <v>307.46299999999997</v>
      </c>
      <c r="AG34" s="9">
        <f t="shared" ref="AG34:AG65" si="9">((((RIGHT(Z34,2))/60)+(LEFT(Z34,2)))*AA34)</f>
        <v>85.648333333333326</v>
      </c>
      <c r="AH34" s="9">
        <f t="shared" ref="AH34:AH65" si="10">(AA34/$AA$116)*100</f>
        <v>0.17646796630292511</v>
      </c>
      <c r="AI34" s="9">
        <f t="shared" ref="AI34:AI65" si="11">(AH34*AH34)</f>
        <v>3.114094313109031E-2</v>
      </c>
      <c r="AJ34" s="9">
        <f t="shared" ref="AJ34:AJ65" si="12">(AF34/$AF$116)*100</f>
        <v>0.13701459151946419</v>
      </c>
      <c r="AK34" s="9">
        <f t="shared" ref="AK34:AK65" si="13">(AJ34*AJ34)</f>
        <v>1.8772998289245627E-2</v>
      </c>
      <c r="AL34" s="9">
        <f t="shared" ref="AL34:AL65" si="14">(AG34/$AG$116)*100</f>
        <v>3.8039568506150201E-2</v>
      </c>
      <c r="AM34" s="9">
        <f t="shared" ref="AM34:AM65" si="15">(AL34*AL34)</f>
        <v>1.4470087721340941E-3</v>
      </c>
      <c r="AN34" s="9" t="s">
        <v>3061</v>
      </c>
    </row>
    <row r="35" spans="13:40" ht="23">
      <c r="M35" s="9" t="s">
        <v>2283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9" t="s">
        <v>2283</v>
      </c>
      <c r="X35" s="8">
        <v>15.49</v>
      </c>
      <c r="Y35" s="8">
        <v>1.1299999999999999</v>
      </c>
      <c r="Z35" s="9">
        <v>0.05</v>
      </c>
      <c r="AA35" s="8">
        <v>82.9</v>
      </c>
      <c r="AB35" s="8">
        <v>25492</v>
      </c>
      <c r="AC35" s="9" t="s">
        <v>2283</v>
      </c>
      <c r="AD35" s="8" t="s">
        <v>3684</v>
      </c>
      <c r="AE35" s="8" t="s">
        <v>4083</v>
      </c>
      <c r="AF35" s="9">
        <f t="shared" si="8"/>
        <v>93.676999999999992</v>
      </c>
      <c r="AG35" s="9">
        <f t="shared" si="9"/>
        <v>6.9083333333333332</v>
      </c>
      <c r="AH35" s="9">
        <f t="shared" si="10"/>
        <v>0.16795860397832943</v>
      </c>
      <c r="AI35" s="9">
        <f t="shared" si="11"/>
        <v>2.8210092650349298E-2</v>
      </c>
      <c r="AJ35" s="9">
        <f t="shared" si="12"/>
        <v>4.1745237279831544E-2</v>
      </c>
      <c r="AK35" s="9">
        <f t="shared" si="13"/>
        <v>1.7426648355494373E-3</v>
      </c>
      <c r="AL35" s="9">
        <f t="shared" si="14"/>
        <v>3.0682443997352075E-3</v>
      </c>
      <c r="AM35" s="9">
        <f t="shared" si="15"/>
        <v>9.4141236965064645E-6</v>
      </c>
      <c r="AN35" s="9" t="s">
        <v>2283</v>
      </c>
    </row>
    <row r="36" spans="13:40" ht="23">
      <c r="M36" s="9" t="s">
        <v>2717</v>
      </c>
      <c r="N36" s="8" t="s">
        <v>1614</v>
      </c>
      <c r="O36" s="8"/>
      <c r="P36" s="8"/>
      <c r="Q36" s="8"/>
      <c r="R36" s="8"/>
      <c r="S36" s="8"/>
      <c r="T36" s="8"/>
      <c r="U36" s="8"/>
      <c r="V36" s="8"/>
      <c r="W36" s="9" t="s">
        <v>2717</v>
      </c>
      <c r="X36" s="8">
        <v>28.69</v>
      </c>
      <c r="Y36" s="8">
        <v>1.1200000000000001</v>
      </c>
      <c r="Z36" s="9">
        <v>0.06</v>
      </c>
      <c r="AA36" s="8">
        <v>76.2</v>
      </c>
      <c r="AB36" s="8">
        <v>14321</v>
      </c>
      <c r="AC36" s="9" t="s">
        <v>2717</v>
      </c>
      <c r="AD36" s="8" t="s">
        <v>3684</v>
      </c>
      <c r="AE36" s="8" t="s">
        <v>4083</v>
      </c>
      <c r="AF36" s="9">
        <f t="shared" si="8"/>
        <v>85.344000000000008</v>
      </c>
      <c r="AG36" s="9">
        <f t="shared" si="9"/>
        <v>7.620000000000001</v>
      </c>
      <c r="AH36" s="9">
        <f t="shared" si="10"/>
        <v>0.15438414503195055</v>
      </c>
      <c r="AI36" s="9">
        <f t="shared" si="11"/>
        <v>2.3834464237246344E-2</v>
      </c>
      <c r="AJ36" s="9">
        <f t="shared" si="12"/>
        <v>3.8031806424308465E-2</v>
      </c>
      <c r="AK36" s="9">
        <f t="shared" si="13"/>
        <v>1.4464182998960705E-3</v>
      </c>
      <c r="AL36" s="9">
        <f t="shared" si="14"/>
        <v>3.3843216877175804E-3</v>
      </c>
      <c r="AM36" s="9">
        <f t="shared" si="15"/>
        <v>1.1453633285955572E-5</v>
      </c>
      <c r="AN36" s="9" t="s">
        <v>2717</v>
      </c>
    </row>
    <row r="37" spans="13:40" ht="23">
      <c r="M37" s="24" t="s">
        <v>3137</v>
      </c>
      <c r="N37" s="24" t="s">
        <v>1869</v>
      </c>
      <c r="O37" s="24"/>
      <c r="P37" s="24"/>
      <c r="Q37" s="24"/>
      <c r="R37" s="24"/>
      <c r="S37" s="24"/>
      <c r="T37" s="24"/>
      <c r="U37" s="24"/>
      <c r="V37" s="24"/>
      <c r="W37" s="24" t="s">
        <v>3137</v>
      </c>
      <c r="X37" s="24">
        <v>4.22</v>
      </c>
      <c r="Y37" s="24">
        <v>2.13</v>
      </c>
      <c r="Z37" s="25">
        <v>1.03</v>
      </c>
      <c r="AA37" s="24">
        <v>72.5</v>
      </c>
      <c r="AB37" s="24">
        <v>13854</v>
      </c>
      <c r="AC37" s="24" t="s">
        <v>3137</v>
      </c>
      <c r="AD37" s="8" t="s">
        <v>3684</v>
      </c>
      <c r="AE37" s="24"/>
      <c r="AF37" s="25">
        <f t="shared" si="8"/>
        <v>154.42499999999998</v>
      </c>
      <c r="AG37" s="25">
        <f t="shared" si="9"/>
        <v>76.125</v>
      </c>
      <c r="AH37" s="9">
        <f t="shared" si="10"/>
        <v>0.14688780203171148</v>
      </c>
      <c r="AI37" s="25">
        <f t="shared" si="11"/>
        <v>2.1576026385707263E-2</v>
      </c>
      <c r="AJ37" s="9">
        <f t="shared" si="12"/>
        <v>6.8816339837291823E-2</v>
      </c>
      <c r="AK37" s="25">
        <f t="shared" si="13"/>
        <v>4.7356886286016378E-3</v>
      </c>
      <c r="AL37" s="9">
        <f t="shared" si="14"/>
        <v>3.3809906624343938E-2</v>
      </c>
      <c r="AM37" s="25">
        <f t="shared" si="15"/>
        <v>1.1431097859468562E-3</v>
      </c>
      <c r="AN37" s="24" t="s">
        <v>3137</v>
      </c>
    </row>
    <row r="38" spans="13:40" ht="23">
      <c r="M38" s="8" t="s">
        <v>1895</v>
      </c>
      <c r="N38" s="8" t="s">
        <v>1869</v>
      </c>
      <c r="O38" s="8"/>
      <c r="P38" s="8" t="s">
        <v>3691</v>
      </c>
      <c r="Q38" s="8"/>
      <c r="R38" s="8"/>
      <c r="S38" s="8"/>
      <c r="T38" s="8"/>
      <c r="U38" s="8"/>
      <c r="V38" s="8"/>
      <c r="W38" s="8" t="s">
        <v>1895</v>
      </c>
      <c r="X38" s="8">
        <v>18.12</v>
      </c>
      <c r="Y38" s="8">
        <v>3.55</v>
      </c>
      <c r="Z38" s="9">
        <v>4.49</v>
      </c>
      <c r="AA38" s="8">
        <v>70.3</v>
      </c>
      <c r="AB38" s="8">
        <v>3786</v>
      </c>
      <c r="AC38" s="8" t="s">
        <v>1895</v>
      </c>
      <c r="AD38" s="8" t="s">
        <v>3684</v>
      </c>
      <c r="AE38" s="8" t="s">
        <v>4083</v>
      </c>
      <c r="AF38" s="9">
        <f t="shared" si="8"/>
        <v>249.56499999999997</v>
      </c>
      <c r="AG38" s="9">
        <f t="shared" si="9"/>
        <v>338.61166666666662</v>
      </c>
      <c r="AH38" s="9">
        <f t="shared" si="10"/>
        <v>0.14243051700454232</v>
      </c>
      <c r="AI38" s="9">
        <f t="shared" si="11"/>
        <v>2.0286452174181218E-2</v>
      </c>
      <c r="AJ38" s="9">
        <f t="shared" si="12"/>
        <v>0.11121353311635895</v>
      </c>
      <c r="AK38" s="9">
        <f t="shared" si="13"/>
        <v>1.236844994822347E-2</v>
      </c>
      <c r="AL38" s="9">
        <f t="shared" si="14"/>
        <v>0.15038986971314908</v>
      </c>
      <c r="AM38" s="9">
        <f t="shared" si="15"/>
        <v>2.2617112912337953E-2</v>
      </c>
      <c r="AN38" s="8" t="s">
        <v>1895</v>
      </c>
    </row>
    <row r="39" spans="13:40" ht="23">
      <c r="M39" s="9" t="s">
        <v>2498</v>
      </c>
      <c r="N39" s="8" t="s">
        <v>150</v>
      </c>
      <c r="O39" s="8"/>
      <c r="P39" s="8" t="s">
        <v>3696</v>
      </c>
      <c r="Q39" s="8"/>
      <c r="R39" s="8"/>
      <c r="S39" s="8"/>
      <c r="T39" s="8"/>
      <c r="U39" s="8"/>
      <c r="V39" s="8"/>
      <c r="W39" s="9" t="s">
        <v>2498</v>
      </c>
      <c r="X39" s="8">
        <v>13.66</v>
      </c>
      <c r="Y39" s="8">
        <v>8.25</v>
      </c>
      <c r="Z39" s="9">
        <v>5.48</v>
      </c>
      <c r="AA39" s="8">
        <v>68</v>
      </c>
      <c r="AB39" s="8">
        <v>2003</v>
      </c>
      <c r="AC39" s="9" t="s">
        <v>2498</v>
      </c>
      <c r="AD39" s="8" t="s">
        <v>3684</v>
      </c>
      <c r="AE39" s="8" t="s">
        <v>4083</v>
      </c>
      <c r="AF39" s="9">
        <f t="shared" si="8"/>
        <v>561</v>
      </c>
      <c r="AG39" s="9">
        <f t="shared" si="9"/>
        <v>394.4</v>
      </c>
      <c r="AH39" s="9">
        <f t="shared" si="10"/>
        <v>0.13777062811250179</v>
      </c>
      <c r="AI39" s="9">
        <f t="shared" si="11"/>
        <v>1.8980745970513271E-2</v>
      </c>
      <c r="AJ39" s="9">
        <f t="shared" si="12"/>
        <v>0.24999816512041909</v>
      </c>
      <c r="AK39" s="9">
        <f t="shared" si="13"/>
        <v>6.2499082563576329E-2</v>
      </c>
      <c r="AL39" s="9">
        <f t="shared" si="14"/>
        <v>0.17516751622517238</v>
      </c>
      <c r="AM39" s="9">
        <f t="shared" si="15"/>
        <v>3.0683658740496028E-2</v>
      </c>
      <c r="AN39" s="9" t="s">
        <v>2498</v>
      </c>
    </row>
    <row r="40" spans="13:40" ht="23">
      <c r="M40" s="8" t="s">
        <v>4962</v>
      </c>
      <c r="N40" s="8"/>
      <c r="O40" s="8"/>
      <c r="P40" s="8"/>
      <c r="Q40" s="8"/>
      <c r="R40" s="8"/>
      <c r="S40" s="8"/>
      <c r="T40" s="8"/>
      <c r="U40" s="8"/>
      <c r="V40" s="8"/>
      <c r="W40" s="8" t="s">
        <v>4962</v>
      </c>
      <c r="X40" s="8">
        <v>72.63</v>
      </c>
      <c r="Y40" s="8">
        <v>1.07</v>
      </c>
      <c r="Z40" s="9">
        <v>0.09</v>
      </c>
      <c r="AA40" s="8">
        <v>64</v>
      </c>
      <c r="AB40" s="8">
        <v>15815</v>
      </c>
      <c r="AC40" s="8" t="s">
        <v>4962</v>
      </c>
      <c r="AD40" s="8" t="s">
        <v>3684</v>
      </c>
      <c r="AE40" s="8" t="s">
        <v>4083</v>
      </c>
      <c r="AF40" s="9">
        <f t="shared" si="8"/>
        <v>68.48</v>
      </c>
      <c r="AG40" s="9">
        <f t="shared" si="9"/>
        <v>9.6</v>
      </c>
      <c r="AH40" s="9">
        <f t="shared" si="10"/>
        <v>0.12966647351764876</v>
      </c>
      <c r="AI40" s="9">
        <f t="shared" si="11"/>
        <v>1.6813394354503106E-2</v>
      </c>
      <c r="AJ40" s="9">
        <f t="shared" si="12"/>
        <v>3.0516710066749199E-2</v>
      </c>
      <c r="AK40" s="9">
        <f t="shared" si="13"/>
        <v>9.3126959329803188E-4</v>
      </c>
      <c r="AL40" s="9">
        <f t="shared" si="14"/>
        <v>4.2637123624788414E-3</v>
      </c>
      <c r="AM40" s="9">
        <f t="shared" si="15"/>
        <v>1.8179243109954903E-5</v>
      </c>
      <c r="AN40" s="8" t="s">
        <v>4962</v>
      </c>
    </row>
    <row r="41" spans="13:40" ht="23">
      <c r="M41" s="8" t="s">
        <v>516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8" t="s">
        <v>516</v>
      </c>
      <c r="X41" s="8">
        <v>26.73</v>
      </c>
      <c r="Y41" s="8">
        <v>1.53</v>
      </c>
      <c r="Z41" s="9">
        <v>0.31</v>
      </c>
      <c r="AA41" s="8">
        <v>63</v>
      </c>
      <c r="AB41" s="8">
        <v>13689</v>
      </c>
      <c r="AC41" s="8" t="s">
        <v>516</v>
      </c>
      <c r="AD41" s="8" t="s">
        <v>3684</v>
      </c>
      <c r="AE41" s="8" t="s">
        <v>4083</v>
      </c>
      <c r="AF41" s="9">
        <f t="shared" si="8"/>
        <v>96.39</v>
      </c>
      <c r="AG41" s="9">
        <f t="shared" si="9"/>
        <v>32.550000000000004</v>
      </c>
      <c r="AH41" s="9">
        <f t="shared" si="10"/>
        <v>0.1276404348689355</v>
      </c>
      <c r="AI41" s="9">
        <f t="shared" si="11"/>
        <v>1.6292080613530966E-2</v>
      </c>
      <c r="AJ41" s="9">
        <f t="shared" si="12"/>
        <v>4.2954230188872004E-2</v>
      </c>
      <c r="AK41" s="9">
        <f t="shared" si="13"/>
        <v>1.8450658911186031E-3</v>
      </c>
      <c r="AL41" s="9">
        <f t="shared" si="14"/>
        <v>1.4456649729029825E-2</v>
      </c>
      <c r="AM41" s="9">
        <f t="shared" si="15"/>
        <v>2.0899472138785811E-4</v>
      </c>
      <c r="AN41" s="8" t="s">
        <v>516</v>
      </c>
    </row>
    <row r="42" spans="13:40" ht="23">
      <c r="M42" s="9" t="s">
        <v>5020</v>
      </c>
      <c r="N42" s="8" t="s">
        <v>1814</v>
      </c>
      <c r="O42" s="8"/>
      <c r="P42" s="8"/>
      <c r="Q42" s="8"/>
      <c r="R42" s="8"/>
      <c r="S42" s="8"/>
      <c r="T42" s="8"/>
      <c r="U42" s="8"/>
      <c r="V42" s="8"/>
      <c r="W42" s="9" t="s">
        <v>5020</v>
      </c>
      <c r="X42" s="8">
        <v>34.340000000000003</v>
      </c>
      <c r="Y42" s="8">
        <v>1.1299999999999999</v>
      </c>
      <c r="Z42" s="9">
        <v>0.14000000000000001</v>
      </c>
      <c r="AA42" s="8">
        <v>62.3</v>
      </c>
      <c r="AB42" s="8">
        <v>23448</v>
      </c>
      <c r="AC42" s="9" t="s">
        <v>5020</v>
      </c>
      <c r="AD42" s="8" t="s">
        <v>3684</v>
      </c>
      <c r="AE42" s="8" t="s">
        <v>4083</v>
      </c>
      <c r="AF42" s="9">
        <f t="shared" si="8"/>
        <v>70.398999999999987</v>
      </c>
      <c r="AG42" s="9">
        <f t="shared" si="9"/>
        <v>14.536666666666667</v>
      </c>
      <c r="AH42" s="9">
        <f t="shared" si="10"/>
        <v>0.1262222078148362</v>
      </c>
      <c r="AI42" s="9">
        <f t="shared" si="11"/>
        <v>1.5932045745651695E-2</v>
      </c>
      <c r="AJ42" s="9">
        <f t="shared" si="12"/>
        <v>3.1371873130681606E-2</v>
      </c>
      <c r="AK42" s="9">
        <f t="shared" si="13"/>
        <v>9.841944237275824E-4</v>
      </c>
      <c r="AL42" s="9">
        <f t="shared" si="14"/>
        <v>6.4562672266563299E-3</v>
      </c>
      <c r="AM42" s="9">
        <f t="shared" si="15"/>
        <v>4.168338650199662E-5</v>
      </c>
      <c r="AN42" s="9" t="s">
        <v>5020</v>
      </c>
    </row>
    <row r="43" spans="13:40" ht="23">
      <c r="M43" s="8" t="s">
        <v>1328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8" t="s">
        <v>1328</v>
      </c>
      <c r="X43" s="8">
        <v>18.18</v>
      </c>
      <c r="Y43" s="8">
        <v>1.84</v>
      </c>
      <c r="Z43" s="9">
        <v>0.1</v>
      </c>
      <c r="AA43" s="8">
        <v>61.3</v>
      </c>
      <c r="AB43" s="8">
        <v>10912</v>
      </c>
      <c r="AC43" s="8" t="s">
        <v>1328</v>
      </c>
      <c r="AD43" s="8" t="s">
        <v>3684</v>
      </c>
      <c r="AE43" s="8" t="s">
        <v>4083</v>
      </c>
      <c r="AF43" s="9">
        <f t="shared" si="8"/>
        <v>112.792</v>
      </c>
      <c r="AG43" s="9">
        <f t="shared" si="9"/>
        <v>0.10216666666666667</v>
      </c>
      <c r="AH43" s="9">
        <f t="shared" si="10"/>
        <v>0.12419616916612296</v>
      </c>
      <c r="AI43" s="9">
        <f t="shared" si="11"/>
        <v>1.5424688435540231E-2</v>
      </c>
      <c r="AJ43" s="9">
        <f t="shared" si="12"/>
        <v>5.0263445704567394E-2</v>
      </c>
      <c r="AK43" s="9">
        <f t="shared" si="13"/>
        <v>2.5264139740959943E-3</v>
      </c>
      <c r="AL43" s="9">
        <f t="shared" si="14"/>
        <v>4.5375966635408502E-5</v>
      </c>
      <c r="AM43" s="9">
        <f t="shared" si="15"/>
        <v>2.0589783480977056E-9</v>
      </c>
      <c r="AN43" s="8" t="s">
        <v>1328</v>
      </c>
    </row>
    <row r="44" spans="13:40" ht="23">
      <c r="M44" s="8" t="s">
        <v>227</v>
      </c>
      <c r="N44" s="8" t="s">
        <v>150</v>
      </c>
      <c r="O44" s="8"/>
      <c r="P44" s="8"/>
      <c r="Q44" s="8"/>
      <c r="R44" s="8"/>
      <c r="S44" s="8"/>
      <c r="T44" s="8"/>
      <c r="U44" s="8"/>
      <c r="V44" s="8"/>
      <c r="W44" s="8" t="s">
        <v>227</v>
      </c>
      <c r="X44" s="8">
        <v>10.34</v>
      </c>
      <c r="Y44" s="8">
        <v>3.13</v>
      </c>
      <c r="Z44" s="9">
        <v>1.18</v>
      </c>
      <c r="AA44" s="8">
        <v>45.9</v>
      </c>
      <c r="AB44" s="8">
        <v>8439</v>
      </c>
      <c r="AC44" s="8" t="s">
        <v>227</v>
      </c>
      <c r="AD44" s="8" t="s">
        <v>3684</v>
      </c>
      <c r="AE44" s="8" t="s">
        <v>4083</v>
      </c>
      <c r="AF44" s="9">
        <f t="shared" si="8"/>
        <v>143.667</v>
      </c>
      <c r="AG44" s="9">
        <f t="shared" si="9"/>
        <v>59.67</v>
      </c>
      <c r="AH44" s="9">
        <f t="shared" si="10"/>
        <v>9.2995173975938719E-2</v>
      </c>
      <c r="AI44" s="9">
        <f t="shared" si="11"/>
        <v>8.6481023828151107E-3</v>
      </c>
      <c r="AJ44" s="9">
        <f t="shared" si="12"/>
        <v>6.4022257376747313E-2</v>
      </c>
      <c r="AK44" s="9">
        <f t="shared" si="13"/>
        <v>4.0988494396144758E-3</v>
      </c>
      <c r="AL44" s="9">
        <f t="shared" si="14"/>
        <v>2.6501637153032553E-2</v>
      </c>
      <c r="AM44" s="9">
        <f t="shared" si="15"/>
        <v>7.0233677179099539E-4</v>
      </c>
      <c r="AN44" s="8" t="s">
        <v>227</v>
      </c>
    </row>
    <row r="45" spans="13:40" ht="23">
      <c r="M45" s="9" t="s">
        <v>4903</v>
      </c>
      <c r="N45" s="8" t="s">
        <v>150</v>
      </c>
      <c r="O45" s="8"/>
      <c r="P45" s="8"/>
      <c r="Q45" s="8"/>
      <c r="R45" s="8"/>
      <c r="S45" s="8"/>
      <c r="T45" s="8"/>
      <c r="U45" s="8"/>
      <c r="V45" s="8"/>
      <c r="W45" s="9" t="s">
        <v>4903</v>
      </c>
      <c r="X45" s="8">
        <v>32.94</v>
      </c>
      <c r="Y45" s="8">
        <v>1.61</v>
      </c>
      <c r="Z45" s="9">
        <v>0.16</v>
      </c>
      <c r="AA45" s="8">
        <v>40.799999999999997</v>
      </c>
      <c r="AB45" s="8">
        <v>45122</v>
      </c>
      <c r="AC45" s="9" t="s">
        <v>4903</v>
      </c>
      <c r="AD45" s="8" t="s">
        <v>3684</v>
      </c>
      <c r="AE45" s="8" t="s">
        <v>4083</v>
      </c>
      <c r="AF45" s="9">
        <f t="shared" si="8"/>
        <v>65.688000000000002</v>
      </c>
      <c r="AG45" s="9">
        <f t="shared" si="9"/>
        <v>10.879999999999999</v>
      </c>
      <c r="AH45" s="9">
        <f t="shared" si="10"/>
        <v>8.2662376867501081E-2</v>
      </c>
      <c r="AI45" s="9">
        <f t="shared" si="11"/>
        <v>6.8330685493847776E-3</v>
      </c>
      <c r="AJ45" s="9">
        <f t="shared" si="12"/>
        <v>2.927251242500907E-2</v>
      </c>
      <c r="AK45" s="9">
        <f t="shared" si="13"/>
        <v>8.5687998367231044E-4</v>
      </c>
      <c r="AL45" s="9">
        <f t="shared" si="14"/>
        <v>4.8322073441426864E-3</v>
      </c>
      <c r="AM45" s="9">
        <f t="shared" si="15"/>
        <v>2.3350227816786515E-5</v>
      </c>
      <c r="AN45" s="9" t="s">
        <v>4903</v>
      </c>
    </row>
    <row r="46" spans="13:40" ht="23">
      <c r="M46" s="8" t="s">
        <v>348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348</v>
      </c>
      <c r="X46" s="8">
        <v>6.74</v>
      </c>
      <c r="Y46" s="8">
        <v>32.85</v>
      </c>
      <c r="Z46" s="9">
        <v>7.12</v>
      </c>
      <c r="AA46" s="8">
        <v>40</v>
      </c>
      <c r="AB46" s="8"/>
      <c r="AC46" s="8" t="s">
        <v>348</v>
      </c>
      <c r="AD46" s="8" t="s">
        <v>3684</v>
      </c>
      <c r="AE46" s="8" t="s">
        <v>4083</v>
      </c>
      <c r="AF46" s="9">
        <f t="shared" si="8"/>
        <v>1314</v>
      </c>
      <c r="AG46" s="9">
        <f t="shared" si="9"/>
        <v>288</v>
      </c>
      <c r="AH46" s="9">
        <f t="shared" si="10"/>
        <v>8.1041545948530469E-2</v>
      </c>
      <c r="AI46" s="9">
        <f t="shared" si="11"/>
        <v>6.567732169727775E-3</v>
      </c>
      <c r="AJ46" s="9">
        <f t="shared" si="12"/>
        <v>0.58555719958686392</v>
      </c>
      <c r="AK46" s="9">
        <f t="shared" si="13"/>
        <v>0.3428772339880104</v>
      </c>
      <c r="AL46" s="9">
        <f t="shared" si="14"/>
        <v>0.12791137087436524</v>
      </c>
      <c r="AM46" s="9">
        <f t="shared" si="15"/>
        <v>1.6361318798959412E-2</v>
      </c>
      <c r="AN46" s="8" t="s">
        <v>348</v>
      </c>
    </row>
    <row r="47" spans="13:40" ht="23">
      <c r="M47" s="8" t="s">
        <v>4898</v>
      </c>
      <c r="N47" s="8" t="s">
        <v>150</v>
      </c>
      <c r="O47" s="8"/>
      <c r="P47" s="8"/>
      <c r="Q47" s="8"/>
      <c r="R47" s="8"/>
      <c r="S47" s="8"/>
      <c r="T47" s="8"/>
      <c r="U47" s="8"/>
      <c r="V47" s="8"/>
      <c r="W47" s="8" t="s">
        <v>4898</v>
      </c>
      <c r="X47" s="8">
        <v>39.409999999999997</v>
      </c>
      <c r="Y47" s="8">
        <v>1.65</v>
      </c>
      <c r="Z47" s="9">
        <v>0.39</v>
      </c>
      <c r="AA47" s="8">
        <v>40</v>
      </c>
      <c r="AB47" s="8">
        <v>22873</v>
      </c>
      <c r="AC47" s="8" t="s">
        <v>4898</v>
      </c>
      <c r="AD47" s="8" t="s">
        <v>3684</v>
      </c>
      <c r="AE47" s="8" t="s">
        <v>4083</v>
      </c>
      <c r="AF47" s="9">
        <f t="shared" si="8"/>
        <v>66</v>
      </c>
      <c r="AG47" s="9">
        <f t="shared" si="9"/>
        <v>26</v>
      </c>
      <c r="AH47" s="9">
        <f t="shared" si="10"/>
        <v>8.1041545948530469E-2</v>
      </c>
      <c r="AI47" s="9">
        <f t="shared" si="11"/>
        <v>6.567732169727775E-3</v>
      </c>
      <c r="AJ47" s="9">
        <f t="shared" si="12"/>
        <v>2.9411548837696359E-2</v>
      </c>
      <c r="AK47" s="9">
        <f t="shared" si="13"/>
        <v>8.650392050321981E-4</v>
      </c>
      <c r="AL47" s="9">
        <f t="shared" si="14"/>
        <v>1.1547554315046863E-2</v>
      </c>
      <c r="AM47" s="9">
        <f t="shared" si="15"/>
        <v>1.3334601065895745E-4</v>
      </c>
      <c r="AN47" s="8" t="s">
        <v>4898</v>
      </c>
    </row>
    <row r="48" spans="13:40" ht="23">
      <c r="M48" s="9" t="s">
        <v>2721</v>
      </c>
      <c r="N48" s="8" t="s">
        <v>1614</v>
      </c>
      <c r="O48" s="8"/>
      <c r="P48" s="8"/>
      <c r="Q48" s="8"/>
      <c r="R48" s="8"/>
      <c r="S48" s="8"/>
      <c r="T48" s="8"/>
      <c r="U48" s="8"/>
      <c r="V48" s="8"/>
      <c r="W48" s="9" t="s">
        <v>2721</v>
      </c>
      <c r="X48" s="8">
        <v>9.39</v>
      </c>
      <c r="Y48" s="8">
        <v>1.81</v>
      </c>
      <c r="Z48" s="9">
        <v>0.01</v>
      </c>
      <c r="AA48" s="8">
        <v>39</v>
      </c>
      <c r="AB48" s="8">
        <v>36349</v>
      </c>
      <c r="AC48" s="9" t="s">
        <v>2721</v>
      </c>
      <c r="AD48" s="8" t="s">
        <v>3684</v>
      </c>
      <c r="AE48" s="8" t="s">
        <v>4083</v>
      </c>
      <c r="AF48" s="9">
        <f t="shared" si="8"/>
        <v>70.59</v>
      </c>
      <c r="AG48" s="9">
        <f t="shared" si="9"/>
        <v>0.65</v>
      </c>
      <c r="AH48" s="9">
        <f t="shared" si="10"/>
        <v>7.9015507299817211E-2</v>
      </c>
      <c r="AI48" s="9">
        <f t="shared" si="11"/>
        <v>6.243450393847467E-3</v>
      </c>
      <c r="AJ48" s="9">
        <f t="shared" si="12"/>
        <v>3.1456988370499789E-2</v>
      </c>
      <c r="AK48" s="9">
        <f t="shared" si="13"/>
        <v>9.8954211734175886E-4</v>
      </c>
      <c r="AL48" s="9">
        <f t="shared" si="14"/>
        <v>2.8868885787617157E-4</v>
      </c>
      <c r="AM48" s="9">
        <f t="shared" si="15"/>
        <v>8.3341256661848391E-8</v>
      </c>
      <c r="AN48" s="9" t="s">
        <v>2721</v>
      </c>
    </row>
    <row r="49" spans="13:40" ht="23">
      <c r="M49" s="9" t="s">
        <v>4971</v>
      </c>
      <c r="N49" s="8" t="s">
        <v>1614</v>
      </c>
      <c r="O49" s="8"/>
      <c r="P49" s="8"/>
      <c r="Q49" s="8"/>
      <c r="R49" s="8"/>
      <c r="S49" s="8"/>
      <c r="T49" s="8"/>
      <c r="U49" s="8"/>
      <c r="V49" s="8"/>
      <c r="W49" s="9" t="s">
        <v>4971</v>
      </c>
      <c r="X49" s="8">
        <v>32.31</v>
      </c>
      <c r="Y49" s="8">
        <v>1.45</v>
      </c>
      <c r="Z49" s="9">
        <v>1.03</v>
      </c>
      <c r="AA49" s="8">
        <v>37.4</v>
      </c>
      <c r="AB49" s="8">
        <v>16827</v>
      </c>
      <c r="AC49" s="9" t="s">
        <v>4971</v>
      </c>
      <c r="AD49" s="8" t="s">
        <v>3684</v>
      </c>
      <c r="AE49" s="8" t="s">
        <v>4083</v>
      </c>
      <c r="AF49" s="9">
        <f t="shared" si="8"/>
        <v>54.23</v>
      </c>
      <c r="AG49" s="9">
        <f t="shared" si="9"/>
        <v>39.270000000000003</v>
      </c>
      <c r="AH49" s="9">
        <f t="shared" si="10"/>
        <v>7.5773845461875988E-2</v>
      </c>
      <c r="AI49" s="9">
        <f t="shared" si="11"/>
        <v>5.7416756560802647E-3</v>
      </c>
      <c r="AJ49" s="9">
        <f t="shared" si="12"/>
        <v>2.4166489294973843E-2</v>
      </c>
      <c r="AK49" s="9">
        <f t="shared" si="13"/>
        <v>5.8401920484408535E-4</v>
      </c>
      <c r="AL49" s="9">
        <f t="shared" si="14"/>
        <v>1.7441248382765014E-2</v>
      </c>
      <c r="AM49" s="9">
        <f t="shared" si="15"/>
        <v>3.041971451493032E-4</v>
      </c>
      <c r="AN49" s="9" t="s">
        <v>4971</v>
      </c>
    </row>
    <row r="50" spans="13:40" ht="23">
      <c r="M50" s="9" t="s">
        <v>4972</v>
      </c>
      <c r="N50" s="8" t="s">
        <v>2003</v>
      </c>
      <c r="O50" s="8"/>
      <c r="P50" s="8"/>
      <c r="Q50" s="8"/>
      <c r="R50" s="8"/>
      <c r="S50" s="8"/>
      <c r="T50" s="8"/>
      <c r="U50" s="8"/>
      <c r="V50" s="8"/>
      <c r="W50" s="9" t="s">
        <v>4972</v>
      </c>
      <c r="X50" s="8">
        <v>54.16</v>
      </c>
      <c r="Y50" s="8">
        <v>1.08</v>
      </c>
      <c r="Z50" s="9">
        <v>0.06</v>
      </c>
      <c r="AA50" s="8">
        <v>37.299999999999997</v>
      </c>
      <c r="AB50" s="8">
        <v>45128</v>
      </c>
      <c r="AC50" s="9" t="s">
        <v>4972</v>
      </c>
      <c r="AD50" s="8" t="s">
        <v>3684</v>
      </c>
      <c r="AE50" s="8" t="s">
        <v>4083</v>
      </c>
      <c r="AF50" s="9">
        <f t="shared" si="8"/>
        <v>40.283999999999999</v>
      </c>
      <c r="AG50" s="9">
        <f t="shared" si="9"/>
        <v>3.73</v>
      </c>
      <c r="AH50" s="9">
        <f t="shared" si="10"/>
        <v>7.5571241597004665E-2</v>
      </c>
      <c r="AI50" s="9">
        <f t="shared" si="11"/>
        <v>5.7110125565128485E-3</v>
      </c>
      <c r="AJ50" s="9">
        <f t="shared" si="12"/>
        <v>1.7951739899663033E-2</v>
      </c>
      <c r="AK50" s="9">
        <f t="shared" si="13"/>
        <v>3.2226496542515372E-4</v>
      </c>
      <c r="AL50" s="9">
        <f t="shared" si="14"/>
        <v>1.6566299075047998E-3</v>
      </c>
      <c r="AM50" s="9">
        <f t="shared" si="15"/>
        <v>2.7444226504393616E-6</v>
      </c>
      <c r="AN50" s="9" t="s">
        <v>4972</v>
      </c>
    </row>
    <row r="51" spans="13:40" ht="23">
      <c r="M51" s="8" t="s">
        <v>2013</v>
      </c>
      <c r="N51" s="8" t="s">
        <v>2003</v>
      </c>
      <c r="O51" s="8"/>
      <c r="P51" s="8"/>
      <c r="Q51" s="8"/>
      <c r="R51" s="8"/>
      <c r="S51" s="8"/>
      <c r="T51" s="8"/>
      <c r="U51" s="8"/>
      <c r="V51" s="8"/>
      <c r="W51" s="8" t="s">
        <v>2013</v>
      </c>
      <c r="X51" s="8">
        <v>4.45</v>
      </c>
      <c r="Y51" s="8">
        <v>1.53</v>
      </c>
      <c r="Z51" s="9">
        <v>0.3</v>
      </c>
      <c r="AA51" s="8">
        <v>35.1</v>
      </c>
      <c r="AB51" s="8">
        <v>22090</v>
      </c>
      <c r="AC51" s="8" t="s">
        <v>2013</v>
      </c>
      <c r="AD51" s="8" t="s">
        <v>3684</v>
      </c>
      <c r="AE51" s="8" t="s">
        <v>4083</v>
      </c>
      <c r="AF51" s="9">
        <f t="shared" si="8"/>
        <v>53.703000000000003</v>
      </c>
      <c r="AG51" s="9">
        <f t="shared" si="9"/>
        <v>0.17550000000000002</v>
      </c>
      <c r="AH51" s="9">
        <f t="shared" si="10"/>
        <v>7.1113956569835504E-2</v>
      </c>
      <c r="AI51" s="9">
        <f t="shared" si="11"/>
        <v>5.0571948190164502E-3</v>
      </c>
      <c r="AJ51" s="9">
        <f t="shared" si="12"/>
        <v>2.3931642533800118E-2</v>
      </c>
      <c r="AK51" s="9">
        <f t="shared" si="13"/>
        <v>5.7272351436559094E-4</v>
      </c>
      <c r="AL51" s="9">
        <f t="shared" si="14"/>
        <v>7.7945991626566328E-5</v>
      </c>
      <c r="AM51" s="9">
        <f t="shared" si="15"/>
        <v>6.075577610648748E-9</v>
      </c>
      <c r="AN51" s="8" t="s">
        <v>2013</v>
      </c>
    </row>
    <row r="52" spans="13:40" ht="23">
      <c r="M52" s="8" t="s">
        <v>743</v>
      </c>
      <c r="N52" s="8" t="s">
        <v>150</v>
      </c>
      <c r="O52" s="8"/>
      <c r="P52" s="8"/>
      <c r="Q52" s="8"/>
      <c r="R52" s="8"/>
      <c r="S52" s="8"/>
      <c r="T52" s="8"/>
      <c r="U52" s="8"/>
      <c r="V52" s="8"/>
      <c r="W52" s="8" t="s">
        <v>743</v>
      </c>
      <c r="X52" s="8">
        <v>16.010000000000002</v>
      </c>
      <c r="Y52" s="8">
        <v>2.41</v>
      </c>
      <c r="Z52" s="9">
        <v>1.05</v>
      </c>
      <c r="AA52" s="8">
        <v>32.299999999999997</v>
      </c>
      <c r="AB52" s="8">
        <v>15060</v>
      </c>
      <c r="AC52" s="8" t="s">
        <v>743</v>
      </c>
      <c r="AD52" s="8" t="s">
        <v>3684</v>
      </c>
      <c r="AE52" s="8" t="s">
        <v>4083</v>
      </c>
      <c r="AF52" s="9">
        <f t="shared" si="8"/>
        <v>77.843000000000004</v>
      </c>
      <c r="AG52" s="9">
        <f t="shared" si="9"/>
        <v>34.99166666666666</v>
      </c>
      <c r="AH52" s="9">
        <f t="shared" si="10"/>
        <v>6.544104835343835E-2</v>
      </c>
      <c r="AI52" s="9">
        <f t="shared" si="11"/>
        <v>4.2825308095970557E-3</v>
      </c>
      <c r="AJ52" s="9">
        <f t="shared" si="12"/>
        <v>3.4689139335951483E-2</v>
      </c>
      <c r="AK52" s="9">
        <f t="shared" si="13"/>
        <v>1.2033363878690565E-3</v>
      </c>
      <c r="AL52" s="9">
        <f t="shared" si="14"/>
        <v>1.5541083515667232E-2</v>
      </c>
      <c r="AM52" s="9">
        <f t="shared" si="15"/>
        <v>2.4152527684094375E-4</v>
      </c>
      <c r="AN52" s="8" t="s">
        <v>743</v>
      </c>
    </row>
    <row r="53" spans="13:40" ht="23">
      <c r="M53" s="8" t="s">
        <v>2113</v>
      </c>
      <c r="N53" s="8" t="s">
        <v>2107</v>
      </c>
      <c r="O53" s="8"/>
      <c r="P53" s="8"/>
      <c r="Q53" s="8"/>
      <c r="R53" s="8"/>
      <c r="S53" s="8"/>
      <c r="T53" s="8"/>
      <c r="U53" s="8"/>
      <c r="V53" s="8"/>
      <c r="W53" s="8" t="s">
        <v>2113</v>
      </c>
      <c r="X53" s="8">
        <v>5.46</v>
      </c>
      <c r="Y53" s="8">
        <v>2.5</v>
      </c>
      <c r="Z53" s="9">
        <v>0.1</v>
      </c>
      <c r="AA53" s="8">
        <v>31.6</v>
      </c>
      <c r="AB53" s="8">
        <v>29768</v>
      </c>
      <c r="AC53" s="8" t="s">
        <v>2113</v>
      </c>
      <c r="AD53" s="8" t="s">
        <v>3684</v>
      </c>
      <c r="AE53" s="8" t="s">
        <v>4083</v>
      </c>
      <c r="AF53" s="9">
        <f t="shared" si="8"/>
        <v>79</v>
      </c>
      <c r="AG53" s="9">
        <f t="shared" si="9"/>
        <v>5.2666666666666674E-2</v>
      </c>
      <c r="AH53" s="9">
        <f t="shared" si="10"/>
        <v>6.4022821299339075E-2</v>
      </c>
      <c r="AI53" s="9">
        <f t="shared" si="11"/>
        <v>4.0989216471271055E-3</v>
      </c>
      <c r="AJ53" s="9">
        <f t="shared" si="12"/>
        <v>3.5204732699666862E-2</v>
      </c>
      <c r="AK53" s="9">
        <f t="shared" si="13"/>
        <v>1.2393732044549933E-3</v>
      </c>
      <c r="AL53" s="9">
        <f t="shared" si="14"/>
        <v>2.339119976637698E-5</v>
      </c>
      <c r="AM53" s="9">
        <f t="shared" si="15"/>
        <v>5.471482265105545E-10</v>
      </c>
      <c r="AN53" s="8" t="s">
        <v>2113</v>
      </c>
    </row>
    <row r="54" spans="13:40" ht="23">
      <c r="M54" s="8" t="s">
        <v>922</v>
      </c>
      <c r="N54" s="8" t="s">
        <v>150</v>
      </c>
      <c r="O54" s="8"/>
      <c r="P54" s="8"/>
      <c r="Q54" s="8"/>
      <c r="R54" s="8"/>
      <c r="S54" s="8"/>
      <c r="T54" s="8"/>
      <c r="U54" s="8"/>
      <c r="V54" s="8"/>
      <c r="W54" s="8" t="s">
        <v>922</v>
      </c>
      <c r="X54" s="8">
        <v>45.14</v>
      </c>
      <c r="Y54" s="8">
        <v>1.1499999999999999</v>
      </c>
      <c r="Z54" s="9">
        <v>0.09</v>
      </c>
      <c r="AA54" s="8">
        <v>30.7</v>
      </c>
      <c r="AB54" s="8">
        <v>34323</v>
      </c>
      <c r="AC54" s="8" t="s">
        <v>922</v>
      </c>
      <c r="AD54" s="8" t="s">
        <v>3684</v>
      </c>
      <c r="AE54" s="8" t="s">
        <v>4083</v>
      </c>
      <c r="AF54" s="9">
        <f t="shared" si="8"/>
        <v>35.305</v>
      </c>
      <c r="AG54" s="9">
        <f t="shared" si="9"/>
        <v>4.6049999999999995</v>
      </c>
      <c r="AH54" s="9">
        <f t="shared" si="10"/>
        <v>6.2199386515497133E-2</v>
      </c>
      <c r="AI54" s="9">
        <f t="shared" si="11"/>
        <v>3.8687636829042066E-3</v>
      </c>
      <c r="AJ54" s="9">
        <f t="shared" si="12"/>
        <v>1.5732950480528335E-2</v>
      </c>
      <c r="AK54" s="9">
        <f t="shared" si="13"/>
        <v>2.4752573082275676E-4</v>
      </c>
      <c r="AL54" s="9">
        <f t="shared" si="14"/>
        <v>2.0452495238765691E-3</v>
      </c>
      <c r="AM54" s="9">
        <f t="shared" si="15"/>
        <v>4.1830456149173325E-6</v>
      </c>
      <c r="AN54" s="8" t="s">
        <v>922</v>
      </c>
    </row>
    <row r="55" spans="13:40" ht="23">
      <c r="M55" s="8" t="s">
        <v>1309</v>
      </c>
      <c r="N55" s="8" t="s">
        <v>150</v>
      </c>
      <c r="O55" s="8"/>
      <c r="P55" s="8"/>
      <c r="Q55" s="8"/>
      <c r="R55" s="8"/>
      <c r="S55" s="8"/>
      <c r="T55" s="8"/>
      <c r="U55" s="8"/>
      <c r="V55" s="8"/>
      <c r="W55" s="8" t="s">
        <v>1309</v>
      </c>
      <c r="X55" s="8">
        <v>11.4</v>
      </c>
      <c r="Y55" s="8">
        <v>3.02</v>
      </c>
      <c r="Z55" s="9">
        <v>1.43</v>
      </c>
      <c r="AA55" s="8">
        <v>30.4</v>
      </c>
      <c r="AB55" s="8">
        <v>9570</v>
      </c>
      <c r="AC55" s="8" t="s">
        <v>1309</v>
      </c>
      <c r="AD55" s="8" t="s">
        <v>3684</v>
      </c>
      <c r="AE55" s="8" t="s">
        <v>4083</v>
      </c>
      <c r="AF55" s="9">
        <f t="shared" si="8"/>
        <v>91.807999999999993</v>
      </c>
      <c r="AG55" s="9">
        <f t="shared" si="9"/>
        <v>52.186666666666667</v>
      </c>
      <c r="AH55" s="9">
        <f t="shared" si="10"/>
        <v>6.1591574920883158E-2</v>
      </c>
      <c r="AI55" s="9">
        <f t="shared" si="11"/>
        <v>3.7935221012347633E-3</v>
      </c>
      <c r="AJ55" s="9">
        <f t="shared" si="12"/>
        <v>4.0912355692291326E-2</v>
      </c>
      <c r="AK55" s="9">
        <f t="shared" si="13"/>
        <v>1.6738208482925624E-3</v>
      </c>
      <c r="AL55" s="9">
        <f t="shared" si="14"/>
        <v>2.3178014148253035E-2</v>
      </c>
      <c r="AM55" s="9">
        <f t="shared" si="15"/>
        <v>5.3722033985661782E-4</v>
      </c>
      <c r="AN55" s="8" t="s">
        <v>1309</v>
      </c>
    </row>
    <row r="56" spans="13:40" ht="23">
      <c r="M56" s="9" t="s">
        <v>3138</v>
      </c>
      <c r="N56" s="8" t="s">
        <v>1869</v>
      </c>
      <c r="O56" s="8"/>
      <c r="P56" s="8"/>
      <c r="Q56" s="8"/>
      <c r="R56" s="8"/>
      <c r="S56" s="8"/>
      <c r="T56" s="8"/>
      <c r="U56" s="8"/>
      <c r="V56" s="8"/>
      <c r="W56" s="9" t="s">
        <v>3138</v>
      </c>
      <c r="X56" s="8">
        <v>19.760000000000002</v>
      </c>
      <c r="Y56" s="8">
        <v>1.77</v>
      </c>
      <c r="Z56" s="9">
        <v>0.14000000000000001</v>
      </c>
      <c r="AA56" s="8">
        <v>29.8</v>
      </c>
      <c r="AB56" s="8">
        <v>27003</v>
      </c>
      <c r="AC56" s="9" t="s">
        <v>3138</v>
      </c>
      <c r="AD56" s="8" t="s">
        <v>3684</v>
      </c>
      <c r="AE56" s="8" t="s">
        <v>4083</v>
      </c>
      <c r="AF56" s="9">
        <f t="shared" si="8"/>
        <v>52.746000000000002</v>
      </c>
      <c r="AG56" s="9">
        <f t="shared" si="9"/>
        <v>6.953333333333334</v>
      </c>
      <c r="AH56" s="9">
        <f t="shared" si="10"/>
        <v>6.0375951731655206E-2</v>
      </c>
      <c r="AI56" s="9">
        <f t="shared" si="11"/>
        <v>3.6452555475031592E-3</v>
      </c>
      <c r="AJ56" s="9">
        <f t="shared" si="12"/>
        <v>2.3505175075653521E-2</v>
      </c>
      <c r="AK56" s="9">
        <f t="shared" si="13"/>
        <v>5.5249325533712355E-4</v>
      </c>
      <c r="AL56" s="9">
        <f t="shared" si="14"/>
        <v>3.0882305514343274E-3</v>
      </c>
      <c r="AM56" s="9">
        <f t="shared" si="15"/>
        <v>9.5371679388123693E-6</v>
      </c>
      <c r="AN56" s="9" t="s">
        <v>3138</v>
      </c>
    </row>
    <row r="57" spans="13:40" ht="23">
      <c r="M57" s="24" t="s">
        <v>5078</v>
      </c>
      <c r="N57" s="24" t="s">
        <v>1990</v>
      </c>
      <c r="O57" s="24"/>
      <c r="P57" s="24"/>
      <c r="Q57" s="24"/>
      <c r="R57" s="24"/>
      <c r="S57" s="24"/>
      <c r="T57" s="24"/>
      <c r="U57" s="24"/>
      <c r="V57" s="24"/>
      <c r="W57" s="24" t="s">
        <v>5078</v>
      </c>
      <c r="X57" s="24">
        <v>39.159999999999997</v>
      </c>
      <c r="Y57" s="24">
        <v>6.6</v>
      </c>
      <c r="Z57" s="25">
        <v>8.1</v>
      </c>
      <c r="AA57" s="24">
        <v>28.7</v>
      </c>
      <c r="AB57" s="24">
        <v>3705</v>
      </c>
      <c r="AC57" s="24" t="s">
        <v>5078</v>
      </c>
      <c r="AD57" s="8" t="s">
        <v>3684</v>
      </c>
      <c r="AE57" s="8" t="s">
        <v>4083</v>
      </c>
      <c r="AF57" s="25">
        <f t="shared" si="8"/>
        <v>189.42</v>
      </c>
      <c r="AG57" s="25">
        <f t="shared" si="9"/>
        <v>229.64783333333332</v>
      </c>
      <c r="AH57" s="9">
        <f t="shared" si="10"/>
        <v>5.8147309218070611E-2</v>
      </c>
      <c r="AI57" s="25">
        <f t="shared" si="11"/>
        <v>3.3811095693019196E-3</v>
      </c>
      <c r="AJ57" s="9">
        <f t="shared" si="12"/>
        <v>8.4411145164188545E-2</v>
      </c>
      <c r="AK57" s="25">
        <f t="shared" si="13"/>
        <v>7.1252414279297108E-3</v>
      </c>
      <c r="AL57" s="9">
        <f t="shared" si="14"/>
        <v>0.1019950318749806</v>
      </c>
      <c r="AM57" s="25">
        <f t="shared" si="15"/>
        <v>1.0402986527178309E-2</v>
      </c>
      <c r="AN57" s="24" t="s">
        <v>5078</v>
      </c>
    </row>
    <row r="58" spans="13:40" ht="23">
      <c r="M58" s="8" t="s">
        <v>391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8" t="s">
        <v>391</v>
      </c>
      <c r="X58" s="8">
        <v>2.5499999999999998</v>
      </c>
      <c r="Y58" s="8">
        <v>2.95</v>
      </c>
      <c r="Z58" s="9">
        <v>1.04</v>
      </c>
      <c r="AA58" s="8">
        <v>28</v>
      </c>
      <c r="AB58" s="8">
        <v>36268</v>
      </c>
      <c r="AC58" s="8" t="s">
        <v>391</v>
      </c>
      <c r="AD58" s="8" t="s">
        <v>3684</v>
      </c>
      <c r="AE58" s="8" t="s">
        <v>4083</v>
      </c>
      <c r="AF58" s="9">
        <f t="shared" si="8"/>
        <v>82.600000000000009</v>
      </c>
      <c r="AG58" s="9">
        <f t="shared" si="9"/>
        <v>29.866666666666667</v>
      </c>
      <c r="AH58" s="9">
        <f t="shared" si="10"/>
        <v>5.672908216397133E-2</v>
      </c>
      <c r="AI58" s="9">
        <f t="shared" si="11"/>
        <v>3.2181887631666101E-3</v>
      </c>
      <c r="AJ58" s="9">
        <f t="shared" si="12"/>
        <v>3.6808998999904842E-2</v>
      </c>
      <c r="AK58" s="9">
        <f t="shared" si="13"/>
        <v>1.3549024073749956E-3</v>
      </c>
      <c r="AL58" s="9">
        <f t="shared" si="14"/>
        <v>1.3264882905489729E-2</v>
      </c>
      <c r="AM58" s="9">
        <f t="shared" si="15"/>
        <v>1.7595711849635362E-4</v>
      </c>
      <c r="AN58" s="8" t="s">
        <v>391</v>
      </c>
    </row>
    <row r="59" spans="13:40" ht="23">
      <c r="M59" s="9" t="s">
        <v>2318</v>
      </c>
      <c r="N59" s="8" t="s">
        <v>150</v>
      </c>
      <c r="O59" s="8"/>
      <c r="P59" s="8"/>
      <c r="Q59" s="8"/>
      <c r="R59" s="8"/>
      <c r="S59" s="8"/>
      <c r="T59" s="8"/>
      <c r="U59" s="8"/>
      <c r="V59" s="8"/>
      <c r="W59" s="9" t="s">
        <v>2318</v>
      </c>
      <c r="X59" s="8">
        <v>0.44</v>
      </c>
      <c r="Y59" s="8">
        <v>1.39</v>
      </c>
      <c r="Z59" s="9">
        <v>0.2</v>
      </c>
      <c r="AA59" s="8">
        <v>27.6</v>
      </c>
      <c r="AB59" s="8">
        <v>153927</v>
      </c>
      <c r="AC59" s="9" t="s">
        <v>2318</v>
      </c>
      <c r="AD59" s="8" t="s">
        <v>3684</v>
      </c>
      <c r="AE59" s="8" t="s">
        <v>4083</v>
      </c>
      <c r="AF59" s="9">
        <f t="shared" si="8"/>
        <v>38.363999999999997</v>
      </c>
      <c r="AG59" s="9">
        <f t="shared" si="9"/>
        <v>9.2000000000000012E-2</v>
      </c>
      <c r="AH59" s="9">
        <f t="shared" si="10"/>
        <v>5.5918666704486038E-2</v>
      </c>
      <c r="AI59" s="9">
        <f t="shared" si="11"/>
        <v>3.1268972860073953E-3</v>
      </c>
      <c r="AJ59" s="9">
        <f t="shared" si="12"/>
        <v>1.7096131206202774E-2</v>
      </c>
      <c r="AK59" s="9">
        <f t="shared" si="13"/>
        <v>2.9227770221970032E-4</v>
      </c>
      <c r="AL59" s="9">
        <f t="shared" si="14"/>
        <v>4.0860576807088907E-5</v>
      </c>
      <c r="AM59" s="9">
        <f t="shared" si="15"/>
        <v>1.6695867370080118E-9</v>
      </c>
      <c r="AN59" s="9" t="s">
        <v>2318</v>
      </c>
    </row>
    <row r="60" spans="13:40" ht="23">
      <c r="M60" s="8" t="s">
        <v>945</v>
      </c>
      <c r="N60" s="8" t="s">
        <v>150</v>
      </c>
      <c r="O60" s="8"/>
      <c r="P60" s="8"/>
      <c r="Q60" s="8"/>
      <c r="R60" s="8"/>
      <c r="S60" s="8"/>
      <c r="T60" s="8"/>
      <c r="U60" s="8"/>
      <c r="V60" s="8"/>
      <c r="W60" s="8" t="s">
        <v>945</v>
      </c>
      <c r="X60" s="8">
        <v>13.02</v>
      </c>
      <c r="Y60" s="8">
        <v>2.13</v>
      </c>
      <c r="Z60" s="9">
        <v>1.4</v>
      </c>
      <c r="AA60" s="8">
        <v>23.2</v>
      </c>
      <c r="AB60" s="8">
        <v>17149</v>
      </c>
      <c r="AC60" s="8" t="s">
        <v>945</v>
      </c>
      <c r="AD60" s="8" t="s">
        <v>3684</v>
      </c>
      <c r="AE60" s="8" t="s">
        <v>4083</v>
      </c>
      <c r="AF60" s="9">
        <f t="shared" si="8"/>
        <v>49.415999999999997</v>
      </c>
      <c r="AG60" s="9">
        <f t="shared" si="9"/>
        <v>23.354666666666663</v>
      </c>
      <c r="AH60" s="9">
        <f t="shared" si="10"/>
        <v>4.7004096650147674E-2</v>
      </c>
      <c r="AI60" s="9">
        <f t="shared" si="11"/>
        <v>2.2093851018964239E-3</v>
      </c>
      <c r="AJ60" s="9">
        <f t="shared" si="12"/>
        <v>2.2021228747933382E-2</v>
      </c>
      <c r="AK60" s="9">
        <f t="shared" si="13"/>
        <v>4.8493451556880766E-4</v>
      </c>
      <c r="AL60" s="9">
        <f t="shared" si="14"/>
        <v>1.0372664686274914E-2</v>
      </c>
      <c r="AM60" s="9">
        <f t="shared" si="15"/>
        <v>1.0759217269389466E-4</v>
      </c>
      <c r="AN60" s="8" t="s">
        <v>945</v>
      </c>
    </row>
    <row r="61" spans="13:40" ht="23">
      <c r="M61" s="8" t="s">
        <v>4939</v>
      </c>
      <c r="N61" s="8"/>
      <c r="O61" s="8"/>
      <c r="P61" s="8"/>
      <c r="Q61" s="8"/>
      <c r="R61" s="8"/>
      <c r="S61" s="8"/>
      <c r="T61" s="8"/>
      <c r="U61" s="8"/>
      <c r="V61" s="8"/>
      <c r="W61" s="8" t="s">
        <v>4939</v>
      </c>
      <c r="X61" s="8">
        <v>9.06</v>
      </c>
      <c r="Y61" s="8">
        <v>4.7699999999999996</v>
      </c>
      <c r="Z61" s="9">
        <v>6.03</v>
      </c>
      <c r="AA61" s="8">
        <v>21.5</v>
      </c>
      <c r="AB61" s="8">
        <v>8086</v>
      </c>
      <c r="AC61" s="8" t="s">
        <v>4939</v>
      </c>
      <c r="AD61" s="8" t="s">
        <v>3684</v>
      </c>
      <c r="AE61" s="8" t="s">
        <v>4083</v>
      </c>
      <c r="AF61" s="9">
        <f t="shared" si="8"/>
        <v>102.55499999999999</v>
      </c>
      <c r="AG61" s="9">
        <f t="shared" si="9"/>
        <v>130.07499999999999</v>
      </c>
      <c r="AH61" s="9">
        <f t="shared" si="10"/>
        <v>4.3559830947335128E-2</v>
      </c>
      <c r="AI61" s="9">
        <f t="shared" si="11"/>
        <v>1.8974588721604152E-3</v>
      </c>
      <c r="AJ61" s="9">
        <f t="shared" si="12"/>
        <v>4.5701536228029548E-2</v>
      </c>
      <c r="AK61" s="9">
        <f t="shared" si="13"/>
        <v>2.0886304136018973E-3</v>
      </c>
      <c r="AL61" s="9">
        <f t="shared" si="14"/>
        <v>5.7771081828066173E-2</v>
      </c>
      <c r="AM61" s="9">
        <f t="shared" si="15"/>
        <v>3.3374978955851178E-3</v>
      </c>
      <c r="AN61" s="8" t="s">
        <v>4939</v>
      </c>
    </row>
    <row r="62" spans="13:40" ht="23">
      <c r="M62" s="9" t="s">
        <v>664</v>
      </c>
      <c r="N62" s="8" t="s">
        <v>150</v>
      </c>
      <c r="O62" s="8"/>
      <c r="P62" s="8" t="s">
        <v>3693</v>
      </c>
      <c r="Q62" s="8"/>
      <c r="R62" s="8"/>
      <c r="S62" s="8"/>
      <c r="T62" s="8"/>
      <c r="U62" s="8"/>
      <c r="V62" s="8"/>
      <c r="W62" s="9" t="s">
        <v>664</v>
      </c>
      <c r="X62" s="8">
        <v>28.12</v>
      </c>
      <c r="Y62" s="8">
        <v>9.49</v>
      </c>
      <c r="Z62" s="9">
        <v>8.34</v>
      </c>
      <c r="AA62" s="8">
        <v>21.2</v>
      </c>
      <c r="AB62" s="8">
        <v>3330</v>
      </c>
      <c r="AC62" s="9" t="s">
        <v>664</v>
      </c>
      <c r="AD62" s="8" t="s">
        <v>3684</v>
      </c>
      <c r="AE62" s="8" t="s">
        <v>4083</v>
      </c>
      <c r="AF62" s="9">
        <f t="shared" si="8"/>
        <v>201.18799999999999</v>
      </c>
      <c r="AG62" s="9">
        <f t="shared" si="9"/>
        <v>181.61333333333332</v>
      </c>
      <c r="AH62" s="9">
        <f t="shared" si="10"/>
        <v>4.2952019352721152E-2</v>
      </c>
      <c r="AI62" s="9">
        <f t="shared" si="11"/>
        <v>1.8448759664765324E-3</v>
      </c>
      <c r="AJ62" s="9">
        <f t="shared" si="12"/>
        <v>8.9655313447855392E-2</v>
      </c>
      <c r="AK62" s="9">
        <f t="shared" si="13"/>
        <v>8.0380752294332003E-3</v>
      </c>
      <c r="AL62" s="9">
        <f t="shared" si="14"/>
        <v>8.066114734628374E-2</v>
      </c>
      <c r="AM62" s="9">
        <f t="shared" si="15"/>
        <v>6.5062206912188964E-3</v>
      </c>
      <c r="AN62" s="9" t="s">
        <v>664</v>
      </c>
    </row>
    <row r="63" spans="13:40" ht="23">
      <c r="M63" s="9" t="s">
        <v>3472</v>
      </c>
      <c r="N63" s="8" t="s">
        <v>2017</v>
      </c>
      <c r="O63" s="8"/>
      <c r="P63" s="8" t="s">
        <v>3693</v>
      </c>
      <c r="Q63" s="8"/>
      <c r="R63" s="8"/>
      <c r="S63" s="8"/>
      <c r="T63" s="8"/>
      <c r="U63" s="8"/>
      <c r="V63" s="8"/>
      <c r="W63" s="9" t="s">
        <v>3472</v>
      </c>
      <c r="X63" s="8">
        <v>4.4000000000000004</v>
      </c>
      <c r="Y63" s="8">
        <v>3.64</v>
      </c>
      <c r="Z63" s="9">
        <v>2.13</v>
      </c>
      <c r="AA63" s="8">
        <v>17.600000000000001</v>
      </c>
      <c r="AB63" s="8">
        <v>12120</v>
      </c>
      <c r="AC63" s="9" t="s">
        <v>3472</v>
      </c>
      <c r="AD63" s="8" t="s">
        <v>3684</v>
      </c>
      <c r="AE63" s="8" t="s">
        <v>4083</v>
      </c>
      <c r="AF63" s="9">
        <f t="shared" si="8"/>
        <v>64.064000000000007</v>
      </c>
      <c r="AG63" s="9">
        <f t="shared" si="9"/>
        <v>39.013333333333335</v>
      </c>
      <c r="AH63" s="9">
        <f t="shared" si="10"/>
        <v>3.5658280217353414E-2</v>
      </c>
      <c r="AI63" s="9">
        <f t="shared" si="11"/>
        <v>1.2715129480592978E-3</v>
      </c>
      <c r="AJ63" s="9">
        <f t="shared" si="12"/>
        <v>2.8548810071790606E-2</v>
      </c>
      <c r="AK63" s="9">
        <f t="shared" si="13"/>
        <v>8.1503455651517277E-4</v>
      </c>
      <c r="AL63" s="9">
        <f t="shared" si="14"/>
        <v>1.7327253295295959E-2</v>
      </c>
      <c r="AM63" s="9">
        <f t="shared" si="15"/>
        <v>3.0023370675934464E-4</v>
      </c>
      <c r="AN63" s="9" t="s">
        <v>3472</v>
      </c>
    </row>
    <row r="64" spans="13:40" ht="23">
      <c r="M64" s="8" t="s">
        <v>495</v>
      </c>
      <c r="N64" s="8" t="s">
        <v>150</v>
      </c>
      <c r="O64" s="8"/>
      <c r="P64" s="8"/>
      <c r="Q64" s="8"/>
      <c r="R64" s="8"/>
      <c r="S64" s="8"/>
      <c r="T64" s="8"/>
      <c r="U64" s="8"/>
      <c r="V64" s="8"/>
      <c r="W64" s="8" t="s">
        <v>495</v>
      </c>
      <c r="X64" s="8">
        <v>34.14</v>
      </c>
      <c r="Y64" s="8">
        <v>1.1200000000000001</v>
      </c>
      <c r="Z64" s="9">
        <v>0.25</v>
      </c>
      <c r="AA64" s="8">
        <v>13.4</v>
      </c>
      <c r="AB64" s="8">
        <v>55225</v>
      </c>
      <c r="AC64" s="8" t="s">
        <v>495</v>
      </c>
      <c r="AD64" s="8" t="s">
        <v>3684</v>
      </c>
      <c r="AE64" s="8" t="s">
        <v>4083</v>
      </c>
      <c r="AF64" s="9">
        <f t="shared" si="8"/>
        <v>15.008000000000003</v>
      </c>
      <c r="AG64" s="9">
        <f t="shared" si="9"/>
        <v>5.5833333333333339</v>
      </c>
      <c r="AH64" s="9">
        <f t="shared" si="10"/>
        <v>2.714891789275771E-2</v>
      </c>
      <c r="AI64" s="9">
        <f t="shared" si="11"/>
        <v>7.3706374274769976E-4</v>
      </c>
      <c r="AJ64" s="9">
        <f t="shared" si="12"/>
        <v>6.688007953881016E-3</v>
      </c>
      <c r="AK64" s="9">
        <f t="shared" si="13"/>
        <v>4.4729450391175735E-5</v>
      </c>
      <c r="AL64" s="9">
        <f t="shared" si="14"/>
        <v>2.4797632663722431E-3</v>
      </c>
      <c r="AM64" s="9">
        <f t="shared" si="15"/>
        <v>6.1492258572491365E-6</v>
      </c>
      <c r="AN64" s="8" t="s">
        <v>495</v>
      </c>
    </row>
    <row r="65" spans="13:40" ht="23">
      <c r="M65" s="24" t="s">
        <v>5071</v>
      </c>
      <c r="N65" s="8" t="s">
        <v>150</v>
      </c>
      <c r="O65" s="24"/>
      <c r="P65" s="24"/>
      <c r="Q65" s="24"/>
      <c r="R65" s="24"/>
      <c r="S65" s="24"/>
      <c r="T65" s="24"/>
      <c r="U65" s="24"/>
      <c r="V65" s="24"/>
      <c r="W65" s="24" t="s">
        <v>5071</v>
      </c>
      <c r="X65" s="24">
        <v>17.61</v>
      </c>
      <c r="Y65" s="24">
        <v>16.68</v>
      </c>
      <c r="Z65" s="25">
        <v>21.46</v>
      </c>
      <c r="AA65" s="24">
        <v>12.9</v>
      </c>
      <c r="AB65" s="24">
        <v>5152</v>
      </c>
      <c r="AC65" s="24" t="s">
        <v>5071</v>
      </c>
      <c r="AD65" s="8" t="s">
        <v>3684</v>
      </c>
      <c r="AE65" s="8" t="s">
        <v>4083</v>
      </c>
      <c r="AF65" s="25">
        <f t="shared" si="8"/>
        <v>215.172</v>
      </c>
      <c r="AG65" s="25">
        <f t="shared" si="9"/>
        <v>280.79000000000002</v>
      </c>
      <c r="AH65" s="9">
        <f t="shared" si="10"/>
        <v>2.6135898568401081E-2</v>
      </c>
      <c r="AI65" s="25">
        <f t="shared" si="11"/>
        <v>6.8308519397774971E-4</v>
      </c>
      <c r="AJ65" s="9">
        <f t="shared" si="12"/>
        <v>9.5886996765224261E-2</v>
      </c>
      <c r="AK65" s="25">
        <f t="shared" si="13"/>
        <v>9.1943161486541282E-3</v>
      </c>
      <c r="AL65" s="9">
        <f t="shared" si="14"/>
        <v>0.12470914523546187</v>
      </c>
      <c r="AM65" s="25">
        <f t="shared" si="15"/>
        <v>1.5552370905359521E-2</v>
      </c>
      <c r="AN65" s="24" t="s">
        <v>5071</v>
      </c>
    </row>
    <row r="66" spans="13:40" ht="23">
      <c r="M66" s="9" t="s">
        <v>2758</v>
      </c>
      <c r="N66" s="8" t="s">
        <v>1614</v>
      </c>
      <c r="O66" s="8"/>
      <c r="P66" s="8"/>
      <c r="Q66" s="8"/>
      <c r="R66" s="8"/>
      <c r="S66" s="8"/>
      <c r="T66" s="8"/>
      <c r="U66" s="8"/>
      <c r="V66" s="8"/>
      <c r="W66" s="9" t="s">
        <v>2758</v>
      </c>
      <c r="X66" s="8">
        <v>39.380000000000003</v>
      </c>
      <c r="Y66" s="8">
        <v>3.22</v>
      </c>
      <c r="Z66" s="9">
        <v>1.18</v>
      </c>
      <c r="AA66" s="8">
        <v>12.6</v>
      </c>
      <c r="AB66" s="8">
        <v>14638</v>
      </c>
      <c r="AC66" s="9" t="s">
        <v>2758</v>
      </c>
      <c r="AD66" s="8" t="s">
        <v>3684</v>
      </c>
      <c r="AE66" s="8" t="s">
        <v>4083</v>
      </c>
      <c r="AF66" s="9">
        <f t="shared" ref="AF66:AF97" si="16">(AA66*Y66)</f>
        <v>40.572000000000003</v>
      </c>
      <c r="AG66" s="9">
        <f t="shared" ref="AG66:AG97" si="17">((((RIGHT(Z66,2))/60)+(LEFT(Z66,2)))*AA66)</f>
        <v>16.38</v>
      </c>
      <c r="AH66" s="9">
        <f t="shared" ref="AH66:AH97" si="18">(AA66/$AA$116)*100</f>
        <v>2.5528086973787101E-2</v>
      </c>
      <c r="AI66" s="9">
        <f t="shared" ref="AI66:AI97" si="19">(AH66*AH66)</f>
        <v>6.516832245412387E-4</v>
      </c>
      <c r="AJ66" s="9">
        <f t="shared" ref="AJ66:AJ97" si="20">(AF66/$AF$116)*100</f>
        <v>1.8080081203682073E-2</v>
      </c>
      <c r="AK66" s="9">
        <f t="shared" ref="AK66:AK97" si="21">(AJ66*AJ66)</f>
        <v>3.2688933633173776E-4</v>
      </c>
      <c r="AL66" s="9">
        <f t="shared" ref="AL66:AL97" si="22">(AG66/$AG$116)*100</f>
        <v>7.2749592184795219E-3</v>
      </c>
      <c r="AM66" s="9">
        <f t="shared" ref="AM66:AM97" si="23">(AL66*AL66)</f>
        <v>5.292503163054018E-5</v>
      </c>
      <c r="AN66" s="9" t="s">
        <v>2758</v>
      </c>
    </row>
    <row r="67" spans="13:40" ht="23">
      <c r="M67" s="8" t="s">
        <v>1579</v>
      </c>
      <c r="N67" s="8" t="s">
        <v>150</v>
      </c>
      <c r="O67" s="8"/>
      <c r="P67" s="8" t="s">
        <v>3693</v>
      </c>
      <c r="Q67" s="8"/>
      <c r="R67" s="8"/>
      <c r="S67" s="8"/>
      <c r="T67" s="8"/>
      <c r="U67" s="8"/>
      <c r="V67" s="8"/>
      <c r="W67" s="8" t="s">
        <v>1579</v>
      </c>
      <c r="X67" s="8">
        <v>25.07</v>
      </c>
      <c r="Y67" s="8">
        <v>7.29</v>
      </c>
      <c r="Z67" s="9">
        <v>10.15</v>
      </c>
      <c r="AA67" s="8">
        <v>12.3</v>
      </c>
      <c r="AB67" s="8"/>
      <c r="AC67" s="8" t="s">
        <v>1579</v>
      </c>
      <c r="AD67" s="8" t="s">
        <v>3684</v>
      </c>
      <c r="AE67" s="8" t="s">
        <v>4083</v>
      </c>
      <c r="AF67" s="9">
        <f t="shared" si="16"/>
        <v>89.667000000000002</v>
      </c>
      <c r="AG67" s="9">
        <f t="shared" si="17"/>
        <v>126.075</v>
      </c>
      <c r="AH67" s="9">
        <f t="shared" si="18"/>
        <v>2.4920275379173126E-2</v>
      </c>
      <c r="AI67" s="9">
        <f t="shared" si="19"/>
        <v>6.2102012497382232E-4</v>
      </c>
      <c r="AJ67" s="9">
        <f t="shared" si="20"/>
        <v>3.9958262873177573E-2</v>
      </c>
      <c r="AK67" s="9">
        <f t="shared" si="21"/>
        <v>1.5966627718419612E-3</v>
      </c>
      <c r="AL67" s="9">
        <f t="shared" si="22"/>
        <v>5.5994535010366664E-2</v>
      </c>
      <c r="AM67" s="9">
        <f t="shared" si="23"/>
        <v>3.1353879510271779E-3</v>
      </c>
      <c r="AN67" s="8" t="s">
        <v>1579</v>
      </c>
    </row>
    <row r="68" spans="13:40" ht="23">
      <c r="M68" s="8" t="s">
        <v>1198</v>
      </c>
      <c r="N68" s="8" t="s">
        <v>150</v>
      </c>
      <c r="O68" s="8"/>
      <c r="P68" s="8"/>
      <c r="Q68" s="8"/>
      <c r="R68" s="8"/>
      <c r="S68" s="8"/>
      <c r="T68" s="8"/>
      <c r="U68" s="8"/>
      <c r="V68" s="8"/>
      <c r="W68" s="8" t="s">
        <v>1198</v>
      </c>
      <c r="X68" s="8">
        <v>32.659999999999997</v>
      </c>
      <c r="Y68" s="8">
        <v>6.24</v>
      </c>
      <c r="Z68" s="9">
        <v>18.46</v>
      </c>
      <c r="AA68" s="8">
        <v>10.6</v>
      </c>
      <c r="AB68" s="8">
        <v>8533</v>
      </c>
      <c r="AC68" s="8" t="s">
        <v>1198</v>
      </c>
      <c r="AD68" s="8" t="s">
        <v>3684</v>
      </c>
      <c r="AE68" s="8" t="s">
        <v>4083</v>
      </c>
      <c r="AF68" s="9">
        <f t="shared" si="16"/>
        <v>66.144000000000005</v>
      </c>
      <c r="AG68" s="9">
        <f t="shared" si="17"/>
        <v>198.92666666666665</v>
      </c>
      <c r="AH68" s="9">
        <f t="shared" si="18"/>
        <v>2.1476009676360576E-2</v>
      </c>
      <c r="AI68" s="9">
        <f t="shared" si="19"/>
        <v>4.6121899161913311E-4</v>
      </c>
      <c r="AJ68" s="9">
        <f t="shared" si="20"/>
        <v>2.9475719489705881E-2</v>
      </c>
      <c r="AK68" s="9">
        <f t="shared" si="21"/>
        <v>8.6881803943582715E-4</v>
      </c>
      <c r="AL68" s="9">
        <f t="shared" si="22"/>
        <v>8.8350634155559826E-2</v>
      </c>
      <c r="AM68" s="9">
        <f t="shared" si="23"/>
        <v>7.8058345556895744E-3</v>
      </c>
      <c r="AN68" s="8" t="s">
        <v>1198</v>
      </c>
    </row>
    <row r="69" spans="13:40" ht="23">
      <c r="M69" s="24" t="s">
        <v>2175</v>
      </c>
      <c r="N69" s="24" t="s">
        <v>150</v>
      </c>
      <c r="O69" s="24"/>
      <c r="P69" s="24"/>
      <c r="Q69" s="24"/>
      <c r="R69" s="24"/>
      <c r="S69" s="24"/>
      <c r="T69" s="24"/>
      <c r="U69" s="24"/>
      <c r="V69" s="24"/>
      <c r="W69" s="24" t="s">
        <v>2175</v>
      </c>
      <c r="X69" s="24">
        <v>36.119999999999997</v>
      </c>
      <c r="Y69" s="24">
        <v>3.01</v>
      </c>
      <c r="Z69" s="25">
        <v>3.49</v>
      </c>
      <c r="AA69" s="24">
        <v>9.9</v>
      </c>
      <c r="AB69" s="24">
        <v>17386</v>
      </c>
      <c r="AC69" s="24" t="s">
        <v>2175</v>
      </c>
      <c r="AD69" s="8" t="s">
        <v>3684</v>
      </c>
      <c r="AE69" s="8" t="s">
        <v>4083</v>
      </c>
      <c r="AF69" s="25">
        <f t="shared" si="16"/>
        <v>29.798999999999999</v>
      </c>
      <c r="AG69" s="25">
        <f t="shared" si="17"/>
        <v>37.784999999999997</v>
      </c>
      <c r="AH69" s="9">
        <f t="shared" si="18"/>
        <v>2.0057782622261294E-2</v>
      </c>
      <c r="AI69" s="25">
        <f t="shared" si="19"/>
        <v>4.0231464372188718E-4</v>
      </c>
      <c r="AJ69" s="9">
        <f t="shared" si="20"/>
        <v>1.3279314300219907E-2</v>
      </c>
      <c r="AK69" s="25">
        <f t="shared" si="21"/>
        <v>1.7634018828402491E-4</v>
      </c>
      <c r="AL69" s="9">
        <f t="shared" si="22"/>
        <v>1.6781705376694066E-2</v>
      </c>
      <c r="AM69" s="25">
        <f t="shared" si="23"/>
        <v>2.8162563535016254E-4</v>
      </c>
      <c r="AN69" s="24" t="s">
        <v>2175</v>
      </c>
    </row>
    <row r="70" spans="13:40" ht="23">
      <c r="M70" s="9" t="s">
        <v>2575</v>
      </c>
      <c r="N70" s="8" t="s">
        <v>150</v>
      </c>
      <c r="O70" s="8"/>
      <c r="P70" s="8"/>
      <c r="Q70" s="8"/>
      <c r="R70" s="8"/>
      <c r="S70" s="8"/>
      <c r="T70" s="8"/>
      <c r="U70" s="8"/>
      <c r="V70" s="8"/>
      <c r="W70" s="9" t="s">
        <v>2575</v>
      </c>
      <c r="X70" s="8">
        <v>5.43</v>
      </c>
      <c r="Y70" s="8">
        <v>1.92</v>
      </c>
      <c r="Z70" s="9">
        <v>0.14000000000000001</v>
      </c>
      <c r="AA70" s="8">
        <v>9.5</v>
      </c>
      <c r="AB70" s="8">
        <v>44433</v>
      </c>
      <c r="AC70" s="9" t="s">
        <v>2575</v>
      </c>
      <c r="AD70" s="8" t="s">
        <v>3684</v>
      </c>
      <c r="AE70" s="8" t="s">
        <v>4083</v>
      </c>
      <c r="AF70" s="9">
        <f t="shared" si="16"/>
        <v>18.239999999999998</v>
      </c>
      <c r="AG70" s="9">
        <f t="shared" si="17"/>
        <v>2.2166666666666668</v>
      </c>
      <c r="AH70" s="9">
        <f t="shared" si="18"/>
        <v>1.9247367162775988E-2</v>
      </c>
      <c r="AI70" s="9">
        <f t="shared" si="19"/>
        <v>3.7046114269870739E-4</v>
      </c>
      <c r="AJ70" s="9">
        <f t="shared" si="20"/>
        <v>8.1282825878724492E-3</v>
      </c>
      <c r="AK70" s="9">
        <f t="shared" si="21"/>
        <v>6.6068977828310433E-5</v>
      </c>
      <c r="AL70" s="9">
        <f t="shared" si="22"/>
        <v>9.8450302814181599E-4</v>
      </c>
      <c r="AM70" s="9">
        <f t="shared" si="23"/>
        <v>9.6924621242040542E-7</v>
      </c>
      <c r="AN70" s="9" t="s">
        <v>2575</v>
      </c>
    </row>
    <row r="71" spans="13:40" ht="23">
      <c r="M71" s="8" t="s">
        <v>1264</v>
      </c>
      <c r="N71" s="8" t="s">
        <v>150</v>
      </c>
      <c r="O71" s="8"/>
      <c r="P71" s="8" t="s">
        <v>3691</v>
      </c>
      <c r="Q71" s="8"/>
      <c r="R71" s="8"/>
      <c r="S71" s="8"/>
      <c r="T71" s="8"/>
      <c r="U71" s="8"/>
      <c r="V71" s="8"/>
      <c r="W71" s="8" t="s">
        <v>1264</v>
      </c>
      <c r="X71" s="8">
        <v>34.65</v>
      </c>
      <c r="Y71" s="8">
        <v>1.38</v>
      </c>
      <c r="Z71" s="9">
        <v>0.2</v>
      </c>
      <c r="AA71" s="8">
        <v>7.2</v>
      </c>
      <c r="AB71" s="8">
        <v>35113</v>
      </c>
      <c r="AC71" s="8" t="s">
        <v>1264</v>
      </c>
      <c r="AD71" s="8" t="s">
        <v>3684</v>
      </c>
      <c r="AE71" s="8" t="s">
        <v>4083</v>
      </c>
      <c r="AF71" s="9">
        <f t="shared" si="16"/>
        <v>9.9359999999999999</v>
      </c>
      <c r="AG71" s="9">
        <f t="shared" si="17"/>
        <v>2.4E-2</v>
      </c>
      <c r="AH71" s="9">
        <f t="shared" si="18"/>
        <v>1.4587478270735487E-2</v>
      </c>
      <c r="AI71" s="9">
        <f t="shared" si="19"/>
        <v>2.1279452229917999E-4</v>
      </c>
      <c r="AJ71" s="9">
        <f t="shared" si="20"/>
        <v>4.4277749886568341E-3</v>
      </c>
      <c r="AK71" s="9">
        <f t="shared" si="21"/>
        <v>1.9605191350175027E-5</v>
      </c>
      <c r="AL71" s="9">
        <f t="shared" si="22"/>
        <v>1.0659280906197104E-5</v>
      </c>
      <c r="AM71" s="9">
        <f t="shared" si="23"/>
        <v>1.1362026943721816E-10</v>
      </c>
      <c r="AN71" s="8" t="s">
        <v>1264</v>
      </c>
    </row>
    <row r="72" spans="13:40" ht="23">
      <c r="M72" s="9" t="s">
        <v>2998</v>
      </c>
      <c r="N72" s="8" t="s">
        <v>1717</v>
      </c>
      <c r="O72" s="8"/>
      <c r="P72" s="8" t="s">
        <v>3691</v>
      </c>
      <c r="Q72" s="8"/>
      <c r="R72" s="8"/>
      <c r="S72" s="8"/>
      <c r="T72" s="8"/>
      <c r="U72" s="8"/>
      <c r="V72" s="8"/>
      <c r="W72" s="9" t="s">
        <v>2998</v>
      </c>
      <c r="X72" s="8">
        <v>62.75</v>
      </c>
      <c r="Y72" s="8">
        <v>1.77</v>
      </c>
      <c r="Z72" s="9">
        <v>2.02</v>
      </c>
      <c r="AA72" s="8">
        <v>6.8</v>
      </c>
      <c r="AB72" s="8">
        <v>17573</v>
      </c>
      <c r="AC72" s="9" t="s">
        <v>2998</v>
      </c>
      <c r="AD72" s="8" t="s">
        <v>3684</v>
      </c>
      <c r="AE72" s="8" t="s">
        <v>4083</v>
      </c>
      <c r="AF72" s="9">
        <f t="shared" si="16"/>
        <v>12.036</v>
      </c>
      <c r="AG72" s="9">
        <f t="shared" si="17"/>
        <v>13.826666666666666</v>
      </c>
      <c r="AH72" s="9">
        <f t="shared" si="18"/>
        <v>1.377706281125018E-2</v>
      </c>
      <c r="AI72" s="9">
        <f t="shared" si="19"/>
        <v>1.8980745970513269E-4</v>
      </c>
      <c r="AJ72" s="9">
        <f t="shared" si="20"/>
        <v>5.3635969971289913E-3</v>
      </c>
      <c r="AK72" s="9">
        <f t="shared" si="21"/>
        <v>2.8768172747611134E-5</v>
      </c>
      <c r="AL72" s="9">
        <f t="shared" si="22"/>
        <v>6.1409301665146642E-3</v>
      </c>
      <c r="AM72" s="9">
        <f t="shared" si="23"/>
        <v>3.7711023310009818E-5</v>
      </c>
      <c r="AN72" s="9" t="s">
        <v>2998</v>
      </c>
    </row>
    <row r="73" spans="13:40" ht="23">
      <c r="M73" s="24" t="s">
        <v>2998</v>
      </c>
      <c r="N73" s="24" t="s">
        <v>1717</v>
      </c>
      <c r="O73" s="24"/>
      <c r="P73" s="24"/>
      <c r="Q73" s="24"/>
      <c r="R73" s="24"/>
      <c r="S73" s="24"/>
      <c r="T73" s="24"/>
      <c r="U73" s="24"/>
      <c r="V73" s="24"/>
      <c r="W73" s="24" t="s">
        <v>2998</v>
      </c>
      <c r="X73" s="24">
        <v>62.75</v>
      </c>
      <c r="Y73" s="24">
        <v>1.77</v>
      </c>
      <c r="Z73" s="25">
        <v>2.02</v>
      </c>
      <c r="AA73" s="24">
        <v>6.8</v>
      </c>
      <c r="AB73" s="24">
        <v>17573</v>
      </c>
      <c r="AC73" s="24" t="s">
        <v>2998</v>
      </c>
      <c r="AD73" s="8" t="s">
        <v>3684</v>
      </c>
      <c r="AE73" s="8" t="s">
        <v>4083</v>
      </c>
      <c r="AF73" s="25">
        <f t="shared" si="16"/>
        <v>12.036</v>
      </c>
      <c r="AG73" s="25">
        <f t="shared" si="17"/>
        <v>13.826666666666666</v>
      </c>
      <c r="AH73" s="9">
        <f t="shared" si="18"/>
        <v>1.377706281125018E-2</v>
      </c>
      <c r="AI73" s="25">
        <f t="shared" si="19"/>
        <v>1.8980745970513269E-4</v>
      </c>
      <c r="AJ73" s="9">
        <f t="shared" si="20"/>
        <v>5.3635969971289913E-3</v>
      </c>
      <c r="AK73" s="25">
        <f t="shared" si="21"/>
        <v>2.8768172747611134E-5</v>
      </c>
      <c r="AL73" s="9">
        <f t="shared" si="22"/>
        <v>6.1409301665146642E-3</v>
      </c>
      <c r="AM73" s="25">
        <f t="shared" si="23"/>
        <v>3.7711023310009818E-5</v>
      </c>
      <c r="AN73" s="24" t="s">
        <v>2998</v>
      </c>
    </row>
    <row r="74" spans="13:40" ht="23">
      <c r="M74" s="9" t="s">
        <v>3598</v>
      </c>
      <c r="N74" s="8" t="s">
        <v>2084</v>
      </c>
      <c r="O74" s="8"/>
      <c r="P74" s="8"/>
      <c r="Q74" s="8"/>
      <c r="R74" s="8"/>
      <c r="S74" s="8"/>
      <c r="T74" s="8"/>
      <c r="U74" s="8"/>
      <c r="V74" s="8"/>
      <c r="W74" s="9" t="s">
        <v>3598</v>
      </c>
      <c r="X74" s="8">
        <v>56.48</v>
      </c>
      <c r="Y74" s="8">
        <v>1.81</v>
      </c>
      <c r="Z74" s="9">
        <v>1.54</v>
      </c>
      <c r="AA74" s="8">
        <v>6.7</v>
      </c>
      <c r="AB74" s="8">
        <v>26784</v>
      </c>
      <c r="AC74" s="9" t="s">
        <v>3598</v>
      </c>
      <c r="AD74" s="8" t="s">
        <v>3684</v>
      </c>
      <c r="AE74" s="8" t="s">
        <v>4083</v>
      </c>
      <c r="AF74" s="9">
        <f t="shared" si="16"/>
        <v>12.127000000000001</v>
      </c>
      <c r="AG74" s="9">
        <f t="shared" si="17"/>
        <v>12.73</v>
      </c>
      <c r="AH74" s="9">
        <f t="shared" si="18"/>
        <v>1.3574458946378855E-2</v>
      </c>
      <c r="AI74" s="9">
        <f t="shared" si="19"/>
        <v>1.8426593568692494E-4</v>
      </c>
      <c r="AJ74" s="9">
        <f t="shared" si="20"/>
        <v>5.4041492841627849E-3</v>
      </c>
      <c r="AK74" s="9">
        <f t="shared" si="21"/>
        <v>2.9204829485517142E-5</v>
      </c>
      <c r="AL74" s="9">
        <f t="shared" si="22"/>
        <v>5.6538602473287141E-3</v>
      </c>
      <c r="AM74" s="9">
        <f t="shared" si="23"/>
        <v>3.1966135696323907E-5</v>
      </c>
      <c r="AN74" s="9" t="s">
        <v>3598</v>
      </c>
    </row>
    <row r="75" spans="13:40" ht="23">
      <c r="M75" s="8" t="s">
        <v>1314</v>
      </c>
      <c r="N75" s="8" t="s">
        <v>150</v>
      </c>
      <c r="O75" s="8"/>
      <c r="P75" s="8"/>
      <c r="Q75" s="8"/>
      <c r="R75" s="8"/>
      <c r="S75" s="8"/>
      <c r="T75" s="8"/>
      <c r="U75" s="8"/>
      <c r="V75" s="8"/>
      <c r="W75" s="8" t="s">
        <v>1314</v>
      </c>
      <c r="X75" s="8">
        <v>17.5</v>
      </c>
      <c r="Y75" s="8">
        <v>4.9400000000000004</v>
      </c>
      <c r="Z75" s="9">
        <v>4.13</v>
      </c>
      <c r="AA75" s="8">
        <v>6.4</v>
      </c>
      <c r="AB75" s="8">
        <v>11439</v>
      </c>
      <c r="AC75" s="8" t="s">
        <v>1314</v>
      </c>
      <c r="AD75" s="8" t="s">
        <v>3684</v>
      </c>
      <c r="AE75" s="8" t="s">
        <v>4083</v>
      </c>
      <c r="AF75" s="9">
        <f t="shared" si="16"/>
        <v>31.616000000000003</v>
      </c>
      <c r="AG75" s="9">
        <f t="shared" si="17"/>
        <v>26.986666666666668</v>
      </c>
      <c r="AH75" s="9">
        <f t="shared" si="18"/>
        <v>1.2966647351764877E-2</v>
      </c>
      <c r="AI75" s="9">
        <f t="shared" si="19"/>
        <v>1.6813394354503111E-4</v>
      </c>
      <c r="AJ75" s="9">
        <f t="shared" si="20"/>
        <v>1.4089023152312247E-2</v>
      </c>
      <c r="AK75" s="9">
        <f t="shared" si="21"/>
        <v>1.9850057338639053E-4</v>
      </c>
      <c r="AL75" s="9">
        <f t="shared" si="22"/>
        <v>1.1985769196746078E-2</v>
      </c>
      <c r="AM75" s="9">
        <f t="shared" si="23"/>
        <v>1.4365866323766714E-4</v>
      </c>
      <c r="AN75" s="8" t="s">
        <v>1314</v>
      </c>
    </row>
    <row r="76" spans="13:40" ht="23">
      <c r="M76" s="9" t="s">
        <v>2596</v>
      </c>
      <c r="N76" s="8" t="s">
        <v>150</v>
      </c>
      <c r="O76" s="8"/>
      <c r="P76" s="8"/>
      <c r="Q76" s="8"/>
      <c r="R76" s="8"/>
      <c r="S76" s="8"/>
      <c r="T76" s="8"/>
      <c r="U76" s="8"/>
      <c r="V76" s="8"/>
      <c r="W76" s="9" t="s">
        <v>2596</v>
      </c>
      <c r="X76" s="8">
        <v>60.84</v>
      </c>
      <c r="Y76" s="8">
        <v>2.09</v>
      </c>
      <c r="Z76" s="9">
        <v>2.19</v>
      </c>
      <c r="AA76" s="8">
        <v>6.4</v>
      </c>
      <c r="AB76" s="8">
        <v>22044</v>
      </c>
      <c r="AC76" s="9" t="s">
        <v>2596</v>
      </c>
      <c r="AD76" s="8" t="s">
        <v>3684</v>
      </c>
      <c r="AE76" s="8" t="s">
        <v>4083</v>
      </c>
      <c r="AF76" s="9">
        <f t="shared" si="16"/>
        <v>13.375999999999999</v>
      </c>
      <c r="AG76" s="9">
        <f t="shared" si="17"/>
        <v>14.826666666666666</v>
      </c>
      <c r="AH76" s="9">
        <f t="shared" si="18"/>
        <v>1.2966647351764877E-2</v>
      </c>
      <c r="AI76" s="9">
        <f t="shared" si="19"/>
        <v>1.6813394354503111E-4</v>
      </c>
      <c r="AJ76" s="9">
        <f t="shared" si="20"/>
        <v>5.9607405644397952E-3</v>
      </c>
      <c r="AK76" s="9">
        <f t="shared" si="21"/>
        <v>3.5530428076558047E-5</v>
      </c>
      <c r="AL76" s="9">
        <f t="shared" si="22"/>
        <v>6.5850668709395432E-3</v>
      </c>
      <c r="AM76" s="9">
        <f t="shared" si="23"/>
        <v>4.3363105694745509E-5</v>
      </c>
      <c r="AN76" s="9" t="s">
        <v>2596</v>
      </c>
    </row>
    <row r="77" spans="13:40" ht="23">
      <c r="M77" s="9" t="s">
        <v>4901</v>
      </c>
      <c r="N77" s="8" t="s">
        <v>1717</v>
      </c>
      <c r="O77" s="8"/>
      <c r="P77" s="8"/>
      <c r="Q77" s="8"/>
      <c r="R77" s="8"/>
      <c r="S77" s="8"/>
      <c r="T77" s="8"/>
      <c r="U77" s="8"/>
      <c r="V77" s="8"/>
      <c r="W77" s="9" t="s">
        <v>4901</v>
      </c>
      <c r="X77" s="8">
        <v>41.82</v>
      </c>
      <c r="Y77" s="8">
        <v>4.51</v>
      </c>
      <c r="Z77" s="9">
        <v>2.46</v>
      </c>
      <c r="AA77" s="8">
        <v>6.3</v>
      </c>
      <c r="AB77" s="8"/>
      <c r="AC77" s="9" t="s">
        <v>4901</v>
      </c>
      <c r="AD77" s="8" t="s">
        <v>3684</v>
      </c>
      <c r="AE77" s="8" t="s">
        <v>4083</v>
      </c>
      <c r="AF77" s="9">
        <f t="shared" si="16"/>
        <v>28.412999999999997</v>
      </c>
      <c r="AG77" s="9">
        <f t="shared" si="17"/>
        <v>17.43</v>
      </c>
      <c r="AH77" s="9">
        <f t="shared" si="18"/>
        <v>1.2764043486893551E-2</v>
      </c>
      <c r="AI77" s="9">
        <f t="shared" si="19"/>
        <v>1.6292080613530967E-4</v>
      </c>
      <c r="AJ77" s="9">
        <f t="shared" si="20"/>
        <v>1.2661671774628281E-2</v>
      </c>
      <c r="AK77" s="9">
        <f t="shared" si="21"/>
        <v>1.603179321284185E-4</v>
      </c>
      <c r="AL77" s="9">
        <f t="shared" si="22"/>
        <v>7.7413027581256467E-3</v>
      </c>
      <c r="AM77" s="9">
        <f t="shared" si="23"/>
        <v>5.9927768392963743E-5</v>
      </c>
      <c r="AN77" s="9" t="s">
        <v>4901</v>
      </c>
    </row>
    <row r="78" spans="13:40" ht="23">
      <c r="M78" s="9" t="s">
        <v>3411</v>
      </c>
      <c r="N78" s="8" t="s">
        <v>1990</v>
      </c>
      <c r="O78" s="8"/>
      <c r="P78" s="8"/>
      <c r="Q78" s="8"/>
      <c r="R78" s="8"/>
      <c r="S78" s="8"/>
      <c r="T78" s="8"/>
      <c r="U78" s="8"/>
      <c r="V78" s="8"/>
      <c r="W78" s="9" t="s">
        <v>3411</v>
      </c>
      <c r="X78" s="8">
        <v>19.34</v>
      </c>
      <c r="Y78" s="8">
        <v>2</v>
      </c>
      <c r="Z78" s="9">
        <v>0.23</v>
      </c>
      <c r="AA78" s="8">
        <v>6.1</v>
      </c>
      <c r="AB78" s="8">
        <v>45259</v>
      </c>
      <c r="AC78" s="9" t="s">
        <v>3411</v>
      </c>
      <c r="AD78" s="8" t="s">
        <v>3684</v>
      </c>
      <c r="AE78" s="8" t="s">
        <v>4083</v>
      </c>
      <c r="AF78" s="9">
        <f t="shared" si="16"/>
        <v>12.2</v>
      </c>
      <c r="AG78" s="9">
        <f t="shared" si="17"/>
        <v>2.3383333333333334</v>
      </c>
      <c r="AH78" s="9">
        <f t="shared" si="18"/>
        <v>1.2358835757150896E-2</v>
      </c>
      <c r="AI78" s="9">
        <f t="shared" si="19"/>
        <v>1.5274082127223157E-4</v>
      </c>
      <c r="AJ78" s="9">
        <f t="shared" si="20"/>
        <v>5.4366802396953878E-3</v>
      </c>
      <c r="AK78" s="9">
        <f t="shared" si="21"/>
        <v>2.9557492028694299E-5</v>
      </c>
      <c r="AL78" s="9">
        <f t="shared" si="22"/>
        <v>1.0385396605135093E-3</v>
      </c>
      <c r="AM78" s="9">
        <f t="shared" si="23"/>
        <v>1.0785646264595153E-6</v>
      </c>
      <c r="AN78" s="9" t="s">
        <v>3411</v>
      </c>
    </row>
    <row r="79" spans="13:40" ht="23">
      <c r="M79" s="9" t="s">
        <v>2786</v>
      </c>
      <c r="N79" s="8" t="s">
        <v>1614</v>
      </c>
      <c r="O79" s="8"/>
      <c r="P79" s="8"/>
      <c r="Q79" s="8"/>
      <c r="R79" s="8"/>
      <c r="S79" s="8"/>
      <c r="T79" s="8"/>
      <c r="U79" s="8"/>
      <c r="V79" s="8"/>
      <c r="W79" s="9" t="s">
        <v>2786</v>
      </c>
      <c r="X79" s="8">
        <v>35.36</v>
      </c>
      <c r="Y79" s="8">
        <v>3.26</v>
      </c>
      <c r="Z79" s="9">
        <v>3.35</v>
      </c>
      <c r="AA79" s="8">
        <v>5.9</v>
      </c>
      <c r="AB79" s="8">
        <v>22465</v>
      </c>
      <c r="AC79" s="9" t="s">
        <v>2786</v>
      </c>
      <c r="AD79" s="8" t="s">
        <v>3684</v>
      </c>
      <c r="AE79" s="8" t="s">
        <v>4083</v>
      </c>
      <c r="AF79" s="9">
        <f t="shared" si="16"/>
        <v>19.233999999999998</v>
      </c>
      <c r="AG79" s="9">
        <f t="shared" si="17"/>
        <v>21.141666666666669</v>
      </c>
      <c r="AH79" s="9">
        <f t="shared" si="18"/>
        <v>1.1953628027408245E-2</v>
      </c>
      <c r="AI79" s="9">
        <f t="shared" si="19"/>
        <v>1.4288922301763994E-4</v>
      </c>
      <c r="AJ79" s="9">
        <f t="shared" si="20"/>
        <v>8.5712383385492686E-3</v>
      </c>
      <c r="AK79" s="9">
        <f t="shared" si="21"/>
        <v>7.3466126656216823E-5</v>
      </c>
      <c r="AL79" s="9">
        <f t="shared" si="22"/>
        <v>9.3897901593826584E-3</v>
      </c>
      <c r="AM79" s="9">
        <f t="shared" si="23"/>
        <v>8.8168159237239416E-5</v>
      </c>
      <c r="AN79" s="9" t="s">
        <v>2786</v>
      </c>
    </row>
    <row r="80" spans="13:40" ht="23">
      <c r="M80" t="s">
        <v>5154</v>
      </c>
      <c r="N80" s="8" t="s">
        <v>150</v>
      </c>
      <c r="O80" s="8"/>
      <c r="P80" s="8"/>
      <c r="Q80" s="8"/>
      <c r="R80" s="8"/>
      <c r="S80" s="8"/>
      <c r="T80" s="8"/>
      <c r="U80" s="8"/>
      <c r="V80" s="8"/>
      <c r="W80" t="s">
        <v>5154</v>
      </c>
      <c r="X80">
        <v>28.15</v>
      </c>
      <c r="Y80">
        <v>4</v>
      </c>
      <c r="Z80">
        <v>3.22</v>
      </c>
      <c r="AA80">
        <v>4.5999999999999996</v>
      </c>
      <c r="AB80">
        <v>27291</v>
      </c>
      <c r="AC80" t="s">
        <v>5154</v>
      </c>
      <c r="AD80" s="8" t="s">
        <v>3684</v>
      </c>
      <c r="AE80" s="8" t="s">
        <v>4083</v>
      </c>
      <c r="AF80" s="9">
        <f t="shared" si="16"/>
        <v>18.399999999999999</v>
      </c>
      <c r="AG80" s="9">
        <f t="shared" si="17"/>
        <v>15.486666666666666</v>
      </c>
      <c r="AH80" s="9">
        <f t="shared" si="18"/>
        <v>9.3197777840810046E-3</v>
      </c>
      <c r="AI80" s="9">
        <f t="shared" si="19"/>
        <v>8.6858257944649839E-5</v>
      </c>
      <c r="AJ80" s="9">
        <f t="shared" si="20"/>
        <v>8.199583312327471E-3</v>
      </c>
      <c r="AK80" s="9">
        <f t="shared" si="21"/>
        <v>6.7233166495799147E-5</v>
      </c>
      <c r="AL80" s="9">
        <f t="shared" si="22"/>
        <v>6.8781970958599649E-3</v>
      </c>
      <c r="AM80" s="9">
        <f t="shared" si="23"/>
        <v>4.7309595289496452E-5</v>
      </c>
      <c r="AN80" t="s">
        <v>5154</v>
      </c>
    </row>
    <row r="81" spans="13:40" ht="23">
      <c r="M81" s="8" t="s">
        <v>4896</v>
      </c>
      <c r="N81" s="8" t="s">
        <v>150</v>
      </c>
      <c r="O81" s="8"/>
      <c r="P81" s="8"/>
      <c r="Q81" s="8"/>
      <c r="R81" s="8"/>
      <c r="S81" s="8"/>
      <c r="T81" s="8"/>
      <c r="U81" s="8"/>
      <c r="V81" s="8"/>
      <c r="W81" s="8" t="s">
        <v>4896</v>
      </c>
      <c r="X81" s="8">
        <v>18.850000000000001</v>
      </c>
      <c r="Y81" s="8">
        <v>3.27</v>
      </c>
      <c r="Z81" s="9">
        <v>2.39</v>
      </c>
      <c r="AA81" s="8">
        <v>4.5999999999999996</v>
      </c>
      <c r="AB81" s="8">
        <v>21822</v>
      </c>
      <c r="AC81" s="8" t="s">
        <v>4896</v>
      </c>
      <c r="AD81" s="8" t="s">
        <v>3684</v>
      </c>
      <c r="AE81" s="8" t="s">
        <v>4083</v>
      </c>
      <c r="AF81" s="9">
        <f t="shared" si="16"/>
        <v>15.041999999999998</v>
      </c>
      <c r="AG81" s="9">
        <f t="shared" si="17"/>
        <v>12.19</v>
      </c>
      <c r="AH81" s="9">
        <f t="shared" si="18"/>
        <v>9.3197777840810046E-3</v>
      </c>
      <c r="AI81" s="9">
        <f t="shared" si="19"/>
        <v>8.6858257944649839E-5</v>
      </c>
      <c r="AJ81" s="9">
        <f t="shared" si="20"/>
        <v>6.7031593578277069E-3</v>
      </c>
      <c r="AK81" s="9">
        <f t="shared" si="21"/>
        <v>4.4932345376433158E-5</v>
      </c>
      <c r="AL81" s="9">
        <f t="shared" si="22"/>
        <v>5.4140264269392788E-3</v>
      </c>
      <c r="AM81" s="9">
        <f t="shared" si="23"/>
        <v>2.9311682151596895E-5</v>
      </c>
      <c r="AN81" s="8" t="s">
        <v>4896</v>
      </c>
    </row>
    <row r="82" spans="13:40" ht="23">
      <c r="M82" s="8" t="s">
        <v>1045</v>
      </c>
      <c r="N82" s="8" t="s">
        <v>150</v>
      </c>
      <c r="O82" s="8"/>
      <c r="P82" s="8" t="s">
        <v>3691</v>
      </c>
      <c r="Q82" s="8"/>
      <c r="R82" s="8"/>
      <c r="S82" s="8"/>
      <c r="T82" s="8"/>
      <c r="U82" s="8"/>
      <c r="V82" s="8"/>
      <c r="W82" s="8" t="s">
        <v>1045</v>
      </c>
      <c r="X82" s="8">
        <v>40.200000000000003</v>
      </c>
      <c r="Y82" s="8">
        <v>11.22</v>
      </c>
      <c r="Z82" s="9">
        <v>10.4</v>
      </c>
      <c r="AA82" s="8">
        <v>4.3</v>
      </c>
      <c r="AB82" s="8">
        <v>16208</v>
      </c>
      <c r="AC82" s="8" t="s">
        <v>1045</v>
      </c>
      <c r="AD82" s="8" t="s">
        <v>3684</v>
      </c>
      <c r="AE82" s="8" t="s">
        <v>4083</v>
      </c>
      <c r="AF82" s="9">
        <f t="shared" si="16"/>
        <v>48.246000000000002</v>
      </c>
      <c r="AG82" s="9">
        <f t="shared" si="17"/>
        <v>43.028666666666659</v>
      </c>
      <c r="AH82" s="9">
        <f t="shared" si="18"/>
        <v>8.7119661894670269E-3</v>
      </c>
      <c r="AI82" s="9">
        <f t="shared" si="19"/>
        <v>7.5898354886416624E-5</v>
      </c>
      <c r="AJ82" s="9">
        <f t="shared" si="20"/>
        <v>2.1499842200356042E-2</v>
      </c>
      <c r="AK82" s="9">
        <f t="shared" si="21"/>
        <v>4.6224321464021054E-4</v>
      </c>
      <c r="AL82" s="9">
        <f t="shared" si="22"/>
        <v>1.9110610209129988E-2</v>
      </c>
      <c r="AM82" s="9">
        <f t="shared" si="23"/>
        <v>3.6521542256530334E-4</v>
      </c>
      <c r="AN82" s="8" t="s">
        <v>1045</v>
      </c>
    </row>
    <row r="83" spans="13:40" ht="23">
      <c r="M83" s="24" t="s">
        <v>5107</v>
      </c>
      <c r="N83" s="24" t="s">
        <v>150</v>
      </c>
      <c r="O83" s="24"/>
      <c r="P83" s="24"/>
      <c r="Q83" s="24"/>
      <c r="R83" s="24"/>
      <c r="S83" s="24"/>
      <c r="T83" s="24"/>
      <c r="U83" s="24"/>
      <c r="V83" s="24"/>
      <c r="W83" s="24" t="s">
        <v>5107</v>
      </c>
      <c r="X83" s="24">
        <v>24.56</v>
      </c>
      <c r="Y83" s="24">
        <v>5.75</v>
      </c>
      <c r="Z83" s="25">
        <v>7.19</v>
      </c>
      <c r="AA83" s="24">
        <v>4.3</v>
      </c>
      <c r="AB83" s="24">
        <v>17622</v>
      </c>
      <c r="AC83" s="24" t="s">
        <v>5107</v>
      </c>
      <c r="AD83" s="8" t="s">
        <v>3684</v>
      </c>
      <c r="AE83" s="8" t="s">
        <v>4083</v>
      </c>
      <c r="AF83" s="25">
        <f t="shared" si="16"/>
        <v>24.724999999999998</v>
      </c>
      <c r="AG83" s="25">
        <f t="shared" si="17"/>
        <v>31.461666666666666</v>
      </c>
      <c r="AH83" s="9">
        <f t="shared" si="18"/>
        <v>8.7119661894670269E-3</v>
      </c>
      <c r="AI83" s="25">
        <f t="shared" si="19"/>
        <v>7.5898354886416624E-5</v>
      </c>
      <c r="AJ83" s="9">
        <f t="shared" si="20"/>
        <v>1.1018190075940038E-2</v>
      </c>
      <c r="AK83" s="25">
        <f t="shared" si="21"/>
        <v>1.2140051254954353E-4</v>
      </c>
      <c r="AL83" s="9">
        <f t="shared" si="22"/>
        <v>1.3973280949047411E-2</v>
      </c>
      <c r="AM83" s="25">
        <f t="shared" si="23"/>
        <v>1.9525258048101133E-4</v>
      </c>
      <c r="AN83" s="24" t="s">
        <v>5107</v>
      </c>
    </row>
    <row r="84" spans="13:40" ht="23">
      <c r="M84" s="9" t="s">
        <v>3346</v>
      </c>
      <c r="N84" s="8" t="s">
        <v>1964</v>
      </c>
      <c r="O84" s="8"/>
      <c r="P84" s="8"/>
      <c r="Q84" s="8"/>
      <c r="R84" s="8"/>
      <c r="S84" s="8"/>
      <c r="T84" s="8"/>
      <c r="U84" s="8"/>
      <c r="V84" s="8"/>
      <c r="W84" s="9" t="s">
        <v>3346</v>
      </c>
      <c r="X84" s="8">
        <v>27.01</v>
      </c>
      <c r="Y84" s="8">
        <v>3.61</v>
      </c>
      <c r="Z84" s="9">
        <v>4.04</v>
      </c>
      <c r="AA84" s="8">
        <v>4.2</v>
      </c>
      <c r="AB84" s="8">
        <v>20305</v>
      </c>
      <c r="AC84" s="9" t="s">
        <v>3346</v>
      </c>
      <c r="AD84" s="8" t="s">
        <v>3684</v>
      </c>
      <c r="AE84" s="8" t="s">
        <v>4083</v>
      </c>
      <c r="AF84" s="9">
        <f t="shared" si="16"/>
        <v>15.162000000000001</v>
      </c>
      <c r="AG84" s="9">
        <f t="shared" si="17"/>
        <v>17.079999999999998</v>
      </c>
      <c r="AH84" s="9">
        <f t="shared" si="18"/>
        <v>8.5093623245957005E-3</v>
      </c>
      <c r="AI84" s="9">
        <f t="shared" si="19"/>
        <v>7.240924717124875E-5</v>
      </c>
      <c r="AJ84" s="9">
        <f t="shared" si="20"/>
        <v>6.7566349011689729E-3</v>
      </c>
      <c r="AK84" s="9">
        <f t="shared" si="21"/>
        <v>4.5652115187694658E-5</v>
      </c>
      <c r="AL84" s="9">
        <f t="shared" si="22"/>
        <v>7.5858549115769376E-3</v>
      </c>
      <c r="AM84" s="9">
        <f t="shared" si="23"/>
        <v>5.7545194739495944E-5</v>
      </c>
      <c r="AN84" s="9" t="s">
        <v>3346</v>
      </c>
    </row>
    <row r="85" spans="13:40" ht="23">
      <c r="M85" s="8" t="s">
        <v>73</v>
      </c>
      <c r="N85" s="8" t="s">
        <v>18</v>
      </c>
      <c r="O85" s="8"/>
      <c r="P85" s="8"/>
      <c r="Q85" s="8"/>
      <c r="R85" s="8"/>
      <c r="S85" s="8"/>
      <c r="T85" s="8"/>
      <c r="U85" s="8"/>
      <c r="V85" s="8"/>
      <c r="W85" s="8" t="s">
        <v>73</v>
      </c>
      <c r="X85" s="8">
        <v>16.309999999999999</v>
      </c>
      <c r="Y85" s="8">
        <v>3.97</v>
      </c>
      <c r="Z85" s="9">
        <v>4.33</v>
      </c>
      <c r="AA85" s="8">
        <v>3.7</v>
      </c>
      <c r="AB85" s="8">
        <v>24668</v>
      </c>
      <c r="AC85" s="8" t="s">
        <v>73</v>
      </c>
      <c r="AD85" s="8" t="s">
        <v>3684</v>
      </c>
      <c r="AE85" s="8" t="s">
        <v>4083</v>
      </c>
      <c r="AF85" s="9">
        <f t="shared" si="16"/>
        <v>14.689000000000002</v>
      </c>
      <c r="AG85" s="9">
        <f t="shared" si="17"/>
        <v>16.835000000000001</v>
      </c>
      <c r="AH85" s="9">
        <f t="shared" si="18"/>
        <v>7.4963430002390691E-3</v>
      </c>
      <c r="AI85" s="9">
        <f t="shared" si="19"/>
        <v>5.6195158377233291E-5</v>
      </c>
      <c r="AJ85" s="9">
        <f t="shared" si="20"/>
        <v>6.545852134498817E-3</v>
      </c>
      <c r="AK85" s="9">
        <f t="shared" si="21"/>
        <v>4.2848180166722721E-5</v>
      </c>
      <c r="AL85" s="9">
        <f t="shared" si="22"/>
        <v>7.4770414189928441E-3</v>
      </c>
      <c r="AM85" s="9">
        <f t="shared" si="23"/>
        <v>5.5906148381334525E-5</v>
      </c>
      <c r="AN85" s="8" t="s">
        <v>73</v>
      </c>
    </row>
    <row r="86" spans="13:40" ht="23">
      <c r="M86" s="8" t="s">
        <v>1384</v>
      </c>
      <c r="N86" s="8" t="s">
        <v>150</v>
      </c>
      <c r="O86" s="8"/>
      <c r="P86" s="8"/>
      <c r="Q86" s="8"/>
      <c r="R86" s="8"/>
      <c r="S86" s="8"/>
      <c r="T86" s="8"/>
      <c r="U86" s="8"/>
      <c r="V86" s="8"/>
      <c r="W86" s="8" t="s">
        <v>1384</v>
      </c>
      <c r="X86" s="8">
        <v>37.31</v>
      </c>
      <c r="Y86" s="8">
        <v>2.8</v>
      </c>
      <c r="Z86" s="9">
        <v>2.58</v>
      </c>
      <c r="AA86" s="8">
        <v>3.6</v>
      </c>
      <c r="AB86" s="8">
        <v>27988</v>
      </c>
      <c r="AC86" s="8" t="s">
        <v>1384</v>
      </c>
      <c r="AD86" s="8" t="s">
        <v>3684</v>
      </c>
      <c r="AE86" s="8" t="s">
        <v>4083</v>
      </c>
      <c r="AF86" s="9">
        <f t="shared" si="16"/>
        <v>10.08</v>
      </c>
      <c r="AG86" s="9">
        <f t="shared" si="17"/>
        <v>10.680000000000001</v>
      </c>
      <c r="AH86" s="9">
        <f t="shared" si="18"/>
        <v>7.2937391353677435E-3</v>
      </c>
      <c r="AI86" s="9">
        <f t="shared" si="19"/>
        <v>5.3198630574794997E-5</v>
      </c>
      <c r="AJ86" s="9">
        <f t="shared" si="20"/>
        <v>4.491945640666354E-3</v>
      </c>
      <c r="AK86" s="9">
        <f t="shared" si="21"/>
        <v>2.017757563870146E-5</v>
      </c>
      <c r="AL86" s="9">
        <f t="shared" si="22"/>
        <v>4.743380003257712E-3</v>
      </c>
      <c r="AM86" s="9">
        <f t="shared" si="23"/>
        <v>2.2499653855305131E-5</v>
      </c>
      <c r="AN86" s="8" t="s">
        <v>1384</v>
      </c>
    </row>
    <row r="87" spans="13:40" ht="23">
      <c r="M87" s="9" t="s">
        <v>4978</v>
      </c>
      <c r="N87" s="8" t="s">
        <v>2003</v>
      </c>
      <c r="O87" s="8"/>
      <c r="P87" s="8"/>
      <c r="Q87" s="8"/>
      <c r="R87" s="8"/>
      <c r="S87" s="8"/>
      <c r="T87" s="8"/>
      <c r="U87" s="8"/>
      <c r="V87" s="8"/>
      <c r="W87" s="9" t="s">
        <v>4978</v>
      </c>
      <c r="X87" s="8">
        <v>45</v>
      </c>
      <c r="Y87" s="8">
        <v>2.2799999999999998</v>
      </c>
      <c r="Z87" s="9">
        <v>2.16</v>
      </c>
      <c r="AA87" s="8">
        <v>3.6</v>
      </c>
      <c r="AB87" s="8">
        <v>34720</v>
      </c>
      <c r="AC87" s="9" t="s">
        <v>4978</v>
      </c>
      <c r="AD87" s="8" t="s">
        <v>3684</v>
      </c>
      <c r="AE87" s="8" t="s">
        <v>4083</v>
      </c>
      <c r="AF87" s="9">
        <f t="shared" si="16"/>
        <v>8.2080000000000002</v>
      </c>
      <c r="AG87" s="9">
        <f t="shared" si="17"/>
        <v>8.16</v>
      </c>
      <c r="AH87" s="9">
        <f t="shared" si="18"/>
        <v>7.2937391353677435E-3</v>
      </c>
      <c r="AI87" s="9">
        <f t="shared" si="19"/>
        <v>5.3198630574794997E-5</v>
      </c>
      <c r="AJ87" s="9">
        <f t="shared" si="20"/>
        <v>3.6577271645426021E-3</v>
      </c>
      <c r="AK87" s="9">
        <f t="shared" si="21"/>
        <v>1.3378968010232864E-5</v>
      </c>
      <c r="AL87" s="9">
        <f t="shared" si="22"/>
        <v>3.6241555081070152E-3</v>
      </c>
      <c r="AM87" s="9">
        <f t="shared" si="23"/>
        <v>1.3134503146942418E-5</v>
      </c>
      <c r="AN87" s="9" t="s">
        <v>4978</v>
      </c>
    </row>
    <row r="88" spans="13:40" ht="23">
      <c r="M88" s="9" t="s">
        <v>3449</v>
      </c>
      <c r="N88" s="8" t="s">
        <v>2003</v>
      </c>
      <c r="O88" s="8"/>
      <c r="P88" s="8"/>
      <c r="Q88" s="8"/>
      <c r="R88" s="8"/>
      <c r="S88" s="8"/>
      <c r="T88" s="8"/>
      <c r="U88" s="8"/>
      <c r="V88" s="8"/>
      <c r="W88" s="9" t="s">
        <v>3449</v>
      </c>
      <c r="X88" s="8">
        <v>20.47</v>
      </c>
      <c r="Y88" s="8">
        <v>6.63</v>
      </c>
      <c r="Z88" s="9">
        <v>6.55</v>
      </c>
      <c r="AA88" s="8">
        <v>3.5</v>
      </c>
      <c r="AB88" s="8">
        <v>20412</v>
      </c>
      <c r="AC88" s="9" t="s">
        <v>3449</v>
      </c>
      <c r="AD88" s="8" t="s">
        <v>3684</v>
      </c>
      <c r="AE88" s="8" t="s">
        <v>4083</v>
      </c>
      <c r="AF88" s="9">
        <f t="shared" si="16"/>
        <v>23.204999999999998</v>
      </c>
      <c r="AG88" s="9">
        <f t="shared" si="17"/>
        <v>24.208333333333336</v>
      </c>
      <c r="AH88" s="9">
        <f t="shared" si="18"/>
        <v>7.0911352704964162E-3</v>
      </c>
      <c r="AI88" s="9">
        <f t="shared" si="19"/>
        <v>5.0284199424478282E-5</v>
      </c>
      <c r="AJ88" s="9">
        <f t="shared" si="20"/>
        <v>1.0340833193617335E-2</v>
      </c>
      <c r="AK88" s="9">
        <f t="shared" si="21"/>
        <v>1.0693283113821809E-4</v>
      </c>
      <c r="AL88" s="9">
        <f t="shared" si="22"/>
        <v>1.0751809386285623E-2</v>
      </c>
      <c r="AM88" s="9">
        <f t="shared" si="23"/>
        <v>1.1560140507901961E-4</v>
      </c>
      <c r="AN88" s="9" t="s">
        <v>3449</v>
      </c>
    </row>
    <row r="89" spans="13:40" ht="23">
      <c r="M89" s="8" t="s">
        <v>1695</v>
      </c>
      <c r="N89" s="8" t="s">
        <v>1614</v>
      </c>
      <c r="O89" s="8"/>
      <c r="P89" s="8"/>
      <c r="Q89" s="8"/>
      <c r="R89" s="8"/>
      <c r="S89" s="8"/>
      <c r="T89" s="8"/>
      <c r="U89" s="8"/>
      <c r="V89" s="8"/>
      <c r="W89" s="8" t="s">
        <v>1695</v>
      </c>
      <c r="X89" s="8">
        <v>70.42</v>
      </c>
      <c r="Y89" s="8">
        <v>2.5099999999999998</v>
      </c>
      <c r="Z89" s="9">
        <v>1.22</v>
      </c>
      <c r="AA89" s="8">
        <v>3.2</v>
      </c>
      <c r="AB89" s="8">
        <v>30204</v>
      </c>
      <c r="AC89" s="8" t="s">
        <v>1695</v>
      </c>
      <c r="AD89" s="8" t="s">
        <v>3684</v>
      </c>
      <c r="AE89" s="8" t="s">
        <v>4083</v>
      </c>
      <c r="AF89" s="9">
        <f t="shared" si="16"/>
        <v>8.032</v>
      </c>
      <c r="AG89" s="9">
        <f t="shared" si="17"/>
        <v>4.373333333333334</v>
      </c>
      <c r="AH89" s="9">
        <f t="shared" si="18"/>
        <v>6.4833236758824386E-3</v>
      </c>
      <c r="AI89" s="9">
        <f t="shared" si="19"/>
        <v>4.2033485886257778E-5</v>
      </c>
      <c r="AJ89" s="9">
        <f t="shared" si="20"/>
        <v>3.5792963676420787E-3</v>
      </c>
      <c r="AK89" s="9">
        <f t="shared" si="21"/>
        <v>1.2811362487415779E-5</v>
      </c>
      <c r="AL89" s="9">
        <f t="shared" si="22"/>
        <v>1.9423578540181392E-3</v>
      </c>
      <c r="AM89" s="9">
        <f t="shared" si="23"/>
        <v>3.772754033065951E-6</v>
      </c>
      <c r="AN89" s="8" t="s">
        <v>1695</v>
      </c>
    </row>
    <row r="90" spans="13:40" ht="23">
      <c r="M90" s="9" t="s">
        <v>2366</v>
      </c>
      <c r="N90" s="8" t="s">
        <v>150</v>
      </c>
      <c r="O90" s="8"/>
      <c r="P90" s="8"/>
      <c r="Q90" s="8"/>
      <c r="R90" s="8"/>
      <c r="S90" s="8"/>
      <c r="T90" s="8"/>
      <c r="U90" s="8"/>
      <c r="V90" s="8"/>
      <c r="W90" s="9" t="s">
        <v>2366</v>
      </c>
      <c r="X90" s="8">
        <v>21.82</v>
      </c>
      <c r="Y90" s="8">
        <v>2.33</v>
      </c>
      <c r="Z90" s="9">
        <v>1.26</v>
      </c>
      <c r="AA90" s="8">
        <v>3.1</v>
      </c>
      <c r="AB90" s="8">
        <v>47441</v>
      </c>
      <c r="AC90" s="9" t="s">
        <v>2366</v>
      </c>
      <c r="AD90" s="8" t="s">
        <v>3684</v>
      </c>
      <c r="AE90" s="8" t="s">
        <v>4083</v>
      </c>
      <c r="AF90" s="9">
        <f t="shared" si="16"/>
        <v>7.2230000000000008</v>
      </c>
      <c r="AG90" s="9">
        <f t="shared" si="17"/>
        <v>4.4433333333333334</v>
      </c>
      <c r="AH90" s="9">
        <f t="shared" si="18"/>
        <v>6.2807198110111113E-3</v>
      </c>
      <c r="AI90" s="9">
        <f t="shared" si="19"/>
        <v>3.9447441344427452E-5</v>
      </c>
      <c r="AJ90" s="9">
        <f t="shared" si="20"/>
        <v>3.2187820796163768E-3</v>
      </c>
      <c r="AK90" s="9">
        <f t="shared" si="21"/>
        <v>1.0360558076059527E-5</v>
      </c>
      <c r="AL90" s="9">
        <f t="shared" si="22"/>
        <v>1.9734474233278803E-3</v>
      </c>
      <c r="AM90" s="9">
        <f t="shared" si="23"/>
        <v>3.8944947326394503E-6</v>
      </c>
      <c r="AN90" s="9" t="s">
        <v>2366</v>
      </c>
    </row>
    <row r="91" spans="13:40" ht="23">
      <c r="M91" s="9" t="s">
        <v>3319</v>
      </c>
      <c r="N91" s="8" t="s">
        <v>1939</v>
      </c>
      <c r="O91" s="8"/>
      <c r="P91" s="8"/>
      <c r="Q91" s="8"/>
      <c r="R91" s="8"/>
      <c r="S91" s="8"/>
      <c r="T91" s="8"/>
      <c r="U91" s="8"/>
      <c r="V91" s="8"/>
      <c r="W91" s="9" t="s">
        <v>3319</v>
      </c>
      <c r="X91" s="8">
        <v>39.619999999999997</v>
      </c>
      <c r="Y91" s="8">
        <v>4.3099999999999996</v>
      </c>
      <c r="Z91" s="9">
        <v>1.1299999999999999</v>
      </c>
      <c r="AA91" s="8">
        <v>3.1</v>
      </c>
      <c r="AB91" s="8">
        <v>29529</v>
      </c>
      <c r="AC91" s="9" t="s">
        <v>3319</v>
      </c>
      <c r="AD91" s="8" t="s">
        <v>3684</v>
      </c>
      <c r="AE91" s="8" t="s">
        <v>4083</v>
      </c>
      <c r="AF91" s="9">
        <f t="shared" si="16"/>
        <v>13.360999999999999</v>
      </c>
      <c r="AG91" s="9">
        <f t="shared" si="17"/>
        <v>3.7716666666666669</v>
      </c>
      <c r="AH91" s="9">
        <f t="shared" si="18"/>
        <v>6.2807198110111113E-3</v>
      </c>
      <c r="AI91" s="9">
        <f t="shared" si="19"/>
        <v>3.9447441344427452E-5</v>
      </c>
      <c r="AJ91" s="9">
        <f t="shared" si="20"/>
        <v>5.9540561215221371E-3</v>
      </c>
      <c r="AK91" s="9">
        <f t="shared" si="21"/>
        <v>3.5450784298235231E-5</v>
      </c>
      <c r="AL91" s="9">
        <f t="shared" si="22"/>
        <v>1.6751356035225034E-3</v>
      </c>
      <c r="AM91" s="9">
        <f t="shared" si="23"/>
        <v>2.8060792901887017E-6</v>
      </c>
      <c r="AN91" s="9" t="s">
        <v>3319</v>
      </c>
    </row>
    <row r="92" spans="13:40" ht="23">
      <c r="M92" s="8" t="s">
        <v>839</v>
      </c>
      <c r="N92" s="8" t="s">
        <v>150</v>
      </c>
      <c r="O92" s="8"/>
      <c r="P92" s="8"/>
      <c r="Q92" s="8"/>
      <c r="R92" s="8"/>
      <c r="S92" s="8"/>
      <c r="T92" s="8"/>
      <c r="U92" s="8"/>
      <c r="V92" s="8"/>
      <c r="W92" s="8" t="s">
        <v>839</v>
      </c>
      <c r="X92" s="8">
        <v>40.630000000000003</v>
      </c>
      <c r="Y92" s="8">
        <v>3.12</v>
      </c>
      <c r="Z92" s="9">
        <v>0.59</v>
      </c>
      <c r="AA92" s="8">
        <v>3</v>
      </c>
      <c r="AB92" s="8">
        <v>29570</v>
      </c>
      <c r="AC92" s="8" t="s">
        <v>839</v>
      </c>
      <c r="AD92" s="8" t="s">
        <v>3684</v>
      </c>
      <c r="AE92" s="8" t="s">
        <v>4083</v>
      </c>
      <c r="AF92" s="9">
        <f t="shared" si="16"/>
        <v>9.36</v>
      </c>
      <c r="AG92" s="9">
        <f t="shared" si="17"/>
        <v>2.9499999999999997</v>
      </c>
      <c r="AH92" s="9">
        <f t="shared" si="18"/>
        <v>6.0781159461397857E-3</v>
      </c>
      <c r="AI92" s="9">
        <f t="shared" si="19"/>
        <v>3.6943493454718745E-5</v>
      </c>
      <c r="AJ92" s="9">
        <f t="shared" si="20"/>
        <v>4.1710923806187565E-3</v>
      </c>
      <c r="AK92" s="9">
        <f t="shared" si="21"/>
        <v>1.7398011647655847E-5</v>
      </c>
      <c r="AL92" s="9">
        <f t="shared" si="22"/>
        <v>1.3102032780533939E-3</v>
      </c>
      <c r="AM92" s="9">
        <f t="shared" si="23"/>
        <v>1.716632629821859E-6</v>
      </c>
      <c r="AN92" s="8" t="s">
        <v>839</v>
      </c>
    </row>
    <row r="93" spans="13:40" ht="23">
      <c r="M93" s="24" t="s">
        <v>5124</v>
      </c>
      <c r="N93" s="24" t="s">
        <v>150</v>
      </c>
      <c r="O93" s="24"/>
      <c r="P93" s="24"/>
      <c r="Q93" s="24"/>
      <c r="R93" s="24"/>
      <c r="S93" s="24"/>
      <c r="T93" s="24"/>
      <c r="U93" s="24"/>
      <c r="V93" s="24"/>
      <c r="W93" s="24" t="s">
        <v>5124</v>
      </c>
      <c r="X93" s="24">
        <v>15.88</v>
      </c>
      <c r="Y93" s="24">
        <v>1.84</v>
      </c>
      <c r="Z93" s="25">
        <v>1.08</v>
      </c>
      <c r="AA93" s="24">
        <v>2.9</v>
      </c>
      <c r="AB93" s="24"/>
      <c r="AC93" s="24" t="s">
        <v>5124</v>
      </c>
      <c r="AD93" s="8" t="s">
        <v>3684</v>
      </c>
      <c r="AE93" s="8" t="s">
        <v>4083</v>
      </c>
      <c r="AF93" s="25">
        <f t="shared" si="16"/>
        <v>5.3360000000000003</v>
      </c>
      <c r="AG93" s="25">
        <f t="shared" si="17"/>
        <v>3.2866666666666666</v>
      </c>
      <c r="AH93" s="9">
        <f t="shared" si="18"/>
        <v>5.8755120812684592E-3</v>
      </c>
      <c r="AI93" s="25">
        <f t="shared" si="19"/>
        <v>3.4521642217131624E-5</v>
      </c>
      <c r="AJ93" s="9">
        <f t="shared" si="20"/>
        <v>2.3778791605749664E-3</v>
      </c>
      <c r="AK93" s="25">
        <f t="shared" si="21"/>
        <v>5.6543093022967066E-6</v>
      </c>
      <c r="AL93" s="9">
        <f t="shared" si="22"/>
        <v>1.4597293018764367E-3</v>
      </c>
      <c r="AM93" s="25">
        <f t="shared" si="23"/>
        <v>2.1308096347566694E-6</v>
      </c>
      <c r="AN93" s="24" t="s">
        <v>5124</v>
      </c>
    </row>
    <row r="94" spans="13:40" ht="23">
      <c r="M94" s="9" t="s">
        <v>3208</v>
      </c>
      <c r="N94" s="8" t="s">
        <v>1902</v>
      </c>
      <c r="O94" s="8"/>
      <c r="P94" s="8"/>
      <c r="Q94" s="8"/>
      <c r="R94" s="8"/>
      <c r="S94" s="8"/>
      <c r="T94" s="8"/>
      <c r="U94" s="8"/>
      <c r="V94" s="8"/>
      <c r="W94" s="9" t="s">
        <v>3208</v>
      </c>
      <c r="X94" s="8">
        <v>39.950000000000003</v>
      </c>
      <c r="Y94" s="8">
        <v>6.04</v>
      </c>
      <c r="Z94" s="9">
        <v>5.0199999999999996</v>
      </c>
      <c r="AA94" s="8">
        <v>2.8</v>
      </c>
      <c r="AB94" s="8">
        <v>21285</v>
      </c>
      <c r="AC94" s="9" t="s">
        <v>3208</v>
      </c>
      <c r="AD94" s="8" t="s">
        <v>3684</v>
      </c>
      <c r="AE94" s="8" t="s">
        <v>4083</v>
      </c>
      <c r="AF94" s="9">
        <f t="shared" si="16"/>
        <v>16.911999999999999</v>
      </c>
      <c r="AG94" s="9">
        <f t="shared" si="17"/>
        <v>14.093333333333332</v>
      </c>
      <c r="AH94" s="9">
        <f t="shared" si="18"/>
        <v>5.6729082163971328E-3</v>
      </c>
      <c r="AI94" s="9">
        <f t="shared" si="19"/>
        <v>3.2181887631666101E-5</v>
      </c>
      <c r="AJ94" s="9">
        <f t="shared" si="20"/>
        <v>7.5364865748957701E-3</v>
      </c>
      <c r="AK94" s="9">
        <f t="shared" si="21"/>
        <v>5.6798629893584178E-5</v>
      </c>
      <c r="AL94" s="9">
        <f t="shared" si="22"/>
        <v>6.2593666210279657E-3</v>
      </c>
      <c r="AM94" s="9">
        <f t="shared" si="23"/>
        <v>3.9179670496439056E-5</v>
      </c>
      <c r="AN94" s="9" t="s">
        <v>3208</v>
      </c>
    </row>
    <row r="95" spans="13:40" ht="23">
      <c r="M95" s="8" t="s">
        <v>1083</v>
      </c>
      <c r="N95" s="8" t="s">
        <v>150</v>
      </c>
      <c r="O95" s="8"/>
      <c r="P95" s="8"/>
      <c r="Q95" s="8"/>
      <c r="R95" s="8"/>
      <c r="S95" s="8"/>
      <c r="T95" s="8"/>
      <c r="U95" s="8"/>
      <c r="V95" s="8"/>
      <c r="W95" s="8" t="s">
        <v>1083</v>
      </c>
      <c r="X95" s="8">
        <v>25.88</v>
      </c>
      <c r="Y95" s="8">
        <v>3.08</v>
      </c>
      <c r="Z95" s="9">
        <v>2.46</v>
      </c>
      <c r="AA95" s="8">
        <v>2.8</v>
      </c>
      <c r="AB95" s="8">
        <v>29869</v>
      </c>
      <c r="AC95" s="8" t="s">
        <v>1083</v>
      </c>
      <c r="AD95" s="8" t="s">
        <v>3684</v>
      </c>
      <c r="AE95" s="8" t="s">
        <v>4083</v>
      </c>
      <c r="AF95" s="9">
        <f t="shared" si="16"/>
        <v>8.6239999999999988</v>
      </c>
      <c r="AG95" s="9">
        <f t="shared" si="17"/>
        <v>7.7466666666666661</v>
      </c>
      <c r="AH95" s="9">
        <f t="shared" si="18"/>
        <v>5.6729082163971328E-3</v>
      </c>
      <c r="AI95" s="9">
        <f t="shared" si="19"/>
        <v>3.2181887631666101E-5</v>
      </c>
      <c r="AJ95" s="9">
        <f t="shared" si="20"/>
        <v>3.8431090481256575E-3</v>
      </c>
      <c r="AK95" s="9">
        <f t="shared" si="21"/>
        <v>1.4769487155785298E-5</v>
      </c>
      <c r="AL95" s="9">
        <f t="shared" si="22"/>
        <v>3.4405790036113981E-3</v>
      </c>
      <c r="AM95" s="9">
        <f t="shared" si="23"/>
        <v>1.1837583880091601E-5</v>
      </c>
      <c r="AN95" s="8" t="s">
        <v>1083</v>
      </c>
    </row>
    <row r="96" spans="13:40" ht="23">
      <c r="M96" s="24" t="s">
        <v>5100</v>
      </c>
      <c r="N96" s="24" t="s">
        <v>150</v>
      </c>
      <c r="O96" s="24"/>
      <c r="P96" s="24"/>
      <c r="Q96" s="24"/>
      <c r="R96" s="24"/>
      <c r="S96" s="24"/>
      <c r="T96" s="24"/>
      <c r="U96" s="24"/>
      <c r="V96" s="24"/>
      <c r="W96" s="24" t="s">
        <v>5100</v>
      </c>
      <c r="X96" s="24">
        <v>22.73</v>
      </c>
      <c r="Y96" s="24">
        <v>5.86</v>
      </c>
      <c r="Z96" s="25">
        <v>8.23</v>
      </c>
      <c r="AA96" s="24">
        <v>2.6</v>
      </c>
      <c r="AB96" s="24">
        <v>25870</v>
      </c>
      <c r="AC96" s="24" t="s">
        <v>5100</v>
      </c>
      <c r="AD96" s="8" t="s">
        <v>3684</v>
      </c>
      <c r="AE96" s="8" t="s">
        <v>4083</v>
      </c>
      <c r="AF96" s="25">
        <f t="shared" si="16"/>
        <v>15.236000000000001</v>
      </c>
      <c r="AG96" s="25">
        <f t="shared" si="17"/>
        <v>21.796666666666667</v>
      </c>
      <c r="AH96" s="9">
        <f t="shared" si="18"/>
        <v>5.2677004866544816E-3</v>
      </c>
      <c r="AI96" s="25">
        <f t="shared" si="19"/>
        <v>2.7748668417099864E-5</v>
      </c>
      <c r="AJ96" s="9">
        <f t="shared" si="20"/>
        <v>6.7896114862294214E-3</v>
      </c>
      <c r="AK96" s="25">
        <f t="shared" si="21"/>
        <v>4.6098824133938493E-5</v>
      </c>
      <c r="AL96" s="9">
        <f t="shared" si="22"/>
        <v>9.6806997007809533E-3</v>
      </c>
      <c r="AM96" s="25">
        <f t="shared" si="23"/>
        <v>9.3715946696700436E-5</v>
      </c>
      <c r="AN96" s="24" t="s">
        <v>5100</v>
      </c>
    </row>
    <row r="97" spans="13:40" ht="23">
      <c r="M97" s="9" t="s">
        <v>2269</v>
      </c>
      <c r="N97" s="8" t="s">
        <v>150</v>
      </c>
      <c r="O97" s="8"/>
      <c r="P97" s="8"/>
      <c r="Q97" s="8"/>
      <c r="R97" s="8"/>
      <c r="S97" s="8"/>
      <c r="T97" s="8"/>
      <c r="U97" s="8"/>
      <c r="V97" s="8"/>
      <c r="W97" s="9" t="s">
        <v>2269</v>
      </c>
      <c r="X97" s="8">
        <v>34.53</v>
      </c>
      <c r="Y97" s="8">
        <v>2.5099999999999998</v>
      </c>
      <c r="Z97" s="9">
        <v>3.29</v>
      </c>
      <c r="AA97" s="8">
        <v>2.6</v>
      </c>
      <c r="AB97" s="8">
        <v>35848</v>
      </c>
      <c r="AC97" s="9" t="s">
        <v>2269</v>
      </c>
      <c r="AD97" s="8" t="s">
        <v>3684</v>
      </c>
      <c r="AE97" s="8" t="s">
        <v>4083</v>
      </c>
      <c r="AF97" s="9">
        <f t="shared" si="16"/>
        <v>6.5259999999999998</v>
      </c>
      <c r="AG97" s="9">
        <f t="shared" si="17"/>
        <v>9.0566666666666666</v>
      </c>
      <c r="AH97" s="9">
        <f t="shared" si="18"/>
        <v>5.2677004866544816E-3</v>
      </c>
      <c r="AI97" s="9">
        <f t="shared" si="19"/>
        <v>2.7748668417099864E-5</v>
      </c>
      <c r="AJ97" s="9">
        <f t="shared" si="20"/>
        <v>2.9081782987091884E-3</v>
      </c>
      <c r="AK97" s="9">
        <f t="shared" si="21"/>
        <v>8.4575010170830699E-6</v>
      </c>
      <c r="AL97" s="9">
        <f t="shared" si="22"/>
        <v>4.0223980864079901E-3</v>
      </c>
      <c r="AM97" s="9">
        <f t="shared" si="23"/>
        <v>1.6179686365538659E-5</v>
      </c>
      <c r="AN97" s="9" t="s">
        <v>2269</v>
      </c>
    </row>
    <row r="98" spans="13:40" ht="23">
      <c r="M98" s="9" t="s">
        <v>2958</v>
      </c>
      <c r="N98" s="8" t="s">
        <v>1717</v>
      </c>
      <c r="O98" s="8"/>
      <c r="P98" s="8"/>
      <c r="Q98" s="8"/>
      <c r="R98" s="8"/>
      <c r="S98" s="8"/>
      <c r="T98" s="8"/>
      <c r="U98" s="8"/>
      <c r="V98" s="8"/>
      <c r="W98" s="9" t="s">
        <v>2958</v>
      </c>
      <c r="X98" s="8">
        <v>55.16</v>
      </c>
      <c r="Y98" s="8">
        <v>1.56</v>
      </c>
      <c r="Z98" s="9">
        <v>1.37</v>
      </c>
      <c r="AA98" s="8">
        <v>2.6</v>
      </c>
      <c r="AB98" s="8">
        <v>46600</v>
      </c>
      <c r="AC98" s="9" t="s">
        <v>2958</v>
      </c>
      <c r="AD98" s="8" t="s">
        <v>3684</v>
      </c>
      <c r="AE98" s="8" t="s">
        <v>4083</v>
      </c>
      <c r="AF98" s="9">
        <f t="shared" ref="AF98:AF115" si="24">(AA98*Y98)</f>
        <v>4.056</v>
      </c>
      <c r="AG98" s="9">
        <f t="shared" ref="AG98:AG115" si="25">((((RIGHT(Z98,2))/60)+(LEFT(Z98,2)))*AA98)</f>
        <v>4.2033333333333331</v>
      </c>
      <c r="AH98" s="9">
        <f t="shared" ref="AH98:AH115" si="26">(AA98/$AA$116)*100</f>
        <v>5.2677004866544816E-3</v>
      </c>
      <c r="AI98" s="9">
        <f t="shared" ref="AI98:AI115" si="27">(AH98*AH98)</f>
        <v>2.7748668417099864E-5</v>
      </c>
      <c r="AJ98" s="9">
        <f t="shared" ref="AJ98:AJ115" si="28">(AF98/$AF$116)*100</f>
        <v>1.8074733649347944E-3</v>
      </c>
      <c r="AK98" s="9">
        <f t="shared" ref="AK98:AK115" si="29">(AJ98*AJ98)</f>
        <v>3.2669599649487085E-6</v>
      </c>
      <c r="AL98" s="9">
        <f t="shared" ref="AL98:AL115" si="30">(AG98/$AG$116)*100</f>
        <v>1.8668546142659092E-3</v>
      </c>
      <c r="AM98" s="9">
        <f t="shared" ref="AM98:AM115" si="31">(AL98*AL98)</f>
        <v>3.4851461508059169E-6</v>
      </c>
      <c r="AN98" s="9" t="s">
        <v>2958</v>
      </c>
    </row>
    <row r="99" spans="13:40" ht="23">
      <c r="M99" s="9" t="s">
        <v>2764</v>
      </c>
      <c r="N99" s="8" t="s">
        <v>1614</v>
      </c>
      <c r="O99" s="8"/>
      <c r="P99" s="8"/>
      <c r="Q99" s="8"/>
      <c r="R99" s="8"/>
      <c r="S99" s="8"/>
      <c r="T99" s="8"/>
      <c r="U99" s="8"/>
      <c r="V99" s="8"/>
      <c r="W99" s="9" t="s">
        <v>2764</v>
      </c>
      <c r="X99" s="8">
        <v>54.66</v>
      </c>
      <c r="Y99" s="8">
        <v>1.71</v>
      </c>
      <c r="Z99" s="9">
        <v>1.29</v>
      </c>
      <c r="AA99" s="8">
        <v>2.6</v>
      </c>
      <c r="AB99" s="8">
        <v>37965</v>
      </c>
      <c r="AC99" s="9" t="s">
        <v>2764</v>
      </c>
      <c r="AD99" s="8" t="s">
        <v>3684</v>
      </c>
      <c r="AE99" s="8" t="s">
        <v>4083</v>
      </c>
      <c r="AF99" s="9">
        <f t="shared" si="24"/>
        <v>4.4459999999999997</v>
      </c>
      <c r="AG99" s="9">
        <f t="shared" si="25"/>
        <v>3.8566666666666669</v>
      </c>
      <c r="AH99" s="9">
        <f t="shared" si="26"/>
        <v>5.2677004866544816E-3</v>
      </c>
      <c r="AI99" s="9">
        <f t="shared" si="27"/>
        <v>2.7748668417099864E-5</v>
      </c>
      <c r="AJ99" s="9">
        <f t="shared" si="28"/>
        <v>1.9812688807939092E-3</v>
      </c>
      <c r="AK99" s="9">
        <f t="shared" si="29"/>
        <v>3.9254263780023491E-6</v>
      </c>
      <c r="AL99" s="9">
        <f t="shared" si="30"/>
        <v>1.7128872233986179E-3</v>
      </c>
      <c r="AM99" s="9">
        <f t="shared" si="31"/>
        <v>2.9339826400822269E-6</v>
      </c>
      <c r="AN99" s="9" t="s">
        <v>2764</v>
      </c>
    </row>
    <row r="100" spans="13:40" ht="23">
      <c r="M100" s="24" t="s">
        <v>5065</v>
      </c>
      <c r="N100" s="24" t="s">
        <v>1814</v>
      </c>
      <c r="O100" s="24"/>
      <c r="P100" s="24"/>
      <c r="Q100" s="24"/>
      <c r="R100" s="24"/>
      <c r="S100" s="24"/>
      <c r="T100" s="24"/>
      <c r="U100" s="24"/>
      <c r="V100" s="24"/>
      <c r="W100" s="24" t="s">
        <v>5065</v>
      </c>
      <c r="X100" s="24">
        <v>21.84</v>
      </c>
      <c r="Y100" s="24">
        <v>5.19</v>
      </c>
      <c r="Z100" s="25">
        <v>9.06</v>
      </c>
      <c r="AA100" s="24">
        <v>2.5</v>
      </c>
      <c r="AB100" s="24">
        <v>55029</v>
      </c>
      <c r="AC100" s="24" t="s">
        <v>5065</v>
      </c>
      <c r="AD100" s="8" t="s">
        <v>3684</v>
      </c>
      <c r="AE100" s="8" t="s">
        <v>4083</v>
      </c>
      <c r="AF100" s="25">
        <f t="shared" si="24"/>
        <v>12.975000000000001</v>
      </c>
      <c r="AG100" s="25">
        <f t="shared" si="25"/>
        <v>22.75</v>
      </c>
      <c r="AH100" s="9">
        <f t="shared" si="26"/>
        <v>5.0650966217831543E-3</v>
      </c>
      <c r="AI100" s="25">
        <f t="shared" si="27"/>
        <v>2.5655203787999121E-5</v>
      </c>
      <c r="AJ100" s="9">
        <f t="shared" si="28"/>
        <v>5.7820431237743993E-3</v>
      </c>
      <c r="AK100" s="25">
        <f t="shared" si="29"/>
        <v>3.3432022685186813E-5</v>
      </c>
      <c r="AL100" s="9">
        <f t="shared" si="30"/>
        <v>1.0104110025666004E-2</v>
      </c>
      <c r="AM100" s="25">
        <f t="shared" si="31"/>
        <v>1.0209303941076424E-4</v>
      </c>
      <c r="AN100" s="24" t="s">
        <v>5065</v>
      </c>
    </row>
    <row r="101" spans="13:40" ht="23">
      <c r="M101" s="8" t="s">
        <v>2036</v>
      </c>
      <c r="N101" s="8" t="s">
        <v>2032</v>
      </c>
      <c r="O101" s="8"/>
      <c r="P101" s="8"/>
      <c r="Q101" s="8"/>
      <c r="R101" s="8"/>
      <c r="S101" s="8"/>
      <c r="T101" s="8"/>
      <c r="U101" s="8"/>
      <c r="V101" s="8"/>
      <c r="W101" s="8" t="s">
        <v>2036</v>
      </c>
      <c r="X101" s="8">
        <v>30.98</v>
      </c>
      <c r="Y101" s="8">
        <v>2.94</v>
      </c>
      <c r="Z101" s="9">
        <v>3.3</v>
      </c>
      <c r="AA101" s="8">
        <v>2.4</v>
      </c>
      <c r="AB101" s="8">
        <v>33572</v>
      </c>
      <c r="AC101" s="8" t="s">
        <v>2036</v>
      </c>
      <c r="AD101" s="8" t="s">
        <v>3684</v>
      </c>
      <c r="AE101" s="8" t="s">
        <v>4083</v>
      </c>
      <c r="AF101" s="9">
        <f t="shared" si="24"/>
        <v>7.056</v>
      </c>
      <c r="AG101" s="9">
        <f t="shared" si="25"/>
        <v>7.2119999999999997</v>
      </c>
      <c r="AH101" s="9">
        <f t="shared" si="26"/>
        <v>4.8624927569118279E-3</v>
      </c>
      <c r="AI101" s="9">
        <f t="shared" si="27"/>
        <v>2.3643835811019988E-5</v>
      </c>
      <c r="AJ101" s="9">
        <f t="shared" si="28"/>
        <v>3.1443619484664478E-3</v>
      </c>
      <c r="AK101" s="9">
        <f t="shared" si="29"/>
        <v>9.8870120629637163E-6</v>
      </c>
      <c r="AL101" s="9">
        <f t="shared" si="30"/>
        <v>3.2031139123122297E-3</v>
      </c>
      <c r="AM101" s="9">
        <f t="shared" si="31"/>
        <v>1.0259938735248158E-5</v>
      </c>
      <c r="AN101" s="8" t="s">
        <v>2036</v>
      </c>
    </row>
    <row r="102" spans="13:40" ht="23">
      <c r="M102" s="8" t="s">
        <v>1200</v>
      </c>
      <c r="N102" s="8" t="s">
        <v>150</v>
      </c>
      <c r="O102" s="8"/>
      <c r="P102" s="8"/>
      <c r="Q102" s="8"/>
      <c r="R102" s="8"/>
      <c r="S102" s="8"/>
      <c r="T102" s="8"/>
      <c r="U102" s="8"/>
      <c r="V102" s="8"/>
      <c r="W102" s="8" t="s">
        <v>1200</v>
      </c>
      <c r="X102" s="8">
        <v>69.099999999999994</v>
      </c>
      <c r="Y102" s="8">
        <v>1.7</v>
      </c>
      <c r="Z102" s="9">
        <v>1.34</v>
      </c>
      <c r="AA102" s="8">
        <v>2.4</v>
      </c>
      <c r="AB102" s="8">
        <v>45765</v>
      </c>
      <c r="AC102" s="8" t="s">
        <v>1200</v>
      </c>
      <c r="AD102" s="8" t="s">
        <v>3684</v>
      </c>
      <c r="AE102" s="8" t="s">
        <v>4083</v>
      </c>
      <c r="AF102" s="9">
        <f t="shared" si="24"/>
        <v>4.08</v>
      </c>
      <c r="AG102" s="9">
        <f t="shared" si="25"/>
        <v>3.76</v>
      </c>
      <c r="AH102" s="9">
        <f t="shared" si="26"/>
        <v>4.8624927569118279E-3</v>
      </c>
      <c r="AI102" s="9">
        <f t="shared" si="27"/>
        <v>2.3643835811019988E-5</v>
      </c>
      <c r="AJ102" s="9">
        <f t="shared" si="28"/>
        <v>1.8181684736030478E-3</v>
      </c>
      <c r="AK102" s="9">
        <f t="shared" si="29"/>
        <v>3.3057365984040368E-6</v>
      </c>
      <c r="AL102" s="9">
        <f t="shared" si="30"/>
        <v>1.6699540086375462E-3</v>
      </c>
      <c r="AM102" s="9">
        <f t="shared" si="31"/>
        <v>2.7887463909646096E-6</v>
      </c>
      <c r="AN102" s="8" t="s">
        <v>1200</v>
      </c>
    </row>
    <row r="103" spans="13:40" ht="23">
      <c r="M103" s="24" t="s">
        <v>5056</v>
      </c>
      <c r="N103" s="8" t="s">
        <v>150</v>
      </c>
      <c r="O103" s="24"/>
      <c r="P103" s="24"/>
      <c r="Q103" s="24"/>
      <c r="R103" s="24"/>
      <c r="S103" s="24"/>
      <c r="T103" s="24"/>
      <c r="U103" s="24"/>
      <c r="V103" s="24"/>
      <c r="W103" s="24" t="s">
        <v>5056</v>
      </c>
      <c r="X103" s="24">
        <v>52.52</v>
      </c>
      <c r="Y103" s="24">
        <v>2.64</v>
      </c>
      <c r="Z103" s="25">
        <v>1.0900000000000001</v>
      </c>
      <c r="AA103" s="24">
        <v>2.4</v>
      </c>
      <c r="AB103" s="24">
        <v>50403</v>
      </c>
      <c r="AC103" s="24" t="s">
        <v>5056</v>
      </c>
      <c r="AD103" s="8" t="s">
        <v>3684</v>
      </c>
      <c r="AE103" s="8" t="s">
        <v>4083</v>
      </c>
      <c r="AF103" s="25">
        <f t="shared" si="24"/>
        <v>6.3360000000000003</v>
      </c>
      <c r="AG103" s="25">
        <f t="shared" si="25"/>
        <v>2.76</v>
      </c>
      <c r="AH103" s="9">
        <f t="shared" si="26"/>
        <v>4.8624927569118279E-3</v>
      </c>
      <c r="AI103" s="25">
        <f t="shared" si="27"/>
        <v>2.3643835811019988E-5</v>
      </c>
      <c r="AJ103" s="9">
        <f t="shared" si="28"/>
        <v>2.8235086884188512E-3</v>
      </c>
      <c r="AK103" s="25">
        <f t="shared" si="29"/>
        <v>7.972201313576741E-6</v>
      </c>
      <c r="AL103" s="9">
        <f t="shared" si="30"/>
        <v>1.2258173042126669E-3</v>
      </c>
      <c r="AM103" s="25">
        <f t="shared" si="31"/>
        <v>1.50262806330721E-6</v>
      </c>
      <c r="AN103" s="24" t="s">
        <v>5056</v>
      </c>
    </row>
    <row r="104" spans="13:40" ht="23">
      <c r="M104" s="8" t="s">
        <v>859</v>
      </c>
      <c r="N104" s="8" t="s">
        <v>150</v>
      </c>
      <c r="O104" s="8"/>
      <c r="P104" s="8"/>
      <c r="Q104" s="8"/>
      <c r="R104" s="8"/>
      <c r="S104" s="8"/>
      <c r="T104" s="8"/>
      <c r="U104" s="8"/>
      <c r="V104" s="8"/>
      <c r="W104" s="8" t="s">
        <v>859</v>
      </c>
      <c r="X104" s="8">
        <v>64.290000000000006</v>
      </c>
      <c r="Y104" s="8">
        <v>2.4700000000000002</v>
      </c>
      <c r="Z104" s="9">
        <v>2.0499999999999998</v>
      </c>
      <c r="AA104" s="8">
        <v>2.2999999999999998</v>
      </c>
      <c r="AB104" s="8">
        <v>40708</v>
      </c>
      <c r="AC104" s="8" t="s">
        <v>859</v>
      </c>
      <c r="AD104" s="8" t="s">
        <v>3684</v>
      </c>
      <c r="AE104" s="8" t="s">
        <v>4083</v>
      </c>
      <c r="AF104" s="9">
        <f t="shared" si="24"/>
        <v>5.681</v>
      </c>
      <c r="AG104" s="9">
        <f t="shared" si="25"/>
        <v>4.791666666666667</v>
      </c>
      <c r="AH104" s="9">
        <f t="shared" si="26"/>
        <v>4.6598888920405023E-3</v>
      </c>
      <c r="AI104" s="9">
        <f t="shared" si="27"/>
        <v>2.171456448616246E-5</v>
      </c>
      <c r="AJ104" s="9">
        <f t="shared" si="28"/>
        <v>2.5316213476811065E-3</v>
      </c>
      <c r="AK104" s="9">
        <f t="shared" si="29"/>
        <v>6.4091066480347018E-6</v>
      </c>
      <c r="AL104" s="9">
        <f t="shared" si="30"/>
        <v>2.12815504203588E-3</v>
      </c>
      <c r="AM104" s="9">
        <f t="shared" si="31"/>
        <v>4.5290438829427383E-6</v>
      </c>
      <c r="AN104" s="8" t="s">
        <v>859</v>
      </c>
    </row>
    <row r="105" spans="13:40" ht="23">
      <c r="M105" s="24" t="s">
        <v>5099</v>
      </c>
      <c r="N105" s="24" t="s">
        <v>2093</v>
      </c>
      <c r="O105" s="24"/>
      <c r="P105" s="24"/>
      <c r="Q105" s="24"/>
      <c r="R105" s="24"/>
      <c r="S105" s="24"/>
      <c r="T105" s="24"/>
      <c r="U105" s="24"/>
      <c r="V105" s="24"/>
      <c r="W105" s="24" t="s">
        <v>5099</v>
      </c>
      <c r="X105" s="24">
        <v>39.340000000000003</v>
      </c>
      <c r="Y105" s="24">
        <v>2.29</v>
      </c>
      <c r="Z105" s="25">
        <v>1.28</v>
      </c>
      <c r="AA105" s="24">
        <v>2.2000000000000002</v>
      </c>
      <c r="AB105" s="24"/>
      <c r="AC105" s="24" t="s">
        <v>5099</v>
      </c>
      <c r="AD105" s="8" t="s">
        <v>3684</v>
      </c>
      <c r="AE105" s="8" t="s">
        <v>4083</v>
      </c>
      <c r="AF105" s="25">
        <f t="shared" si="24"/>
        <v>5.0380000000000003</v>
      </c>
      <c r="AG105" s="25">
        <f t="shared" si="25"/>
        <v>3.226666666666667</v>
      </c>
      <c r="AH105" s="9">
        <f t="shared" si="26"/>
        <v>4.4572850271691767E-3</v>
      </c>
      <c r="AI105" s="25">
        <f t="shared" si="27"/>
        <v>1.9867389813426528E-5</v>
      </c>
      <c r="AJ105" s="9">
        <f t="shared" si="28"/>
        <v>2.2450815612774888E-3</v>
      </c>
      <c r="AK105" s="25">
        <f t="shared" si="29"/>
        <v>5.0403912167881671E-6</v>
      </c>
      <c r="AL105" s="9">
        <f t="shared" si="30"/>
        <v>1.4330810996109442E-3</v>
      </c>
      <c r="AM105" s="25">
        <f t="shared" si="31"/>
        <v>2.0537214380621129E-6</v>
      </c>
      <c r="AN105" s="24" t="s">
        <v>5099</v>
      </c>
    </row>
    <row r="106" spans="13:40" ht="23">
      <c r="M106" s="8" t="s">
        <v>179</v>
      </c>
      <c r="N106" s="8" t="s">
        <v>150</v>
      </c>
      <c r="O106" s="8"/>
      <c r="P106" s="8"/>
      <c r="Q106" s="8"/>
      <c r="R106" s="8"/>
      <c r="S106" s="8"/>
      <c r="T106" s="8"/>
      <c r="U106" s="8"/>
      <c r="V106" s="8"/>
      <c r="W106" s="8" t="s">
        <v>179</v>
      </c>
      <c r="X106" s="8">
        <v>48.69</v>
      </c>
      <c r="Y106" s="8">
        <v>1.98</v>
      </c>
      <c r="Z106" s="9">
        <v>0.1</v>
      </c>
      <c r="AA106" s="8">
        <v>2.1</v>
      </c>
      <c r="AB106" s="8">
        <v>65578</v>
      </c>
      <c r="AC106" s="8" t="s">
        <v>179</v>
      </c>
      <c r="AD106" s="8" t="s">
        <v>3684</v>
      </c>
      <c r="AE106" s="8" t="s">
        <v>4083</v>
      </c>
      <c r="AF106" s="9">
        <f t="shared" si="24"/>
        <v>4.1580000000000004</v>
      </c>
      <c r="AG106" s="9">
        <f t="shared" si="25"/>
        <v>3.5000000000000005E-3</v>
      </c>
      <c r="AH106" s="9">
        <f t="shared" si="26"/>
        <v>4.2546811622978502E-3</v>
      </c>
      <c r="AI106" s="9">
        <f t="shared" si="27"/>
        <v>1.8102311792812188E-5</v>
      </c>
      <c r="AJ106" s="9">
        <f t="shared" si="28"/>
        <v>1.8529275767748708E-3</v>
      </c>
      <c r="AK106" s="9">
        <f t="shared" si="29"/>
        <v>3.4333406047727949E-6</v>
      </c>
      <c r="AL106" s="9">
        <f t="shared" si="30"/>
        <v>1.5544784654870781E-6</v>
      </c>
      <c r="AM106" s="9">
        <f t="shared" si="31"/>
        <v>2.4164032996630608E-12</v>
      </c>
      <c r="AN106" s="8" t="s">
        <v>179</v>
      </c>
    </row>
    <row r="107" spans="13:40" ht="23">
      <c r="M107" s="8" t="s">
        <v>4900</v>
      </c>
      <c r="N107" s="8" t="s">
        <v>125</v>
      </c>
      <c r="O107" s="8"/>
      <c r="P107" s="8"/>
      <c r="Q107" s="8"/>
      <c r="R107" s="8"/>
      <c r="S107" s="8"/>
      <c r="T107" s="8"/>
      <c r="U107" s="8"/>
      <c r="V107" s="8"/>
      <c r="W107" s="8" t="s">
        <v>4900</v>
      </c>
      <c r="X107" s="8">
        <v>10.54</v>
      </c>
      <c r="Y107" s="8">
        <v>2.57</v>
      </c>
      <c r="Z107" s="9">
        <v>1.5</v>
      </c>
      <c r="AA107" s="8">
        <v>1.9</v>
      </c>
      <c r="AB107" s="8">
        <v>56111</v>
      </c>
      <c r="AC107" s="8" t="s">
        <v>4900</v>
      </c>
      <c r="AD107" s="8" t="s">
        <v>3684</v>
      </c>
      <c r="AE107" s="8" t="s">
        <v>4083</v>
      </c>
      <c r="AF107" s="9">
        <f t="shared" si="24"/>
        <v>4.8829999999999991</v>
      </c>
      <c r="AG107" s="9">
        <f t="shared" si="25"/>
        <v>1.9158333333333333</v>
      </c>
      <c r="AH107" s="9">
        <f t="shared" si="26"/>
        <v>3.8494734325551973E-3</v>
      </c>
      <c r="AI107" s="9">
        <f t="shared" si="27"/>
        <v>1.4818445707948294E-5</v>
      </c>
      <c r="AJ107" s="9">
        <f t="shared" si="28"/>
        <v>2.1760089844616868E-3</v>
      </c>
      <c r="AK107" s="9">
        <f t="shared" si="29"/>
        <v>4.7350151004579811E-6</v>
      </c>
      <c r="AL107" s="9">
        <f t="shared" si="30"/>
        <v>8.5089190289399795E-4</v>
      </c>
      <c r="AM107" s="9">
        <f t="shared" si="31"/>
        <v>7.2401703041056885E-7</v>
      </c>
      <c r="AN107" s="8" t="s">
        <v>4900</v>
      </c>
    </row>
    <row r="108" spans="13:40" ht="23">
      <c r="M108" s="9" t="s">
        <v>4899</v>
      </c>
      <c r="N108" s="8" t="s">
        <v>1614</v>
      </c>
      <c r="O108" s="8"/>
      <c r="P108" s="8"/>
      <c r="Q108" s="8"/>
      <c r="R108" s="8"/>
      <c r="S108" s="8"/>
      <c r="T108" s="8"/>
      <c r="U108" s="8"/>
      <c r="V108" s="8"/>
      <c r="W108" s="9" t="s">
        <v>4899</v>
      </c>
      <c r="X108" s="8">
        <v>23.07</v>
      </c>
      <c r="Y108" s="8">
        <v>4.33</v>
      </c>
      <c r="Z108" s="9">
        <v>5.19</v>
      </c>
      <c r="AA108" s="8">
        <v>1.8</v>
      </c>
      <c r="AB108" s="8">
        <v>55199</v>
      </c>
      <c r="AC108" s="9" t="s">
        <v>4899</v>
      </c>
      <c r="AD108" s="8" t="s">
        <v>3684</v>
      </c>
      <c r="AE108" s="8" t="s">
        <v>4083</v>
      </c>
      <c r="AF108" s="9">
        <f t="shared" si="24"/>
        <v>7.7940000000000005</v>
      </c>
      <c r="AG108" s="9">
        <f t="shared" si="25"/>
        <v>9.57</v>
      </c>
      <c r="AH108" s="9">
        <f t="shared" si="26"/>
        <v>3.6468695676838718E-3</v>
      </c>
      <c r="AI108" s="9">
        <f t="shared" si="27"/>
        <v>1.3299657643698749E-5</v>
      </c>
      <c r="AJ108" s="9">
        <f t="shared" si="28"/>
        <v>3.4732365400152341E-3</v>
      </c>
      <c r="AK108" s="9">
        <f t="shared" si="29"/>
        <v>1.2063372062896994E-5</v>
      </c>
      <c r="AL108" s="9">
        <f t="shared" si="30"/>
        <v>4.2503882613460948E-3</v>
      </c>
      <c r="AM108" s="9">
        <f t="shared" si="31"/>
        <v>1.8065800372188678E-5</v>
      </c>
      <c r="AN108" s="9" t="s">
        <v>4899</v>
      </c>
    </row>
    <row r="109" spans="13:40" ht="23">
      <c r="M109" s="9" t="s">
        <v>2482</v>
      </c>
      <c r="N109" s="8" t="s">
        <v>150</v>
      </c>
      <c r="O109" s="8"/>
      <c r="P109" s="8"/>
      <c r="Q109" s="8"/>
      <c r="R109" s="8"/>
      <c r="S109" s="8"/>
      <c r="T109" s="8"/>
      <c r="U109" s="8"/>
      <c r="V109" s="8"/>
      <c r="W109" s="9" t="s">
        <v>2482</v>
      </c>
      <c r="X109" s="8">
        <v>20.16</v>
      </c>
      <c r="Y109" s="8">
        <v>3.55</v>
      </c>
      <c r="Z109" s="9">
        <v>3.2</v>
      </c>
      <c r="AA109" s="8">
        <v>1.7</v>
      </c>
      <c r="AB109" s="8">
        <v>40666</v>
      </c>
      <c r="AC109" s="9" t="s">
        <v>2482</v>
      </c>
      <c r="AD109" s="8" t="s">
        <v>3684</v>
      </c>
      <c r="AE109" s="8" t="s">
        <v>4083</v>
      </c>
      <c r="AF109" s="9">
        <f t="shared" si="24"/>
        <v>6.0349999999999993</v>
      </c>
      <c r="AG109" s="9">
        <f t="shared" si="25"/>
        <v>5.105666666666667</v>
      </c>
      <c r="AH109" s="9">
        <f t="shared" si="26"/>
        <v>3.4442657028125449E-3</v>
      </c>
      <c r="AI109" s="9">
        <f t="shared" si="27"/>
        <v>1.1862966231570793E-5</v>
      </c>
      <c r="AJ109" s="9">
        <f t="shared" si="28"/>
        <v>2.6893742005378411E-3</v>
      </c>
      <c r="AK109" s="9">
        <f t="shared" si="29"/>
        <v>7.2327335905185522E-6</v>
      </c>
      <c r="AL109" s="9">
        <f t="shared" si="30"/>
        <v>2.2676139672252924E-3</v>
      </c>
      <c r="AM109" s="9">
        <f t="shared" si="31"/>
        <v>5.1420731043552297E-6</v>
      </c>
      <c r="AN109" s="9" t="s">
        <v>2482</v>
      </c>
    </row>
    <row r="110" spans="13:40" ht="23">
      <c r="M110" s="9" t="s">
        <v>3087</v>
      </c>
      <c r="N110" s="8" t="s">
        <v>1814</v>
      </c>
      <c r="O110" s="8"/>
      <c r="P110" s="8"/>
      <c r="Q110" s="8"/>
      <c r="R110" s="8"/>
      <c r="S110" s="8"/>
      <c r="T110" s="8"/>
      <c r="U110" s="8"/>
      <c r="V110" s="8"/>
      <c r="W110" s="9" t="s">
        <v>3087</v>
      </c>
      <c r="X110" s="8">
        <v>8.66</v>
      </c>
      <c r="Y110" s="8">
        <v>1.07</v>
      </c>
      <c r="Z110" s="9">
        <v>1.46</v>
      </c>
      <c r="AA110" s="8">
        <v>1.5</v>
      </c>
      <c r="AB110" s="8">
        <v>222081</v>
      </c>
      <c r="AC110" s="9" t="s">
        <v>3087</v>
      </c>
      <c r="AD110" s="8" t="s">
        <v>3684</v>
      </c>
      <c r="AE110" s="8" t="s">
        <v>4083</v>
      </c>
      <c r="AF110" s="9">
        <f t="shared" si="24"/>
        <v>1.605</v>
      </c>
      <c r="AG110" s="9">
        <f t="shared" si="25"/>
        <v>2.65</v>
      </c>
      <c r="AH110" s="9">
        <f t="shared" si="26"/>
        <v>3.0390579730698928E-3</v>
      </c>
      <c r="AI110" s="9">
        <f t="shared" si="27"/>
        <v>9.2358733636796863E-6</v>
      </c>
      <c r="AJ110" s="9">
        <f t="shared" si="28"/>
        <v>7.1523539218943429E-4</v>
      </c>
      <c r="AK110" s="9">
        <f t="shared" si="29"/>
        <v>5.1156166624037394E-7</v>
      </c>
      <c r="AL110" s="9">
        <f t="shared" si="30"/>
        <v>1.1769622667259301E-3</v>
      </c>
      <c r="AM110" s="9">
        <f t="shared" si="31"/>
        <v>1.3852401772966395E-6</v>
      </c>
      <c r="AN110" s="9" t="s">
        <v>3087</v>
      </c>
    </row>
    <row r="111" spans="13:40" ht="23">
      <c r="M111" s="9" t="s">
        <v>4902</v>
      </c>
      <c r="N111" s="8" t="s">
        <v>1614</v>
      </c>
      <c r="O111" s="8"/>
      <c r="P111" s="8"/>
      <c r="Q111" s="8"/>
      <c r="R111" s="8"/>
      <c r="S111" s="8"/>
      <c r="T111" s="8"/>
      <c r="U111" s="8"/>
      <c r="V111" s="8"/>
      <c r="W111" s="9" t="s">
        <v>4902</v>
      </c>
      <c r="X111" s="8">
        <v>29.41</v>
      </c>
      <c r="Y111" s="8">
        <v>3.22</v>
      </c>
      <c r="Z111" s="9">
        <v>1.38</v>
      </c>
      <c r="AA111" s="8">
        <v>1.4</v>
      </c>
      <c r="AB111" s="8">
        <v>49405</v>
      </c>
      <c r="AC111" s="9" t="s">
        <v>4902</v>
      </c>
      <c r="AD111" s="8" t="s">
        <v>3684</v>
      </c>
      <c r="AE111" s="8" t="s">
        <v>4083</v>
      </c>
      <c r="AF111" s="9">
        <f t="shared" si="24"/>
        <v>4.508</v>
      </c>
      <c r="AG111" s="9">
        <f t="shared" si="25"/>
        <v>2.2866666666666666</v>
      </c>
      <c r="AH111" s="9">
        <f t="shared" si="26"/>
        <v>2.8364541081985664E-3</v>
      </c>
      <c r="AI111" s="9">
        <f t="shared" si="27"/>
        <v>8.0454719079165254E-6</v>
      </c>
      <c r="AJ111" s="9">
        <f t="shared" si="28"/>
        <v>2.0088979115202299E-3</v>
      </c>
      <c r="AK111" s="9">
        <f t="shared" si="29"/>
        <v>4.035670818910341E-6</v>
      </c>
      <c r="AL111" s="9">
        <f t="shared" si="30"/>
        <v>1.0155925974515575E-3</v>
      </c>
      <c r="AM111" s="9">
        <f t="shared" si="31"/>
        <v>1.0314283239984013E-6</v>
      </c>
      <c r="AN111" s="9" t="s">
        <v>4902</v>
      </c>
    </row>
    <row r="112" spans="13:40" ht="23">
      <c r="M112" s="24" t="s">
        <v>5053</v>
      </c>
      <c r="N112" s="8" t="s">
        <v>150</v>
      </c>
      <c r="O112" s="24"/>
      <c r="P112" s="24"/>
      <c r="Q112" s="24"/>
      <c r="R112" s="24"/>
      <c r="S112" s="24"/>
      <c r="T112" s="24"/>
      <c r="U112" s="24"/>
      <c r="V112" s="24"/>
      <c r="W112" s="24" t="s">
        <v>5053</v>
      </c>
      <c r="X112" s="24">
        <v>17.88</v>
      </c>
      <c r="Y112" s="24">
        <v>2.65</v>
      </c>
      <c r="Z112" s="25">
        <v>1.33</v>
      </c>
      <c r="AA112" s="24">
        <v>1.4</v>
      </c>
      <c r="AB112" s="24">
        <v>54656</v>
      </c>
      <c r="AC112" s="24" t="s">
        <v>5053</v>
      </c>
      <c r="AD112" s="8" t="s">
        <v>3684</v>
      </c>
      <c r="AE112" s="8" t="s">
        <v>4083</v>
      </c>
      <c r="AF112" s="25">
        <f t="shared" si="24"/>
        <v>3.7099999999999995</v>
      </c>
      <c r="AG112" s="25">
        <f t="shared" si="25"/>
        <v>2.17</v>
      </c>
      <c r="AH112" s="9">
        <f t="shared" si="26"/>
        <v>2.8364541081985664E-3</v>
      </c>
      <c r="AI112" s="25">
        <f t="shared" si="27"/>
        <v>8.0454719079165254E-6</v>
      </c>
      <c r="AJ112" s="9">
        <f t="shared" si="28"/>
        <v>1.6532855483008104E-3</v>
      </c>
      <c r="AK112" s="25">
        <f t="shared" si="29"/>
        <v>2.7333531042203112E-6</v>
      </c>
      <c r="AL112" s="9">
        <f t="shared" si="30"/>
        <v>9.6377664860198815E-4</v>
      </c>
      <c r="AM112" s="25">
        <f t="shared" si="31"/>
        <v>9.2886542839048014E-7</v>
      </c>
      <c r="AN112" s="24" t="s">
        <v>5053</v>
      </c>
    </row>
    <row r="113" spans="13:40" ht="23">
      <c r="M113" s="24" t="s">
        <v>5105</v>
      </c>
      <c r="N113" s="24" t="s">
        <v>150</v>
      </c>
      <c r="O113" s="24"/>
      <c r="P113" s="24"/>
      <c r="Q113" s="24"/>
      <c r="R113" s="24"/>
      <c r="S113" s="24"/>
      <c r="T113" s="24"/>
      <c r="U113" s="24"/>
      <c r="V113" s="24"/>
      <c r="W113" s="24" t="s">
        <v>5105</v>
      </c>
      <c r="X113" s="24">
        <v>72.040000000000006</v>
      </c>
      <c r="Y113" s="24">
        <v>2.33</v>
      </c>
      <c r="Z113" s="25">
        <v>0.59</v>
      </c>
      <c r="AA113" s="24">
        <v>1.4</v>
      </c>
      <c r="AB113" s="24">
        <v>54776</v>
      </c>
      <c r="AC113" s="24" t="s">
        <v>5105</v>
      </c>
      <c r="AD113" s="8" t="s">
        <v>3684</v>
      </c>
      <c r="AE113" s="8" t="s">
        <v>4083</v>
      </c>
      <c r="AF113" s="25">
        <f t="shared" si="24"/>
        <v>3.262</v>
      </c>
      <c r="AG113" s="25">
        <f t="shared" si="25"/>
        <v>1.3766666666666665</v>
      </c>
      <c r="AH113" s="9">
        <f t="shared" si="26"/>
        <v>2.8364541081985664E-3</v>
      </c>
      <c r="AI113" s="25">
        <f t="shared" si="27"/>
        <v>8.0454719079165254E-6</v>
      </c>
      <c r="AJ113" s="9">
        <f t="shared" si="28"/>
        <v>1.4536435198267506E-3</v>
      </c>
      <c r="AK113" s="25">
        <f t="shared" si="29"/>
        <v>2.1130794827343043E-6</v>
      </c>
      <c r="AL113" s="9">
        <f t="shared" si="30"/>
        <v>6.1142819642491715E-4</v>
      </c>
      <c r="AM113" s="25">
        <f t="shared" si="31"/>
        <v>3.7384443938342707E-7</v>
      </c>
      <c r="AN113" s="24" t="s">
        <v>5105</v>
      </c>
    </row>
    <row r="114" spans="13:40" ht="23">
      <c r="M114" s="8" t="s">
        <v>5310</v>
      </c>
      <c r="N114" s="24" t="s">
        <v>150</v>
      </c>
      <c r="O114" s="8"/>
      <c r="P114" s="8"/>
      <c r="Q114" s="8"/>
      <c r="R114" s="8"/>
      <c r="S114" s="8"/>
      <c r="T114" s="8"/>
      <c r="U114" s="8"/>
      <c r="V114" s="8"/>
      <c r="W114" s="8" t="s">
        <v>5310</v>
      </c>
      <c r="X114" s="8">
        <v>49.97</v>
      </c>
      <c r="Y114" s="8">
        <v>2.04</v>
      </c>
      <c r="Z114" s="9">
        <v>0.51</v>
      </c>
      <c r="AA114" s="8">
        <v>1.3</v>
      </c>
      <c r="AB114" s="8">
        <v>101073</v>
      </c>
      <c r="AC114" s="8" t="s">
        <v>5310</v>
      </c>
      <c r="AD114" s="8" t="s">
        <v>3684</v>
      </c>
      <c r="AE114" s="8" t="s">
        <v>4083</v>
      </c>
      <c r="AF114" s="9">
        <f t="shared" si="24"/>
        <v>2.6520000000000001</v>
      </c>
      <c r="AG114" s="9">
        <f t="shared" si="25"/>
        <v>1.105</v>
      </c>
      <c r="AH114" s="9">
        <f t="shared" si="26"/>
        <v>2.6338502433272408E-3</v>
      </c>
      <c r="AI114" s="9">
        <f t="shared" si="27"/>
        <v>6.9371671042749659E-6</v>
      </c>
      <c r="AJ114" s="9">
        <f t="shared" si="28"/>
        <v>1.1818095078419812E-3</v>
      </c>
      <c r="AK114" s="9">
        <f t="shared" si="29"/>
        <v>1.3966737128257058E-6</v>
      </c>
      <c r="AL114" s="9">
        <f t="shared" si="30"/>
        <v>4.9077105838949157E-4</v>
      </c>
      <c r="AM114" s="9">
        <f t="shared" si="31"/>
        <v>2.4085623175274176E-7</v>
      </c>
      <c r="AN114" s="9" t="s">
        <v>5310</v>
      </c>
    </row>
    <row r="115" spans="13:40" ht="23">
      <c r="M115" s="9" t="s">
        <v>5050</v>
      </c>
      <c r="N115" s="8" t="s">
        <v>1717</v>
      </c>
      <c r="O115" s="8"/>
      <c r="P115" s="8"/>
      <c r="Q115" s="8"/>
      <c r="R115" s="8"/>
      <c r="S115" s="8"/>
      <c r="T115" s="8"/>
      <c r="U115" s="8"/>
      <c r="V115" s="8"/>
      <c r="W115" s="9" t="s">
        <v>5050</v>
      </c>
      <c r="X115" s="8">
        <v>32.9</v>
      </c>
      <c r="Y115" s="8">
        <v>2.02</v>
      </c>
      <c r="Z115" s="9">
        <v>1.17</v>
      </c>
      <c r="AA115" s="8">
        <v>1.2</v>
      </c>
      <c r="AB115" s="8">
        <v>93210</v>
      </c>
      <c r="AC115" s="9" t="s">
        <v>5050</v>
      </c>
      <c r="AD115" s="8" t="s">
        <v>3684</v>
      </c>
      <c r="AE115" s="8" t="s">
        <v>4083</v>
      </c>
      <c r="AF115" s="9">
        <f t="shared" si="24"/>
        <v>2.4239999999999999</v>
      </c>
      <c r="AG115" s="9">
        <f t="shared" si="25"/>
        <v>1.5399999999999998</v>
      </c>
      <c r="AH115" s="9">
        <f t="shared" si="26"/>
        <v>2.4312463784559139E-3</v>
      </c>
      <c r="AI115" s="9">
        <f t="shared" si="27"/>
        <v>5.9109589527549969E-6</v>
      </c>
      <c r="AJ115" s="9">
        <f t="shared" si="28"/>
        <v>1.0802059754935753E-3</v>
      </c>
      <c r="AK115" s="9">
        <f t="shared" si="29"/>
        <v>1.1668449494920267E-6</v>
      </c>
      <c r="AL115" s="9">
        <f t="shared" si="30"/>
        <v>6.8397052481431408E-4</v>
      </c>
      <c r="AM115" s="9">
        <f t="shared" si="31"/>
        <v>4.6781567881476825E-7</v>
      </c>
      <c r="AN115" s="9" t="s">
        <v>5050</v>
      </c>
    </row>
    <row r="116" spans="13:40" ht="18"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9"/>
      <c r="AA116" s="48">
        <f>SUBTOTAL(109,Table13632434446[ترافیک کل])</f>
        <v>49357.400000000023</v>
      </c>
      <c r="AB116" s="48"/>
      <c r="AC116" s="48"/>
      <c r="AD116" s="48"/>
      <c r="AE116" s="48"/>
      <c r="AF116" s="49">
        <f>SUBTOTAL(109,Table13632434446[[مجموع صفحات  مشاهده شده   ]])</f>
        <v>224401.64700000003</v>
      </c>
      <c r="AG116" s="49">
        <f>SUBTOTAL(109,Table13632434446[[مجموع زمان حضور در سایت ]])</f>
        <v>225155.90133333343</v>
      </c>
      <c r="AH116" s="49">
        <f>SUBTOTAL(109,Table13632434446[سهم سایت از کل ترافیک طبقه بندی])</f>
        <v>100.00000000000001</v>
      </c>
      <c r="AI116" s="49">
        <f>SUBTOTAL(109,Table13632434446[شاخص هرفیندال هیرشمن (ترافیک)])</f>
        <v>2428.9600632084043</v>
      </c>
      <c r="AJ116" s="49">
        <f>SUBTOTAL(109,Table13632434446[سهم سایت از کل صفحات مشاهده شده در طبقه بندی])</f>
        <v>100.00000000000001</v>
      </c>
      <c r="AK116" s="49">
        <f>SUBTOTAL(109,Table13632434446[شاخص هرفیندال -هیرشمن (صفحات مشاهده شده )])</f>
        <v>4536.2147277072081</v>
      </c>
      <c r="AL116" s="49">
        <f>SUBTOTAL(109,Table13632434446[سهم سایت از کل زمان حضور در طبقه بندی])</f>
        <v>99.999999999999943</v>
      </c>
      <c r="AM116" s="49">
        <f>SUBTOTAL(109,Table13632434446[شاخص هرفیندال هیرشمن (زمان حضور)])</f>
        <v>5145.0371008946104</v>
      </c>
      <c r="AN116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{E4E8BA45-6499-4DA1-BE6D-342CC289E328}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{C2D07D70-9DC5-4633-BE7B-A4F87EE67CBC}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{3DC9264F-58A1-49C1-AAD1-0C2A644580FB}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{6AE6F913-7D1C-4266-9DC0-09263F6E05ED}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{F79B2038-B600-43FB-8C66-86B79FA1FCF5}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{B88B857F-81C9-48F2-9AD8-B16F6A25A205}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E8BA45-6499-4DA1-BE6D-342CC289E32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2D07D70-9DC5-4633-BE7B-A4F87EE67CB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DC9264F-58A1-49C1-AAD1-0C2A644580F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AE6F913-7D1C-4266-9DC0-09263F6E05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79B2038-B600-43FB-8C66-86B79FA1FCF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B88B857F-81C9-48F2-9AD8-B16F6A25A2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448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4" max="14" width="1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5.66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678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678</v>
      </c>
      <c r="X2" s="8">
        <v>55.13</v>
      </c>
      <c r="Y2" s="8">
        <v>4.6900000000000004</v>
      </c>
      <c r="Z2" s="9">
        <v>5.33</v>
      </c>
      <c r="AA2" s="8">
        <v>2366.4</v>
      </c>
      <c r="AB2" s="8">
        <v>189</v>
      </c>
      <c r="AC2" s="21" t="s">
        <v>678</v>
      </c>
      <c r="AD2" s="8" t="s">
        <v>3725</v>
      </c>
      <c r="AE2" s="8" t="s">
        <v>4083</v>
      </c>
      <c r="AF2" s="9">
        <f t="shared" ref="AF2:AF65" si="0">(AA2*Y2)</f>
        <v>11098.416000000001</v>
      </c>
      <c r="AG2" s="9">
        <f t="shared" ref="AG2:AG65" si="1">((((RIGHT(Z2,2))/60)+(LEFT(Z2,2)))*AA2)</f>
        <v>13133.52</v>
      </c>
      <c r="AH2" s="9">
        <f t="shared" ref="AH2:AH65" si="2">(AA2/$AA$448)*100</f>
        <v>7.894420795580416</v>
      </c>
      <c r="AI2" s="9">
        <f t="shared" ref="AI2:AI65" si="3">(AH2*AH2)</f>
        <v>62.32187969769253</v>
      </c>
      <c r="AJ2" s="9">
        <f t="shared" ref="AJ2:AJ65" si="4">(AF2/$AF$448)*100</f>
        <v>11.740901121536689</v>
      </c>
      <c r="AK2" s="9">
        <f t="shared" ref="AK2:AK65" si="5">(AJ2*AJ2)</f>
        <v>137.84875914570148</v>
      </c>
      <c r="AL2" s="9">
        <f t="shared" ref="AL2:AL65" si="6">(AG2/$AG$448)*100</f>
        <v>16.952109274617364</v>
      </c>
      <c r="AM2" s="9">
        <f t="shared" ref="AM2:AM65" si="7">(AL2*AL2)</f>
        <v>287.37400885856806</v>
      </c>
      <c r="AN2" s="8" t="s">
        <v>678</v>
      </c>
    </row>
    <row r="3" spans="8:40" ht="23">
      <c r="M3" s="8" t="s">
        <v>986</v>
      </c>
      <c r="N3" s="8" t="s">
        <v>150</v>
      </c>
      <c r="O3" s="8"/>
      <c r="P3" s="8" t="s">
        <v>3691</v>
      </c>
      <c r="Q3" s="8"/>
      <c r="R3" s="8"/>
      <c r="S3" s="8"/>
      <c r="T3" s="8"/>
      <c r="U3" s="8"/>
      <c r="V3" s="8"/>
      <c r="W3" s="8" t="s">
        <v>986</v>
      </c>
      <c r="X3" s="8">
        <v>54.07</v>
      </c>
      <c r="Y3" s="8">
        <v>1.87</v>
      </c>
      <c r="Z3" s="9">
        <v>2.13</v>
      </c>
      <c r="AA3" s="8">
        <v>1306.5999999999999</v>
      </c>
      <c r="AB3" s="8">
        <v>444</v>
      </c>
      <c r="AC3" s="21" t="s">
        <v>986</v>
      </c>
      <c r="AD3" s="8" t="s">
        <v>3725</v>
      </c>
      <c r="AE3" s="8" t="s">
        <v>4083</v>
      </c>
      <c r="AF3" s="9">
        <f t="shared" si="0"/>
        <v>2443.3420000000001</v>
      </c>
      <c r="AG3" s="9">
        <f t="shared" si="1"/>
        <v>2896.2966666666666</v>
      </c>
      <c r="AH3" s="9">
        <f t="shared" si="2"/>
        <v>4.3588785545577124</v>
      </c>
      <c r="AI3" s="9">
        <f t="shared" si="3"/>
        <v>18.999822253383133</v>
      </c>
      <c r="AJ3" s="9">
        <f t="shared" si="4"/>
        <v>2.5847865882931127</v>
      </c>
      <c r="AK3" s="9">
        <f t="shared" si="5"/>
        <v>6.6811217070199493</v>
      </c>
      <c r="AL3" s="9">
        <f t="shared" si="6"/>
        <v>3.7383989657794223</v>
      </c>
      <c r="AM3" s="9">
        <f t="shared" si="7"/>
        <v>13.975626827340655</v>
      </c>
      <c r="AN3" s="8" t="s">
        <v>986</v>
      </c>
    </row>
    <row r="4" spans="8:40" ht="23">
      <c r="M4" s="8" t="s">
        <v>1723</v>
      </c>
      <c r="N4" s="8" t="s">
        <v>1717</v>
      </c>
      <c r="O4" s="8"/>
      <c r="P4" s="8" t="s">
        <v>3691</v>
      </c>
      <c r="Q4" s="8"/>
      <c r="R4" s="8"/>
      <c r="S4" s="8"/>
      <c r="T4" s="8"/>
      <c r="U4" s="8"/>
      <c r="V4" s="8"/>
      <c r="W4" s="8" t="s">
        <v>1723</v>
      </c>
      <c r="X4" s="8">
        <v>45.68</v>
      </c>
      <c r="Y4" s="8">
        <v>2.04</v>
      </c>
      <c r="Z4" s="9">
        <v>1.29</v>
      </c>
      <c r="AA4" s="8">
        <v>949.1</v>
      </c>
      <c r="AB4" s="8">
        <v>959</v>
      </c>
      <c r="AC4" s="21" t="s">
        <v>1723</v>
      </c>
      <c r="AD4" s="8" t="s">
        <v>3725</v>
      </c>
      <c r="AE4" s="8" t="s">
        <v>4083</v>
      </c>
      <c r="AF4" s="9">
        <f t="shared" si="0"/>
        <v>1936.164</v>
      </c>
      <c r="AG4" s="9">
        <f t="shared" si="1"/>
        <v>1407.8316666666667</v>
      </c>
      <c r="AH4" s="9">
        <f t="shared" si="2"/>
        <v>3.1662418767264082</v>
      </c>
      <c r="AI4" s="9">
        <f t="shared" si="3"/>
        <v>10.025087621935967</v>
      </c>
      <c r="AJ4" s="9">
        <f t="shared" si="4"/>
        <v>2.0482481535274011</v>
      </c>
      <c r="AK4" s="9">
        <f t="shared" si="5"/>
        <v>4.1953204984284076</v>
      </c>
      <c r="AL4" s="9">
        <f t="shared" si="6"/>
        <v>1.8171606891069583</v>
      </c>
      <c r="AM4" s="9">
        <f t="shared" si="7"/>
        <v>3.3020729700356752</v>
      </c>
      <c r="AN4" s="8" t="s">
        <v>1723</v>
      </c>
    </row>
    <row r="5" spans="8:40" ht="23">
      <c r="M5" s="9" t="s">
        <v>2654</v>
      </c>
      <c r="N5" s="8" t="s">
        <v>150</v>
      </c>
      <c r="O5" s="8"/>
      <c r="P5" s="8" t="s">
        <v>3691</v>
      </c>
      <c r="Q5" s="8"/>
      <c r="R5" s="8"/>
      <c r="S5" s="8"/>
      <c r="T5" s="8"/>
      <c r="U5" s="8"/>
      <c r="V5" s="8"/>
      <c r="W5" s="9" t="s">
        <v>2654</v>
      </c>
      <c r="X5" s="8">
        <v>44.61</v>
      </c>
      <c r="Y5" s="8">
        <v>2.35</v>
      </c>
      <c r="Z5" s="9">
        <v>3.11</v>
      </c>
      <c r="AA5" s="8">
        <v>828.5</v>
      </c>
      <c r="AB5" s="8">
        <v>562</v>
      </c>
      <c r="AC5" s="22" t="s">
        <v>2654</v>
      </c>
      <c r="AD5" s="8" t="s">
        <v>3725</v>
      </c>
      <c r="AE5" s="8" t="s">
        <v>4083</v>
      </c>
      <c r="AF5" s="9">
        <f t="shared" si="0"/>
        <v>1946.9750000000001</v>
      </c>
      <c r="AG5" s="9">
        <f t="shared" si="1"/>
        <v>2637.3916666666664</v>
      </c>
      <c r="AH5" s="9">
        <f t="shared" si="2"/>
        <v>2.763914650582477</v>
      </c>
      <c r="AI5" s="9">
        <f t="shared" si="3"/>
        <v>7.6392241957044558</v>
      </c>
      <c r="AJ5" s="9">
        <f t="shared" si="4"/>
        <v>2.0596850001931717</v>
      </c>
      <c r="AK5" s="9">
        <f t="shared" si="5"/>
        <v>4.2423023000207456</v>
      </c>
      <c r="AL5" s="9">
        <f t="shared" si="6"/>
        <v>3.4042169755936365</v>
      </c>
      <c r="AM5" s="9">
        <f t="shared" si="7"/>
        <v>11.588693216919886</v>
      </c>
      <c r="AN5" s="9" t="s">
        <v>2654</v>
      </c>
    </row>
    <row r="6" spans="8:40" ht="23">
      <c r="M6" s="8" t="s">
        <v>372</v>
      </c>
      <c r="N6" s="8" t="s">
        <v>150</v>
      </c>
      <c r="O6" s="8"/>
      <c r="P6" s="8" t="s">
        <v>3696</v>
      </c>
      <c r="Q6" s="8"/>
      <c r="R6" s="8"/>
      <c r="S6" s="8"/>
      <c r="T6" s="8"/>
      <c r="U6" s="8"/>
      <c r="V6" s="8"/>
      <c r="W6" s="8" t="s">
        <v>372</v>
      </c>
      <c r="X6" s="8">
        <v>39.729999999999997</v>
      </c>
      <c r="Y6" s="8">
        <v>3.36</v>
      </c>
      <c r="Z6" s="9">
        <v>3.1</v>
      </c>
      <c r="AA6" s="8">
        <v>708.5</v>
      </c>
      <c r="AB6" s="8">
        <v>496</v>
      </c>
      <c r="AC6" s="21" t="s">
        <v>372</v>
      </c>
      <c r="AD6" s="8" t="s">
        <v>3725</v>
      </c>
      <c r="AE6" s="8" t="s">
        <v>4083</v>
      </c>
      <c r="AF6" s="9">
        <f t="shared" si="0"/>
        <v>2380.56</v>
      </c>
      <c r="AG6" s="9">
        <f t="shared" si="1"/>
        <v>2126.6808333333333</v>
      </c>
      <c r="AH6" s="9">
        <f t="shared" si="2"/>
        <v>2.3635890524293122</v>
      </c>
      <c r="AI6" s="9">
        <f t="shared" si="3"/>
        <v>5.5865532087636938</v>
      </c>
      <c r="AJ6" s="9">
        <f t="shared" si="4"/>
        <v>2.5183701506490097</v>
      </c>
      <c r="AK6" s="9">
        <f t="shared" si="5"/>
        <v>6.3421882156799159</v>
      </c>
      <c r="AL6" s="9">
        <f t="shared" si="6"/>
        <v>2.7450162545076249</v>
      </c>
      <c r="AM6" s="9">
        <f t="shared" si="7"/>
        <v>7.5351142375110696</v>
      </c>
      <c r="AN6" s="8" t="s">
        <v>372</v>
      </c>
    </row>
    <row r="7" spans="8:40" ht="23">
      <c r="M7" s="8" t="s">
        <v>394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394</v>
      </c>
      <c r="X7" s="8">
        <v>45.28</v>
      </c>
      <c r="Y7" s="8">
        <v>3.07</v>
      </c>
      <c r="Z7" s="9">
        <v>3.35</v>
      </c>
      <c r="AA7" s="8">
        <v>665.4</v>
      </c>
      <c r="AB7" s="8">
        <v>1191</v>
      </c>
      <c r="AC7" s="21" t="s">
        <v>394</v>
      </c>
      <c r="AD7" s="8" t="s">
        <v>3725</v>
      </c>
      <c r="AE7" s="8" t="s">
        <v>4083</v>
      </c>
      <c r="AF7" s="9">
        <f t="shared" si="0"/>
        <v>2042.7779999999998</v>
      </c>
      <c r="AG7" s="9">
        <f t="shared" si="1"/>
        <v>2384.35</v>
      </c>
      <c r="AH7" s="9">
        <f t="shared" si="2"/>
        <v>2.2198054417593003</v>
      </c>
      <c r="AI7" s="9">
        <f t="shared" si="3"/>
        <v>4.9275361992642024</v>
      </c>
      <c r="AJ7" s="9">
        <f t="shared" si="4"/>
        <v>2.1610340170390505</v>
      </c>
      <c r="AK7" s="9">
        <f t="shared" si="5"/>
        <v>4.6700680227999349</v>
      </c>
      <c r="AL7" s="9">
        <f t="shared" si="6"/>
        <v>3.0776030910931653</v>
      </c>
      <c r="AM7" s="9">
        <f t="shared" si="7"/>
        <v>9.4716407863062066</v>
      </c>
      <c r="AN7" s="8" t="s">
        <v>394</v>
      </c>
    </row>
    <row r="8" spans="8:40" ht="23">
      <c r="M8" s="8" t="s">
        <v>226</v>
      </c>
      <c r="N8" s="8" t="s">
        <v>150</v>
      </c>
      <c r="O8" s="8"/>
      <c r="P8" s="8" t="s">
        <v>3691</v>
      </c>
      <c r="Q8" s="8"/>
      <c r="R8" s="8"/>
      <c r="S8" s="8"/>
      <c r="T8" s="8"/>
      <c r="U8" s="8"/>
      <c r="V8" s="8"/>
      <c r="W8" s="8" t="s">
        <v>226</v>
      </c>
      <c r="X8" s="8">
        <v>35.32</v>
      </c>
      <c r="Y8" s="8">
        <v>4.0199999999999996</v>
      </c>
      <c r="Z8" s="9">
        <v>3.39</v>
      </c>
      <c r="AA8" s="8">
        <v>593.1</v>
      </c>
      <c r="AB8" s="8">
        <v>589</v>
      </c>
      <c r="AC8" s="21" t="s">
        <v>226</v>
      </c>
      <c r="AD8" s="8" t="s">
        <v>3725</v>
      </c>
      <c r="AE8" s="8" t="s">
        <v>4083</v>
      </c>
      <c r="AF8" s="9">
        <f t="shared" si="0"/>
        <v>2384.2619999999997</v>
      </c>
      <c r="AG8" s="9">
        <f t="shared" si="1"/>
        <v>2164.8150000000001</v>
      </c>
      <c r="AH8" s="9">
        <f t="shared" si="2"/>
        <v>1.9786092688720183</v>
      </c>
      <c r="AI8" s="9">
        <f t="shared" si="3"/>
        <v>3.9148946388662629</v>
      </c>
      <c r="AJ8" s="9">
        <f t="shared" si="4"/>
        <v>2.5222864587016116</v>
      </c>
      <c r="AK8" s="9">
        <f t="shared" si="5"/>
        <v>6.3619289797495169</v>
      </c>
      <c r="AL8" s="9">
        <f t="shared" si="6"/>
        <v>2.7942379833685704</v>
      </c>
      <c r="AM8" s="9">
        <f t="shared" si="7"/>
        <v>7.8077659076996557</v>
      </c>
      <c r="AN8" s="8" t="s">
        <v>226</v>
      </c>
    </row>
    <row r="9" spans="8:40" ht="23">
      <c r="M9" s="9" t="s">
        <v>2153</v>
      </c>
      <c r="N9" s="8" t="s">
        <v>150</v>
      </c>
      <c r="O9" s="8"/>
      <c r="P9" s="8" t="s">
        <v>3691</v>
      </c>
      <c r="Q9" s="8"/>
      <c r="R9" s="8"/>
      <c r="S9" s="8"/>
      <c r="T9" s="8"/>
      <c r="U9" s="8"/>
      <c r="V9" s="8"/>
      <c r="W9" s="9" t="s">
        <v>2153</v>
      </c>
      <c r="X9" s="8">
        <v>54.25</v>
      </c>
      <c r="Y9" s="8">
        <v>1.98</v>
      </c>
      <c r="Z9" s="9">
        <v>2</v>
      </c>
      <c r="AA9" s="8">
        <v>552.70000000000005</v>
      </c>
      <c r="AB9" s="8">
        <v>1029</v>
      </c>
      <c r="AC9" s="22" t="s">
        <v>2153</v>
      </c>
      <c r="AD9" s="8" t="s">
        <v>3725</v>
      </c>
      <c r="AE9" s="8" t="s">
        <v>4083</v>
      </c>
      <c r="AF9" s="9">
        <f t="shared" si="0"/>
        <v>1094.346</v>
      </c>
      <c r="AG9" s="9">
        <f t="shared" si="1"/>
        <v>1123.8233333333333</v>
      </c>
      <c r="AH9" s="9">
        <f t="shared" si="2"/>
        <v>1.8438329841604528</v>
      </c>
      <c r="AI9" s="9">
        <f t="shared" si="3"/>
        <v>3.3997200734780408</v>
      </c>
      <c r="AJ9" s="9">
        <f t="shared" si="4"/>
        <v>1.1576974749143651</v>
      </c>
      <c r="AK9" s="9">
        <f t="shared" si="5"/>
        <v>1.3402634434230971</v>
      </c>
      <c r="AL9" s="9">
        <f t="shared" si="6"/>
        <v>1.4505765363764931</v>
      </c>
      <c r="AM9" s="9">
        <f t="shared" si="7"/>
        <v>2.1041722878860232</v>
      </c>
      <c r="AN9" s="9" t="s">
        <v>2153</v>
      </c>
    </row>
    <row r="10" spans="8:40" ht="23">
      <c r="M10" s="9" t="s">
        <v>3571</v>
      </c>
      <c r="N10" s="8" t="s">
        <v>2074</v>
      </c>
      <c r="O10" s="8"/>
      <c r="P10" s="8" t="s">
        <v>3693</v>
      </c>
      <c r="Q10" s="8"/>
      <c r="R10" s="8"/>
      <c r="S10" s="8"/>
      <c r="T10" s="8"/>
      <c r="U10" s="8"/>
      <c r="V10" s="8"/>
      <c r="W10" s="9" t="s">
        <v>3571</v>
      </c>
      <c r="X10" s="8">
        <v>28.64</v>
      </c>
      <c r="Y10" s="8">
        <v>6.08</v>
      </c>
      <c r="Z10" s="9">
        <v>5.58</v>
      </c>
      <c r="AA10" s="8">
        <v>519.1</v>
      </c>
      <c r="AB10" s="8">
        <v>549</v>
      </c>
      <c r="AC10" s="22" t="s">
        <v>3571</v>
      </c>
      <c r="AD10" s="8" t="s">
        <v>3725</v>
      </c>
      <c r="AE10" s="8" t="s">
        <v>4083</v>
      </c>
      <c r="AF10" s="9">
        <f t="shared" si="0"/>
        <v>3156.1280000000002</v>
      </c>
      <c r="AG10" s="9">
        <f t="shared" si="1"/>
        <v>3097.2966666666671</v>
      </c>
      <c r="AH10" s="9">
        <f t="shared" si="2"/>
        <v>1.7317418166775667</v>
      </c>
      <c r="AI10" s="9">
        <f t="shared" si="3"/>
        <v>2.9989297196297189</v>
      </c>
      <c r="AJ10" s="9">
        <f t="shared" si="4"/>
        <v>3.3388356297793624</v>
      </c>
      <c r="AK10" s="9">
        <f t="shared" si="5"/>
        <v>11.147823362684152</v>
      </c>
      <c r="AL10" s="9">
        <f t="shared" si="6"/>
        <v>3.997839996378842</v>
      </c>
      <c r="AM10" s="9">
        <f t="shared" si="7"/>
        <v>15.982724636646379</v>
      </c>
      <c r="AN10" s="9" t="s">
        <v>3571</v>
      </c>
    </row>
    <row r="11" spans="8:40" ht="23">
      <c r="M11" s="8" t="s">
        <v>199</v>
      </c>
      <c r="N11" s="8" t="s">
        <v>150</v>
      </c>
      <c r="O11" s="8"/>
      <c r="P11" s="8" t="s">
        <v>3691</v>
      </c>
      <c r="Q11" s="8"/>
      <c r="R11" s="8"/>
      <c r="S11" s="8"/>
      <c r="T11" s="8"/>
      <c r="U11" s="8"/>
      <c r="V11" s="8"/>
      <c r="W11" s="8" t="s">
        <v>199</v>
      </c>
      <c r="X11" s="8">
        <v>39.07</v>
      </c>
      <c r="Y11" s="8">
        <v>1.71</v>
      </c>
      <c r="Z11" s="9">
        <v>1.18</v>
      </c>
      <c r="AA11" s="8">
        <v>514.70000000000005</v>
      </c>
      <c r="AB11" s="8">
        <v>1715</v>
      </c>
      <c r="AC11" s="21" t="s">
        <v>199</v>
      </c>
      <c r="AD11" s="8" t="s">
        <v>3725</v>
      </c>
      <c r="AE11" s="8" t="s">
        <v>4083</v>
      </c>
      <c r="AF11" s="9">
        <f t="shared" si="0"/>
        <v>880.13700000000006</v>
      </c>
      <c r="AG11" s="9">
        <f t="shared" si="1"/>
        <v>669.11000000000013</v>
      </c>
      <c r="AH11" s="9">
        <f t="shared" si="2"/>
        <v>1.7170632114119506</v>
      </c>
      <c r="AI11" s="9">
        <f t="shared" si="3"/>
        <v>2.9483060719843208</v>
      </c>
      <c r="AJ11" s="9">
        <f t="shared" si="4"/>
        <v>0.93108795799381971</v>
      </c>
      <c r="AK11" s="9">
        <f t="shared" si="5"/>
        <v>0.86692478552110097</v>
      </c>
      <c r="AL11" s="9">
        <f t="shared" si="6"/>
        <v>0.86365466658894396</v>
      </c>
      <c r="AM11" s="9">
        <f t="shared" si="7"/>
        <v>0.74589938312086002</v>
      </c>
      <c r="AN11" s="8" t="s">
        <v>199</v>
      </c>
    </row>
    <row r="12" spans="8:40" ht="23">
      <c r="M12" s="8" t="s">
        <v>217</v>
      </c>
      <c r="N12" s="8" t="s">
        <v>150</v>
      </c>
      <c r="O12" s="8"/>
      <c r="P12" s="8" t="s">
        <v>3693</v>
      </c>
      <c r="Q12" s="8"/>
      <c r="R12" s="8"/>
      <c r="S12" s="8"/>
      <c r="T12" s="8"/>
      <c r="U12" s="8"/>
      <c r="V12" s="8"/>
      <c r="W12" s="8" t="s">
        <v>217</v>
      </c>
      <c r="X12" s="8">
        <v>30.11</v>
      </c>
      <c r="Y12" s="8">
        <v>4.0199999999999996</v>
      </c>
      <c r="Z12" s="9">
        <v>3.55</v>
      </c>
      <c r="AA12" s="8">
        <v>507.6</v>
      </c>
      <c r="AB12" s="8">
        <v>1017</v>
      </c>
      <c r="AC12" s="21" t="s">
        <v>217</v>
      </c>
      <c r="AD12" s="8" t="s">
        <v>3725</v>
      </c>
      <c r="AE12" s="8" t="s">
        <v>4083</v>
      </c>
      <c r="AF12" s="9">
        <f t="shared" si="0"/>
        <v>2040.5519999999999</v>
      </c>
      <c r="AG12" s="9">
        <f t="shared" si="1"/>
        <v>1988.1</v>
      </c>
      <c r="AH12" s="9">
        <f t="shared" si="2"/>
        <v>1.6933772801878884</v>
      </c>
      <c r="AI12" s="9">
        <f t="shared" si="3"/>
        <v>2.8675266130565302</v>
      </c>
      <c r="AJ12" s="9">
        <f t="shared" si="4"/>
        <v>2.1586791543364328</v>
      </c>
      <c r="AK12" s="9">
        <f t="shared" si="5"/>
        <v>4.659895691366656</v>
      </c>
      <c r="AL12" s="9">
        <f t="shared" si="6"/>
        <v>2.5661428504214236</v>
      </c>
      <c r="AM12" s="9">
        <f t="shared" si="7"/>
        <v>6.5850891287689892</v>
      </c>
      <c r="AN12" s="8" t="s">
        <v>217</v>
      </c>
    </row>
    <row r="13" spans="8:40" ht="23">
      <c r="M13" s="9" t="s">
        <v>3265</v>
      </c>
      <c r="N13" s="8" t="s">
        <v>1902</v>
      </c>
      <c r="O13" s="8"/>
      <c r="P13" s="8"/>
      <c r="Q13" s="8"/>
      <c r="R13" s="8"/>
      <c r="S13" s="8"/>
      <c r="T13" s="8"/>
      <c r="U13" s="8"/>
      <c r="V13" s="8"/>
      <c r="W13" s="9" t="s">
        <v>3265</v>
      </c>
      <c r="X13" s="8">
        <v>67.06</v>
      </c>
      <c r="Y13" s="8">
        <v>1.19</v>
      </c>
      <c r="Z13" s="9">
        <v>0.08</v>
      </c>
      <c r="AA13" s="8">
        <v>499.5</v>
      </c>
      <c r="AB13" s="8">
        <v>7161</v>
      </c>
      <c r="AC13" s="22" t="s">
        <v>3265</v>
      </c>
      <c r="AD13" s="8" t="s">
        <v>3725</v>
      </c>
      <c r="AE13" s="8" t="s">
        <v>4083</v>
      </c>
      <c r="AF13" s="9">
        <f t="shared" si="0"/>
        <v>594.40499999999997</v>
      </c>
      <c r="AG13" s="9">
        <f t="shared" si="1"/>
        <v>66.599999999999994</v>
      </c>
      <c r="AH13" s="9">
        <f t="shared" si="2"/>
        <v>1.6663553023125495</v>
      </c>
      <c r="AI13" s="9">
        <f t="shared" si="3"/>
        <v>2.776739993545148</v>
      </c>
      <c r="AJ13" s="9">
        <f t="shared" si="4"/>
        <v>0.62881498865667096</v>
      </c>
      <c r="AK13" s="9">
        <f t="shared" si="5"/>
        <v>0.39540828995928923</v>
      </c>
      <c r="AL13" s="9">
        <f t="shared" si="6"/>
        <v>8.5964042974733063E-2</v>
      </c>
      <c r="AM13" s="9">
        <f t="shared" si="7"/>
        <v>7.3898166845617532E-3</v>
      </c>
      <c r="AN13" s="9" t="s">
        <v>3265</v>
      </c>
    </row>
    <row r="14" spans="8:40" ht="23">
      <c r="M14" s="8" t="s">
        <v>935</v>
      </c>
      <c r="N14" s="8" t="s">
        <v>150</v>
      </c>
      <c r="O14" s="8"/>
      <c r="P14" s="8" t="s">
        <v>3704</v>
      </c>
      <c r="Q14" s="8"/>
      <c r="R14" s="8"/>
      <c r="S14" s="8"/>
      <c r="T14" s="8"/>
      <c r="U14" s="8"/>
      <c r="V14" s="8"/>
      <c r="W14" s="8" t="s">
        <v>935</v>
      </c>
      <c r="X14" s="8">
        <v>34.229999999999997</v>
      </c>
      <c r="Y14" s="8">
        <v>3.72</v>
      </c>
      <c r="Z14" s="9">
        <v>2.57</v>
      </c>
      <c r="AA14" s="8">
        <v>497.4</v>
      </c>
      <c r="AB14" s="8">
        <v>555</v>
      </c>
      <c r="AC14" s="21" t="s">
        <v>935</v>
      </c>
      <c r="AD14" s="8" t="s">
        <v>3725</v>
      </c>
      <c r="AE14" s="8" t="s">
        <v>4083</v>
      </c>
      <c r="AF14" s="9">
        <f t="shared" si="0"/>
        <v>1850.328</v>
      </c>
      <c r="AG14" s="9">
        <f t="shared" si="1"/>
        <v>1467.33</v>
      </c>
      <c r="AH14" s="9">
        <f t="shared" si="2"/>
        <v>1.6593496043448692</v>
      </c>
      <c r="AI14" s="9">
        <f t="shared" si="3"/>
        <v>2.753441109439474</v>
      </c>
      <c r="AJ14" s="9">
        <f t="shared" si="4"/>
        <v>1.9574431243531274</v>
      </c>
      <c r="AK14" s="9">
        <f t="shared" si="5"/>
        <v>3.831583585077333</v>
      </c>
      <c r="AL14" s="9">
        <f t="shared" si="6"/>
        <v>1.8939582459176441</v>
      </c>
      <c r="AM14" s="9">
        <f t="shared" si="7"/>
        <v>3.587077837279439</v>
      </c>
      <c r="AN14" s="8" t="s">
        <v>935</v>
      </c>
    </row>
    <row r="15" spans="8:40" ht="23">
      <c r="M15" s="8" t="s">
        <v>215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215</v>
      </c>
      <c r="X15" s="8">
        <v>41.09</v>
      </c>
      <c r="Y15" s="8">
        <v>2.19</v>
      </c>
      <c r="Z15" s="9">
        <v>1.43</v>
      </c>
      <c r="AA15" s="8">
        <v>484.7</v>
      </c>
      <c r="AB15" s="8">
        <v>1059</v>
      </c>
      <c r="AC15" s="21" t="s">
        <v>215</v>
      </c>
      <c r="AD15" s="8" t="s">
        <v>3725</v>
      </c>
      <c r="AE15" s="8" t="s">
        <v>4083</v>
      </c>
      <c r="AF15" s="9">
        <f t="shared" si="0"/>
        <v>1061.4929999999999</v>
      </c>
      <c r="AG15" s="9">
        <f t="shared" si="1"/>
        <v>832.06833333333338</v>
      </c>
      <c r="AH15" s="9">
        <f t="shared" si="2"/>
        <v>1.6169818118736592</v>
      </c>
      <c r="AI15" s="9">
        <f t="shared" si="3"/>
        <v>2.6146301799302218</v>
      </c>
      <c r="AJ15" s="9">
        <f t="shared" si="4"/>
        <v>1.1229426211995788</v>
      </c>
      <c r="AK15" s="9">
        <f t="shared" si="5"/>
        <v>1.2610001305065806</v>
      </c>
      <c r="AL15" s="9">
        <f t="shared" si="6"/>
        <v>1.0739933628315494</v>
      </c>
      <c r="AM15" s="9">
        <f t="shared" si="7"/>
        <v>1.1534617434062202</v>
      </c>
      <c r="AN15" s="8" t="s">
        <v>215</v>
      </c>
    </row>
    <row r="16" spans="8:40" ht="23">
      <c r="M16" s="9" t="s">
        <v>4325</v>
      </c>
      <c r="N16" s="8" t="s">
        <v>2041</v>
      </c>
      <c r="O16" s="8"/>
      <c r="P16" s="8"/>
      <c r="Q16" s="8"/>
      <c r="R16" s="8"/>
      <c r="S16" s="8"/>
      <c r="T16" s="8"/>
      <c r="U16" s="8"/>
      <c r="V16" s="8"/>
      <c r="W16" s="9" t="s">
        <v>4325</v>
      </c>
      <c r="X16" s="8">
        <v>39.450000000000003</v>
      </c>
      <c r="Y16" s="8">
        <v>2.0099999999999998</v>
      </c>
      <c r="Z16" s="9">
        <v>1.28</v>
      </c>
      <c r="AA16" s="8">
        <v>480.2</v>
      </c>
      <c r="AB16" s="8">
        <v>2064</v>
      </c>
      <c r="AC16" s="22" t="s">
        <v>4325</v>
      </c>
      <c r="AD16" s="8" t="s">
        <v>3725</v>
      </c>
      <c r="AE16" s="8" t="s">
        <v>4083</v>
      </c>
      <c r="AF16" s="9">
        <f t="shared" si="0"/>
        <v>965.20199999999988</v>
      </c>
      <c r="AG16" s="9">
        <f t="shared" si="1"/>
        <v>704.29333333333341</v>
      </c>
      <c r="AH16" s="9">
        <f t="shared" si="2"/>
        <v>1.6019696019429157</v>
      </c>
      <c r="AI16" s="9">
        <f t="shared" si="3"/>
        <v>2.5663066055491437</v>
      </c>
      <c r="AJ16" s="9">
        <f t="shared" si="4"/>
        <v>1.0210773541295852</v>
      </c>
      <c r="AK16" s="9">
        <f t="shared" si="5"/>
        <v>1.0425989631162744</v>
      </c>
      <c r="AL16" s="9">
        <f t="shared" si="6"/>
        <v>0.90906760320547575</v>
      </c>
      <c r="AM16" s="9">
        <f t="shared" si="7"/>
        <v>0.82640390719774826</v>
      </c>
      <c r="AN16" s="9" t="s">
        <v>4325</v>
      </c>
    </row>
    <row r="17" spans="13:40" ht="23">
      <c r="M17" s="8" t="s">
        <v>68</v>
      </c>
      <c r="N17" s="8" t="s">
        <v>24</v>
      </c>
      <c r="O17" s="8"/>
      <c r="P17" s="8"/>
      <c r="Q17" s="8"/>
      <c r="R17" s="8"/>
      <c r="S17" s="8"/>
      <c r="T17" s="8"/>
      <c r="U17" s="8"/>
      <c r="V17" s="8"/>
      <c r="W17" s="8" t="s">
        <v>68</v>
      </c>
      <c r="X17" s="8">
        <v>16.39</v>
      </c>
      <c r="Y17" s="8">
        <v>3.4</v>
      </c>
      <c r="Z17" s="9">
        <v>1.33</v>
      </c>
      <c r="AA17" s="8">
        <v>422.4</v>
      </c>
      <c r="AB17" s="8">
        <v>4223</v>
      </c>
      <c r="AC17" s="21" t="s">
        <v>68</v>
      </c>
      <c r="AD17" s="8" t="s">
        <v>3725</v>
      </c>
      <c r="AE17" s="8" t="s">
        <v>4083</v>
      </c>
      <c r="AF17" s="9">
        <f t="shared" si="0"/>
        <v>1436.1599999999999</v>
      </c>
      <c r="AG17" s="9">
        <f t="shared" si="1"/>
        <v>654.72</v>
      </c>
      <c r="AH17" s="9">
        <f t="shared" si="2"/>
        <v>1.409146105499141</v>
      </c>
      <c r="AI17" s="9">
        <f t="shared" si="3"/>
        <v>1.9856927466433962</v>
      </c>
      <c r="AJ17" s="9">
        <f t="shared" si="4"/>
        <v>1.5192990202120851</v>
      </c>
      <c r="AK17" s="9">
        <f t="shared" si="5"/>
        <v>2.3082695128174016</v>
      </c>
      <c r="AL17" s="9">
        <f t="shared" si="6"/>
        <v>0.84508075400025895</v>
      </c>
      <c r="AM17" s="9">
        <f t="shared" si="7"/>
        <v>0.71416148078164621</v>
      </c>
      <c r="AN17" s="8" t="s">
        <v>68</v>
      </c>
    </row>
    <row r="18" spans="13:40" ht="23">
      <c r="M18" s="8" t="s">
        <v>320</v>
      </c>
      <c r="N18" s="8" t="s">
        <v>150</v>
      </c>
      <c r="O18" s="8"/>
      <c r="P18" s="8" t="s">
        <v>3705</v>
      </c>
      <c r="Q18" s="8"/>
      <c r="R18" s="8"/>
      <c r="S18" s="8"/>
      <c r="T18" s="8"/>
      <c r="U18" s="8"/>
      <c r="V18" s="8"/>
      <c r="W18" s="8" t="s">
        <v>320</v>
      </c>
      <c r="X18" s="8">
        <v>44.97</v>
      </c>
      <c r="Y18" s="8">
        <v>2</v>
      </c>
      <c r="Z18" s="9">
        <v>1.3</v>
      </c>
      <c r="AA18" s="8">
        <v>410.2</v>
      </c>
      <c r="AB18" s="8">
        <v>1683</v>
      </c>
      <c r="AC18" s="21" t="s">
        <v>320</v>
      </c>
      <c r="AD18" s="8" t="s">
        <v>3725</v>
      </c>
      <c r="AE18" s="8" t="s">
        <v>4083</v>
      </c>
      <c r="AF18" s="9">
        <f t="shared" si="0"/>
        <v>820.4</v>
      </c>
      <c r="AG18" s="9">
        <f t="shared" si="1"/>
        <v>412.25099999999992</v>
      </c>
      <c r="AH18" s="9">
        <f t="shared" si="2"/>
        <v>1.3684463363535693</v>
      </c>
      <c r="AI18" s="9">
        <f t="shared" si="3"/>
        <v>1.872645375479506</v>
      </c>
      <c r="AJ18" s="9">
        <f t="shared" si="4"/>
        <v>0.86789279480141124</v>
      </c>
      <c r="AK18" s="9">
        <f t="shared" si="5"/>
        <v>0.7532379032682045</v>
      </c>
      <c r="AL18" s="9">
        <f t="shared" si="6"/>
        <v>0.53211355375940961</v>
      </c>
      <c r="AM18" s="9">
        <f t="shared" si="7"/>
        <v>0.28314483409446811</v>
      </c>
      <c r="AN18" s="8" t="s">
        <v>320</v>
      </c>
    </row>
    <row r="19" spans="13:40" ht="23">
      <c r="M19" s="8" t="s">
        <v>197</v>
      </c>
      <c r="N19" s="8" t="s">
        <v>150</v>
      </c>
      <c r="O19" s="8"/>
      <c r="P19" s="8" t="s">
        <v>3705</v>
      </c>
      <c r="Q19" s="8"/>
      <c r="R19" s="8"/>
      <c r="S19" s="8"/>
      <c r="T19" s="8"/>
      <c r="U19" s="8"/>
      <c r="V19" s="8"/>
      <c r="W19" s="8" t="s">
        <v>197</v>
      </c>
      <c r="X19" s="8">
        <v>44.97</v>
      </c>
      <c r="Y19" s="8">
        <v>2</v>
      </c>
      <c r="Z19" s="9">
        <v>1.3</v>
      </c>
      <c r="AA19" s="8">
        <v>410.2</v>
      </c>
      <c r="AB19" s="8">
        <v>1638</v>
      </c>
      <c r="AC19" s="21" t="s">
        <v>197</v>
      </c>
      <c r="AD19" s="8" t="s">
        <v>3725</v>
      </c>
      <c r="AE19" s="8" t="s">
        <v>4083</v>
      </c>
      <c r="AF19" s="9">
        <f t="shared" si="0"/>
        <v>820.4</v>
      </c>
      <c r="AG19" s="9">
        <f t="shared" si="1"/>
        <v>412.25099999999992</v>
      </c>
      <c r="AH19" s="9">
        <f t="shared" si="2"/>
        <v>1.3684463363535693</v>
      </c>
      <c r="AI19" s="9">
        <f t="shared" si="3"/>
        <v>1.872645375479506</v>
      </c>
      <c r="AJ19" s="9">
        <f t="shared" si="4"/>
        <v>0.86789279480141124</v>
      </c>
      <c r="AK19" s="9">
        <f t="shared" si="5"/>
        <v>0.7532379032682045</v>
      </c>
      <c r="AL19" s="9">
        <f t="shared" si="6"/>
        <v>0.53211355375940961</v>
      </c>
      <c r="AM19" s="9">
        <f t="shared" si="7"/>
        <v>0.28314483409446811</v>
      </c>
      <c r="AN19" s="8" t="s">
        <v>197</v>
      </c>
    </row>
    <row r="20" spans="13:40" ht="23">
      <c r="M20" s="8" t="s">
        <v>5083</v>
      </c>
      <c r="N20" s="8" t="s">
        <v>150</v>
      </c>
      <c r="O20" s="8"/>
      <c r="P20" s="8" t="s">
        <v>4672</v>
      </c>
      <c r="Q20" s="8"/>
      <c r="R20" s="8"/>
      <c r="S20" s="8"/>
      <c r="T20" s="8"/>
      <c r="U20" s="8"/>
      <c r="V20" s="8"/>
      <c r="W20" s="8" t="s">
        <v>5083</v>
      </c>
      <c r="X20" s="8">
        <v>25.46</v>
      </c>
      <c r="Y20" s="8">
        <v>2.46</v>
      </c>
      <c r="Z20" s="9">
        <v>1.32</v>
      </c>
      <c r="AA20" s="8">
        <v>384</v>
      </c>
      <c r="AB20" s="8">
        <v>1354</v>
      </c>
      <c r="AC20" s="21" t="s">
        <v>5083</v>
      </c>
      <c r="AD20" s="8" t="s">
        <v>3725</v>
      </c>
      <c r="AE20" s="8" t="s">
        <v>4083</v>
      </c>
      <c r="AF20" s="9">
        <f t="shared" si="0"/>
        <v>944.64</v>
      </c>
      <c r="AG20" s="9">
        <f t="shared" si="1"/>
        <v>588.79999999999995</v>
      </c>
      <c r="AH20" s="9">
        <f t="shared" si="2"/>
        <v>1.2810419140901281</v>
      </c>
      <c r="AI20" s="9">
        <f t="shared" si="3"/>
        <v>1.6410683856556991</v>
      </c>
      <c r="AJ20" s="9">
        <f t="shared" si="4"/>
        <v>0.9993250239897673</v>
      </c>
      <c r="AK20" s="9">
        <f t="shared" si="5"/>
        <v>0.99865050357214902</v>
      </c>
      <c r="AL20" s="9">
        <f t="shared" si="6"/>
        <v>0.75999442197481726</v>
      </c>
      <c r="AM20" s="9">
        <f t="shared" si="7"/>
        <v>0.57759152143283665</v>
      </c>
      <c r="AN20" s="8" t="s">
        <v>5083</v>
      </c>
    </row>
    <row r="21" spans="13:40" ht="23">
      <c r="M21" s="8" t="s">
        <v>1570</v>
      </c>
      <c r="N21" s="8" t="s">
        <v>150</v>
      </c>
      <c r="O21" s="8"/>
      <c r="P21" s="8" t="s">
        <v>3693</v>
      </c>
      <c r="Q21" s="8"/>
      <c r="R21" s="8"/>
      <c r="S21" s="8"/>
      <c r="T21" s="8"/>
      <c r="U21" s="8"/>
      <c r="V21" s="8"/>
      <c r="W21" s="8" t="s">
        <v>1570</v>
      </c>
      <c r="X21" s="8">
        <v>45.45</v>
      </c>
      <c r="Y21" s="8">
        <v>2.09</v>
      </c>
      <c r="Z21" s="9">
        <v>1.44</v>
      </c>
      <c r="AA21" s="8">
        <v>376.9</v>
      </c>
      <c r="AB21" s="8">
        <v>2150</v>
      </c>
      <c r="AC21" s="21" t="s">
        <v>1570</v>
      </c>
      <c r="AD21" s="8" t="s">
        <v>3725</v>
      </c>
      <c r="AE21" s="8" t="s">
        <v>4083</v>
      </c>
      <c r="AF21" s="9">
        <f t="shared" si="0"/>
        <v>787.72099999999989</v>
      </c>
      <c r="AG21" s="9">
        <f t="shared" si="1"/>
        <v>653.29333333333329</v>
      </c>
      <c r="AH21" s="9">
        <f t="shared" si="2"/>
        <v>1.2573559828660659</v>
      </c>
      <c r="AI21" s="9">
        <f t="shared" si="3"/>
        <v>1.5809440676490905</v>
      </c>
      <c r="AJ21" s="9">
        <f t="shared" si="4"/>
        <v>0.83332201391243588</v>
      </c>
      <c r="AK21" s="9">
        <f t="shared" si="5"/>
        <v>0.69442557887107792</v>
      </c>
      <c r="AL21" s="9">
        <f t="shared" si="6"/>
        <v>0.84323928200860787</v>
      </c>
      <c r="AM21" s="9">
        <f t="shared" si="7"/>
        <v>0.71105248672239252</v>
      </c>
      <c r="AN21" s="8" t="s">
        <v>1570</v>
      </c>
    </row>
    <row r="22" spans="13:40" ht="23">
      <c r="M22" s="9" t="s">
        <v>3543</v>
      </c>
      <c r="N22" s="8" t="s">
        <v>2041</v>
      </c>
      <c r="O22" s="8"/>
      <c r="P22" s="8" t="s">
        <v>3692</v>
      </c>
      <c r="Q22" s="8"/>
      <c r="R22" s="8"/>
      <c r="S22" s="8"/>
      <c r="T22" s="8"/>
      <c r="U22" s="8"/>
      <c r="V22" s="8"/>
      <c r="W22" s="9" t="s">
        <v>3543</v>
      </c>
      <c r="X22" s="8">
        <v>43.93</v>
      </c>
      <c r="Y22" s="8">
        <v>1.98</v>
      </c>
      <c r="Z22" s="9">
        <v>2.33</v>
      </c>
      <c r="AA22" s="8">
        <v>366.6</v>
      </c>
      <c r="AB22" s="8">
        <v>3279</v>
      </c>
      <c r="AC22" s="9" t="s">
        <v>3543</v>
      </c>
      <c r="AD22" s="8" t="s">
        <v>3725</v>
      </c>
      <c r="AE22" s="8" t="s">
        <v>4083</v>
      </c>
      <c r="AF22" s="9">
        <f t="shared" si="0"/>
        <v>725.86800000000005</v>
      </c>
      <c r="AG22" s="9">
        <f t="shared" si="1"/>
        <v>934.83</v>
      </c>
      <c r="AH22" s="9">
        <f t="shared" si="2"/>
        <v>1.2229947023579193</v>
      </c>
      <c r="AI22" s="9">
        <f t="shared" si="3"/>
        <v>1.4957160419955355</v>
      </c>
      <c r="AJ22" s="9">
        <f t="shared" si="4"/>
        <v>0.76788835589579574</v>
      </c>
      <c r="AK22" s="9">
        <f t="shared" si="5"/>
        <v>0.58965252712034821</v>
      </c>
      <c r="AL22" s="9">
        <f t="shared" si="6"/>
        <v>1.2066331275385846</v>
      </c>
      <c r="AM22" s="9">
        <f t="shared" si="7"/>
        <v>1.4559635044735464</v>
      </c>
      <c r="AN22" s="9" t="s">
        <v>3543</v>
      </c>
    </row>
    <row r="23" spans="13:40" ht="23">
      <c r="M23" s="9" t="s">
        <v>2734</v>
      </c>
      <c r="N23" s="8" t="s">
        <v>1614</v>
      </c>
      <c r="O23" s="8"/>
      <c r="P23" s="8" t="s">
        <v>3702</v>
      </c>
      <c r="Q23" s="8"/>
      <c r="R23" s="8"/>
      <c r="S23" s="8"/>
      <c r="T23" s="8"/>
      <c r="U23" s="8"/>
      <c r="V23" s="8"/>
      <c r="W23" s="9" t="s">
        <v>2734</v>
      </c>
      <c r="X23" s="8">
        <v>21.59</v>
      </c>
      <c r="Y23" s="8">
        <v>5.54</v>
      </c>
      <c r="Z23" s="9">
        <v>6.17</v>
      </c>
      <c r="AA23" s="8">
        <v>352.7</v>
      </c>
      <c r="AB23" s="8">
        <v>752</v>
      </c>
      <c r="AC23" s="22" t="s">
        <v>2734</v>
      </c>
      <c r="AD23" s="8" t="s">
        <v>3725</v>
      </c>
      <c r="AE23" s="8" t="s">
        <v>4083</v>
      </c>
      <c r="AF23" s="9">
        <f t="shared" si="0"/>
        <v>1953.9579999999999</v>
      </c>
      <c r="AG23" s="9">
        <f t="shared" si="1"/>
        <v>2216.1316666666667</v>
      </c>
      <c r="AH23" s="9">
        <f t="shared" si="2"/>
        <v>1.1766236539051778</v>
      </c>
      <c r="AI23" s="9">
        <f t="shared" si="3"/>
        <v>1.3844432229291714</v>
      </c>
      <c r="AJ23" s="9">
        <f t="shared" si="4"/>
        <v>2.0670722446910967</v>
      </c>
      <c r="AK23" s="9">
        <f t="shared" si="5"/>
        <v>4.2727876647722889</v>
      </c>
      <c r="AL23" s="9">
        <f t="shared" si="6"/>
        <v>2.8604750425075101</v>
      </c>
      <c r="AM23" s="9">
        <f t="shared" si="7"/>
        <v>8.1823174688083409</v>
      </c>
      <c r="AN23" s="9" t="s">
        <v>2734</v>
      </c>
    </row>
    <row r="24" spans="13:40" ht="23">
      <c r="M24" s="9" t="s">
        <v>2461</v>
      </c>
      <c r="N24" s="8" t="s">
        <v>150</v>
      </c>
      <c r="O24" s="8"/>
      <c r="P24" s="8" t="s">
        <v>3693</v>
      </c>
      <c r="Q24" s="8"/>
      <c r="R24" s="8"/>
      <c r="S24" s="8"/>
      <c r="T24" s="8"/>
      <c r="U24" s="8"/>
      <c r="V24" s="8"/>
      <c r="W24" s="9" t="s">
        <v>2461</v>
      </c>
      <c r="X24" s="8">
        <v>44.24</v>
      </c>
      <c r="Y24" s="8">
        <v>2.2200000000000002</v>
      </c>
      <c r="Z24" s="9">
        <v>1.02</v>
      </c>
      <c r="AA24" s="8">
        <v>345.3</v>
      </c>
      <c r="AB24" s="8">
        <v>2227</v>
      </c>
      <c r="AC24" s="9" t="s">
        <v>2461</v>
      </c>
      <c r="AD24" s="8" t="s">
        <v>3725</v>
      </c>
      <c r="AE24" s="8" t="s">
        <v>4083</v>
      </c>
      <c r="AF24" s="9">
        <f t="shared" si="0"/>
        <v>766.56600000000014</v>
      </c>
      <c r="AG24" s="9">
        <f t="shared" si="1"/>
        <v>356.81000000000006</v>
      </c>
      <c r="AH24" s="9">
        <f t="shared" si="2"/>
        <v>1.1519369086857325</v>
      </c>
      <c r="AI24" s="9">
        <f t="shared" si="3"/>
        <v>1.3269586415924417</v>
      </c>
      <c r="AJ24" s="9">
        <f t="shared" si="4"/>
        <v>0.81094235511913537</v>
      </c>
      <c r="AK24" s="9">
        <f t="shared" si="5"/>
        <v>0.65762750332616982</v>
      </c>
      <c r="AL24" s="9">
        <f t="shared" si="6"/>
        <v>0.46055300561283052</v>
      </c>
      <c r="AM24" s="9">
        <f t="shared" si="7"/>
        <v>0.21210907097901191</v>
      </c>
      <c r="AN24" s="9" t="s">
        <v>2461</v>
      </c>
    </row>
    <row r="25" spans="13:40" ht="23">
      <c r="M25" s="8" t="s">
        <v>118</v>
      </c>
      <c r="N25" s="8" t="s">
        <v>125</v>
      </c>
      <c r="O25" s="8"/>
      <c r="P25" s="8"/>
      <c r="Q25" s="8"/>
      <c r="R25" s="8"/>
      <c r="S25" s="8"/>
      <c r="T25" s="8"/>
      <c r="U25" s="8"/>
      <c r="V25" s="8"/>
      <c r="W25" s="8" t="s">
        <v>118</v>
      </c>
      <c r="X25" s="8">
        <v>34.840000000000003</v>
      </c>
      <c r="Y25" s="8">
        <v>1.57</v>
      </c>
      <c r="Z25" s="9">
        <v>1.0900000000000001</v>
      </c>
      <c r="AA25" s="8">
        <v>330.9</v>
      </c>
      <c r="AB25" s="8">
        <v>3585</v>
      </c>
      <c r="AC25" s="8" t="s">
        <v>118</v>
      </c>
      <c r="AD25" s="8" t="s">
        <v>3725</v>
      </c>
      <c r="AE25" s="8" t="s">
        <v>4083</v>
      </c>
      <c r="AF25" s="9">
        <f t="shared" si="0"/>
        <v>519.51300000000003</v>
      </c>
      <c r="AG25" s="9">
        <f t="shared" si="1"/>
        <v>380.53499999999997</v>
      </c>
      <c r="AH25" s="9">
        <f t="shared" si="2"/>
        <v>1.1038978369073527</v>
      </c>
      <c r="AI25" s="9">
        <f t="shared" si="3"/>
        <v>1.2185904343287322</v>
      </c>
      <c r="AJ25" s="9">
        <f t="shared" si="4"/>
        <v>0.54958750549203517</v>
      </c>
      <c r="AK25" s="9">
        <f t="shared" si="5"/>
        <v>0.3020464261929578</v>
      </c>
      <c r="AL25" s="9">
        <f t="shared" si="6"/>
        <v>0.49117608248333405</v>
      </c>
      <c r="AM25" s="9">
        <f t="shared" si="7"/>
        <v>0.24125394400367497</v>
      </c>
      <c r="AN25" s="8" t="s">
        <v>118</v>
      </c>
    </row>
    <row r="26" spans="13:40" ht="23">
      <c r="M26" s="8" t="s">
        <v>407</v>
      </c>
      <c r="N26" s="8" t="s">
        <v>150</v>
      </c>
      <c r="O26" s="8"/>
      <c r="P26" s="8" t="s">
        <v>3691</v>
      </c>
      <c r="Q26" s="8"/>
      <c r="R26" s="8"/>
      <c r="S26" s="8"/>
      <c r="T26" s="8"/>
      <c r="U26" s="8"/>
      <c r="V26" s="8"/>
      <c r="W26" s="8" t="s">
        <v>407</v>
      </c>
      <c r="X26" s="8">
        <v>39.36</v>
      </c>
      <c r="Y26" s="8">
        <v>2.21</v>
      </c>
      <c r="Z26" s="9">
        <v>2.06</v>
      </c>
      <c r="AA26" s="8">
        <v>323.8</v>
      </c>
      <c r="AB26" s="8">
        <v>1698</v>
      </c>
      <c r="AC26" s="8" t="s">
        <v>407</v>
      </c>
      <c r="AD26" s="8" t="s">
        <v>3725</v>
      </c>
      <c r="AE26" s="8" t="s">
        <v>4083</v>
      </c>
      <c r="AF26" s="9">
        <f t="shared" si="0"/>
        <v>715.59800000000007</v>
      </c>
      <c r="AG26" s="9">
        <f t="shared" si="1"/>
        <v>679.98</v>
      </c>
      <c r="AH26" s="9">
        <f t="shared" si="2"/>
        <v>1.0802119056832906</v>
      </c>
      <c r="AI26" s="9">
        <f t="shared" si="3"/>
        <v>1.1668577611799265</v>
      </c>
      <c r="AJ26" s="9">
        <f t="shared" si="4"/>
        <v>0.75702382761372544</v>
      </c>
      <c r="AK26" s="9">
        <f t="shared" si="5"/>
        <v>0.57308507557493549</v>
      </c>
      <c r="AL26" s="9">
        <f t="shared" si="6"/>
        <v>0.87768513426364869</v>
      </c>
      <c r="AM26" s="9">
        <f t="shared" si="7"/>
        <v>0.77033119490739899</v>
      </c>
      <c r="AN26" s="8" t="s">
        <v>407</v>
      </c>
    </row>
    <row r="27" spans="13:40" ht="23">
      <c r="M27" s="8" t="s">
        <v>1733</v>
      </c>
      <c r="N27" s="8" t="s">
        <v>1717</v>
      </c>
      <c r="O27" s="8"/>
      <c r="P27" s="8" t="s">
        <v>3691</v>
      </c>
      <c r="Q27" s="8"/>
      <c r="R27" s="8"/>
      <c r="S27" s="8"/>
      <c r="T27" s="8"/>
      <c r="U27" s="8"/>
      <c r="V27" s="8"/>
      <c r="W27" s="8" t="s">
        <v>1733</v>
      </c>
      <c r="X27" s="8">
        <v>33.119999999999997</v>
      </c>
      <c r="Y27" s="8">
        <v>1.29</v>
      </c>
      <c r="Z27" s="9">
        <v>0.16</v>
      </c>
      <c r="AA27" s="8">
        <v>311.2</v>
      </c>
      <c r="AB27" s="8">
        <v>5147</v>
      </c>
      <c r="AC27" s="8" t="s">
        <v>1733</v>
      </c>
      <c r="AD27" s="8" t="s">
        <v>3725</v>
      </c>
      <c r="AE27" s="8" t="s">
        <v>4083</v>
      </c>
      <c r="AF27" s="9">
        <f t="shared" si="0"/>
        <v>401.44799999999998</v>
      </c>
      <c r="AG27" s="9">
        <f t="shared" si="1"/>
        <v>82.986666666666665</v>
      </c>
      <c r="AH27" s="9">
        <f t="shared" si="2"/>
        <v>1.038177717877208</v>
      </c>
      <c r="AI27" s="9">
        <f t="shared" si="3"/>
        <v>1.0778129738967277</v>
      </c>
      <c r="AJ27" s="9">
        <f t="shared" si="4"/>
        <v>0.42468774584036678</v>
      </c>
      <c r="AK27" s="9">
        <f t="shared" si="5"/>
        <v>0.18035968146697198</v>
      </c>
      <c r="AL27" s="9">
        <f t="shared" si="6"/>
        <v>0.10711515585079853</v>
      </c>
      <c r="AM27" s="9">
        <f t="shared" si="7"/>
        <v>1.1473656612940858E-2</v>
      </c>
      <c r="AN27" s="8" t="s">
        <v>1733</v>
      </c>
    </row>
    <row r="28" spans="13:40" ht="23">
      <c r="M28" s="9" t="s">
        <v>2711</v>
      </c>
      <c r="N28" s="8" t="s">
        <v>1614</v>
      </c>
      <c r="O28" s="8"/>
      <c r="P28" s="8" t="s">
        <v>3705</v>
      </c>
      <c r="Q28" s="8"/>
      <c r="R28" s="8"/>
      <c r="S28" s="8"/>
      <c r="T28" s="8"/>
      <c r="U28" s="8"/>
      <c r="V28" s="8"/>
      <c r="W28" s="9" t="s">
        <v>2711</v>
      </c>
      <c r="X28" s="8">
        <v>32.340000000000003</v>
      </c>
      <c r="Y28" s="8">
        <v>1.51</v>
      </c>
      <c r="Z28" s="9">
        <v>0.32</v>
      </c>
      <c r="AA28" s="8">
        <v>309.10000000000002</v>
      </c>
      <c r="AB28" s="8">
        <v>3307</v>
      </c>
      <c r="AC28" s="9" t="s">
        <v>2711</v>
      </c>
      <c r="AD28" s="8" t="s">
        <v>3725</v>
      </c>
      <c r="AE28" s="8" t="s">
        <v>4083</v>
      </c>
      <c r="AF28" s="9">
        <f t="shared" si="0"/>
        <v>466.74100000000004</v>
      </c>
      <c r="AG28" s="9">
        <f t="shared" si="1"/>
        <v>164.85333333333335</v>
      </c>
      <c r="AH28" s="9">
        <f t="shared" si="2"/>
        <v>1.0311720199095278</v>
      </c>
      <c r="AI28" s="9">
        <f t="shared" si="3"/>
        <v>1.0633157346442956</v>
      </c>
      <c r="AJ28" s="9">
        <f t="shared" si="4"/>
        <v>0.49376054478108911</v>
      </c>
      <c r="AK28" s="9">
        <f t="shared" si="5"/>
        <v>0.24379947558251791</v>
      </c>
      <c r="AL28" s="9">
        <f t="shared" si="6"/>
        <v>0.21278467013805805</v>
      </c>
      <c r="AM28" s="9">
        <f t="shared" si="7"/>
        <v>4.5277315845762174E-2</v>
      </c>
      <c r="AN28" s="9" t="s">
        <v>2711</v>
      </c>
    </row>
    <row r="29" spans="13:40" ht="23">
      <c r="M29" s="8" t="s">
        <v>183</v>
      </c>
      <c r="N29" s="8" t="s">
        <v>150</v>
      </c>
      <c r="O29" s="8"/>
      <c r="P29" s="8" t="s">
        <v>3693</v>
      </c>
      <c r="Q29" s="8"/>
      <c r="R29" s="8"/>
      <c r="S29" s="8"/>
      <c r="T29" s="8"/>
      <c r="U29" s="8"/>
      <c r="V29" s="8"/>
      <c r="W29" s="8" t="s">
        <v>183</v>
      </c>
      <c r="X29" s="8">
        <v>21.06</v>
      </c>
      <c r="Y29" s="8">
        <v>4.4800000000000004</v>
      </c>
      <c r="Z29" s="9">
        <v>3.51</v>
      </c>
      <c r="AA29" s="8">
        <v>307.10000000000002</v>
      </c>
      <c r="AB29" s="8">
        <v>1413</v>
      </c>
      <c r="AC29" s="8" t="s">
        <v>183</v>
      </c>
      <c r="AD29" s="8" t="s">
        <v>3725</v>
      </c>
      <c r="AE29" s="8" t="s">
        <v>4083</v>
      </c>
      <c r="AF29" s="9">
        <f t="shared" si="0"/>
        <v>1375.8080000000002</v>
      </c>
      <c r="AG29" s="9">
        <f t="shared" si="1"/>
        <v>1182.335</v>
      </c>
      <c r="AH29" s="9">
        <f t="shared" si="2"/>
        <v>1.024499926606975</v>
      </c>
      <c r="AI29" s="9">
        <f t="shared" si="3"/>
        <v>1.0496000996176971</v>
      </c>
      <c r="AJ29" s="9">
        <f t="shared" si="4"/>
        <v>1.455453254790517</v>
      </c>
      <c r="AK29" s="9">
        <f t="shared" si="5"/>
        <v>2.1183441768803095</v>
      </c>
      <c r="AL29" s="9">
        <f t="shared" si="6"/>
        <v>1.5261005518097752</v>
      </c>
      <c r="AM29" s="9">
        <f t="shared" si="7"/>
        <v>2.3289828942341004</v>
      </c>
      <c r="AN29" s="8" t="s">
        <v>183</v>
      </c>
    </row>
    <row r="30" spans="13:40" ht="23">
      <c r="M30" s="8" t="s">
        <v>924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924</v>
      </c>
      <c r="X30" s="8">
        <v>32.1</v>
      </c>
      <c r="Y30" s="8">
        <v>1.84</v>
      </c>
      <c r="Z30" s="9">
        <v>1.17</v>
      </c>
      <c r="AA30" s="8">
        <v>300.3</v>
      </c>
      <c r="AB30" s="8">
        <v>2690</v>
      </c>
      <c r="AC30" s="8" t="s">
        <v>924</v>
      </c>
      <c r="AD30" s="8" t="s">
        <v>3725</v>
      </c>
      <c r="AE30" s="8" t="s">
        <v>4083</v>
      </c>
      <c r="AF30" s="9">
        <f t="shared" si="0"/>
        <v>552.55200000000002</v>
      </c>
      <c r="AG30" s="9">
        <f t="shared" si="1"/>
        <v>385.38499999999999</v>
      </c>
      <c r="AH30" s="9">
        <f t="shared" si="2"/>
        <v>1.0018148093782957</v>
      </c>
      <c r="AI30" s="9">
        <f t="shared" si="3"/>
        <v>1.003632912289671</v>
      </c>
      <c r="AJ30" s="9">
        <f t="shared" si="4"/>
        <v>0.58453912671027475</v>
      </c>
      <c r="AK30" s="9">
        <f t="shared" si="5"/>
        <v>0.34168599065521066</v>
      </c>
      <c r="AL30" s="9">
        <f t="shared" si="6"/>
        <v>0.49743622675401655</v>
      </c>
      <c r="AM30" s="9">
        <f t="shared" si="7"/>
        <v>0.24744279968727337</v>
      </c>
      <c r="AN30" s="8" t="s">
        <v>924</v>
      </c>
    </row>
    <row r="31" spans="13:40" ht="23">
      <c r="M31" s="9" t="s">
        <v>2308</v>
      </c>
      <c r="N31" s="8" t="s">
        <v>150</v>
      </c>
      <c r="O31" s="8"/>
      <c r="P31" s="8" t="s">
        <v>3693</v>
      </c>
      <c r="Q31" s="8"/>
      <c r="R31" s="8"/>
      <c r="S31" s="8"/>
      <c r="T31" s="8"/>
      <c r="U31" s="8"/>
      <c r="V31" s="8"/>
      <c r="W31" s="9" t="s">
        <v>2308</v>
      </c>
      <c r="X31" s="8">
        <v>13.57</v>
      </c>
      <c r="Y31" s="8">
        <v>3.68</v>
      </c>
      <c r="Z31" s="9">
        <v>1.34</v>
      </c>
      <c r="AA31" s="8">
        <v>271.2</v>
      </c>
      <c r="AB31" s="8">
        <v>2550</v>
      </c>
      <c r="AC31" s="9" t="s">
        <v>2308</v>
      </c>
      <c r="AD31" s="8" t="s">
        <v>3725</v>
      </c>
      <c r="AE31" s="8" t="s">
        <v>4083</v>
      </c>
      <c r="AF31" s="9">
        <f t="shared" si="0"/>
        <v>998.01599999999996</v>
      </c>
      <c r="AG31" s="9">
        <f t="shared" si="1"/>
        <v>424.88</v>
      </c>
      <c r="AH31" s="9">
        <f t="shared" si="2"/>
        <v>0.90473585182615313</v>
      </c>
      <c r="AI31" s="9">
        <f t="shared" si="3"/>
        <v>0.81854696157959494</v>
      </c>
      <c r="AJ31" s="9">
        <f t="shared" si="4"/>
        <v>1.0557909501420346</v>
      </c>
      <c r="AK31" s="9">
        <f t="shared" si="5"/>
        <v>1.1146945304018203</v>
      </c>
      <c r="AL31" s="9">
        <f t="shared" si="6"/>
        <v>0.5484144531397086</v>
      </c>
      <c r="AM31" s="9">
        <f t="shared" si="7"/>
        <v>0.30075841241252566</v>
      </c>
      <c r="AN31" s="9" t="s">
        <v>2308</v>
      </c>
    </row>
    <row r="32" spans="13:40" ht="23">
      <c r="M32" s="9" t="s">
        <v>3186</v>
      </c>
      <c r="N32" s="8" t="s">
        <v>1869</v>
      </c>
      <c r="O32" s="8"/>
      <c r="P32" s="8" t="s">
        <v>3691</v>
      </c>
      <c r="Q32" s="8"/>
      <c r="R32" s="8"/>
      <c r="S32" s="8"/>
      <c r="T32" s="8"/>
      <c r="U32" s="8"/>
      <c r="V32" s="8"/>
      <c r="W32" s="9" t="s">
        <v>3186</v>
      </c>
      <c r="X32" s="8">
        <v>26.77</v>
      </c>
      <c r="Y32" s="8">
        <v>2.92</v>
      </c>
      <c r="Z32" s="9">
        <v>1.55</v>
      </c>
      <c r="AA32" s="8">
        <v>237.6</v>
      </c>
      <c r="AB32" s="8">
        <v>1501</v>
      </c>
      <c r="AC32" s="9" t="s">
        <v>3186</v>
      </c>
      <c r="AD32" s="8" t="s">
        <v>3725</v>
      </c>
      <c r="AE32" s="8" t="s">
        <v>4083</v>
      </c>
      <c r="AF32" s="9">
        <f t="shared" si="0"/>
        <v>693.79199999999992</v>
      </c>
      <c r="AG32" s="9">
        <f t="shared" si="1"/>
        <v>455.4</v>
      </c>
      <c r="AH32" s="9">
        <f t="shared" si="2"/>
        <v>0.79264468434326674</v>
      </c>
      <c r="AI32" s="9">
        <f t="shared" si="3"/>
        <v>0.62828559561763697</v>
      </c>
      <c r="AJ32" s="9">
        <f t="shared" si="4"/>
        <v>0.7339554825583382</v>
      </c>
      <c r="AK32" s="9">
        <f t="shared" si="5"/>
        <v>0.53869065037744313</v>
      </c>
      <c r="AL32" s="9">
        <f t="shared" si="6"/>
        <v>0.58780818574614779</v>
      </c>
      <c r="AM32" s="9">
        <f t="shared" si="7"/>
        <v>0.34551846323017776</v>
      </c>
      <c r="AN32" s="9" t="s">
        <v>3186</v>
      </c>
    </row>
    <row r="33" spans="13:40" ht="23">
      <c r="M33" s="9" t="s">
        <v>2270</v>
      </c>
      <c r="N33" s="8" t="s">
        <v>150</v>
      </c>
      <c r="O33" s="8"/>
      <c r="P33" s="8" t="s">
        <v>3696</v>
      </c>
      <c r="Q33" s="8"/>
      <c r="R33" s="8"/>
      <c r="S33" s="8"/>
      <c r="T33" s="8"/>
      <c r="U33" s="8"/>
      <c r="V33" s="8"/>
      <c r="W33" s="9" t="s">
        <v>2270</v>
      </c>
      <c r="X33" s="8">
        <v>12.02</v>
      </c>
      <c r="Y33" s="8">
        <v>5.78</v>
      </c>
      <c r="Z33" s="9">
        <v>2.42</v>
      </c>
      <c r="AA33" s="8">
        <v>234.4</v>
      </c>
      <c r="AB33" s="8">
        <v>3496</v>
      </c>
      <c r="AC33" s="9" t="s">
        <v>2270</v>
      </c>
      <c r="AD33" s="8" t="s">
        <v>3725</v>
      </c>
      <c r="AE33" s="8" t="s">
        <v>4083</v>
      </c>
      <c r="AF33" s="9">
        <f t="shared" si="0"/>
        <v>1354.8320000000001</v>
      </c>
      <c r="AG33" s="9">
        <f t="shared" si="1"/>
        <v>632.88000000000011</v>
      </c>
      <c r="AH33" s="9">
        <f t="shared" si="2"/>
        <v>0.78196933505918254</v>
      </c>
      <c r="AI33" s="9">
        <f t="shared" si="3"/>
        <v>0.61147604097290009</v>
      </c>
      <c r="AJ33" s="9">
        <f t="shared" si="4"/>
        <v>1.4332629582720449</v>
      </c>
      <c r="AK33" s="9">
        <f t="shared" si="5"/>
        <v>2.0542427075547334</v>
      </c>
      <c r="AL33" s="9">
        <f t="shared" si="6"/>
        <v>0.81689074351124746</v>
      </c>
      <c r="AM33" s="9">
        <f t="shared" si="7"/>
        <v>0.66731048683435867</v>
      </c>
      <c r="AN33" s="9" t="s">
        <v>2270</v>
      </c>
    </row>
    <row r="34" spans="13:40" ht="23">
      <c r="M34" s="8" t="s">
        <v>152</v>
      </c>
      <c r="N34" s="8" t="s">
        <v>150</v>
      </c>
      <c r="O34" s="8"/>
      <c r="P34" s="8" t="s">
        <v>3691</v>
      </c>
      <c r="Q34" s="8"/>
      <c r="R34" s="8"/>
      <c r="S34" s="8"/>
      <c r="T34" s="8"/>
      <c r="U34" s="8"/>
      <c r="V34" s="8"/>
      <c r="W34" s="8" t="s">
        <v>152</v>
      </c>
      <c r="X34" s="8">
        <v>32.979999999999997</v>
      </c>
      <c r="Y34" s="8">
        <v>6</v>
      </c>
      <c r="Z34" s="9">
        <v>2.06</v>
      </c>
      <c r="AA34" s="8">
        <v>230.1</v>
      </c>
      <c r="AB34" s="8">
        <v>4160</v>
      </c>
      <c r="AC34" s="8" t="s">
        <v>152</v>
      </c>
      <c r="AD34" s="8" t="s">
        <v>3725</v>
      </c>
      <c r="AE34" s="8" t="s">
        <v>4083</v>
      </c>
      <c r="AF34" s="9">
        <f t="shared" si="0"/>
        <v>1380.6</v>
      </c>
      <c r="AG34" s="9">
        <f t="shared" si="1"/>
        <v>483.21000000000004</v>
      </c>
      <c r="AH34" s="9">
        <f t="shared" si="2"/>
        <v>0.76762433445869394</v>
      </c>
      <c r="AI34" s="9">
        <f t="shared" si="3"/>
        <v>0.58924711885315284</v>
      </c>
      <c r="AJ34" s="9">
        <f t="shared" si="4"/>
        <v>1.4605226627289474</v>
      </c>
      <c r="AK34" s="9">
        <f t="shared" si="5"/>
        <v>2.1331264483448544</v>
      </c>
      <c r="AL34" s="9">
        <f t="shared" si="6"/>
        <v>0.62370398206938094</v>
      </c>
      <c r="AM34" s="9">
        <f t="shared" si="7"/>
        <v>0.38900665724920264</v>
      </c>
      <c r="AN34" s="8" t="s">
        <v>152</v>
      </c>
    </row>
    <row r="35" spans="13:40" ht="23">
      <c r="M35" s="9" t="s">
        <v>2904</v>
      </c>
      <c r="N35" s="8" t="s">
        <v>1717</v>
      </c>
      <c r="O35" s="8"/>
      <c r="P35" s="8" t="s">
        <v>3691</v>
      </c>
      <c r="Q35" s="8"/>
      <c r="R35" s="8"/>
      <c r="S35" s="8"/>
      <c r="T35" s="8"/>
      <c r="U35" s="8"/>
      <c r="V35" s="8"/>
      <c r="W35" s="9" t="s">
        <v>2904</v>
      </c>
      <c r="X35" s="8">
        <v>43.09</v>
      </c>
      <c r="Y35" s="8">
        <v>1.62</v>
      </c>
      <c r="Z35" s="9">
        <v>0.48</v>
      </c>
      <c r="AA35" s="8">
        <v>230</v>
      </c>
      <c r="AB35" s="8">
        <v>2671</v>
      </c>
      <c r="AC35" s="9" t="s">
        <v>2904</v>
      </c>
      <c r="AD35" s="8" t="s">
        <v>3725</v>
      </c>
      <c r="AE35" s="8" t="s">
        <v>4083</v>
      </c>
      <c r="AF35" s="9">
        <f t="shared" si="0"/>
        <v>372.6</v>
      </c>
      <c r="AG35" s="9">
        <f t="shared" si="1"/>
        <v>184</v>
      </c>
      <c r="AH35" s="9">
        <f t="shared" si="2"/>
        <v>0.76729072979356638</v>
      </c>
      <c r="AI35" s="9">
        <f t="shared" si="3"/>
        <v>0.58873506402714371</v>
      </c>
      <c r="AJ35" s="9">
        <f t="shared" si="4"/>
        <v>0.39416974078864686</v>
      </c>
      <c r="AK35" s="9">
        <f t="shared" si="5"/>
        <v>0.15536978455338907</v>
      </c>
      <c r="AL35" s="9">
        <f t="shared" si="6"/>
        <v>0.23749825686713044</v>
      </c>
      <c r="AM35" s="9">
        <f t="shared" si="7"/>
        <v>5.6405422014925474E-2</v>
      </c>
      <c r="AN35" s="9" t="s">
        <v>2904</v>
      </c>
    </row>
    <row r="36" spans="13:40" ht="23">
      <c r="M36" s="8" t="s">
        <v>1828</v>
      </c>
      <c r="N36" s="8" t="s">
        <v>1814</v>
      </c>
      <c r="O36" s="8"/>
      <c r="P36" s="8" t="s">
        <v>3697</v>
      </c>
      <c r="Q36" s="8"/>
      <c r="R36" s="8"/>
      <c r="S36" s="8"/>
      <c r="T36" s="8"/>
      <c r="U36" s="8"/>
      <c r="V36" s="8"/>
      <c r="W36" s="8" t="s">
        <v>1828</v>
      </c>
      <c r="X36" s="8">
        <v>17.12</v>
      </c>
      <c r="Y36" s="8">
        <v>2.21</v>
      </c>
      <c r="Z36" s="9">
        <v>1.02</v>
      </c>
      <c r="AA36" s="8">
        <v>222.1</v>
      </c>
      <c r="AB36" s="8">
        <v>3209</v>
      </c>
      <c r="AC36" s="8" t="s">
        <v>1828</v>
      </c>
      <c r="AD36" s="8" t="s">
        <v>3725</v>
      </c>
      <c r="AE36" s="8" t="s">
        <v>4083</v>
      </c>
      <c r="AF36" s="9">
        <f t="shared" si="0"/>
        <v>490.84099999999995</v>
      </c>
      <c r="AG36" s="9">
        <f t="shared" si="1"/>
        <v>229.50333333333336</v>
      </c>
      <c r="AH36" s="9">
        <f t="shared" si="2"/>
        <v>0.74093596124848304</v>
      </c>
      <c r="AI36" s="9">
        <f t="shared" si="3"/>
        <v>0.54898609867121362</v>
      </c>
      <c r="AJ36" s="9">
        <f t="shared" si="4"/>
        <v>0.51925568904573316</v>
      </c>
      <c r="AK36" s="9">
        <f t="shared" si="5"/>
        <v>0.26962647060635914</v>
      </c>
      <c r="AL36" s="9">
        <f t="shared" si="6"/>
        <v>0.29623174789055795</v>
      </c>
      <c r="AM36" s="9">
        <f t="shared" si="7"/>
        <v>8.7753248458295088E-2</v>
      </c>
      <c r="AN36" s="8" t="s">
        <v>1828</v>
      </c>
    </row>
    <row r="37" spans="13:40" ht="23">
      <c r="M37" s="9" t="s">
        <v>2631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9" t="s">
        <v>2631</v>
      </c>
      <c r="X37" s="8">
        <v>28.97</v>
      </c>
      <c r="Y37" s="8">
        <v>1.73</v>
      </c>
      <c r="Z37" s="9">
        <v>3.15</v>
      </c>
      <c r="AA37" s="8">
        <v>220.3</v>
      </c>
      <c r="AB37" s="8">
        <v>3171</v>
      </c>
      <c r="AC37" s="9" t="s">
        <v>2631</v>
      </c>
      <c r="AD37" s="8" t="s">
        <v>3725</v>
      </c>
      <c r="AE37" s="8" t="s">
        <v>4083</v>
      </c>
      <c r="AF37" s="9">
        <f t="shared" si="0"/>
        <v>381.11900000000003</v>
      </c>
      <c r="AG37" s="9">
        <f t="shared" si="1"/>
        <v>715.97500000000002</v>
      </c>
      <c r="AH37" s="9">
        <f t="shared" si="2"/>
        <v>0.73493107727618556</v>
      </c>
      <c r="AI37" s="9">
        <f t="shared" si="3"/>
        <v>0.54012368834633462</v>
      </c>
      <c r="AJ37" s="9">
        <f t="shared" si="4"/>
        <v>0.40318190402476733</v>
      </c>
      <c r="AK37" s="9">
        <f t="shared" si="5"/>
        <v>0.16255564773303668</v>
      </c>
      <c r="AL37" s="9">
        <f t="shared" si="6"/>
        <v>0.92414573076328099</v>
      </c>
      <c r="AM37" s="9">
        <f t="shared" si="7"/>
        <v>0.85404533168799868</v>
      </c>
      <c r="AN37" s="9" t="s">
        <v>2631</v>
      </c>
    </row>
    <row r="38" spans="13:40" ht="23">
      <c r="M38" s="8" t="s">
        <v>584</v>
      </c>
      <c r="N38" s="8" t="s">
        <v>150</v>
      </c>
      <c r="O38" s="8"/>
      <c r="P38" s="8" t="s">
        <v>3691</v>
      </c>
      <c r="Q38" s="8"/>
      <c r="R38" s="8"/>
      <c r="S38" s="8"/>
      <c r="T38" s="8"/>
      <c r="U38" s="8"/>
      <c r="V38" s="8"/>
      <c r="W38" s="8" t="s">
        <v>584</v>
      </c>
      <c r="X38" s="8">
        <v>38.799999999999997</v>
      </c>
      <c r="Y38" s="8">
        <v>1.71</v>
      </c>
      <c r="Z38" s="9">
        <v>0.43</v>
      </c>
      <c r="AA38" s="8">
        <v>219.7</v>
      </c>
      <c r="AB38" s="8">
        <v>1973</v>
      </c>
      <c r="AC38" s="8" t="s">
        <v>584</v>
      </c>
      <c r="AD38" s="8" t="s">
        <v>3725</v>
      </c>
      <c r="AE38" s="8" t="s">
        <v>4083</v>
      </c>
      <c r="AF38" s="9">
        <f t="shared" si="0"/>
        <v>375.68699999999995</v>
      </c>
      <c r="AG38" s="9">
        <f t="shared" si="1"/>
        <v>157.45166666666665</v>
      </c>
      <c r="AH38" s="9">
        <f t="shared" si="2"/>
        <v>0.7329294492854197</v>
      </c>
      <c r="AI38" s="9">
        <f t="shared" si="3"/>
        <v>0.53718557762982866</v>
      </c>
      <c r="AJ38" s="9">
        <f t="shared" si="4"/>
        <v>0.39743544661208896</v>
      </c>
      <c r="AK38" s="9">
        <f t="shared" si="5"/>
        <v>0.15795493422375062</v>
      </c>
      <c r="AL38" s="9">
        <f t="shared" si="6"/>
        <v>0.20323095855520537</v>
      </c>
      <c r="AM38" s="9">
        <f t="shared" si="7"/>
        <v>4.1302822515267602E-2</v>
      </c>
      <c r="AN38" s="8" t="s">
        <v>584</v>
      </c>
    </row>
    <row r="39" spans="13:40" ht="23">
      <c r="M39" s="9" t="s">
        <v>3045</v>
      </c>
      <c r="N39" s="8" t="s">
        <v>1814</v>
      </c>
      <c r="O39" s="8"/>
      <c r="P39" s="8" t="s">
        <v>4660</v>
      </c>
      <c r="Q39" s="8"/>
      <c r="R39" s="8"/>
      <c r="S39" s="8"/>
      <c r="T39" s="8"/>
      <c r="U39" s="8"/>
      <c r="V39" s="8"/>
      <c r="W39" s="9" t="s">
        <v>3045</v>
      </c>
      <c r="X39" s="8">
        <v>33.590000000000003</v>
      </c>
      <c r="Y39" s="8">
        <v>1.99</v>
      </c>
      <c r="Z39" s="9">
        <v>1.05</v>
      </c>
      <c r="AA39" s="8">
        <v>216.9</v>
      </c>
      <c r="AB39" s="8">
        <v>2613</v>
      </c>
      <c r="AC39" s="9" t="s">
        <v>3045</v>
      </c>
      <c r="AD39" s="8" t="s">
        <v>3725</v>
      </c>
      <c r="AE39" s="8" t="s">
        <v>4083</v>
      </c>
      <c r="AF39" s="9">
        <f t="shared" si="0"/>
        <v>431.63100000000003</v>
      </c>
      <c r="AG39" s="9">
        <f t="shared" si="1"/>
        <v>234.97499999999999</v>
      </c>
      <c r="AH39" s="9">
        <f t="shared" si="2"/>
        <v>0.72358851866184581</v>
      </c>
      <c r="AI39" s="9">
        <f t="shared" si="3"/>
        <v>0.52358034433924439</v>
      </c>
      <c r="AJ39" s="9">
        <f t="shared" si="4"/>
        <v>0.45661803377977572</v>
      </c>
      <c r="AK39" s="9">
        <f t="shared" si="5"/>
        <v>0.20850002877290841</v>
      </c>
      <c r="AL39" s="9">
        <f t="shared" si="6"/>
        <v>0.30329430927909767</v>
      </c>
      <c r="AM39" s="9">
        <f t="shared" si="7"/>
        <v>9.198743804108496E-2</v>
      </c>
      <c r="AN39" s="9" t="s">
        <v>3045</v>
      </c>
    </row>
    <row r="40" spans="13:40" ht="23">
      <c r="M40" s="8" t="s">
        <v>915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8" t="s">
        <v>915</v>
      </c>
      <c r="X40" s="8">
        <v>17.66</v>
      </c>
      <c r="Y40" s="8">
        <v>4.5599999999999996</v>
      </c>
      <c r="Z40" s="9">
        <v>4.22</v>
      </c>
      <c r="AA40" s="8">
        <v>215.9</v>
      </c>
      <c r="AB40" s="8">
        <v>3638</v>
      </c>
      <c r="AC40" s="8" t="s">
        <v>915</v>
      </c>
      <c r="AD40" s="8" t="s">
        <v>3725</v>
      </c>
      <c r="AE40" s="8" t="s">
        <v>4083</v>
      </c>
      <c r="AF40" s="9">
        <f t="shared" si="0"/>
        <v>984.50399999999991</v>
      </c>
      <c r="AG40" s="9">
        <f t="shared" si="1"/>
        <v>942.76333333333332</v>
      </c>
      <c r="AH40" s="9">
        <f t="shared" si="2"/>
        <v>0.72025247201056952</v>
      </c>
      <c r="AI40" s="9">
        <f t="shared" si="3"/>
        <v>0.51876362343733629</v>
      </c>
      <c r="AJ40" s="9">
        <f t="shared" si="4"/>
        <v>1.0414967431169777</v>
      </c>
      <c r="AK40" s="9">
        <f t="shared" si="5"/>
        <v>1.0847154659232718</v>
      </c>
      <c r="AL40" s="9">
        <f t="shared" si="6"/>
        <v>1.2168730886136527</v>
      </c>
      <c r="AM40" s="9">
        <f t="shared" si="7"/>
        <v>1.4807801137921308</v>
      </c>
      <c r="AN40" s="8" t="s">
        <v>915</v>
      </c>
    </row>
    <row r="41" spans="13:40" ht="23">
      <c r="M41" s="9" t="s">
        <v>2732</v>
      </c>
      <c r="N41" s="8" t="s">
        <v>1614</v>
      </c>
      <c r="O41" s="8"/>
      <c r="P41" s="8"/>
      <c r="Q41" s="8"/>
      <c r="R41" s="8"/>
      <c r="S41" s="8"/>
      <c r="T41" s="8"/>
      <c r="U41" s="8"/>
      <c r="V41" s="8"/>
      <c r="W41" s="9" t="s">
        <v>2732</v>
      </c>
      <c r="X41" s="8">
        <v>16.2</v>
      </c>
      <c r="Y41" s="8">
        <v>6.17</v>
      </c>
      <c r="Z41" s="9">
        <v>2.2799999999999998</v>
      </c>
      <c r="AA41" s="8">
        <v>206.6</v>
      </c>
      <c r="AB41" s="8">
        <v>6129</v>
      </c>
      <c r="AC41" s="9" t="s">
        <v>2732</v>
      </c>
      <c r="AD41" s="8" t="s">
        <v>3725</v>
      </c>
      <c r="AE41" s="8" t="s">
        <v>4083</v>
      </c>
      <c r="AF41" s="9">
        <f t="shared" si="0"/>
        <v>1274.722</v>
      </c>
      <c r="AG41" s="9">
        <f t="shared" si="1"/>
        <v>509.61333333333334</v>
      </c>
      <c r="AH41" s="9">
        <f t="shared" si="2"/>
        <v>0.68922723815369913</v>
      </c>
      <c r="AI41" s="9">
        <f t="shared" si="3"/>
        <v>0.47503418581297591</v>
      </c>
      <c r="AJ41" s="9">
        <f t="shared" si="4"/>
        <v>1.3485154061126823</v>
      </c>
      <c r="AK41" s="9">
        <f t="shared" si="5"/>
        <v>1.8184938005232525</v>
      </c>
      <c r="AL41" s="9">
        <f t="shared" si="6"/>
        <v>0.65778412142888354</v>
      </c>
      <c r="AM41" s="9">
        <f t="shared" si="7"/>
        <v>0.43267995040396823</v>
      </c>
      <c r="AN41" s="9" t="s">
        <v>2732</v>
      </c>
    </row>
    <row r="42" spans="13:40" ht="23">
      <c r="M42" s="8" t="s">
        <v>1644</v>
      </c>
      <c r="N42" s="8" t="s">
        <v>1614</v>
      </c>
      <c r="O42" s="8"/>
      <c r="P42" s="8"/>
      <c r="Q42" s="8"/>
      <c r="R42" s="8"/>
      <c r="S42" s="8"/>
      <c r="T42" s="8"/>
      <c r="U42" s="8"/>
      <c r="V42" s="8"/>
      <c r="W42" s="8" t="s">
        <v>1644</v>
      </c>
      <c r="X42" s="8">
        <v>30.22</v>
      </c>
      <c r="Y42" s="8">
        <v>9.33</v>
      </c>
      <c r="Z42" s="9">
        <v>6.13</v>
      </c>
      <c r="AA42" s="8">
        <v>203.4</v>
      </c>
      <c r="AB42" s="8">
        <v>1376</v>
      </c>
      <c r="AC42" s="8" t="s">
        <v>1644</v>
      </c>
      <c r="AD42" s="8" t="s">
        <v>3725</v>
      </c>
      <c r="AE42" s="8" t="s">
        <v>4083</v>
      </c>
      <c r="AF42" s="9">
        <f t="shared" si="0"/>
        <v>1897.722</v>
      </c>
      <c r="AG42" s="9">
        <f t="shared" si="1"/>
        <v>1264.47</v>
      </c>
      <c r="AH42" s="9">
        <f t="shared" si="2"/>
        <v>0.67855188886961482</v>
      </c>
      <c r="AI42" s="9">
        <f t="shared" si="3"/>
        <v>0.46043266588852211</v>
      </c>
      <c r="AJ42" s="9">
        <f t="shared" si="4"/>
        <v>2.0075807537007844</v>
      </c>
      <c r="AK42" s="9">
        <f t="shared" si="5"/>
        <v>4.0303804826298091</v>
      </c>
      <c r="AL42" s="9">
        <f t="shared" si="6"/>
        <v>1.6321164177216327</v>
      </c>
      <c r="AM42" s="9">
        <f t="shared" si="7"/>
        <v>2.6638040009964952</v>
      </c>
      <c r="AN42" s="8" t="s">
        <v>1644</v>
      </c>
    </row>
    <row r="43" spans="13:40" ht="23">
      <c r="M43" s="8" t="s">
        <v>1212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8" t="s">
        <v>1212</v>
      </c>
      <c r="X43" s="8">
        <v>33.81</v>
      </c>
      <c r="Y43" s="8">
        <v>1.19</v>
      </c>
      <c r="Z43" s="9">
        <v>0.06</v>
      </c>
      <c r="AA43" s="8">
        <v>201.6</v>
      </c>
      <c r="AB43" s="8">
        <v>14893</v>
      </c>
      <c r="AC43" s="8" t="s">
        <v>1212</v>
      </c>
      <c r="AD43" s="8" t="s">
        <v>3725</v>
      </c>
      <c r="AE43" s="8" t="s">
        <v>4083</v>
      </c>
      <c r="AF43" s="9">
        <f t="shared" si="0"/>
        <v>239.904</v>
      </c>
      <c r="AG43" s="9">
        <f t="shared" si="1"/>
        <v>20.16</v>
      </c>
      <c r="AH43" s="9">
        <f t="shared" si="2"/>
        <v>0.67254700489731734</v>
      </c>
      <c r="AI43" s="9">
        <f t="shared" si="3"/>
        <v>0.45231947379635218</v>
      </c>
      <c r="AJ43" s="9">
        <f t="shared" si="4"/>
        <v>0.25379199542179154</v>
      </c>
      <c r="AK43" s="9">
        <f t="shared" si="5"/>
        <v>6.4410376940174652E-2</v>
      </c>
      <c r="AL43" s="9">
        <f t="shared" si="6"/>
        <v>2.6021548143702986E-2</v>
      </c>
      <c r="AM43" s="9">
        <f t="shared" si="7"/>
        <v>6.7712096779505234E-4</v>
      </c>
      <c r="AN43" s="8" t="s">
        <v>1212</v>
      </c>
    </row>
    <row r="44" spans="13:40" ht="23">
      <c r="M44" s="8" t="s">
        <v>1544</v>
      </c>
      <c r="N44" s="8" t="s">
        <v>150</v>
      </c>
      <c r="O44" s="8"/>
      <c r="P44" s="8" t="s">
        <v>3705</v>
      </c>
      <c r="Q44" s="8"/>
      <c r="R44" s="8"/>
      <c r="S44" s="8"/>
      <c r="T44" s="8"/>
      <c r="U44" s="8"/>
      <c r="V44" s="8"/>
      <c r="W44" s="8" t="s">
        <v>1544</v>
      </c>
      <c r="X44" s="8">
        <v>26.32</v>
      </c>
      <c r="Y44" s="8">
        <v>2.76</v>
      </c>
      <c r="Z44" s="9">
        <v>1.29</v>
      </c>
      <c r="AA44" s="8">
        <v>201.5</v>
      </c>
      <c r="AB44" s="8">
        <v>1898</v>
      </c>
      <c r="AC44" s="8" t="s">
        <v>1544</v>
      </c>
      <c r="AD44" s="8" t="s">
        <v>3725</v>
      </c>
      <c r="AE44" s="8" t="s">
        <v>4083</v>
      </c>
      <c r="AF44" s="9">
        <f t="shared" si="0"/>
        <v>556.14</v>
      </c>
      <c r="AG44" s="9">
        <f t="shared" si="1"/>
        <v>298.89166666666665</v>
      </c>
      <c r="AH44" s="9">
        <f t="shared" si="2"/>
        <v>0.67221340023218978</v>
      </c>
      <c r="AI44" s="9">
        <f t="shared" si="3"/>
        <v>0.45187085545172218</v>
      </c>
      <c r="AJ44" s="9">
        <f t="shared" si="4"/>
        <v>0.58833483532527653</v>
      </c>
      <c r="AK44" s="9">
        <f t="shared" si="5"/>
        <v>0.34613787845722027</v>
      </c>
      <c r="AL44" s="9">
        <f t="shared" si="6"/>
        <v>0.38579483600785175</v>
      </c>
      <c r="AM44" s="9">
        <f t="shared" si="7"/>
        <v>0.14883765549032524</v>
      </c>
      <c r="AN44" s="8" t="s">
        <v>1544</v>
      </c>
    </row>
    <row r="45" spans="13:40" ht="23">
      <c r="M45" s="8" t="s">
        <v>617</v>
      </c>
      <c r="N45" s="8" t="s">
        <v>150</v>
      </c>
      <c r="O45" s="8"/>
      <c r="P45" s="8" t="s">
        <v>3692</v>
      </c>
      <c r="Q45" s="8"/>
      <c r="R45" s="8"/>
      <c r="S45" s="8"/>
      <c r="T45" s="8"/>
      <c r="U45" s="8"/>
      <c r="V45" s="8"/>
      <c r="W45" s="8" t="s">
        <v>617</v>
      </c>
      <c r="X45" s="8">
        <v>13.55</v>
      </c>
      <c r="Y45" s="8">
        <v>7.18</v>
      </c>
      <c r="Z45" s="9">
        <v>4.4800000000000004</v>
      </c>
      <c r="AA45" s="8">
        <v>190.6</v>
      </c>
      <c r="AB45" s="8">
        <v>1188</v>
      </c>
      <c r="AC45" s="8" t="s">
        <v>617</v>
      </c>
      <c r="AD45" s="8" t="s">
        <v>3725</v>
      </c>
      <c r="AE45" s="8" t="s">
        <v>4083</v>
      </c>
      <c r="AF45" s="9">
        <f t="shared" si="0"/>
        <v>1368.5079999999998</v>
      </c>
      <c r="AG45" s="9">
        <f t="shared" si="1"/>
        <v>914.88</v>
      </c>
      <c r="AH45" s="9">
        <f t="shared" si="2"/>
        <v>0.63585049173327712</v>
      </c>
      <c r="AI45" s="9">
        <f t="shared" si="3"/>
        <v>0.40430584783745033</v>
      </c>
      <c r="AJ45" s="9">
        <f t="shared" si="4"/>
        <v>1.4477306592248775</v>
      </c>
      <c r="AK45" s="9">
        <f t="shared" si="5"/>
        <v>2.0959240616596984</v>
      </c>
      <c r="AL45" s="9">
        <f t="shared" si="6"/>
        <v>1.180882637188045</v>
      </c>
      <c r="AM45" s="9">
        <f t="shared" si="7"/>
        <v>1.394483802812192</v>
      </c>
      <c r="AN45" s="8" t="s">
        <v>617</v>
      </c>
    </row>
    <row r="46" spans="13:40" ht="23">
      <c r="M46" s="8" t="s">
        <v>5034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5034</v>
      </c>
      <c r="X46" s="8">
        <v>44.11</v>
      </c>
      <c r="Y46" s="8">
        <v>1.02</v>
      </c>
      <c r="Z46" s="9">
        <v>0.03</v>
      </c>
      <c r="AA46" s="8">
        <v>181.3</v>
      </c>
      <c r="AB46" s="8">
        <v>13924</v>
      </c>
      <c r="AC46" s="8" t="s">
        <v>5034</v>
      </c>
      <c r="AD46" s="8" t="s">
        <v>3725</v>
      </c>
      <c r="AE46" s="8" t="s">
        <v>4083</v>
      </c>
      <c r="AF46" s="9">
        <f t="shared" si="0"/>
        <v>184.92600000000002</v>
      </c>
      <c r="AG46" s="9">
        <f t="shared" si="1"/>
        <v>9.0650000000000013</v>
      </c>
      <c r="AH46" s="9">
        <f t="shared" si="2"/>
        <v>0.60482525787640695</v>
      </c>
      <c r="AI46" s="9">
        <f t="shared" si="3"/>
        <v>0.36581359256526219</v>
      </c>
      <c r="AJ46" s="9">
        <f t="shared" si="4"/>
        <v>0.19563132980429765</v>
      </c>
      <c r="AK46" s="9">
        <f t="shared" si="5"/>
        <v>3.8271617200997879E-2</v>
      </c>
      <c r="AL46" s="9">
        <f t="shared" si="6"/>
        <v>1.1700661404894227E-2</v>
      </c>
      <c r="AM46" s="9">
        <f t="shared" si="7"/>
        <v>1.3690547731198135E-4</v>
      </c>
      <c r="AN46" s="8" t="s">
        <v>5034</v>
      </c>
    </row>
    <row r="47" spans="13:40" ht="23">
      <c r="M47" s="9" t="s">
        <v>2683</v>
      </c>
      <c r="N47" s="8" t="s">
        <v>150</v>
      </c>
      <c r="O47" s="8"/>
      <c r="P47" s="8" t="s">
        <v>3692</v>
      </c>
      <c r="Q47" s="8"/>
      <c r="R47" s="8"/>
      <c r="S47" s="8"/>
      <c r="T47" s="8"/>
      <c r="U47" s="8"/>
      <c r="V47" s="8"/>
      <c r="W47" s="9" t="s">
        <v>2683</v>
      </c>
      <c r="X47" s="8">
        <v>45.13</v>
      </c>
      <c r="Y47" s="8">
        <v>2.68</v>
      </c>
      <c r="Z47" s="9">
        <v>6.56</v>
      </c>
      <c r="AA47" s="8">
        <v>174.3</v>
      </c>
      <c r="AB47" s="8">
        <v>1990</v>
      </c>
      <c r="AC47" s="9" t="s">
        <v>2683</v>
      </c>
      <c r="AD47" s="8" t="s">
        <v>3725</v>
      </c>
      <c r="AE47" s="8" t="s">
        <v>4083</v>
      </c>
      <c r="AF47" s="9">
        <f t="shared" si="0"/>
        <v>467.12400000000008</v>
      </c>
      <c r="AG47" s="9">
        <f t="shared" si="1"/>
        <v>1208.48</v>
      </c>
      <c r="AH47" s="9">
        <f t="shared" si="2"/>
        <v>0.58147293131747235</v>
      </c>
      <c r="AI47" s="9">
        <f t="shared" si="3"/>
        <v>0.33811076985493393</v>
      </c>
      <c r="AJ47" s="9">
        <f t="shared" si="4"/>
        <v>0.4941657165758343</v>
      </c>
      <c r="AK47" s="9">
        <f t="shared" si="5"/>
        <v>0.24419975543890779</v>
      </c>
      <c r="AL47" s="9">
        <f t="shared" si="6"/>
        <v>1.5598472470586402</v>
      </c>
      <c r="AM47" s="9">
        <f t="shared" si="7"/>
        <v>2.4331234341564185</v>
      </c>
      <c r="AN47" s="9" t="s">
        <v>2683</v>
      </c>
    </row>
    <row r="48" spans="13:40" ht="23">
      <c r="M48" s="8" t="s">
        <v>778</v>
      </c>
      <c r="N48" s="8" t="s">
        <v>150</v>
      </c>
      <c r="O48" s="8"/>
      <c r="P48" s="8" t="s">
        <v>3691</v>
      </c>
      <c r="Q48" s="8"/>
      <c r="R48" s="8"/>
      <c r="S48" s="8"/>
      <c r="T48" s="8"/>
      <c r="U48" s="8"/>
      <c r="V48" s="8"/>
      <c r="W48" s="8" t="s">
        <v>778</v>
      </c>
      <c r="X48" s="8">
        <v>31.12</v>
      </c>
      <c r="Y48" s="8">
        <v>2.12</v>
      </c>
      <c r="Z48" s="9">
        <v>1.17</v>
      </c>
      <c r="AA48" s="8">
        <v>173.8</v>
      </c>
      <c r="AB48" s="8">
        <v>4612</v>
      </c>
      <c r="AC48" s="8" t="s">
        <v>778</v>
      </c>
      <c r="AD48" s="8" t="s">
        <v>3725</v>
      </c>
      <c r="AE48" s="8" t="s">
        <v>4083</v>
      </c>
      <c r="AF48" s="9">
        <f t="shared" si="0"/>
        <v>368.45600000000002</v>
      </c>
      <c r="AG48" s="9">
        <f t="shared" si="1"/>
        <v>223.04333333333332</v>
      </c>
      <c r="AH48" s="9">
        <f t="shared" si="2"/>
        <v>0.57980490799183415</v>
      </c>
      <c r="AI48" s="9">
        <f t="shared" si="3"/>
        <v>0.33617373133141926</v>
      </c>
      <c r="AJ48" s="9">
        <f t="shared" si="4"/>
        <v>0.38978584544289224</v>
      </c>
      <c r="AK48" s="9">
        <f t="shared" si="5"/>
        <v>0.15193300530763029</v>
      </c>
      <c r="AL48" s="9">
        <f t="shared" si="6"/>
        <v>0.28789349387228796</v>
      </c>
      <c r="AM48" s="9">
        <f t="shared" si="7"/>
        <v>8.2882663813993104E-2</v>
      </c>
      <c r="AN48" s="8" t="s">
        <v>778</v>
      </c>
    </row>
    <row r="49" spans="13:40" ht="23">
      <c r="M49" s="8" t="s">
        <v>373</v>
      </c>
      <c r="N49" s="8" t="s">
        <v>150</v>
      </c>
      <c r="O49" s="8"/>
      <c r="P49" s="8" t="s">
        <v>3692</v>
      </c>
      <c r="Q49" s="8"/>
      <c r="R49" s="8"/>
      <c r="S49" s="8"/>
      <c r="T49" s="8"/>
      <c r="U49" s="8"/>
      <c r="V49" s="8"/>
      <c r="W49" s="8" t="s">
        <v>373</v>
      </c>
      <c r="X49" s="8">
        <v>32.799999999999997</v>
      </c>
      <c r="Y49" s="8">
        <v>3.44</v>
      </c>
      <c r="Z49" s="9">
        <v>3.09</v>
      </c>
      <c r="AA49" s="8">
        <v>155</v>
      </c>
      <c r="AB49" s="8">
        <v>1626</v>
      </c>
      <c r="AC49" s="8" t="s">
        <v>373</v>
      </c>
      <c r="AD49" s="8" t="s">
        <v>3725</v>
      </c>
      <c r="AE49" s="8" t="s">
        <v>4083</v>
      </c>
      <c r="AF49" s="9">
        <f t="shared" si="0"/>
        <v>533.20000000000005</v>
      </c>
      <c r="AG49" s="9">
        <f t="shared" si="1"/>
        <v>488.25</v>
      </c>
      <c r="AH49" s="9">
        <f t="shared" si="2"/>
        <v>0.51708723094783826</v>
      </c>
      <c r="AI49" s="9">
        <f t="shared" si="3"/>
        <v>0.26737920440930302</v>
      </c>
      <c r="AJ49" s="9">
        <f t="shared" si="4"/>
        <v>0.56406684323270662</v>
      </c>
      <c r="AK49" s="9">
        <f t="shared" si="5"/>
        <v>0.3181714036345108</v>
      </c>
      <c r="AL49" s="9">
        <f t="shared" si="6"/>
        <v>0.63020936910530667</v>
      </c>
      <c r="AM49" s="9">
        <f t="shared" si="7"/>
        <v>0.39716384890810869</v>
      </c>
      <c r="AN49" s="8" t="s">
        <v>373</v>
      </c>
    </row>
    <row r="50" spans="13:40" ht="23">
      <c r="M50" s="9" t="s">
        <v>2460</v>
      </c>
      <c r="N50" s="8" t="s">
        <v>150</v>
      </c>
      <c r="O50" s="8"/>
      <c r="P50" s="8" t="s">
        <v>3691</v>
      </c>
      <c r="Q50" s="8"/>
      <c r="R50" s="8"/>
      <c r="S50" s="8"/>
      <c r="T50" s="8"/>
      <c r="U50" s="8"/>
      <c r="V50" s="8"/>
      <c r="W50" s="9" t="s">
        <v>2460</v>
      </c>
      <c r="X50" s="8">
        <v>31.28</v>
      </c>
      <c r="Y50" s="8">
        <v>5.1100000000000003</v>
      </c>
      <c r="Z50" s="9">
        <v>2.2200000000000002</v>
      </c>
      <c r="AA50" s="8">
        <v>154.9</v>
      </c>
      <c r="AB50" s="8">
        <v>5724</v>
      </c>
      <c r="AC50" s="9" t="s">
        <v>2460</v>
      </c>
      <c r="AD50" s="8" t="s">
        <v>3725</v>
      </c>
      <c r="AE50" s="8" t="s">
        <v>4083</v>
      </c>
      <c r="AF50" s="9">
        <f t="shared" si="0"/>
        <v>791.5390000000001</v>
      </c>
      <c r="AG50" s="9">
        <f t="shared" si="1"/>
        <v>366.59666666666669</v>
      </c>
      <c r="AH50" s="9">
        <f t="shared" si="2"/>
        <v>0.5167536262827106</v>
      </c>
      <c r="AI50" s="9">
        <f t="shared" si="3"/>
        <v>0.26703431027633134</v>
      </c>
      <c r="AJ50" s="9">
        <f t="shared" si="4"/>
        <v>0.83736103718224564</v>
      </c>
      <c r="AK50" s="9">
        <f t="shared" si="5"/>
        <v>0.70117350659092614</v>
      </c>
      <c r="AL50" s="9">
        <f t="shared" si="6"/>
        <v>0.47318515927518368</v>
      </c>
      <c r="AM50" s="9">
        <f t="shared" si="7"/>
        <v>0.22390419495828096</v>
      </c>
      <c r="AN50" s="9" t="s">
        <v>2460</v>
      </c>
    </row>
    <row r="51" spans="13:40" ht="23">
      <c r="M51" s="8" t="s">
        <v>1650</v>
      </c>
      <c r="N51" s="8" t="s">
        <v>1614</v>
      </c>
      <c r="O51" s="8"/>
      <c r="P51" s="8"/>
      <c r="Q51" s="8"/>
      <c r="R51" s="8"/>
      <c r="S51" s="8"/>
      <c r="T51" s="8"/>
      <c r="U51" s="8"/>
      <c r="V51" s="8"/>
      <c r="W51" s="8" t="s">
        <v>1650</v>
      </c>
      <c r="X51" s="8">
        <v>32.58</v>
      </c>
      <c r="Y51" s="8">
        <v>1.18</v>
      </c>
      <c r="Z51" s="9">
        <v>0.14000000000000001</v>
      </c>
      <c r="AA51" s="8">
        <v>154.19999999999999</v>
      </c>
      <c r="AB51" s="8">
        <v>8559</v>
      </c>
      <c r="AC51" s="8" t="s">
        <v>1650</v>
      </c>
      <c r="AD51" s="8" t="s">
        <v>3725</v>
      </c>
      <c r="AE51" s="8" t="s">
        <v>4083</v>
      </c>
      <c r="AF51" s="9">
        <f t="shared" si="0"/>
        <v>181.95599999999999</v>
      </c>
      <c r="AG51" s="9">
        <f t="shared" si="1"/>
        <v>35.979999999999997</v>
      </c>
      <c r="AH51" s="9">
        <f t="shared" si="2"/>
        <v>0.51441839362681707</v>
      </c>
      <c r="AI51" s="9">
        <f t="shared" si="3"/>
        <v>0.26462628370159491</v>
      </c>
      <c r="AJ51" s="9">
        <f t="shared" si="4"/>
        <v>0.19248939708786636</v>
      </c>
      <c r="AK51" s="9">
        <f t="shared" si="5"/>
        <v>3.7052167991250294E-2</v>
      </c>
      <c r="AL51" s="9">
        <f t="shared" si="6"/>
        <v>4.6441235228692132E-2</v>
      </c>
      <c r="AM51" s="9">
        <f t="shared" si="7"/>
        <v>2.1567883295667153E-3</v>
      </c>
      <c r="AN51" s="8" t="s">
        <v>1650</v>
      </c>
    </row>
    <row r="52" spans="13:40" ht="23">
      <c r="M52" s="9" t="s">
        <v>3062</v>
      </c>
      <c r="N52" s="8" t="s">
        <v>1814</v>
      </c>
      <c r="O52" s="8"/>
      <c r="P52" s="8"/>
      <c r="Q52" s="8"/>
      <c r="R52" s="8"/>
      <c r="S52" s="8"/>
      <c r="T52" s="8"/>
      <c r="U52" s="8"/>
      <c r="V52" s="8"/>
      <c r="W52" s="9" t="s">
        <v>3062</v>
      </c>
      <c r="X52" s="8">
        <v>17.829999999999998</v>
      </c>
      <c r="Y52" s="8">
        <v>1.52</v>
      </c>
      <c r="Z52" s="9">
        <v>0.16</v>
      </c>
      <c r="AA52" s="8">
        <v>152.80000000000001</v>
      </c>
      <c r="AB52" s="8">
        <v>9415</v>
      </c>
      <c r="AC52" s="9" t="s">
        <v>3062</v>
      </c>
      <c r="AD52" s="8" t="s">
        <v>3725</v>
      </c>
      <c r="AE52" s="8" t="s">
        <v>4083</v>
      </c>
      <c r="AF52" s="9">
        <f t="shared" si="0"/>
        <v>232.25600000000003</v>
      </c>
      <c r="AG52" s="9">
        <f t="shared" si="1"/>
        <v>40.74666666666667</v>
      </c>
      <c r="AH52" s="9">
        <f t="shared" si="2"/>
        <v>0.50974792831503024</v>
      </c>
      <c r="AI52" s="9">
        <f t="shared" si="3"/>
        <v>0.25984295042146521</v>
      </c>
      <c r="AJ52" s="9">
        <f t="shared" si="4"/>
        <v>0.24570125420453021</v>
      </c>
      <c r="AK52" s="9">
        <f t="shared" si="5"/>
        <v>6.0369106317679173E-2</v>
      </c>
      <c r="AL52" s="9">
        <f t="shared" si="6"/>
        <v>5.25938168830399E-2</v>
      </c>
      <c r="AM52" s="9">
        <f t="shared" si="7"/>
        <v>2.766109574326733E-3</v>
      </c>
      <c r="AN52" s="9" t="s">
        <v>3062</v>
      </c>
    </row>
    <row r="53" spans="13:40" ht="23">
      <c r="M53" s="9" t="s">
        <v>2465</v>
      </c>
      <c r="N53" s="8" t="s">
        <v>150</v>
      </c>
      <c r="O53" s="8"/>
      <c r="P53" s="8"/>
      <c r="Q53" s="8"/>
      <c r="R53" s="8"/>
      <c r="S53" s="8"/>
      <c r="T53" s="8"/>
      <c r="U53" s="8"/>
      <c r="V53" s="8"/>
      <c r="W53" s="9" t="s">
        <v>2465</v>
      </c>
      <c r="X53" s="8">
        <v>8.9499999999999993</v>
      </c>
      <c r="Y53" s="8">
        <v>4.66</v>
      </c>
      <c r="Z53" s="9">
        <v>2.11</v>
      </c>
      <c r="AA53" s="8">
        <v>150.80000000000001</v>
      </c>
      <c r="AB53" s="8">
        <v>9715</v>
      </c>
      <c r="AC53" s="9" t="s">
        <v>2465</v>
      </c>
      <c r="AD53" s="8" t="s">
        <v>3725</v>
      </c>
      <c r="AE53" s="8" t="s">
        <v>4083</v>
      </c>
      <c r="AF53" s="9">
        <f t="shared" si="0"/>
        <v>702.72800000000007</v>
      </c>
      <c r="AG53" s="9">
        <f t="shared" si="1"/>
        <v>329.24666666666667</v>
      </c>
      <c r="AH53" s="9">
        <f t="shared" si="2"/>
        <v>0.50307583501247755</v>
      </c>
      <c r="AI53" s="9">
        <f t="shared" si="3"/>
        <v>0.25308529577350153</v>
      </c>
      <c r="AJ53" s="9">
        <f t="shared" si="4"/>
        <v>0.74340878584252335</v>
      </c>
      <c r="AK53" s="9">
        <f t="shared" si="5"/>
        <v>0.55265662286785477</v>
      </c>
      <c r="AL53" s="9">
        <f t="shared" si="6"/>
        <v>0.42497559463394818</v>
      </c>
      <c r="AM53" s="9">
        <f t="shared" si="7"/>
        <v>0.18060425603447786</v>
      </c>
      <c r="AN53" s="9" t="s">
        <v>2465</v>
      </c>
    </row>
    <row r="54" spans="13:40" ht="23">
      <c r="M54" s="8" t="s">
        <v>135</v>
      </c>
      <c r="N54" s="8" t="s">
        <v>150</v>
      </c>
      <c r="O54" s="8"/>
      <c r="P54" s="8"/>
      <c r="Q54" s="8"/>
      <c r="R54" s="8"/>
      <c r="S54" s="8"/>
      <c r="T54" s="8"/>
      <c r="U54" s="8"/>
      <c r="V54" s="8"/>
      <c r="W54" s="8" t="s">
        <v>135</v>
      </c>
      <c r="X54" s="8">
        <v>16.34</v>
      </c>
      <c r="Y54" s="8">
        <v>2.04</v>
      </c>
      <c r="Z54" s="9">
        <v>1.54</v>
      </c>
      <c r="AA54" s="8">
        <v>149.80000000000001</v>
      </c>
      <c r="AB54" s="8">
        <v>10784</v>
      </c>
      <c r="AC54" s="8" t="s">
        <v>135</v>
      </c>
      <c r="AD54" s="8" t="s">
        <v>3725</v>
      </c>
      <c r="AE54" s="8" t="s">
        <v>4083</v>
      </c>
      <c r="AF54" s="9">
        <f t="shared" si="0"/>
        <v>305.59200000000004</v>
      </c>
      <c r="AG54" s="9">
        <f t="shared" si="1"/>
        <v>284.62</v>
      </c>
      <c r="AH54" s="9">
        <f t="shared" si="2"/>
        <v>0.49973978836120114</v>
      </c>
      <c r="AI54" s="9">
        <f t="shared" si="3"/>
        <v>0.24973985607129812</v>
      </c>
      <c r="AJ54" s="9">
        <f t="shared" si="4"/>
        <v>0.32328266083490115</v>
      </c>
      <c r="AK54" s="9">
        <f t="shared" si="5"/>
        <v>0.10451167879649373</v>
      </c>
      <c r="AL54" s="9">
        <f t="shared" si="6"/>
        <v>0.36737366233436231</v>
      </c>
      <c r="AM54" s="9">
        <f t="shared" si="7"/>
        <v>0.13496340777696206</v>
      </c>
      <c r="AN54" s="8" t="s">
        <v>135</v>
      </c>
    </row>
    <row r="55" spans="13:40" ht="23">
      <c r="M55" s="8" t="s">
        <v>58</v>
      </c>
      <c r="N55" s="8" t="s">
        <v>24</v>
      </c>
      <c r="O55" s="8"/>
      <c r="P55" s="8" t="s">
        <v>3709</v>
      </c>
      <c r="Q55" s="8"/>
      <c r="R55" s="8"/>
      <c r="S55" s="8"/>
      <c r="T55" s="8"/>
      <c r="U55" s="8"/>
      <c r="V55" s="8"/>
      <c r="W55" s="8" t="s">
        <v>58</v>
      </c>
      <c r="X55" s="8">
        <v>26.52</v>
      </c>
      <c r="Y55" s="8">
        <v>3.75</v>
      </c>
      <c r="Z55" s="9">
        <v>1.1100000000000001</v>
      </c>
      <c r="AA55" s="8">
        <v>142.30000000000001</v>
      </c>
      <c r="AB55" s="8">
        <v>5049</v>
      </c>
      <c r="AC55" s="8" t="s">
        <v>58</v>
      </c>
      <c r="AD55" s="8" t="s">
        <v>3725</v>
      </c>
      <c r="AE55" s="8" t="s">
        <v>4083</v>
      </c>
      <c r="AF55" s="9">
        <f t="shared" si="0"/>
        <v>533.625</v>
      </c>
      <c r="AG55" s="9">
        <f t="shared" si="1"/>
        <v>168.38833333333335</v>
      </c>
      <c r="AH55" s="9">
        <f t="shared" si="2"/>
        <v>0.47471943847662829</v>
      </c>
      <c r="AI55" s="9">
        <f t="shared" si="3"/>
        <v>0.22535854526756527</v>
      </c>
      <c r="AJ55" s="9">
        <f t="shared" si="4"/>
        <v>0.56451644639919929</v>
      </c>
      <c r="AK55" s="9">
        <f t="shared" si="5"/>
        <v>0.31867881825518002</v>
      </c>
      <c r="AL55" s="9">
        <f t="shared" si="6"/>
        <v>0.21734747632297818</v>
      </c>
      <c r="AM55" s="9">
        <f t="shared" si="7"/>
        <v>4.7239925463967561E-2</v>
      </c>
      <c r="AN55" s="8" t="s">
        <v>58</v>
      </c>
    </row>
    <row r="56" spans="13:40" ht="23">
      <c r="M56" s="9" t="s">
        <v>3021</v>
      </c>
      <c r="N56" s="8" t="s">
        <v>1814</v>
      </c>
      <c r="O56" s="8"/>
      <c r="P56" s="8" t="s">
        <v>3693</v>
      </c>
      <c r="Q56" s="8"/>
      <c r="R56" s="8"/>
      <c r="S56" s="8"/>
      <c r="T56" s="8"/>
      <c r="U56" s="8"/>
      <c r="V56" s="8"/>
      <c r="W56" s="9" t="s">
        <v>3021</v>
      </c>
      <c r="X56" s="8">
        <v>21.12</v>
      </c>
      <c r="Y56" s="8">
        <v>7.3</v>
      </c>
      <c r="Z56" s="9">
        <v>5.13</v>
      </c>
      <c r="AA56" s="8">
        <v>141.80000000000001</v>
      </c>
      <c r="AB56" s="8">
        <v>1363</v>
      </c>
      <c r="AC56" s="9" t="s">
        <v>3021</v>
      </c>
      <c r="AD56" s="8" t="s">
        <v>3725</v>
      </c>
      <c r="AE56" s="8" t="s">
        <v>4083</v>
      </c>
      <c r="AF56" s="9">
        <f t="shared" si="0"/>
        <v>1035.1400000000001</v>
      </c>
      <c r="AG56" s="9">
        <f t="shared" si="1"/>
        <v>739.72333333333336</v>
      </c>
      <c r="AH56" s="9">
        <f t="shared" si="2"/>
        <v>0.47305141515099008</v>
      </c>
      <c r="AI56" s="9">
        <f t="shared" si="3"/>
        <v>0.22377764137635436</v>
      </c>
      <c r="AJ56" s="9">
        <f t="shared" si="4"/>
        <v>1.0950640512076217</v>
      </c>
      <c r="AK56" s="9">
        <f t="shared" si="5"/>
        <v>1.1991652762472489</v>
      </c>
      <c r="AL56" s="9">
        <f t="shared" si="6"/>
        <v>0.95479892516635834</v>
      </c>
      <c r="AM56" s="9">
        <f t="shared" si="7"/>
        <v>0.91164098749883316</v>
      </c>
      <c r="AN56" s="9" t="s">
        <v>3021</v>
      </c>
    </row>
    <row r="57" spans="13:40" ht="23">
      <c r="M57" s="8" t="s">
        <v>929</v>
      </c>
      <c r="N57" s="8" t="s">
        <v>150</v>
      </c>
      <c r="O57" s="8"/>
      <c r="P57" s="8"/>
      <c r="Q57" s="8"/>
      <c r="R57" s="8"/>
      <c r="S57" s="8"/>
      <c r="T57" s="8"/>
      <c r="U57" s="8"/>
      <c r="V57" s="8"/>
      <c r="W57" s="8" t="s">
        <v>929</v>
      </c>
      <c r="X57" s="8">
        <v>27.07</v>
      </c>
      <c r="Y57" s="8">
        <v>1.1100000000000001</v>
      </c>
      <c r="Z57" s="9">
        <v>0.03</v>
      </c>
      <c r="AA57" s="8">
        <v>139</v>
      </c>
      <c r="AB57" s="8">
        <v>18895</v>
      </c>
      <c r="AC57" s="8" t="s">
        <v>929</v>
      </c>
      <c r="AD57" s="8" t="s">
        <v>3725</v>
      </c>
      <c r="AE57" s="8" t="s">
        <v>4083</v>
      </c>
      <c r="AF57" s="9">
        <f t="shared" si="0"/>
        <v>154.29000000000002</v>
      </c>
      <c r="AG57" s="9">
        <f t="shared" si="1"/>
        <v>6.95</v>
      </c>
      <c r="AH57" s="9">
        <f t="shared" si="2"/>
        <v>0.4637104845274162</v>
      </c>
      <c r="AI57" s="9">
        <f t="shared" si="3"/>
        <v>0.2150274134606511</v>
      </c>
      <c r="AJ57" s="9">
        <f t="shared" si="4"/>
        <v>0.1632218177838978</v>
      </c>
      <c r="AK57" s="9">
        <f t="shared" si="5"/>
        <v>2.6641361800679934E-2</v>
      </c>
      <c r="AL57" s="9">
        <f t="shared" si="6"/>
        <v>8.9707222023182424E-3</v>
      </c>
      <c r="AM57" s="9">
        <f t="shared" si="7"/>
        <v>8.0473856831165454E-5</v>
      </c>
      <c r="AN57" s="8" t="s">
        <v>929</v>
      </c>
    </row>
    <row r="58" spans="13:40" ht="23">
      <c r="M58" s="8" t="s">
        <v>824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8" t="s">
        <v>824</v>
      </c>
      <c r="X58" s="8">
        <v>10.91</v>
      </c>
      <c r="Y58" s="8">
        <v>3.15</v>
      </c>
      <c r="Z58" s="9">
        <v>1.54</v>
      </c>
      <c r="AA58" s="8">
        <v>138.4</v>
      </c>
      <c r="AB58" s="8">
        <v>4261</v>
      </c>
      <c r="AC58" s="8" t="s">
        <v>824</v>
      </c>
      <c r="AD58" s="8" t="s">
        <v>3725</v>
      </c>
      <c r="AE58" s="8" t="s">
        <v>4083</v>
      </c>
      <c r="AF58" s="9">
        <f t="shared" si="0"/>
        <v>435.96</v>
      </c>
      <c r="AG58" s="9">
        <f t="shared" si="1"/>
        <v>262.95999999999998</v>
      </c>
      <c r="AH58" s="9">
        <f t="shared" si="2"/>
        <v>0.46170885653665039</v>
      </c>
      <c r="AI58" s="9">
        <f t="shared" si="3"/>
        <v>0.2131750682043812</v>
      </c>
      <c r="AJ58" s="9">
        <f t="shared" si="4"/>
        <v>0.46119763873917996</v>
      </c>
      <c r="AK58" s="9">
        <f t="shared" si="5"/>
        <v>0.21270326197859515</v>
      </c>
      <c r="AL58" s="9">
        <f t="shared" si="6"/>
        <v>0.33941598709663373</v>
      </c>
      <c r="AM58" s="9">
        <f t="shared" si="7"/>
        <v>0.11520321229678224</v>
      </c>
      <c r="AN58" s="8" t="s">
        <v>824</v>
      </c>
    </row>
    <row r="59" spans="13:40" ht="23">
      <c r="M59" s="8" t="s">
        <v>526</v>
      </c>
      <c r="N59" s="8" t="s">
        <v>150</v>
      </c>
      <c r="O59" s="8"/>
      <c r="P59" s="8" t="s">
        <v>3692</v>
      </c>
      <c r="Q59" s="8"/>
      <c r="R59" s="8"/>
      <c r="S59" s="8"/>
      <c r="T59" s="8"/>
      <c r="U59" s="8"/>
      <c r="V59" s="8"/>
      <c r="W59" s="8" t="s">
        <v>526</v>
      </c>
      <c r="X59" s="8">
        <v>18.72</v>
      </c>
      <c r="Y59" s="8">
        <v>1.79</v>
      </c>
      <c r="Z59" s="9">
        <v>0.13</v>
      </c>
      <c r="AA59" s="8">
        <v>137.19999999999999</v>
      </c>
      <c r="AB59" s="8">
        <v>15744</v>
      </c>
      <c r="AC59" s="8" t="s">
        <v>526</v>
      </c>
      <c r="AD59" s="8" t="s">
        <v>3725</v>
      </c>
      <c r="AE59" s="8" t="s">
        <v>4083</v>
      </c>
      <c r="AF59" s="9">
        <f t="shared" si="0"/>
        <v>245.58799999999999</v>
      </c>
      <c r="AG59" s="9">
        <f t="shared" si="1"/>
        <v>29.726666666666667</v>
      </c>
      <c r="AH59" s="9">
        <f t="shared" si="2"/>
        <v>0.45770560055511866</v>
      </c>
      <c r="AI59" s="9">
        <f t="shared" si="3"/>
        <v>0.20949441677952185</v>
      </c>
      <c r="AJ59" s="9">
        <f t="shared" si="4"/>
        <v>0.25980504106495489</v>
      </c>
      <c r="AK59" s="9">
        <f t="shared" si="5"/>
        <v>6.7498659362762892E-2</v>
      </c>
      <c r="AL59" s="9">
        <f t="shared" si="6"/>
        <v>3.8369736498932411E-2</v>
      </c>
      <c r="AM59" s="9">
        <f t="shared" si="7"/>
        <v>1.472236678997506E-3</v>
      </c>
      <c r="AN59" s="8" t="s">
        <v>526</v>
      </c>
    </row>
    <row r="60" spans="13:40" ht="23">
      <c r="M60" s="8" t="s">
        <v>5089</v>
      </c>
      <c r="N60" s="8" t="s">
        <v>2100</v>
      </c>
      <c r="O60" s="8"/>
      <c r="P60" s="8"/>
      <c r="Q60" s="8"/>
      <c r="R60" s="8"/>
      <c r="S60" s="8"/>
      <c r="T60" s="8"/>
      <c r="U60" s="8"/>
      <c r="V60" s="8"/>
      <c r="W60" s="8" t="s">
        <v>5089</v>
      </c>
      <c r="X60" s="8">
        <v>49.62</v>
      </c>
      <c r="Y60" s="8">
        <v>1.02</v>
      </c>
      <c r="Z60" s="9">
        <v>0</v>
      </c>
      <c r="AA60" s="8">
        <v>133.30000000000001</v>
      </c>
      <c r="AB60" s="8">
        <v>20096</v>
      </c>
      <c r="AC60" s="8" t="s">
        <v>5089</v>
      </c>
      <c r="AD60" s="8" t="s">
        <v>3725</v>
      </c>
      <c r="AE60" s="8" t="s">
        <v>4083</v>
      </c>
      <c r="AF60" s="9">
        <f t="shared" si="0"/>
        <v>135.96600000000001</v>
      </c>
      <c r="AG60" s="9">
        <f t="shared" si="1"/>
        <v>0</v>
      </c>
      <c r="AH60" s="9">
        <f t="shared" si="2"/>
        <v>0.44469501861514094</v>
      </c>
      <c r="AI60" s="9">
        <f t="shared" si="3"/>
        <v>0.19775365958112054</v>
      </c>
      <c r="AJ60" s="9">
        <f t="shared" si="4"/>
        <v>0.14383704502434019</v>
      </c>
      <c r="AK60" s="9">
        <f t="shared" si="5"/>
        <v>2.0689095521334067E-2</v>
      </c>
      <c r="AL60" s="9">
        <f t="shared" si="6"/>
        <v>0</v>
      </c>
      <c r="AM60" s="9">
        <f t="shared" si="7"/>
        <v>0</v>
      </c>
      <c r="AN60" s="8" t="s">
        <v>5089</v>
      </c>
    </row>
    <row r="61" spans="13:40" ht="23">
      <c r="M61" s="8" t="s">
        <v>1061</v>
      </c>
      <c r="N61" s="8" t="s">
        <v>150</v>
      </c>
      <c r="O61" s="8"/>
      <c r="P61" s="8" t="s">
        <v>3691</v>
      </c>
      <c r="Q61" s="8"/>
      <c r="R61" s="8"/>
      <c r="S61" s="8"/>
      <c r="T61" s="8"/>
      <c r="U61" s="8"/>
      <c r="V61" s="8"/>
      <c r="W61" s="8" t="s">
        <v>1061</v>
      </c>
      <c r="X61" s="8">
        <v>20.329999999999998</v>
      </c>
      <c r="Y61" s="8">
        <v>1.27</v>
      </c>
      <c r="Z61" s="9">
        <v>0.16</v>
      </c>
      <c r="AA61" s="8">
        <v>129.1</v>
      </c>
      <c r="AB61" s="8">
        <v>11709</v>
      </c>
      <c r="AC61" s="8" t="s">
        <v>1061</v>
      </c>
      <c r="AD61" s="8" t="s">
        <v>3725</v>
      </c>
      <c r="AE61" s="8" t="s">
        <v>4083</v>
      </c>
      <c r="AF61" s="9">
        <f t="shared" si="0"/>
        <v>163.95699999999999</v>
      </c>
      <c r="AG61" s="9">
        <f t="shared" si="1"/>
        <v>34.426666666666662</v>
      </c>
      <c r="AH61" s="9">
        <f t="shared" si="2"/>
        <v>0.43068362267978005</v>
      </c>
      <c r="AI61" s="9">
        <f t="shared" si="3"/>
        <v>0.18548838284457916</v>
      </c>
      <c r="AJ61" s="9">
        <f t="shared" si="4"/>
        <v>0.17344843851445024</v>
      </c>
      <c r="AK61" s="9">
        <f t="shared" si="5"/>
        <v>3.0084360823101026E-2</v>
      </c>
      <c r="AL61" s="9">
        <f t="shared" si="6"/>
        <v>4.4436268060212364E-2</v>
      </c>
      <c r="AM61" s="9">
        <f t="shared" si="7"/>
        <v>1.9745819191190495E-3</v>
      </c>
      <c r="AN61" s="8" t="s">
        <v>1061</v>
      </c>
    </row>
    <row r="62" spans="13:40" ht="23">
      <c r="M62" s="8" t="s">
        <v>429</v>
      </c>
      <c r="N62" s="8" t="s">
        <v>150</v>
      </c>
      <c r="O62" s="8"/>
      <c r="P62" s="8"/>
      <c r="Q62" s="8"/>
      <c r="R62" s="8"/>
      <c r="S62" s="8"/>
      <c r="T62" s="8"/>
      <c r="U62" s="8"/>
      <c r="V62" s="8"/>
      <c r="W62" s="8" t="s">
        <v>429</v>
      </c>
      <c r="X62" s="8">
        <v>18.989999999999998</v>
      </c>
      <c r="Y62" s="8">
        <v>2.4700000000000002</v>
      </c>
      <c r="Z62" s="9">
        <v>0.47</v>
      </c>
      <c r="AA62" s="8">
        <v>122.2</v>
      </c>
      <c r="AB62" s="8">
        <v>6215</v>
      </c>
      <c r="AC62" s="8" t="s">
        <v>429</v>
      </c>
      <c r="AD62" s="8" t="s">
        <v>3725</v>
      </c>
      <c r="AE62" s="8" t="s">
        <v>4083</v>
      </c>
      <c r="AF62" s="9">
        <f t="shared" si="0"/>
        <v>301.834</v>
      </c>
      <c r="AG62" s="9">
        <f t="shared" si="1"/>
        <v>95.723333333333329</v>
      </c>
      <c r="AH62" s="9">
        <f t="shared" si="2"/>
        <v>0.40766490078597312</v>
      </c>
      <c r="AI62" s="9">
        <f t="shared" si="3"/>
        <v>0.1661906713328373</v>
      </c>
      <c r="AJ62" s="9">
        <f t="shared" si="4"/>
        <v>0.31930711095330222</v>
      </c>
      <c r="AK62" s="9">
        <f t="shared" si="5"/>
        <v>0.10195703110534446</v>
      </c>
      <c r="AL62" s="9">
        <f t="shared" si="6"/>
        <v>0.12355502613140187</v>
      </c>
      <c r="AM62" s="9">
        <f t="shared" si="7"/>
        <v>1.5265844482331399E-2</v>
      </c>
      <c r="AN62" s="8" t="s">
        <v>429</v>
      </c>
    </row>
    <row r="63" spans="13:40" ht="23">
      <c r="M63" s="8" t="s">
        <v>219</v>
      </c>
      <c r="N63" s="8" t="s">
        <v>150</v>
      </c>
      <c r="O63" s="8"/>
      <c r="P63" s="8" t="s">
        <v>3693</v>
      </c>
      <c r="Q63" s="8"/>
      <c r="R63" s="8"/>
      <c r="S63" s="8"/>
      <c r="T63" s="8"/>
      <c r="U63" s="8"/>
      <c r="V63" s="8"/>
      <c r="W63" s="8" t="s">
        <v>219</v>
      </c>
      <c r="X63" s="8">
        <v>7.52</v>
      </c>
      <c r="Y63" s="8">
        <v>2.57</v>
      </c>
      <c r="Z63" s="9">
        <v>1.45</v>
      </c>
      <c r="AA63" s="8">
        <v>120.3</v>
      </c>
      <c r="AB63" s="8">
        <v>3317</v>
      </c>
      <c r="AC63" s="8" t="s">
        <v>219</v>
      </c>
      <c r="AD63" s="8" t="s">
        <v>3725</v>
      </c>
      <c r="AE63" s="8" t="s">
        <v>4083</v>
      </c>
      <c r="AF63" s="9">
        <f t="shared" si="0"/>
        <v>309.17099999999999</v>
      </c>
      <c r="AG63" s="9">
        <f t="shared" si="1"/>
        <v>210.52500000000001</v>
      </c>
      <c r="AH63" s="9">
        <f t="shared" si="2"/>
        <v>0.40132641214854797</v>
      </c>
      <c r="AI63" s="9">
        <f t="shared" si="3"/>
        <v>0.16106288908802618</v>
      </c>
      <c r="AJ63" s="9">
        <f t="shared" si="4"/>
        <v>0.32706884844167128</v>
      </c>
      <c r="AK63" s="9">
        <f t="shared" si="5"/>
        <v>0.10697403162096093</v>
      </c>
      <c r="AL63" s="9">
        <f t="shared" si="6"/>
        <v>0.27173543764648173</v>
      </c>
      <c r="AM63" s="9">
        <f t="shared" si="7"/>
        <v>7.3840148072924952E-2</v>
      </c>
      <c r="AN63" s="8" t="s">
        <v>219</v>
      </c>
    </row>
    <row r="64" spans="13:40" ht="23">
      <c r="M64" s="9" t="s">
        <v>2226</v>
      </c>
      <c r="N64" s="8" t="s">
        <v>150</v>
      </c>
      <c r="O64" s="8"/>
      <c r="P64" s="8" t="s">
        <v>3691</v>
      </c>
      <c r="Q64" s="8"/>
      <c r="R64" s="8"/>
      <c r="S64" s="8"/>
      <c r="T64" s="8"/>
      <c r="U64" s="8"/>
      <c r="V64" s="8"/>
      <c r="W64" s="9" t="s">
        <v>2226</v>
      </c>
      <c r="X64" s="8">
        <v>6.65</v>
      </c>
      <c r="Y64" s="8">
        <v>4.6500000000000004</v>
      </c>
      <c r="Z64" s="9">
        <v>1.56</v>
      </c>
      <c r="AA64" s="8">
        <v>119.6</v>
      </c>
      <c r="AB64" s="8">
        <v>6237</v>
      </c>
      <c r="AC64" s="9" t="s">
        <v>2226</v>
      </c>
      <c r="AD64" s="8" t="s">
        <v>3725</v>
      </c>
      <c r="AE64" s="8" t="s">
        <v>4083</v>
      </c>
      <c r="AF64" s="9">
        <f t="shared" si="0"/>
        <v>556.14</v>
      </c>
      <c r="AG64" s="9">
        <f t="shared" si="1"/>
        <v>231.22666666666666</v>
      </c>
      <c r="AH64" s="9">
        <f t="shared" si="2"/>
        <v>0.3989911794926545</v>
      </c>
      <c r="AI64" s="9">
        <f t="shared" si="3"/>
        <v>0.15919396131293964</v>
      </c>
      <c r="AJ64" s="9">
        <f t="shared" si="4"/>
        <v>0.58833483532527653</v>
      </c>
      <c r="AK64" s="9">
        <f t="shared" si="5"/>
        <v>0.34613787845722027</v>
      </c>
      <c r="AL64" s="9">
        <f t="shared" si="6"/>
        <v>0.29845614279636057</v>
      </c>
      <c r="AM64" s="9">
        <f t="shared" si="7"/>
        <v>8.9076069172881564E-2</v>
      </c>
      <c r="AN64" s="9" t="s">
        <v>2226</v>
      </c>
    </row>
    <row r="65" spans="13:40" ht="23">
      <c r="M65" s="8" t="s">
        <v>1121</v>
      </c>
      <c r="N65" s="8" t="s">
        <v>150</v>
      </c>
      <c r="O65" s="8"/>
      <c r="P65" s="8"/>
      <c r="Q65" s="8"/>
      <c r="R65" s="8"/>
      <c r="S65" s="8"/>
      <c r="T65" s="8"/>
      <c r="U65" s="8"/>
      <c r="V65" s="8"/>
      <c r="W65" s="8" t="s">
        <v>1121</v>
      </c>
      <c r="X65" s="8">
        <v>5.05</v>
      </c>
      <c r="Y65" s="8">
        <v>2.15</v>
      </c>
      <c r="Z65" s="9">
        <v>0.25</v>
      </c>
      <c r="AA65" s="8">
        <v>119.3</v>
      </c>
      <c r="AB65" s="8">
        <v>8997</v>
      </c>
      <c r="AC65" s="8" t="s">
        <v>1121</v>
      </c>
      <c r="AD65" s="8" t="s">
        <v>3725</v>
      </c>
      <c r="AE65" s="8" t="s">
        <v>4083</v>
      </c>
      <c r="AF65" s="9">
        <f t="shared" si="0"/>
        <v>256.495</v>
      </c>
      <c r="AG65" s="9">
        <f t="shared" si="1"/>
        <v>49.708333333333336</v>
      </c>
      <c r="AH65" s="9">
        <f t="shared" si="2"/>
        <v>0.39799036549727157</v>
      </c>
      <c r="AI65" s="9">
        <f t="shared" si="3"/>
        <v>0.1583963310286518</v>
      </c>
      <c r="AJ65" s="9">
        <f t="shared" si="4"/>
        <v>0.27134344515186248</v>
      </c>
      <c r="AK65" s="9">
        <f t="shared" si="5"/>
        <v>7.3627265226881802E-2</v>
      </c>
      <c r="AL65" s="9">
        <f t="shared" si="6"/>
        <v>6.4161100643679039E-2</v>
      </c>
      <c r="AM65" s="9">
        <f t="shared" si="7"/>
        <v>4.1166468358083104E-3</v>
      </c>
      <c r="AN65" s="8" t="s">
        <v>1121</v>
      </c>
    </row>
    <row r="66" spans="13:40" ht="23">
      <c r="M66" s="8" t="s">
        <v>4994</v>
      </c>
      <c r="N66" s="8" t="s">
        <v>1814</v>
      </c>
      <c r="O66" s="8"/>
      <c r="P66" s="8" t="s">
        <v>3693</v>
      </c>
      <c r="Q66" s="8"/>
      <c r="R66" s="8"/>
      <c r="S66" s="8"/>
      <c r="T66" s="8"/>
      <c r="U66" s="8"/>
      <c r="V66" s="8"/>
      <c r="W66" s="8" t="s">
        <v>4994</v>
      </c>
      <c r="X66" s="8">
        <v>53.21</v>
      </c>
      <c r="Y66" s="8">
        <v>2.0499999999999998</v>
      </c>
      <c r="Z66" s="9">
        <v>1.47</v>
      </c>
      <c r="AA66" s="8">
        <v>119.1</v>
      </c>
      <c r="AB66" s="8">
        <v>2956</v>
      </c>
      <c r="AC66" s="8" t="s">
        <v>4994</v>
      </c>
      <c r="AD66" s="8" t="s">
        <v>3725</v>
      </c>
      <c r="AE66" s="8" t="s">
        <v>4083</v>
      </c>
      <c r="AF66" s="9">
        <f t="shared" ref="AF66:AF129" si="8">(AA66*Y66)</f>
        <v>244.15499999999997</v>
      </c>
      <c r="AG66" s="9">
        <f t="shared" ref="AG66:AG129" si="9">((((RIGHT(Z66,2))/60)+(LEFT(Z66,2)))*AA66)</f>
        <v>212.39499999999998</v>
      </c>
      <c r="AH66" s="9">
        <f t="shared" ref="AH66:AH129" si="10">(AA66/$AA$448)*100</f>
        <v>0.39732315616701636</v>
      </c>
      <c r="AI66" s="9">
        <f t="shared" ref="AI66:AI129" si="11">(AH66*AH66)</f>
        <v>0.15786569042651927</v>
      </c>
      <c r="AJ66" s="9">
        <f t="shared" ref="AJ66:AJ129" si="12">(AF66/$AF$448)*100</f>
        <v>0.25828908497652187</v>
      </c>
      <c r="AK66" s="9">
        <f t="shared" ref="AK66:AK129" si="13">(AJ66*AJ66)</f>
        <v>6.6713251418008934E-2</v>
      </c>
      <c r="AL66" s="9">
        <f t="shared" ref="AL66:AL129" si="14">(AG66/$AG$448)*100</f>
        <v>0.2741491427570335</v>
      </c>
      <c r="AM66" s="9">
        <f t="shared" ref="AM66:AM129" si="15">(AL66*AL66)</f>
        <v>7.5157752474416334E-2</v>
      </c>
      <c r="AN66" s="8" t="s">
        <v>4994</v>
      </c>
    </row>
    <row r="67" spans="13:40" ht="23">
      <c r="M67" s="8" t="s">
        <v>1377</v>
      </c>
      <c r="N67" s="8" t="s">
        <v>150</v>
      </c>
      <c r="O67" s="8"/>
      <c r="P67" s="8"/>
      <c r="Q67" s="8"/>
      <c r="R67" s="8"/>
      <c r="S67" s="8"/>
      <c r="T67" s="8"/>
      <c r="U67" s="8"/>
      <c r="V67" s="8"/>
      <c r="W67" s="8" t="s">
        <v>1377</v>
      </c>
      <c r="X67" s="8">
        <v>30.27</v>
      </c>
      <c r="Y67" s="8">
        <v>1.35</v>
      </c>
      <c r="Z67" s="9">
        <v>0.23</v>
      </c>
      <c r="AA67" s="8">
        <v>118.6</v>
      </c>
      <c r="AB67" s="8">
        <v>16027</v>
      </c>
      <c r="AC67" s="8" t="s">
        <v>1377</v>
      </c>
      <c r="AD67" s="8" t="s">
        <v>3725</v>
      </c>
      <c r="AE67" s="8" t="s">
        <v>4083</v>
      </c>
      <c r="AF67" s="9">
        <f t="shared" si="8"/>
        <v>160.11000000000001</v>
      </c>
      <c r="AG67" s="9">
        <f t="shared" si="9"/>
        <v>45.463333333333331</v>
      </c>
      <c r="AH67" s="9">
        <f t="shared" si="10"/>
        <v>0.39565513284137815</v>
      </c>
      <c r="AI67" s="9">
        <f t="shared" si="11"/>
        <v>0.15654298414372858</v>
      </c>
      <c r="AJ67" s="9">
        <f t="shared" si="12"/>
        <v>0.16937873644033882</v>
      </c>
      <c r="AK67" s="9">
        <f t="shared" si="13"/>
        <v>2.8689156358125762E-2</v>
      </c>
      <c r="AL67" s="9">
        <f t="shared" si="14"/>
        <v>5.8681860967586805E-2</v>
      </c>
      <c r="AM67" s="9">
        <f t="shared" si="15"/>
        <v>3.4435608066191877E-3</v>
      </c>
      <c r="AN67" s="8" t="s">
        <v>1377</v>
      </c>
    </row>
    <row r="68" spans="13:40" ht="23">
      <c r="M68" s="9" t="s">
        <v>2363</v>
      </c>
      <c r="N68" s="8" t="s">
        <v>150</v>
      </c>
      <c r="O68" s="8"/>
      <c r="P68" s="8"/>
      <c r="Q68" s="8"/>
      <c r="R68" s="8"/>
      <c r="S68" s="8"/>
      <c r="T68" s="8"/>
      <c r="U68" s="8"/>
      <c r="V68" s="8"/>
      <c r="W68" s="9" t="s">
        <v>2363</v>
      </c>
      <c r="X68" s="8">
        <v>21.93</v>
      </c>
      <c r="Y68" s="8">
        <v>1.87</v>
      </c>
      <c r="Z68" s="9">
        <v>0.32</v>
      </c>
      <c r="AA68" s="8">
        <v>117.7</v>
      </c>
      <c r="AB68" s="8">
        <v>12054</v>
      </c>
      <c r="AC68" s="9" t="s">
        <v>2363</v>
      </c>
      <c r="AD68" s="8" t="s">
        <v>3725</v>
      </c>
      <c r="AE68" s="8" t="s">
        <v>4083</v>
      </c>
      <c r="AF68" s="9">
        <f t="shared" si="8"/>
        <v>220.09900000000002</v>
      </c>
      <c r="AG68" s="9">
        <f t="shared" si="9"/>
        <v>62.773333333333333</v>
      </c>
      <c r="AH68" s="9">
        <f t="shared" si="10"/>
        <v>0.39265269085522947</v>
      </c>
      <c r="AI68" s="9">
        <f t="shared" si="11"/>
        <v>0.15417613563585239</v>
      </c>
      <c r="AJ68" s="9">
        <f t="shared" si="12"/>
        <v>0.23284048786323236</v>
      </c>
      <c r="AK68" s="9">
        <f t="shared" si="13"/>
        <v>5.4214692788388058E-2</v>
      </c>
      <c r="AL68" s="9">
        <f t="shared" si="14"/>
        <v>8.1024767632641312E-2</v>
      </c>
      <c r="AM68" s="9">
        <f t="shared" si="15"/>
        <v>6.5650129699235194E-3</v>
      </c>
      <c r="AN68" s="9" t="s">
        <v>2363</v>
      </c>
    </row>
    <row r="69" spans="13:40" ht="23">
      <c r="M69" s="8" t="s">
        <v>1788</v>
      </c>
      <c r="N69" s="8" t="s">
        <v>1717</v>
      </c>
      <c r="O69" s="8"/>
      <c r="P69" s="8" t="s">
        <v>3691</v>
      </c>
      <c r="Q69" s="8"/>
      <c r="R69" s="8"/>
      <c r="S69" s="8"/>
      <c r="T69" s="8"/>
      <c r="U69" s="8"/>
      <c r="V69" s="8"/>
      <c r="W69" s="8" t="s">
        <v>1788</v>
      </c>
      <c r="X69" s="8">
        <v>36.08</v>
      </c>
      <c r="Y69" s="8">
        <v>1.25</v>
      </c>
      <c r="Z69" s="9">
        <v>0.13</v>
      </c>
      <c r="AA69" s="8">
        <v>117.5</v>
      </c>
      <c r="AB69" s="8">
        <v>10456</v>
      </c>
      <c r="AC69" s="8" t="s">
        <v>1788</v>
      </c>
      <c r="AD69" s="8" t="s">
        <v>3725</v>
      </c>
      <c r="AE69" s="8" t="s">
        <v>4083</v>
      </c>
      <c r="AF69" s="9">
        <f t="shared" si="8"/>
        <v>146.875</v>
      </c>
      <c r="AG69" s="9">
        <f t="shared" si="9"/>
        <v>25.458333333333336</v>
      </c>
      <c r="AH69" s="9">
        <f t="shared" si="10"/>
        <v>0.39198548152497414</v>
      </c>
      <c r="AI69" s="9">
        <f t="shared" si="11"/>
        <v>0.15365261772636585</v>
      </c>
      <c r="AJ69" s="9">
        <f t="shared" si="12"/>
        <v>0.1553775648908548</v>
      </c>
      <c r="AK69" s="9">
        <f t="shared" si="13"/>
        <v>2.4142187671411797E-2</v>
      </c>
      <c r="AL69" s="9">
        <f t="shared" si="14"/>
        <v>3.2860379290266466E-2</v>
      </c>
      <c r="AM69" s="9">
        <f t="shared" si="15"/>
        <v>1.0798045271001732E-3</v>
      </c>
      <c r="AN69" s="8" t="s">
        <v>1788</v>
      </c>
    </row>
    <row r="70" spans="13:40" ht="23">
      <c r="M70" s="8" t="s">
        <v>583</v>
      </c>
      <c r="N70" s="8" t="s">
        <v>150</v>
      </c>
      <c r="O70" s="8"/>
      <c r="P70" s="8"/>
      <c r="Q70" s="8"/>
      <c r="R70" s="8"/>
      <c r="S70" s="8"/>
      <c r="T70" s="8"/>
      <c r="U70" s="8"/>
      <c r="V70" s="8"/>
      <c r="W70" s="8" t="s">
        <v>583</v>
      </c>
      <c r="X70" s="8">
        <v>2.08</v>
      </c>
      <c r="Y70" s="8">
        <v>1.98</v>
      </c>
      <c r="Z70" s="9">
        <v>0.01</v>
      </c>
      <c r="AA70" s="8">
        <v>113.8</v>
      </c>
      <c r="AB70" s="8">
        <v>23282</v>
      </c>
      <c r="AC70" s="8" t="s">
        <v>583</v>
      </c>
      <c r="AD70" s="8" t="s">
        <v>3725</v>
      </c>
      <c r="AE70" s="8" t="s">
        <v>4083</v>
      </c>
      <c r="AF70" s="9">
        <f t="shared" si="8"/>
        <v>225.32399999999998</v>
      </c>
      <c r="AG70" s="9">
        <f t="shared" si="9"/>
        <v>1.8966666666666665</v>
      </c>
      <c r="AH70" s="9">
        <f t="shared" si="10"/>
        <v>0.37964210891525157</v>
      </c>
      <c r="AI70" s="9">
        <f t="shared" si="11"/>
        <v>0.14412813086161974</v>
      </c>
      <c r="AJ70" s="9">
        <f t="shared" si="12"/>
        <v>0.23836796208658359</v>
      </c>
      <c r="AK70" s="9">
        <f t="shared" si="13"/>
        <v>5.6819285349310952E-2</v>
      </c>
      <c r="AL70" s="9">
        <f t="shared" si="14"/>
        <v>2.4481251477789347E-3</v>
      </c>
      <c r="AM70" s="9">
        <f t="shared" si="15"/>
        <v>5.9933167391876311E-6</v>
      </c>
      <c r="AN70" s="8" t="s">
        <v>583</v>
      </c>
    </row>
    <row r="71" spans="13:40" ht="23">
      <c r="M71" s="9" t="s">
        <v>2931</v>
      </c>
      <c r="N71" s="8" t="s">
        <v>1717</v>
      </c>
      <c r="O71" s="8"/>
      <c r="P71" s="8"/>
      <c r="Q71" s="8"/>
      <c r="R71" s="8"/>
      <c r="S71" s="8"/>
      <c r="T71" s="8"/>
      <c r="U71" s="8"/>
      <c r="V71" s="8"/>
      <c r="W71" s="9" t="s">
        <v>2931</v>
      </c>
      <c r="X71" s="8">
        <v>2.17</v>
      </c>
      <c r="Y71" s="8">
        <v>3.82</v>
      </c>
      <c r="Z71" s="9">
        <v>6.27</v>
      </c>
      <c r="AA71" s="8">
        <v>113.2</v>
      </c>
      <c r="AB71" s="8">
        <v>9642</v>
      </c>
      <c r="AC71" s="9" t="s">
        <v>2931</v>
      </c>
      <c r="AD71" s="8" t="s">
        <v>3725</v>
      </c>
      <c r="AE71" s="8" t="s">
        <v>4083</v>
      </c>
      <c r="AF71" s="9">
        <f t="shared" si="8"/>
        <v>432.42399999999998</v>
      </c>
      <c r="AG71" s="9">
        <f t="shared" si="9"/>
        <v>730.14</v>
      </c>
      <c r="AH71" s="9">
        <f t="shared" si="10"/>
        <v>0.37764048092448577</v>
      </c>
      <c r="AI71" s="9">
        <f t="shared" si="11"/>
        <v>0.14261233283287689</v>
      </c>
      <c r="AJ71" s="9">
        <f t="shared" si="12"/>
        <v>0.45745694039396079</v>
      </c>
      <c r="AK71" s="9">
        <f t="shared" si="13"/>
        <v>0.20926685231460379</v>
      </c>
      <c r="AL71" s="9">
        <f t="shared" si="14"/>
        <v>0.94242922428786191</v>
      </c>
      <c r="AM71" s="9">
        <f t="shared" si="15"/>
        <v>0.88817284279182118</v>
      </c>
      <c r="AN71" s="9" t="s">
        <v>2931</v>
      </c>
    </row>
    <row r="72" spans="13:40" ht="23">
      <c r="M72" s="9" t="s">
        <v>3358</v>
      </c>
      <c r="N72" s="8" t="s">
        <v>1964</v>
      </c>
      <c r="O72" s="8"/>
      <c r="P72" s="8"/>
      <c r="Q72" s="8"/>
      <c r="R72" s="8"/>
      <c r="S72" s="8"/>
      <c r="T72" s="8"/>
      <c r="U72" s="8"/>
      <c r="V72" s="8"/>
      <c r="W72" s="9" t="s">
        <v>3358</v>
      </c>
      <c r="X72" s="8">
        <v>11.72</v>
      </c>
      <c r="Y72" s="8">
        <v>4.26</v>
      </c>
      <c r="Z72" s="9">
        <v>2.2400000000000002</v>
      </c>
      <c r="AA72" s="8">
        <v>113.1</v>
      </c>
      <c r="AB72" s="8">
        <v>8551</v>
      </c>
      <c r="AC72" s="9" t="s">
        <v>3358</v>
      </c>
      <c r="AD72" s="8" t="s">
        <v>3725</v>
      </c>
      <c r="AE72" s="8" t="s">
        <v>4083</v>
      </c>
      <c r="AF72" s="9">
        <f t="shared" si="8"/>
        <v>481.80599999999993</v>
      </c>
      <c r="AG72" s="9">
        <f t="shared" si="9"/>
        <v>271.44</v>
      </c>
      <c r="AH72" s="9">
        <f t="shared" si="10"/>
        <v>0.3773068762593581</v>
      </c>
      <c r="AI72" s="9">
        <f t="shared" si="11"/>
        <v>0.14236047887259456</v>
      </c>
      <c r="AJ72" s="9">
        <f t="shared" si="12"/>
        <v>0.50969765467100037</v>
      </c>
      <c r="AK72" s="9">
        <f t="shared" si="13"/>
        <v>0.25979169917711836</v>
      </c>
      <c r="AL72" s="9">
        <f t="shared" si="14"/>
        <v>0.35036155893485804</v>
      </c>
      <c r="AM72" s="9">
        <f t="shared" si="15"/>
        <v>0.122753221979264</v>
      </c>
      <c r="AN72" s="9" t="s">
        <v>3358</v>
      </c>
    </row>
    <row r="73" spans="13:40" ht="23">
      <c r="M73" s="9" t="s">
        <v>2549</v>
      </c>
      <c r="N73" s="8" t="s">
        <v>150</v>
      </c>
      <c r="O73" s="8"/>
      <c r="P73" s="8"/>
      <c r="Q73" s="8"/>
      <c r="R73" s="8"/>
      <c r="S73" s="8"/>
      <c r="T73" s="8"/>
      <c r="U73" s="8"/>
      <c r="V73" s="8"/>
      <c r="W73" s="9" t="s">
        <v>2549</v>
      </c>
      <c r="X73" s="8">
        <v>36.799999999999997</v>
      </c>
      <c r="Y73" s="8">
        <v>1.06</v>
      </c>
      <c r="Z73" s="9">
        <v>0.08</v>
      </c>
      <c r="AA73" s="8">
        <v>112.4</v>
      </c>
      <c r="AB73" s="8">
        <v>15192</v>
      </c>
      <c r="AC73" s="9" t="s">
        <v>2549</v>
      </c>
      <c r="AD73" s="8" t="s">
        <v>3725</v>
      </c>
      <c r="AE73" s="8" t="s">
        <v>4083</v>
      </c>
      <c r="AF73" s="9">
        <f t="shared" si="8"/>
        <v>119.14400000000001</v>
      </c>
      <c r="AG73" s="9">
        <f t="shared" si="9"/>
        <v>14.986666666666666</v>
      </c>
      <c r="AH73" s="9">
        <f t="shared" si="10"/>
        <v>0.37497164360346463</v>
      </c>
      <c r="AI73" s="9">
        <f t="shared" si="11"/>
        <v>0.1406037335066837</v>
      </c>
      <c r="AJ73" s="9">
        <f t="shared" si="12"/>
        <v>0.1260412227496579</v>
      </c>
      <c r="AK73" s="9">
        <f t="shared" si="13"/>
        <v>1.588638983222888E-2</v>
      </c>
      <c r="AL73" s="9">
        <f t="shared" si="14"/>
        <v>1.9344060921641638E-2</v>
      </c>
      <c r="AM73" s="9">
        <f t="shared" si="15"/>
        <v>3.7419269294018312E-4</v>
      </c>
      <c r="AN73" s="9" t="s">
        <v>2549</v>
      </c>
    </row>
    <row r="74" spans="13:40" ht="23">
      <c r="M74" s="8" t="s">
        <v>1672</v>
      </c>
      <c r="N74" s="8" t="s">
        <v>1614</v>
      </c>
      <c r="O74" s="8"/>
      <c r="P74" s="8"/>
      <c r="Q74" s="8"/>
      <c r="R74" s="8"/>
      <c r="S74" s="8"/>
      <c r="T74" s="8"/>
      <c r="U74" s="8"/>
      <c r="V74" s="8"/>
      <c r="W74" s="8" t="s">
        <v>1672</v>
      </c>
      <c r="X74" s="8">
        <v>24.77</v>
      </c>
      <c r="Y74" s="8">
        <v>15.68</v>
      </c>
      <c r="Z74" s="9">
        <v>19.32</v>
      </c>
      <c r="AA74" s="8">
        <v>110.2</v>
      </c>
      <c r="AB74" s="8">
        <v>905</v>
      </c>
      <c r="AC74" s="21" t="s">
        <v>1672</v>
      </c>
      <c r="AD74" s="8" t="s">
        <v>3725</v>
      </c>
      <c r="AE74" s="8" t="s">
        <v>4083</v>
      </c>
      <c r="AF74" s="9">
        <f t="shared" si="8"/>
        <v>1727.9359999999999</v>
      </c>
      <c r="AG74" s="9">
        <f t="shared" si="9"/>
        <v>2152.5733333333337</v>
      </c>
      <c r="AH74" s="9">
        <f t="shared" si="10"/>
        <v>0.36763234097065661</v>
      </c>
      <c r="AI74" s="9">
        <f t="shared" si="11"/>
        <v>0.13515353812756511</v>
      </c>
      <c r="AJ74" s="9">
        <f t="shared" si="12"/>
        <v>1.8279658755216617</v>
      </c>
      <c r="AK74" s="9">
        <f t="shared" si="13"/>
        <v>3.3414592420716751</v>
      </c>
      <c r="AL74" s="9">
        <f t="shared" si="14"/>
        <v>2.778437035028996</v>
      </c>
      <c r="AM74" s="9">
        <f t="shared" si="15"/>
        <v>7.7197123576207183</v>
      </c>
      <c r="AN74" s="8" t="s">
        <v>1672</v>
      </c>
    </row>
    <row r="75" spans="13:40" ht="23">
      <c r="M75" s="9" t="s">
        <v>2780</v>
      </c>
      <c r="N75" s="8" t="s">
        <v>1614</v>
      </c>
      <c r="O75" s="8"/>
      <c r="P75" s="8" t="s">
        <v>3705</v>
      </c>
      <c r="Q75" s="8"/>
      <c r="R75" s="8"/>
      <c r="S75" s="8"/>
      <c r="T75" s="8"/>
      <c r="U75" s="8"/>
      <c r="V75" s="8"/>
      <c r="W75" s="9" t="s">
        <v>2780</v>
      </c>
      <c r="X75" s="8">
        <v>29.17</v>
      </c>
      <c r="Y75" s="8">
        <v>2.87</v>
      </c>
      <c r="Z75" s="9">
        <v>1.1000000000000001</v>
      </c>
      <c r="AA75" s="8">
        <v>104.9</v>
      </c>
      <c r="AB75" s="8">
        <v>8045</v>
      </c>
      <c r="AC75" s="9" t="s">
        <v>2780</v>
      </c>
      <c r="AD75" s="8" t="s">
        <v>3725</v>
      </c>
      <c r="AE75" s="8" t="s">
        <v>4083</v>
      </c>
      <c r="AF75" s="9">
        <f t="shared" si="8"/>
        <v>301.06300000000005</v>
      </c>
      <c r="AG75" s="9">
        <f t="shared" si="9"/>
        <v>105.07483333333334</v>
      </c>
      <c r="AH75" s="9">
        <f t="shared" si="10"/>
        <v>0.34995129371889183</v>
      </c>
      <c r="AI75" s="9">
        <f t="shared" si="11"/>
        <v>0.1224659079755261</v>
      </c>
      <c r="AJ75" s="9">
        <f t="shared" si="12"/>
        <v>0.31849147791479437</v>
      </c>
      <c r="AK75" s="9">
        <f t="shared" si="13"/>
        <v>0.10143682150434995</v>
      </c>
      <c r="AL75" s="9">
        <f t="shared" si="14"/>
        <v>0.135625487811255</v>
      </c>
      <c r="AM75" s="9">
        <f t="shared" si="15"/>
        <v>1.8394272944040876E-2</v>
      </c>
      <c r="AN75" s="9" t="s">
        <v>2780</v>
      </c>
    </row>
    <row r="76" spans="13:40" ht="23">
      <c r="M76" s="8" t="s">
        <v>142</v>
      </c>
      <c r="N76" s="8" t="s">
        <v>150</v>
      </c>
      <c r="O76" s="8"/>
      <c r="P76" s="8" t="s">
        <v>3692</v>
      </c>
      <c r="Q76" s="8"/>
      <c r="R76" s="8"/>
      <c r="S76" s="8"/>
      <c r="T76" s="8"/>
      <c r="U76" s="8"/>
      <c r="V76" s="8"/>
      <c r="W76" s="8" t="s">
        <v>142</v>
      </c>
      <c r="X76" s="8">
        <v>14.14</v>
      </c>
      <c r="Y76" s="8">
        <v>2.0499999999999998</v>
      </c>
      <c r="Z76" s="9">
        <v>0.59</v>
      </c>
      <c r="AA76" s="8">
        <v>103</v>
      </c>
      <c r="AB76" s="8">
        <v>3741</v>
      </c>
      <c r="AC76" s="8" t="s">
        <v>142</v>
      </c>
      <c r="AD76" s="8" t="s">
        <v>3725</v>
      </c>
      <c r="AE76" s="8" t="s">
        <v>4083</v>
      </c>
      <c r="AF76" s="9">
        <f t="shared" si="8"/>
        <v>211.14999999999998</v>
      </c>
      <c r="AG76" s="9">
        <f t="shared" si="9"/>
        <v>101.28333333333333</v>
      </c>
      <c r="AH76" s="9">
        <f t="shared" si="10"/>
        <v>0.34361280508146669</v>
      </c>
      <c r="AI76" s="9">
        <f t="shared" si="11"/>
        <v>0.11806975981595402</v>
      </c>
      <c r="AJ76" s="9">
        <f t="shared" si="12"/>
        <v>0.22337343201160159</v>
      </c>
      <c r="AK76" s="9">
        <f t="shared" si="13"/>
        <v>4.9895690128641597E-2</v>
      </c>
      <c r="AL76" s="9">
        <f t="shared" si="14"/>
        <v>0.1307316038932565</v>
      </c>
      <c r="AM76" s="9">
        <f t="shared" si="15"/>
        <v>1.7090752256503319E-2</v>
      </c>
      <c r="AN76" s="8" t="s">
        <v>142</v>
      </c>
    </row>
    <row r="77" spans="13:40" ht="23">
      <c r="M77" s="8" t="s">
        <v>1566</v>
      </c>
      <c r="N77" s="8" t="s">
        <v>150</v>
      </c>
      <c r="O77" s="8"/>
      <c r="P77" s="8" t="s">
        <v>3691</v>
      </c>
      <c r="Q77" s="8"/>
      <c r="R77" s="8"/>
      <c r="S77" s="8"/>
      <c r="T77" s="8"/>
      <c r="U77" s="8"/>
      <c r="V77" s="8"/>
      <c r="W77" s="8" t="s">
        <v>1566</v>
      </c>
      <c r="X77" s="8">
        <v>13.37</v>
      </c>
      <c r="Y77" s="8">
        <v>2.59</v>
      </c>
      <c r="Z77" s="9">
        <v>2.37</v>
      </c>
      <c r="AA77" s="8">
        <v>102.7</v>
      </c>
      <c r="AB77" s="8">
        <v>2978</v>
      </c>
      <c r="AC77" s="8" t="s">
        <v>1566</v>
      </c>
      <c r="AD77" s="8" t="s">
        <v>3725</v>
      </c>
      <c r="AE77" s="8" t="s">
        <v>4083</v>
      </c>
      <c r="AF77" s="9">
        <f t="shared" si="8"/>
        <v>265.99299999999999</v>
      </c>
      <c r="AG77" s="9">
        <f t="shared" si="9"/>
        <v>268.73166666666668</v>
      </c>
      <c r="AH77" s="9">
        <f t="shared" si="10"/>
        <v>0.34261199108608376</v>
      </c>
      <c r="AI77" s="9">
        <f t="shared" si="11"/>
        <v>0.11738297643597073</v>
      </c>
      <c r="AJ77" s="9">
        <f t="shared" si="12"/>
        <v>0.2813912825056214</v>
      </c>
      <c r="AK77" s="9">
        <f t="shared" si="13"/>
        <v>7.9181053870158433E-2</v>
      </c>
      <c r="AL77" s="9">
        <f t="shared" si="14"/>
        <v>0.34686577390397866</v>
      </c>
      <c r="AM77" s="9">
        <f t="shared" si="15"/>
        <v>0.12031586510600605</v>
      </c>
      <c r="AN77" s="8" t="s">
        <v>1566</v>
      </c>
    </row>
    <row r="78" spans="13:40" ht="23">
      <c r="M78" s="8" t="s">
        <v>1441</v>
      </c>
      <c r="N78" s="8" t="s">
        <v>150</v>
      </c>
      <c r="O78" s="8"/>
      <c r="P78" s="8"/>
      <c r="Q78" s="8"/>
      <c r="R78" s="8"/>
      <c r="S78" s="8"/>
      <c r="T78" s="8"/>
      <c r="U78" s="8"/>
      <c r="V78" s="8"/>
      <c r="W78" s="8" t="s">
        <v>1441</v>
      </c>
      <c r="X78" s="8">
        <v>1.74</v>
      </c>
      <c r="Y78" s="8">
        <v>15.37</v>
      </c>
      <c r="Z78" s="9">
        <v>7.05</v>
      </c>
      <c r="AA78" s="8">
        <v>101.8</v>
      </c>
      <c r="AB78" s="8">
        <v>11740</v>
      </c>
      <c r="AC78" s="8" t="s">
        <v>1441</v>
      </c>
      <c r="AD78" s="8" t="s">
        <v>3725</v>
      </c>
      <c r="AE78" s="8" t="s">
        <v>4083</v>
      </c>
      <c r="AF78" s="9">
        <f t="shared" si="8"/>
        <v>1564.6659999999999</v>
      </c>
      <c r="AG78" s="9">
        <f t="shared" si="9"/>
        <v>721.08333333333326</v>
      </c>
      <c r="AH78" s="9">
        <f t="shared" si="10"/>
        <v>0.33960954909993502</v>
      </c>
      <c r="AI78" s="9">
        <f t="shared" si="11"/>
        <v>0.11533464583986117</v>
      </c>
      <c r="AJ78" s="9">
        <f t="shared" si="12"/>
        <v>1.6552442073022244</v>
      </c>
      <c r="AK78" s="9">
        <f t="shared" si="13"/>
        <v>2.7398333858075694</v>
      </c>
      <c r="AL78" s="9">
        <f t="shared" si="14"/>
        <v>0.93073931914460128</v>
      </c>
      <c r="AM78" s="9">
        <f t="shared" si="15"/>
        <v>0.86627568020175594</v>
      </c>
      <c r="AN78" s="8" t="s">
        <v>1441</v>
      </c>
    </row>
    <row r="79" spans="13:40" ht="23">
      <c r="M79" s="8" t="s">
        <v>1881</v>
      </c>
      <c r="N79" s="8" t="s">
        <v>1869</v>
      </c>
      <c r="O79" s="8"/>
      <c r="P79" s="8" t="s">
        <v>3693</v>
      </c>
      <c r="Q79" s="8"/>
      <c r="R79" s="8"/>
      <c r="S79" s="8"/>
      <c r="T79" s="8"/>
      <c r="U79" s="8"/>
      <c r="V79" s="8"/>
      <c r="W79" s="8" t="s">
        <v>1881</v>
      </c>
      <c r="X79" s="8">
        <v>32.21</v>
      </c>
      <c r="Y79" s="8">
        <v>1.68</v>
      </c>
      <c r="Z79" s="9">
        <v>1.1299999999999999</v>
      </c>
      <c r="AA79" s="8">
        <v>101.5</v>
      </c>
      <c r="AB79" s="8">
        <v>4270</v>
      </c>
      <c r="AC79" s="8" t="s">
        <v>1881</v>
      </c>
      <c r="AD79" s="8" t="s">
        <v>3725</v>
      </c>
      <c r="AE79" s="8" t="s">
        <v>4083</v>
      </c>
      <c r="AF79" s="9">
        <f t="shared" si="8"/>
        <v>170.51999999999998</v>
      </c>
      <c r="AG79" s="9">
        <f t="shared" si="9"/>
        <v>123.49166666666667</v>
      </c>
      <c r="AH79" s="9">
        <f t="shared" si="10"/>
        <v>0.33860873510455214</v>
      </c>
      <c r="AI79" s="9">
        <f t="shared" si="11"/>
        <v>0.11465587548910476</v>
      </c>
      <c r="AJ79" s="9">
        <f t="shared" si="12"/>
        <v>0.18039136929490082</v>
      </c>
      <c r="AK79" s="9">
        <f t="shared" si="13"/>
        <v>3.2541046116089288E-2</v>
      </c>
      <c r="AL79" s="9">
        <f t="shared" si="14"/>
        <v>0.15939704114646766</v>
      </c>
      <c r="AM79" s="9">
        <f t="shared" si="15"/>
        <v>2.5407416726248706E-2</v>
      </c>
      <c r="AN79" s="8" t="s">
        <v>1881</v>
      </c>
    </row>
    <row r="80" spans="13:40" ht="23">
      <c r="M80" s="8" t="s">
        <v>608</v>
      </c>
      <c r="N80" s="8" t="s">
        <v>150</v>
      </c>
      <c r="O80" s="8"/>
      <c r="P80" s="8"/>
      <c r="Q80" s="8"/>
      <c r="R80" s="8"/>
      <c r="S80" s="8"/>
      <c r="T80" s="8"/>
      <c r="U80" s="8"/>
      <c r="V80" s="8"/>
      <c r="W80" s="8" t="s">
        <v>608</v>
      </c>
      <c r="X80" s="8">
        <v>24.77</v>
      </c>
      <c r="Y80" s="8">
        <v>2.37</v>
      </c>
      <c r="Z80" s="9">
        <v>0.51</v>
      </c>
      <c r="AA80" s="8">
        <v>96</v>
      </c>
      <c r="AB80" s="8">
        <v>10628</v>
      </c>
      <c r="AC80" s="8" t="s">
        <v>608</v>
      </c>
      <c r="AD80" s="8" t="s">
        <v>3725</v>
      </c>
      <c r="AE80" s="8" t="s">
        <v>4083</v>
      </c>
      <c r="AF80" s="9">
        <f t="shared" si="8"/>
        <v>227.52</v>
      </c>
      <c r="AG80" s="9">
        <f t="shared" si="9"/>
        <v>81.599999999999994</v>
      </c>
      <c r="AH80" s="9">
        <f t="shared" si="10"/>
        <v>0.32026047852253203</v>
      </c>
      <c r="AI80" s="9">
        <f t="shared" si="11"/>
        <v>0.1025667741034812</v>
      </c>
      <c r="AJ80" s="9">
        <f t="shared" si="12"/>
        <v>0.2406910880950964</v>
      </c>
      <c r="AK80" s="9">
        <f t="shared" si="13"/>
        <v>5.7932199888401453E-2</v>
      </c>
      <c r="AL80" s="9">
        <f t="shared" si="14"/>
        <v>0.10532531391498827</v>
      </c>
      <c r="AM80" s="9">
        <f t="shared" si="15"/>
        <v>1.1093421751290822E-2</v>
      </c>
      <c r="AN80" s="8" t="s">
        <v>608</v>
      </c>
    </row>
    <row r="81" spans="13:40" ht="23">
      <c r="M81" s="8" t="s">
        <v>957</v>
      </c>
      <c r="N81" s="8" t="s">
        <v>150</v>
      </c>
      <c r="O81" s="8"/>
      <c r="P81" s="8" t="s">
        <v>3692</v>
      </c>
      <c r="Q81" s="8"/>
      <c r="R81" s="8"/>
      <c r="S81" s="8"/>
      <c r="T81" s="8"/>
      <c r="U81" s="8"/>
      <c r="V81" s="8"/>
      <c r="W81" s="8" t="s">
        <v>957</v>
      </c>
      <c r="X81" s="8">
        <v>17.149999999999999</v>
      </c>
      <c r="Y81" s="8">
        <v>4.88</v>
      </c>
      <c r="Z81" s="9">
        <v>4.49</v>
      </c>
      <c r="AA81" s="8">
        <v>88.8</v>
      </c>
      <c r="AB81" s="8">
        <v>1979</v>
      </c>
      <c r="AC81" s="8" t="s">
        <v>957</v>
      </c>
      <c r="AD81" s="8" t="s">
        <v>3725</v>
      </c>
      <c r="AE81" s="8" t="s">
        <v>4083</v>
      </c>
      <c r="AF81" s="9">
        <f t="shared" si="8"/>
        <v>433.34399999999999</v>
      </c>
      <c r="AG81" s="9">
        <f t="shared" si="9"/>
        <v>427.71999999999997</v>
      </c>
      <c r="AH81" s="9">
        <f t="shared" si="10"/>
        <v>0.29624094263334211</v>
      </c>
      <c r="AI81" s="9">
        <f t="shared" si="11"/>
        <v>8.7758696092291089E-2</v>
      </c>
      <c r="AJ81" s="9">
        <f t="shared" si="12"/>
        <v>0.4584301990131921</v>
      </c>
      <c r="AK81" s="9">
        <f t="shared" si="13"/>
        <v>0.21015824736727493</v>
      </c>
      <c r="AL81" s="9">
        <f t="shared" si="14"/>
        <v>0.55208018710439688</v>
      </c>
      <c r="AM81" s="9">
        <f t="shared" si="15"/>
        <v>0.30479253299322584</v>
      </c>
      <c r="AN81" s="8" t="s">
        <v>957</v>
      </c>
    </row>
    <row r="82" spans="13:40" ht="23">
      <c r="M82" s="9" t="s">
        <v>3034</v>
      </c>
      <c r="N82" s="8" t="s">
        <v>1814</v>
      </c>
      <c r="O82" s="8"/>
      <c r="P82" s="8" t="s">
        <v>3691</v>
      </c>
      <c r="Q82" s="8"/>
      <c r="R82" s="8"/>
      <c r="S82" s="8"/>
      <c r="T82" s="8"/>
      <c r="U82" s="8"/>
      <c r="V82" s="8"/>
      <c r="W82" s="9" t="s">
        <v>3034</v>
      </c>
      <c r="X82" s="8">
        <v>17.52</v>
      </c>
      <c r="Y82" s="8">
        <v>4.1100000000000003</v>
      </c>
      <c r="Z82" s="9">
        <v>3.19</v>
      </c>
      <c r="AA82" s="8">
        <v>86.4</v>
      </c>
      <c r="AB82" s="8">
        <v>2485</v>
      </c>
      <c r="AC82" s="9" t="s">
        <v>3034</v>
      </c>
      <c r="AD82" s="8" t="s">
        <v>3725</v>
      </c>
      <c r="AE82" s="8" t="s">
        <v>4083</v>
      </c>
      <c r="AF82" s="9">
        <f t="shared" si="8"/>
        <v>355.10400000000004</v>
      </c>
      <c r="AG82" s="9">
        <f t="shared" si="9"/>
        <v>286.56</v>
      </c>
      <c r="AH82" s="9">
        <f t="shared" si="10"/>
        <v>0.28823443067027887</v>
      </c>
      <c r="AI82" s="9">
        <f t="shared" si="11"/>
        <v>8.3079087023819803E-2</v>
      </c>
      <c r="AJ82" s="9">
        <f t="shared" si="12"/>
        <v>0.37566090078639736</v>
      </c>
      <c r="AK82" s="9">
        <f t="shared" si="13"/>
        <v>0.14112111237964747</v>
      </c>
      <c r="AL82" s="9">
        <f t="shared" si="14"/>
        <v>0.36987772004263531</v>
      </c>
      <c r="AM82" s="9">
        <f t="shared" si="15"/>
        <v>0.1368095277839381</v>
      </c>
      <c r="AN82" s="9" t="s">
        <v>3034</v>
      </c>
    </row>
    <row r="83" spans="13:40" ht="23">
      <c r="M83" s="8" t="s">
        <v>692</v>
      </c>
      <c r="N83" s="8" t="s">
        <v>150</v>
      </c>
      <c r="O83" s="8"/>
      <c r="P83" s="8" t="s">
        <v>3693</v>
      </c>
      <c r="Q83" s="8"/>
      <c r="R83" s="8"/>
      <c r="S83" s="8"/>
      <c r="T83" s="8"/>
      <c r="U83" s="8"/>
      <c r="V83" s="8"/>
      <c r="W83" s="8" t="s">
        <v>692</v>
      </c>
      <c r="X83" s="8">
        <v>18.239999999999998</v>
      </c>
      <c r="Y83" s="8">
        <v>1.62</v>
      </c>
      <c r="Z83" s="9">
        <v>0.42</v>
      </c>
      <c r="AA83" s="8">
        <v>84.7</v>
      </c>
      <c r="AB83" s="8">
        <v>8975</v>
      </c>
      <c r="AC83" s="8" t="s">
        <v>692</v>
      </c>
      <c r="AD83" s="8" t="s">
        <v>3725</v>
      </c>
      <c r="AE83" s="8" t="s">
        <v>4083</v>
      </c>
      <c r="AF83" s="9">
        <f t="shared" si="8"/>
        <v>137.21400000000003</v>
      </c>
      <c r="AG83" s="9">
        <f t="shared" si="9"/>
        <v>59.29</v>
      </c>
      <c r="AH83" s="9">
        <f t="shared" si="10"/>
        <v>0.282563151363109</v>
      </c>
      <c r="AI83" s="9">
        <f t="shared" si="11"/>
        <v>7.984193450825125E-2</v>
      </c>
      <c r="AJ83" s="9">
        <f t="shared" si="12"/>
        <v>0.14515729149912343</v>
      </c>
      <c r="AK83" s="9">
        <f t="shared" si="13"/>
        <v>2.1070639275361493E-2</v>
      </c>
      <c r="AL83" s="9">
        <f t="shared" si="14"/>
        <v>7.6528650269848716E-2</v>
      </c>
      <c r="AM83" s="9">
        <f t="shared" si="15"/>
        <v>5.8566343121248159E-3</v>
      </c>
      <c r="AN83" s="8" t="s">
        <v>692</v>
      </c>
    </row>
    <row r="84" spans="13:40" ht="23">
      <c r="M84" s="8" t="s">
        <v>1632</v>
      </c>
      <c r="N84" s="8" t="s">
        <v>1614</v>
      </c>
      <c r="O84" s="8"/>
      <c r="P84" s="8"/>
      <c r="Q84" s="8"/>
      <c r="R84" s="8"/>
      <c r="S84" s="8"/>
      <c r="T84" s="8"/>
      <c r="U84" s="8"/>
      <c r="V84" s="8"/>
      <c r="W84" s="8" t="s">
        <v>1632</v>
      </c>
      <c r="X84" s="8">
        <v>12.09</v>
      </c>
      <c r="Y84" s="8">
        <v>1.92</v>
      </c>
      <c r="Z84" s="9">
        <v>0.24</v>
      </c>
      <c r="AA84" s="8">
        <v>83.6</v>
      </c>
      <c r="AB84" s="8">
        <v>6544</v>
      </c>
      <c r="AC84" s="8" t="s">
        <v>1632</v>
      </c>
      <c r="AD84" s="8" t="s">
        <v>3725</v>
      </c>
      <c r="AE84" s="8" t="s">
        <v>4083</v>
      </c>
      <c r="AF84" s="9">
        <f t="shared" si="8"/>
        <v>160.51199999999997</v>
      </c>
      <c r="AG84" s="9">
        <f t="shared" si="9"/>
        <v>33.44</v>
      </c>
      <c r="AH84" s="9">
        <f t="shared" si="10"/>
        <v>0.27889350004670499</v>
      </c>
      <c r="AI84" s="9">
        <f t="shared" si="11"/>
        <v>7.7781584368301432E-2</v>
      </c>
      <c r="AJ84" s="9">
        <f t="shared" si="12"/>
        <v>0.16980400814135069</v>
      </c>
      <c r="AK84" s="9">
        <f t="shared" si="13"/>
        <v>2.8833401180867892E-2</v>
      </c>
      <c r="AL84" s="9">
        <f t="shared" si="14"/>
        <v>4.3162726682808919E-2</v>
      </c>
      <c r="AM84" s="9">
        <f t="shared" si="15"/>
        <v>1.8630209746948649E-3</v>
      </c>
      <c r="AN84" s="8" t="s">
        <v>1632</v>
      </c>
    </row>
    <row r="85" spans="13:40" ht="23">
      <c r="M85" s="8" t="s">
        <v>1959</v>
      </c>
      <c r="N85" s="8" t="s">
        <v>1939</v>
      </c>
      <c r="O85" s="8"/>
      <c r="P85" s="8" t="s">
        <v>3693</v>
      </c>
      <c r="Q85" s="8"/>
      <c r="R85" s="8"/>
      <c r="S85" s="8"/>
      <c r="T85" s="8"/>
      <c r="U85" s="8"/>
      <c r="V85" s="8"/>
      <c r="W85" s="8" t="s">
        <v>1959</v>
      </c>
      <c r="X85" s="8">
        <v>27.09</v>
      </c>
      <c r="Y85" s="8">
        <v>5.88</v>
      </c>
      <c r="Z85" s="9">
        <v>5.46</v>
      </c>
      <c r="AA85" s="8">
        <v>80.7</v>
      </c>
      <c r="AB85" s="8">
        <v>1842</v>
      </c>
      <c r="AC85" s="8" t="s">
        <v>1959</v>
      </c>
      <c r="AD85" s="8" t="s">
        <v>3725</v>
      </c>
      <c r="AE85" s="8" t="s">
        <v>4083</v>
      </c>
      <c r="AF85" s="9">
        <f t="shared" si="8"/>
        <v>474.51600000000002</v>
      </c>
      <c r="AG85" s="9">
        <f t="shared" si="9"/>
        <v>465.37</v>
      </c>
      <c r="AH85" s="9">
        <f t="shared" si="10"/>
        <v>0.26921896475800355</v>
      </c>
      <c r="AI85" s="9">
        <f t="shared" si="11"/>
        <v>7.2478850985371157E-2</v>
      </c>
      <c r="AJ85" s="9">
        <f t="shared" si="12"/>
        <v>0.50198563800339646</v>
      </c>
      <c r="AK85" s="9">
        <f t="shared" si="13"/>
        <v>0.25198958076167699</v>
      </c>
      <c r="AL85" s="9">
        <f t="shared" si="14"/>
        <v>0.60067697716443746</v>
      </c>
      <c r="AM85" s="9">
        <f t="shared" si="15"/>
        <v>0.36081283089540611</v>
      </c>
      <c r="AN85" s="8" t="s">
        <v>1959</v>
      </c>
    </row>
    <row r="86" spans="13:40" ht="23">
      <c r="M86" s="8" t="s">
        <v>816</v>
      </c>
      <c r="N86" s="8" t="s">
        <v>150</v>
      </c>
      <c r="O86" s="8"/>
      <c r="P86" s="8"/>
      <c r="Q86" s="8"/>
      <c r="R86" s="8"/>
      <c r="S86" s="8"/>
      <c r="T86" s="8"/>
      <c r="U86" s="8"/>
      <c r="V86" s="8"/>
      <c r="W86" s="8" t="s">
        <v>816</v>
      </c>
      <c r="X86" s="8">
        <v>35.76</v>
      </c>
      <c r="Y86" s="8">
        <v>1.67</v>
      </c>
      <c r="Z86" s="9">
        <v>0.38</v>
      </c>
      <c r="AA86" s="8">
        <v>79.900000000000006</v>
      </c>
      <c r="AB86" s="8">
        <v>5638</v>
      </c>
      <c r="AC86" s="8" t="s">
        <v>816</v>
      </c>
      <c r="AD86" s="8" t="s">
        <v>3725</v>
      </c>
      <c r="AE86" s="8" t="s">
        <v>4083</v>
      </c>
      <c r="AF86" s="9">
        <f t="shared" si="8"/>
        <v>133.43299999999999</v>
      </c>
      <c r="AG86" s="9">
        <f t="shared" si="9"/>
        <v>50.603333333333332</v>
      </c>
      <c r="AH86" s="9">
        <f t="shared" si="10"/>
        <v>0.26655012743698242</v>
      </c>
      <c r="AI86" s="9">
        <f t="shared" si="11"/>
        <v>7.1048970436671563E-2</v>
      </c>
      <c r="AJ86" s="9">
        <f t="shared" si="12"/>
        <v>0.14115741015204375</v>
      </c>
      <c r="AK86" s="9">
        <f t="shared" si="13"/>
        <v>1.9925414440832304E-2</v>
      </c>
      <c r="AL86" s="9">
        <f t="shared" si="14"/>
        <v>6.5316323143114266E-2</v>
      </c>
      <c r="AM86" s="9">
        <f t="shared" si="15"/>
        <v>4.2662220689357244E-3</v>
      </c>
      <c r="AN86" s="8" t="s">
        <v>816</v>
      </c>
    </row>
    <row r="87" spans="13:40" ht="23">
      <c r="M87" s="8" t="s">
        <v>1514</v>
      </c>
      <c r="N87" s="8" t="s">
        <v>150</v>
      </c>
      <c r="O87" s="8"/>
      <c r="P87" s="8" t="s">
        <v>3691</v>
      </c>
      <c r="Q87" s="8"/>
      <c r="R87" s="8"/>
      <c r="S87" s="8"/>
      <c r="T87" s="8"/>
      <c r="U87" s="8"/>
      <c r="V87" s="8"/>
      <c r="W87" s="8" t="s">
        <v>1514</v>
      </c>
      <c r="X87" s="8">
        <v>15.11</v>
      </c>
      <c r="Y87" s="8">
        <v>2.63</v>
      </c>
      <c r="Z87" s="9">
        <v>1.42</v>
      </c>
      <c r="AA87" s="8">
        <v>79.599999999999994</v>
      </c>
      <c r="AB87" s="8">
        <v>8619</v>
      </c>
      <c r="AC87" s="8" t="s">
        <v>1514</v>
      </c>
      <c r="AD87" s="8" t="s">
        <v>3725</v>
      </c>
      <c r="AE87" s="8" t="s">
        <v>4083</v>
      </c>
      <c r="AF87" s="9">
        <f t="shared" si="8"/>
        <v>209.34799999999998</v>
      </c>
      <c r="AG87" s="9">
        <f t="shared" si="9"/>
        <v>135.32</v>
      </c>
      <c r="AH87" s="9">
        <f t="shared" si="10"/>
        <v>0.26554931344159949</v>
      </c>
      <c r="AI87" s="9">
        <f t="shared" si="11"/>
        <v>7.0516437869304852E-2</v>
      </c>
      <c r="AJ87" s="9">
        <f t="shared" si="12"/>
        <v>0.22146711458567264</v>
      </c>
      <c r="AK87" s="9">
        <f t="shared" si="13"/>
        <v>4.9047682842903458E-2</v>
      </c>
      <c r="AL87" s="9">
        <f t="shared" si="14"/>
        <v>0.1746644789090222</v>
      </c>
      <c r="AM87" s="9">
        <f t="shared" si="15"/>
        <v>3.0507680192560262E-2</v>
      </c>
      <c r="AN87" s="8" t="s">
        <v>1514</v>
      </c>
    </row>
    <row r="88" spans="13:40" ht="23">
      <c r="M88" s="8" t="s">
        <v>83</v>
      </c>
      <c r="N88" s="8" t="s">
        <v>90</v>
      </c>
      <c r="O88" s="8"/>
      <c r="P88" s="8"/>
      <c r="Q88" s="8"/>
      <c r="R88" s="8"/>
      <c r="S88" s="8"/>
      <c r="T88" s="8"/>
      <c r="U88" s="8"/>
      <c r="V88" s="8"/>
      <c r="W88" s="8" t="s">
        <v>83</v>
      </c>
      <c r="X88" s="8">
        <v>28.36</v>
      </c>
      <c r="Y88" s="8">
        <v>1.68</v>
      </c>
      <c r="Z88" s="9">
        <v>0.45</v>
      </c>
      <c r="AA88" s="8">
        <v>76.400000000000006</v>
      </c>
      <c r="AB88" s="8">
        <v>6088</v>
      </c>
      <c r="AC88" s="8" t="s">
        <v>83</v>
      </c>
      <c r="AD88" s="8" t="s">
        <v>3725</v>
      </c>
      <c r="AE88" s="8" t="s">
        <v>4083</v>
      </c>
      <c r="AF88" s="9">
        <f t="shared" si="8"/>
        <v>128.352</v>
      </c>
      <c r="AG88" s="9">
        <f t="shared" si="9"/>
        <v>57.300000000000004</v>
      </c>
      <c r="AH88" s="9">
        <f t="shared" si="10"/>
        <v>0.25487396415751512</v>
      </c>
      <c r="AI88" s="9">
        <f t="shared" si="11"/>
        <v>6.4960737605366303E-2</v>
      </c>
      <c r="AJ88" s="9">
        <f t="shared" si="12"/>
        <v>0.13578227206039828</v>
      </c>
      <c r="AK88" s="9">
        <f t="shared" si="13"/>
        <v>1.8436825405884014E-2</v>
      </c>
      <c r="AL88" s="9">
        <f t="shared" si="14"/>
        <v>7.3960054991774854E-2</v>
      </c>
      <c r="AM88" s="9">
        <f t="shared" si="15"/>
        <v>5.4700897343863608E-3</v>
      </c>
      <c r="AN88" s="8" t="s">
        <v>83</v>
      </c>
    </row>
    <row r="89" spans="13:40" ht="23">
      <c r="M89" s="24" t="s">
        <v>5130</v>
      </c>
      <c r="N89" s="24" t="s">
        <v>150</v>
      </c>
      <c r="O89" s="24"/>
      <c r="P89" s="24"/>
      <c r="Q89" s="24"/>
      <c r="R89" s="24"/>
      <c r="S89" s="24"/>
      <c r="T89" s="24"/>
      <c r="U89" s="24"/>
      <c r="V89" s="24"/>
      <c r="W89" s="24" t="s">
        <v>5130</v>
      </c>
      <c r="X89" s="24">
        <v>24.65</v>
      </c>
      <c r="Y89" s="24">
        <v>1.37</v>
      </c>
      <c r="Z89" s="25">
        <v>0.22</v>
      </c>
      <c r="AA89" s="24">
        <v>75.099999999999994</v>
      </c>
      <c r="AB89" s="24">
        <v>11493</v>
      </c>
      <c r="AC89" s="24" t="s">
        <v>5130</v>
      </c>
      <c r="AD89" s="8" t="s">
        <v>3725</v>
      </c>
      <c r="AE89" s="8" t="s">
        <v>4083</v>
      </c>
      <c r="AF89" s="25">
        <f t="shared" si="8"/>
        <v>102.887</v>
      </c>
      <c r="AG89" s="25">
        <f t="shared" si="9"/>
        <v>27.536666666666662</v>
      </c>
      <c r="AH89" s="25">
        <f t="shared" si="10"/>
        <v>0.25053710351085579</v>
      </c>
      <c r="AI89" s="25">
        <f t="shared" si="11"/>
        <v>6.2768840235609261E-2</v>
      </c>
      <c r="AJ89" s="25">
        <f t="shared" si="12"/>
        <v>0.10884310821396002</v>
      </c>
      <c r="AK89" s="25">
        <f t="shared" si="13"/>
        <v>1.1846822205675811E-2</v>
      </c>
      <c r="AL89" s="25">
        <f t="shared" si="14"/>
        <v>3.5542990941655146E-2</v>
      </c>
      <c r="AM89" s="25">
        <f t="shared" si="15"/>
        <v>1.2633042050785798E-3</v>
      </c>
      <c r="AN89" s="24" t="s">
        <v>5130</v>
      </c>
    </row>
    <row r="90" spans="13:40" ht="23">
      <c r="M90" s="9" t="s">
        <v>2262</v>
      </c>
      <c r="N90" s="8" t="s">
        <v>150</v>
      </c>
      <c r="O90" s="8"/>
      <c r="P90" s="8"/>
      <c r="Q90" s="8"/>
      <c r="R90" s="8"/>
      <c r="S90" s="8"/>
      <c r="T90" s="8"/>
      <c r="U90" s="8"/>
      <c r="V90" s="8"/>
      <c r="W90" s="9" t="s">
        <v>2262</v>
      </c>
      <c r="X90" s="8">
        <v>13.52</v>
      </c>
      <c r="Y90" s="8">
        <v>6.4</v>
      </c>
      <c r="Z90" s="9">
        <v>1.44</v>
      </c>
      <c r="AA90" s="8">
        <v>74.8</v>
      </c>
      <c r="AB90" s="8">
        <v>15660</v>
      </c>
      <c r="AC90" s="9" t="s">
        <v>2262</v>
      </c>
      <c r="AD90" s="8" t="s">
        <v>3725</v>
      </c>
      <c r="AE90" s="8" t="s">
        <v>4083</v>
      </c>
      <c r="AF90" s="9">
        <f t="shared" si="8"/>
        <v>478.72</v>
      </c>
      <c r="AG90" s="9">
        <f t="shared" si="9"/>
        <v>129.65333333333334</v>
      </c>
      <c r="AH90" s="9">
        <f t="shared" si="10"/>
        <v>0.24953628951547291</v>
      </c>
      <c r="AI90" s="9">
        <f t="shared" si="11"/>
        <v>6.2268359785149913E-2</v>
      </c>
      <c r="AJ90" s="9">
        <f t="shared" si="12"/>
        <v>0.5064330067373618</v>
      </c>
      <c r="AK90" s="9">
        <f t="shared" si="13"/>
        <v>0.25647439031304475</v>
      </c>
      <c r="AL90" s="9">
        <f t="shared" si="14"/>
        <v>0.16735022099825916</v>
      </c>
      <c r="AM90" s="9">
        <f t="shared" si="15"/>
        <v>2.8006096468166184E-2</v>
      </c>
      <c r="AN90" s="9" t="s">
        <v>2262</v>
      </c>
    </row>
    <row r="91" spans="13:40" ht="23">
      <c r="M91" s="8" t="s">
        <v>1854</v>
      </c>
      <c r="N91" s="8" t="s">
        <v>1814</v>
      </c>
      <c r="O91" s="8"/>
      <c r="P91" s="8"/>
      <c r="Q91" s="8"/>
      <c r="R91" s="8"/>
      <c r="S91" s="8"/>
      <c r="T91" s="8"/>
      <c r="U91" s="8"/>
      <c r="V91" s="8"/>
      <c r="W91" s="8" t="s">
        <v>1854</v>
      </c>
      <c r="X91" s="8">
        <v>12.62</v>
      </c>
      <c r="Y91" s="8">
        <v>3.69</v>
      </c>
      <c r="Z91" s="9">
        <v>1.1499999999999999</v>
      </c>
      <c r="AA91" s="8">
        <v>73.900000000000006</v>
      </c>
      <c r="AB91" s="8">
        <v>5476</v>
      </c>
      <c r="AC91" s="8" t="s">
        <v>1854</v>
      </c>
      <c r="AD91" s="8" t="s">
        <v>3725</v>
      </c>
      <c r="AE91" s="8" t="s">
        <v>4083</v>
      </c>
      <c r="AF91" s="9">
        <f t="shared" si="8"/>
        <v>272.69100000000003</v>
      </c>
      <c r="AG91" s="9">
        <f t="shared" si="9"/>
        <v>92.375</v>
      </c>
      <c r="AH91" s="9">
        <f t="shared" si="10"/>
        <v>0.2465338475293242</v>
      </c>
      <c r="AI91" s="9">
        <f t="shared" si="11"/>
        <v>6.0778937977612073E-2</v>
      </c>
      <c r="AJ91" s="9">
        <f t="shared" si="12"/>
        <v>0.28847702840954614</v>
      </c>
      <c r="AK91" s="9">
        <f t="shared" si="13"/>
        <v>8.3218995920002092E-2</v>
      </c>
      <c r="AL91" s="9">
        <f t="shared" si="14"/>
        <v>0.1192331602070716</v>
      </c>
      <c r="AM91" s="9">
        <f t="shared" si="15"/>
        <v>1.4216546492965203E-2</v>
      </c>
      <c r="AN91" s="8" t="s">
        <v>1854</v>
      </c>
    </row>
    <row r="92" spans="13:40" ht="23">
      <c r="M92" s="9" t="s">
        <v>3069</v>
      </c>
      <c r="N92" s="8" t="s">
        <v>1814</v>
      </c>
      <c r="O92" s="8"/>
      <c r="P92" s="8" t="s">
        <v>3691</v>
      </c>
      <c r="Q92" s="8"/>
      <c r="R92" s="8"/>
      <c r="S92" s="8"/>
      <c r="T92" s="8"/>
      <c r="U92" s="8"/>
      <c r="V92" s="8"/>
      <c r="W92" s="9" t="s">
        <v>3069</v>
      </c>
      <c r="X92" s="8">
        <v>20.94</v>
      </c>
      <c r="Y92" s="8">
        <v>4.8</v>
      </c>
      <c r="Z92" s="9">
        <v>2.56</v>
      </c>
      <c r="AA92" s="8">
        <v>72.900000000000006</v>
      </c>
      <c r="AB92" s="8">
        <v>2380</v>
      </c>
      <c r="AC92" s="9" t="s">
        <v>3069</v>
      </c>
      <c r="AD92" s="8" t="s">
        <v>3725</v>
      </c>
      <c r="AE92" s="8" t="s">
        <v>4083</v>
      </c>
      <c r="AF92" s="9">
        <f t="shared" si="8"/>
        <v>349.92</v>
      </c>
      <c r="AG92" s="9">
        <f t="shared" si="9"/>
        <v>213.84000000000003</v>
      </c>
      <c r="AH92" s="9">
        <f t="shared" si="10"/>
        <v>0.24319780087804782</v>
      </c>
      <c r="AI92" s="9">
        <f t="shared" si="11"/>
        <v>5.9145170351918595E-2</v>
      </c>
      <c r="AJ92" s="9">
        <f t="shared" si="12"/>
        <v>0.37017680004499004</v>
      </c>
      <c r="AK92" s="9">
        <f t="shared" si="13"/>
        <v>0.13703086329154854</v>
      </c>
      <c r="AL92" s="9">
        <f t="shared" si="14"/>
        <v>0.27601427852427818</v>
      </c>
      <c r="AM92" s="9">
        <f t="shared" si="15"/>
        <v>7.6183881949277804E-2</v>
      </c>
      <c r="AN92" s="9" t="s">
        <v>3069</v>
      </c>
    </row>
    <row r="93" spans="13:40" ht="23">
      <c r="M93" s="9" t="s">
        <v>3137</v>
      </c>
      <c r="N93" s="8" t="s">
        <v>1869</v>
      </c>
      <c r="O93" s="8"/>
      <c r="P93" s="8"/>
      <c r="Q93" s="8"/>
      <c r="R93" s="8"/>
      <c r="S93" s="8"/>
      <c r="T93" s="8"/>
      <c r="U93" s="8"/>
      <c r="V93" s="8"/>
      <c r="W93" s="9" t="s">
        <v>3137</v>
      </c>
      <c r="X93" s="8">
        <v>4.22</v>
      </c>
      <c r="Y93" s="8">
        <v>2.13</v>
      </c>
      <c r="Z93" s="9">
        <v>1.03</v>
      </c>
      <c r="AA93" s="8">
        <v>72.5</v>
      </c>
      <c r="AB93" s="8">
        <v>13854</v>
      </c>
      <c r="AC93" s="9" t="s">
        <v>3137</v>
      </c>
      <c r="AD93" s="8" t="s">
        <v>3725</v>
      </c>
      <c r="AE93" s="8" t="s">
        <v>4083</v>
      </c>
      <c r="AF93" s="9">
        <f t="shared" si="8"/>
        <v>154.42499999999998</v>
      </c>
      <c r="AG93" s="9">
        <f t="shared" si="9"/>
        <v>76.125</v>
      </c>
      <c r="AH93" s="9">
        <f t="shared" si="10"/>
        <v>0.24186338221753723</v>
      </c>
      <c r="AI93" s="9">
        <f t="shared" si="11"/>
        <v>5.8497895657706502E-2</v>
      </c>
      <c r="AJ93" s="9">
        <f t="shared" si="12"/>
        <v>0.16336463290737191</v>
      </c>
      <c r="AK93" s="9">
        <f t="shared" si="13"/>
        <v>2.668800328496038E-2</v>
      </c>
      <c r="AL93" s="9">
        <f t="shared" si="14"/>
        <v>9.8258450021795132E-2</v>
      </c>
      <c r="AM93" s="9">
        <f t="shared" si="15"/>
        <v>9.6547230006856118E-3</v>
      </c>
      <c r="AN93" s="9" t="s">
        <v>3137</v>
      </c>
    </row>
    <row r="94" spans="13:40" ht="23">
      <c r="M94" s="24" t="s">
        <v>5117</v>
      </c>
      <c r="N94" s="24" t="s">
        <v>13</v>
      </c>
      <c r="O94" s="24"/>
      <c r="P94" s="24"/>
      <c r="Q94" s="24"/>
      <c r="R94" s="24"/>
      <c r="S94" s="24"/>
      <c r="T94" s="24"/>
      <c r="U94" s="24"/>
      <c r="V94" s="24"/>
      <c r="W94" s="24" t="s">
        <v>5117</v>
      </c>
      <c r="X94" s="24">
        <v>13.98</v>
      </c>
      <c r="Y94" s="24">
        <v>1.79</v>
      </c>
      <c r="Z94" s="25">
        <v>1.42</v>
      </c>
      <c r="AA94" s="24">
        <v>67.8</v>
      </c>
      <c r="AB94" s="24">
        <v>4404</v>
      </c>
      <c r="AC94" s="24" t="s">
        <v>5117</v>
      </c>
      <c r="AD94" s="8" t="s">
        <v>3725</v>
      </c>
      <c r="AE94" s="8" t="s">
        <v>4083</v>
      </c>
      <c r="AF94" s="25">
        <f t="shared" si="8"/>
        <v>121.36199999999999</v>
      </c>
      <c r="AG94" s="25">
        <f t="shared" si="9"/>
        <v>115.25999999999999</v>
      </c>
      <c r="AH94" s="25">
        <f t="shared" si="10"/>
        <v>0.22618396295653828</v>
      </c>
      <c r="AI94" s="25">
        <f t="shared" si="11"/>
        <v>5.1159185098724684E-2</v>
      </c>
      <c r="AJ94" s="25">
        <f t="shared" si="12"/>
        <v>0.12838762233384796</v>
      </c>
      <c r="AK94" s="25">
        <f t="shared" si="13"/>
        <v>1.6483381568538773E-2</v>
      </c>
      <c r="AL94" s="25">
        <f t="shared" si="14"/>
        <v>0.14877200590492093</v>
      </c>
      <c r="AM94" s="25">
        <f t="shared" si="15"/>
        <v>2.2133109740973829E-2</v>
      </c>
      <c r="AN94" s="24" t="s">
        <v>5117</v>
      </c>
    </row>
    <row r="95" spans="13:40" ht="23">
      <c r="M95" s="8" t="s">
        <v>815</v>
      </c>
      <c r="N95" s="8" t="s">
        <v>150</v>
      </c>
      <c r="O95" s="8"/>
      <c r="P95" s="8"/>
      <c r="Q95" s="8"/>
      <c r="R95" s="8"/>
      <c r="S95" s="8"/>
      <c r="T95" s="8"/>
      <c r="U95" s="8"/>
      <c r="V95" s="8"/>
      <c r="W95" s="8" t="s">
        <v>815</v>
      </c>
      <c r="X95" s="8">
        <v>25.93</v>
      </c>
      <c r="Y95" s="8">
        <v>1.26</v>
      </c>
      <c r="Z95" s="9">
        <v>0.08</v>
      </c>
      <c r="AA95" s="8">
        <v>67.599999999999994</v>
      </c>
      <c r="AB95" s="8">
        <v>23119</v>
      </c>
      <c r="AC95" s="8" t="s">
        <v>815</v>
      </c>
      <c r="AD95" s="8" t="s">
        <v>3725</v>
      </c>
      <c r="AE95" s="8" t="s">
        <v>4083</v>
      </c>
      <c r="AF95" s="9">
        <f t="shared" si="8"/>
        <v>85.175999999999988</v>
      </c>
      <c r="AG95" s="9">
        <f t="shared" si="9"/>
        <v>9.0133333333333319</v>
      </c>
      <c r="AH95" s="9">
        <f t="shared" si="10"/>
        <v>0.22551675362628298</v>
      </c>
      <c r="AI95" s="9">
        <f t="shared" si="11"/>
        <v>5.0857806166137623E-2</v>
      </c>
      <c r="AJ95" s="9">
        <f t="shared" si="12"/>
        <v>9.0106821903955386E-2</v>
      </c>
      <c r="AK95" s="9">
        <f t="shared" si="13"/>
        <v>8.1192393536311334E-3</v>
      </c>
      <c r="AL95" s="9">
        <f t="shared" si="14"/>
        <v>1.1633972582766676E-2</v>
      </c>
      <c r="AM95" s="9">
        <f t="shared" si="15"/>
        <v>1.3534931805656673E-4</v>
      </c>
      <c r="AN95" s="8" t="s">
        <v>815</v>
      </c>
    </row>
    <row r="96" spans="13:40" ht="23">
      <c r="M96" s="9" t="s">
        <v>2650</v>
      </c>
      <c r="N96" s="8" t="s">
        <v>150</v>
      </c>
      <c r="O96" s="8"/>
      <c r="P96" s="8" t="s">
        <v>3696</v>
      </c>
      <c r="Q96" s="8"/>
      <c r="R96" s="8"/>
      <c r="S96" s="8"/>
      <c r="T96" s="8"/>
      <c r="U96" s="8"/>
      <c r="V96" s="8"/>
      <c r="W96" s="9" t="s">
        <v>2650</v>
      </c>
      <c r="X96" s="8">
        <v>1.41</v>
      </c>
      <c r="Y96" s="8">
        <v>2.71</v>
      </c>
      <c r="Z96" s="9">
        <v>1.1100000000000001</v>
      </c>
      <c r="AA96" s="8">
        <v>66.8</v>
      </c>
      <c r="AB96" s="8">
        <v>9750</v>
      </c>
      <c r="AC96" s="9" t="s">
        <v>2650</v>
      </c>
      <c r="AD96" s="8" t="s">
        <v>3725</v>
      </c>
      <c r="AE96" s="8" t="s">
        <v>4083</v>
      </c>
      <c r="AF96" s="9">
        <f t="shared" si="8"/>
        <v>181.02799999999999</v>
      </c>
      <c r="AG96" s="9">
        <f t="shared" si="9"/>
        <v>79.046666666666667</v>
      </c>
      <c r="AH96" s="9">
        <f t="shared" si="10"/>
        <v>0.22284791630526191</v>
      </c>
      <c r="AI96" s="9">
        <f t="shared" si="11"/>
        <v>4.9661193801597017E-2</v>
      </c>
      <c r="AJ96" s="9">
        <f t="shared" si="12"/>
        <v>0.19150767535020705</v>
      </c>
      <c r="AK96" s="9">
        <f t="shared" si="13"/>
        <v>3.6675189718040298E-2</v>
      </c>
      <c r="AL96" s="9">
        <f t="shared" si="14"/>
        <v>0.10202959535049151</v>
      </c>
      <c r="AM96" s="9">
        <f t="shared" si="15"/>
        <v>1.0410038327385039E-2</v>
      </c>
      <c r="AN96" s="9" t="s">
        <v>2650</v>
      </c>
    </row>
    <row r="97" spans="13:40" ht="23">
      <c r="M97" s="8" t="s">
        <v>992</v>
      </c>
      <c r="N97" s="8" t="s">
        <v>150</v>
      </c>
      <c r="O97" s="8"/>
      <c r="P97" s="8"/>
      <c r="Q97" s="8"/>
      <c r="R97" s="8"/>
      <c r="S97" s="8"/>
      <c r="T97" s="8"/>
      <c r="U97" s="8"/>
      <c r="V97" s="8"/>
      <c r="W97" s="8" t="s">
        <v>992</v>
      </c>
      <c r="X97" s="8">
        <v>5.48</v>
      </c>
      <c r="Y97" s="8">
        <v>7.63</v>
      </c>
      <c r="Z97" s="9">
        <v>10.27</v>
      </c>
      <c r="AA97" s="8">
        <v>66.7</v>
      </c>
      <c r="AB97" s="8">
        <v>42663</v>
      </c>
      <c r="AC97" s="8" t="s">
        <v>992</v>
      </c>
      <c r="AD97" s="8" t="s">
        <v>3725</v>
      </c>
      <c r="AE97" s="8" t="s">
        <v>4083</v>
      </c>
      <c r="AF97" s="9">
        <f t="shared" si="8"/>
        <v>508.92099999999999</v>
      </c>
      <c r="AG97" s="9">
        <f t="shared" si="9"/>
        <v>697.01499999999999</v>
      </c>
      <c r="AH97" s="9">
        <f t="shared" si="10"/>
        <v>0.22251431164013427</v>
      </c>
      <c r="AI97" s="9">
        <f t="shared" si="11"/>
        <v>4.9512618884682794E-2</v>
      </c>
      <c r="AJ97" s="9">
        <f t="shared" si="12"/>
        <v>0.53838233669323377</v>
      </c>
      <c r="AK97" s="9">
        <f t="shared" si="13"/>
        <v>0.2898555404632665</v>
      </c>
      <c r="AL97" s="9">
        <f t="shared" si="14"/>
        <v>0.89967308429479842</v>
      </c>
      <c r="AM97" s="9">
        <f t="shared" si="15"/>
        <v>0.80941165860451547</v>
      </c>
      <c r="AN97" s="8" t="s">
        <v>992</v>
      </c>
    </row>
    <row r="98" spans="13:40" ht="23">
      <c r="M98" s="9" t="s">
        <v>2797</v>
      </c>
      <c r="N98" s="8" t="s">
        <v>1614</v>
      </c>
      <c r="O98" s="8"/>
      <c r="P98" s="8" t="s">
        <v>3700</v>
      </c>
      <c r="Q98" s="8"/>
      <c r="R98" s="8"/>
      <c r="S98" s="8"/>
      <c r="T98" s="8"/>
      <c r="U98" s="8"/>
      <c r="V98" s="8"/>
      <c r="W98" s="9" t="s">
        <v>2797</v>
      </c>
      <c r="X98" s="8">
        <v>21.14</v>
      </c>
      <c r="Y98" s="8">
        <v>2.0499999999999998</v>
      </c>
      <c r="Z98" s="9">
        <v>2.44</v>
      </c>
      <c r="AA98" s="8">
        <v>66.3</v>
      </c>
      <c r="AB98" s="8">
        <v>9881</v>
      </c>
      <c r="AC98" s="9" t="s">
        <v>2797</v>
      </c>
      <c r="AD98" s="8" t="s">
        <v>3725</v>
      </c>
      <c r="AE98" s="8" t="s">
        <v>4083</v>
      </c>
      <c r="AF98" s="9">
        <f t="shared" si="8"/>
        <v>135.91499999999999</v>
      </c>
      <c r="AG98" s="9">
        <f t="shared" si="9"/>
        <v>181.22</v>
      </c>
      <c r="AH98" s="9">
        <f t="shared" si="10"/>
        <v>0.2211798929796237</v>
      </c>
      <c r="AI98" s="9">
        <f t="shared" si="11"/>
        <v>4.8920545058477795E-2</v>
      </c>
      <c r="AJ98" s="9">
        <f t="shared" si="12"/>
        <v>0.14378309264436104</v>
      </c>
      <c r="AK98" s="9">
        <f t="shared" si="13"/>
        <v>2.067357773037691E-2</v>
      </c>
      <c r="AL98" s="9">
        <f t="shared" si="14"/>
        <v>0.23390996798620312</v>
      </c>
      <c r="AM98" s="9">
        <f t="shared" si="15"/>
        <v>5.4713873123306569E-2</v>
      </c>
      <c r="AN98" s="9" t="s">
        <v>2797</v>
      </c>
    </row>
    <row r="99" spans="13:40" ht="23">
      <c r="M99" s="9" t="s">
        <v>2271</v>
      </c>
      <c r="N99" s="8" t="s">
        <v>150</v>
      </c>
      <c r="O99" s="8"/>
      <c r="P99" s="8" t="s">
        <v>3691</v>
      </c>
      <c r="Q99" s="8"/>
      <c r="R99" s="8"/>
      <c r="S99" s="8"/>
      <c r="T99" s="8"/>
      <c r="U99" s="8"/>
      <c r="V99" s="8"/>
      <c r="W99" s="9" t="s">
        <v>2271</v>
      </c>
      <c r="X99" s="8">
        <v>3.88</v>
      </c>
      <c r="Y99" s="8">
        <v>2.94</v>
      </c>
      <c r="Z99" s="9">
        <v>1.21</v>
      </c>
      <c r="AA99" s="8">
        <v>63.9</v>
      </c>
      <c r="AB99" s="8">
        <v>5375</v>
      </c>
      <c r="AC99" s="9" t="s">
        <v>2271</v>
      </c>
      <c r="AD99" s="8" t="s">
        <v>3725</v>
      </c>
      <c r="AE99" s="8" t="s">
        <v>4083</v>
      </c>
      <c r="AF99" s="9">
        <f t="shared" si="8"/>
        <v>187.86599999999999</v>
      </c>
      <c r="AG99" s="9">
        <f t="shared" si="9"/>
        <v>86.265000000000001</v>
      </c>
      <c r="AH99" s="9">
        <f t="shared" si="10"/>
        <v>0.21317338101656041</v>
      </c>
      <c r="AI99" s="9">
        <f t="shared" si="11"/>
        <v>4.5442890374031639E-2</v>
      </c>
      <c r="AJ99" s="9">
        <f t="shared" si="12"/>
        <v>0.19874152582662349</v>
      </c>
      <c r="AK99" s="9">
        <f t="shared" si="13"/>
        <v>3.9498194087894456E-2</v>
      </c>
      <c r="AL99" s="9">
        <f t="shared" si="14"/>
        <v>0.11134666917740764</v>
      </c>
      <c r="AM99" s="9">
        <f t="shared" si="15"/>
        <v>1.239808073690306E-2</v>
      </c>
      <c r="AN99" s="9" t="s">
        <v>2271</v>
      </c>
    </row>
    <row r="100" spans="13:40" ht="23">
      <c r="M100" s="8" t="s">
        <v>1629</v>
      </c>
      <c r="N100" s="8" t="s">
        <v>1614</v>
      </c>
      <c r="O100" s="8"/>
      <c r="P100" s="8" t="s">
        <v>3697</v>
      </c>
      <c r="Q100" s="8"/>
      <c r="R100" s="8"/>
      <c r="S100" s="8"/>
      <c r="T100" s="8"/>
      <c r="U100" s="8"/>
      <c r="V100" s="8"/>
      <c r="W100" s="8" t="s">
        <v>1629</v>
      </c>
      <c r="X100" s="8">
        <v>34.93</v>
      </c>
      <c r="Y100" s="8">
        <v>1.31</v>
      </c>
      <c r="Z100" s="9">
        <v>0.27</v>
      </c>
      <c r="AA100" s="8">
        <v>63.7</v>
      </c>
      <c r="AB100" s="8">
        <v>17816</v>
      </c>
      <c r="AC100" s="8" t="s">
        <v>1629</v>
      </c>
      <c r="AD100" s="8" t="s">
        <v>3725</v>
      </c>
      <c r="AE100" s="8" t="s">
        <v>4083</v>
      </c>
      <c r="AF100" s="9">
        <f t="shared" si="8"/>
        <v>83.447000000000003</v>
      </c>
      <c r="AG100" s="9">
        <f t="shared" si="9"/>
        <v>28.665000000000003</v>
      </c>
      <c r="AH100" s="9">
        <f t="shared" si="10"/>
        <v>0.21250617168630512</v>
      </c>
      <c r="AI100" s="9">
        <f t="shared" si="11"/>
        <v>4.5158873004769388E-2</v>
      </c>
      <c r="AJ100" s="9">
        <f t="shared" si="12"/>
        <v>8.8277730433682797E-2</v>
      </c>
      <c r="AK100" s="9">
        <f t="shared" si="13"/>
        <v>7.7929576905219657E-3</v>
      </c>
      <c r="AL100" s="9">
        <f t="shared" si="14"/>
        <v>3.6999388766827686E-2</v>
      </c>
      <c r="AM100" s="9">
        <f t="shared" si="15"/>
        <v>1.3689547691188547E-3</v>
      </c>
      <c r="AN100" s="8" t="s">
        <v>1629</v>
      </c>
    </row>
    <row r="101" spans="13:40" ht="23">
      <c r="M101" s="8" t="s">
        <v>1550</v>
      </c>
      <c r="N101" s="8" t="s">
        <v>150</v>
      </c>
      <c r="O101" s="8"/>
      <c r="P101" s="8" t="s">
        <v>3694</v>
      </c>
      <c r="Q101" s="8"/>
      <c r="R101" s="8"/>
      <c r="S101" s="8"/>
      <c r="T101" s="8"/>
      <c r="U101" s="8"/>
      <c r="V101" s="8"/>
      <c r="W101" s="8" t="s">
        <v>1550</v>
      </c>
      <c r="X101" s="8">
        <v>48.67</v>
      </c>
      <c r="Y101" s="8">
        <v>2.91</v>
      </c>
      <c r="Z101" s="9">
        <v>2.4900000000000002</v>
      </c>
      <c r="AA101" s="8">
        <v>63</v>
      </c>
      <c r="AB101" s="8">
        <v>2699</v>
      </c>
      <c r="AC101" s="8" t="s">
        <v>1550</v>
      </c>
      <c r="AD101" s="8" t="s">
        <v>3725</v>
      </c>
      <c r="AE101" s="8" t="s">
        <v>4083</v>
      </c>
      <c r="AF101" s="9">
        <f t="shared" si="8"/>
        <v>183.33</v>
      </c>
      <c r="AG101" s="9">
        <f t="shared" si="9"/>
        <v>177.45</v>
      </c>
      <c r="AH101" s="9">
        <f t="shared" si="10"/>
        <v>0.21017093903041165</v>
      </c>
      <c r="AI101" s="9">
        <f t="shared" si="11"/>
        <v>4.4171823612925008E-2</v>
      </c>
      <c r="AJ101" s="9">
        <f t="shared" si="12"/>
        <v>0.19394293767789217</v>
      </c>
      <c r="AK101" s="9">
        <f t="shared" si="13"/>
        <v>3.7613863075130767E-2</v>
      </c>
      <c r="AL101" s="9">
        <f t="shared" si="14"/>
        <v>0.22904383522321897</v>
      </c>
      <c r="AM101" s="9">
        <f t="shared" si="15"/>
        <v>5.2461078453761086E-2</v>
      </c>
      <c r="AN101" s="8" t="s">
        <v>1550</v>
      </c>
    </row>
    <row r="102" spans="13:40" ht="23">
      <c r="M102" s="8" t="s">
        <v>1153</v>
      </c>
      <c r="N102" s="8" t="s">
        <v>150</v>
      </c>
      <c r="O102" s="8"/>
      <c r="P102" s="8"/>
      <c r="Q102" s="8"/>
      <c r="R102" s="8"/>
      <c r="S102" s="8"/>
      <c r="T102" s="8"/>
      <c r="U102" s="8"/>
      <c r="V102" s="8"/>
      <c r="W102" s="8" t="s">
        <v>1153</v>
      </c>
      <c r="X102" s="8">
        <v>42.22</v>
      </c>
      <c r="Y102" s="8">
        <v>2.11</v>
      </c>
      <c r="Z102" s="9">
        <v>1.29</v>
      </c>
      <c r="AA102" s="8">
        <v>63</v>
      </c>
      <c r="AB102" s="8">
        <v>9935</v>
      </c>
      <c r="AC102" s="8" t="s">
        <v>1153</v>
      </c>
      <c r="AD102" s="8" t="s">
        <v>3725</v>
      </c>
      <c r="AE102" s="8" t="s">
        <v>4083</v>
      </c>
      <c r="AF102" s="9">
        <f t="shared" si="8"/>
        <v>132.92999999999998</v>
      </c>
      <c r="AG102" s="9">
        <f t="shared" si="9"/>
        <v>93.45</v>
      </c>
      <c r="AH102" s="9">
        <f t="shared" si="10"/>
        <v>0.21017093903041165</v>
      </c>
      <c r="AI102" s="9">
        <f t="shared" si="11"/>
        <v>4.4171823612925008E-2</v>
      </c>
      <c r="AJ102" s="9">
        <f t="shared" si="12"/>
        <v>0.14062529158087711</v>
      </c>
      <c r="AK102" s="9">
        <f t="shared" si="13"/>
        <v>1.9775472632206706E-2</v>
      </c>
      <c r="AL102" s="9">
        <f t="shared" si="14"/>
        <v>0.12062071795778989</v>
      </c>
      <c r="AM102" s="9">
        <f t="shared" si="15"/>
        <v>1.4549357600652697E-2</v>
      </c>
      <c r="AN102" s="8" t="s">
        <v>1153</v>
      </c>
    </row>
    <row r="103" spans="13:40" ht="23">
      <c r="M103" s="9" t="s">
        <v>3244</v>
      </c>
      <c r="N103" s="8" t="s">
        <v>1902</v>
      </c>
      <c r="O103" s="8"/>
      <c r="P103" s="8"/>
      <c r="Q103" s="8"/>
      <c r="R103" s="8"/>
      <c r="S103" s="8"/>
      <c r="T103" s="8"/>
      <c r="U103" s="8"/>
      <c r="V103" s="8"/>
      <c r="W103" s="9" t="s">
        <v>3244</v>
      </c>
      <c r="X103" s="8">
        <v>24.33</v>
      </c>
      <c r="Y103" s="8">
        <v>2.6</v>
      </c>
      <c r="Z103" s="9">
        <v>1.46</v>
      </c>
      <c r="AA103" s="8">
        <v>62.7</v>
      </c>
      <c r="AB103" s="8">
        <v>4209</v>
      </c>
      <c r="AC103" s="9" t="s">
        <v>3244</v>
      </c>
      <c r="AD103" s="8" t="s">
        <v>3725</v>
      </c>
      <c r="AE103" s="8" t="s">
        <v>4083</v>
      </c>
      <c r="AF103" s="9">
        <f t="shared" si="8"/>
        <v>163.02000000000001</v>
      </c>
      <c r="AG103" s="9">
        <f t="shared" si="9"/>
        <v>110.77</v>
      </c>
      <c r="AH103" s="9">
        <f t="shared" si="10"/>
        <v>0.20917012503502874</v>
      </c>
      <c r="AI103" s="9">
        <f t="shared" si="11"/>
        <v>4.3752141207169561E-2</v>
      </c>
      <c r="AJ103" s="9">
        <f t="shared" si="12"/>
        <v>0.17245719576855931</v>
      </c>
      <c r="AK103" s="9">
        <f t="shared" si="13"/>
        <v>2.974148437235519E-2</v>
      </c>
      <c r="AL103" s="9">
        <f t="shared" si="14"/>
        <v>0.14297653213680453</v>
      </c>
      <c r="AM103" s="9">
        <f t="shared" si="15"/>
        <v>2.0442288741866699E-2</v>
      </c>
      <c r="AN103" s="9" t="s">
        <v>3244</v>
      </c>
    </row>
    <row r="104" spans="13:40" ht="23">
      <c r="M104" s="8" t="s">
        <v>1166</v>
      </c>
      <c r="N104" s="8" t="s">
        <v>150</v>
      </c>
      <c r="O104" s="8"/>
      <c r="P104" s="8"/>
      <c r="Q104" s="8"/>
      <c r="R104" s="8"/>
      <c r="S104" s="8"/>
      <c r="T104" s="8"/>
      <c r="U104" s="8"/>
      <c r="V104" s="8"/>
      <c r="W104" s="8" t="s">
        <v>1166</v>
      </c>
      <c r="X104" s="8">
        <v>33.5</v>
      </c>
      <c r="Y104" s="8">
        <v>1.1200000000000001</v>
      </c>
      <c r="Z104" s="9">
        <v>0.04</v>
      </c>
      <c r="AA104" s="8">
        <v>61.7</v>
      </c>
      <c r="AB104" s="8">
        <v>35351</v>
      </c>
      <c r="AC104" s="8" t="s">
        <v>1166</v>
      </c>
      <c r="AD104" s="8" t="s">
        <v>3725</v>
      </c>
      <c r="AE104" s="8" t="s">
        <v>4083</v>
      </c>
      <c r="AF104" s="9">
        <f t="shared" si="8"/>
        <v>69.104000000000013</v>
      </c>
      <c r="AG104" s="9">
        <f t="shared" si="9"/>
        <v>4.1133333333333333</v>
      </c>
      <c r="AH104" s="9">
        <f t="shared" si="10"/>
        <v>0.20583407838375239</v>
      </c>
      <c r="AI104" s="9">
        <f t="shared" si="11"/>
        <v>4.2367667824088726E-2</v>
      </c>
      <c r="AJ104" s="9">
        <f t="shared" si="12"/>
        <v>7.3104416981907283E-2</v>
      </c>
      <c r="AK104" s="9">
        <f t="shared" si="13"/>
        <v>5.3442557822645743E-3</v>
      </c>
      <c r="AL104" s="9">
        <f t="shared" si="14"/>
        <v>5.3092907422833142E-3</v>
      </c>
      <c r="AM104" s="9">
        <f t="shared" si="15"/>
        <v>2.8188568186095306E-5</v>
      </c>
      <c r="AN104" s="8" t="s">
        <v>1166</v>
      </c>
    </row>
    <row r="105" spans="13:40" ht="23">
      <c r="M105" s="9" t="s">
        <v>3274</v>
      </c>
      <c r="N105" s="8" t="s">
        <v>1939</v>
      </c>
      <c r="O105" s="8"/>
      <c r="P105" s="8"/>
      <c r="Q105" s="8"/>
      <c r="R105" s="8"/>
      <c r="S105" s="8"/>
      <c r="T105" s="8"/>
      <c r="U105" s="8"/>
      <c r="V105" s="8"/>
      <c r="W105" s="9" t="s">
        <v>3274</v>
      </c>
      <c r="X105" s="8">
        <v>28.29</v>
      </c>
      <c r="Y105" s="8">
        <v>1.73</v>
      </c>
      <c r="Z105" s="9">
        <v>1.01</v>
      </c>
      <c r="AA105" s="8">
        <v>60.6</v>
      </c>
      <c r="AB105" s="8">
        <v>6046</v>
      </c>
      <c r="AC105" s="9" t="s">
        <v>3274</v>
      </c>
      <c r="AD105" s="8" t="s">
        <v>3725</v>
      </c>
      <c r="AE105" s="8" t="s">
        <v>4083</v>
      </c>
      <c r="AF105" s="9">
        <f t="shared" si="8"/>
        <v>104.83800000000001</v>
      </c>
      <c r="AG105" s="9">
        <f t="shared" si="9"/>
        <v>61.61</v>
      </c>
      <c r="AH105" s="9">
        <f t="shared" si="10"/>
        <v>0.20216442706734836</v>
      </c>
      <c r="AI105" s="9">
        <f t="shared" si="11"/>
        <v>4.0870455571469212E-2</v>
      </c>
      <c r="AJ105" s="9">
        <f t="shared" si="12"/>
        <v>0.11090705122061234</v>
      </c>
      <c r="AK105" s="9">
        <f t="shared" si="13"/>
        <v>1.230037401045153E-2</v>
      </c>
      <c r="AL105" s="9">
        <f t="shared" si="14"/>
        <v>7.9523193508608175E-2</v>
      </c>
      <c r="AM105" s="9">
        <f t="shared" si="15"/>
        <v>6.3239383058075411E-3</v>
      </c>
      <c r="AN105" s="9" t="s">
        <v>3274</v>
      </c>
    </row>
    <row r="106" spans="13:40" ht="23">
      <c r="M106" s="8" t="s">
        <v>1335</v>
      </c>
      <c r="N106" s="8" t="s">
        <v>150</v>
      </c>
      <c r="O106" s="8"/>
      <c r="P106" s="8" t="s">
        <v>3694</v>
      </c>
      <c r="Q106" s="8"/>
      <c r="R106" s="8"/>
      <c r="S106" s="8"/>
      <c r="T106" s="8"/>
      <c r="U106" s="8"/>
      <c r="V106" s="8"/>
      <c r="W106" s="8" t="s">
        <v>1335</v>
      </c>
      <c r="X106" s="8">
        <v>12.88</v>
      </c>
      <c r="Y106" s="8">
        <v>3.38</v>
      </c>
      <c r="Z106" s="9">
        <v>2.0099999999999998</v>
      </c>
      <c r="AA106" s="8">
        <v>60.1</v>
      </c>
      <c r="AB106" s="8">
        <v>5163</v>
      </c>
      <c r="AC106" s="8" t="s">
        <v>1335</v>
      </c>
      <c r="AD106" s="8" t="s">
        <v>3725</v>
      </c>
      <c r="AE106" s="8" t="s">
        <v>4083</v>
      </c>
      <c r="AF106" s="9">
        <f t="shared" si="8"/>
        <v>203.13800000000001</v>
      </c>
      <c r="AG106" s="9">
        <f t="shared" si="9"/>
        <v>121.20166666666667</v>
      </c>
      <c r="AH106" s="9">
        <f t="shared" si="10"/>
        <v>0.20049640374171016</v>
      </c>
      <c r="AI106" s="9">
        <f t="shared" si="11"/>
        <v>4.0198807913358843E-2</v>
      </c>
      <c r="AJ106" s="9">
        <f t="shared" si="12"/>
        <v>0.2148976189058619</v>
      </c>
      <c r="AK106" s="9">
        <f t="shared" si="13"/>
        <v>4.6180986611409056E-2</v>
      </c>
      <c r="AL106" s="9">
        <f t="shared" si="14"/>
        <v>0.15644122044958869</v>
      </c>
      <c r="AM106" s="9">
        <f t="shared" si="15"/>
        <v>2.4473855455756807E-2</v>
      </c>
      <c r="AN106" s="8" t="s">
        <v>1335</v>
      </c>
    </row>
    <row r="107" spans="13:40" ht="23">
      <c r="M107" s="9" t="s">
        <v>3502</v>
      </c>
      <c r="N107" s="8" t="s">
        <v>2032</v>
      </c>
      <c r="O107" s="8"/>
      <c r="P107" s="8"/>
      <c r="Q107" s="8"/>
      <c r="R107" s="8"/>
      <c r="S107" s="8"/>
      <c r="T107" s="8"/>
      <c r="U107" s="8"/>
      <c r="V107" s="8"/>
      <c r="W107" s="9" t="s">
        <v>3502</v>
      </c>
      <c r="X107" s="8">
        <v>30.45</v>
      </c>
      <c r="Y107" s="8">
        <v>1.03</v>
      </c>
      <c r="Z107" s="9">
        <v>0.01</v>
      </c>
      <c r="AA107" s="8">
        <v>59.1</v>
      </c>
      <c r="AB107" s="8">
        <v>55643</v>
      </c>
      <c r="AC107" s="9" t="s">
        <v>3502</v>
      </c>
      <c r="AD107" s="8" t="s">
        <v>3725</v>
      </c>
      <c r="AE107" s="8" t="s">
        <v>4083</v>
      </c>
      <c r="AF107" s="9">
        <f t="shared" si="8"/>
        <v>60.873000000000005</v>
      </c>
      <c r="AG107" s="9">
        <f t="shared" si="9"/>
        <v>0.98499999999999999</v>
      </c>
      <c r="AH107" s="9">
        <f t="shared" si="10"/>
        <v>0.19716035709043378</v>
      </c>
      <c r="AI107" s="9">
        <f t="shared" si="11"/>
        <v>3.8872206408027361E-2</v>
      </c>
      <c r="AJ107" s="9">
        <f t="shared" si="12"/>
        <v>6.439692600919833E-2</v>
      </c>
      <c r="AK107" s="9">
        <f t="shared" si="13"/>
        <v>4.1469640794341645E-3</v>
      </c>
      <c r="AL107" s="9">
        <f t="shared" si="14"/>
        <v>1.271390125076758E-3</v>
      </c>
      <c r="AM107" s="9">
        <f t="shared" si="15"/>
        <v>1.6164328501426944E-6</v>
      </c>
      <c r="AN107" s="9" t="s">
        <v>3502</v>
      </c>
    </row>
    <row r="108" spans="13:40" ht="23">
      <c r="M108" s="8" t="s">
        <v>598</v>
      </c>
      <c r="N108" s="8" t="s">
        <v>150</v>
      </c>
      <c r="O108" s="8"/>
      <c r="P108" s="8"/>
      <c r="Q108" s="8"/>
      <c r="R108" s="8"/>
      <c r="S108" s="8"/>
      <c r="T108" s="8"/>
      <c r="U108" s="8"/>
      <c r="V108" s="8"/>
      <c r="W108" s="8" t="s">
        <v>598</v>
      </c>
      <c r="X108" s="8">
        <v>9.74</v>
      </c>
      <c r="Y108" s="8">
        <v>2.81</v>
      </c>
      <c r="Z108" s="9">
        <v>1.19</v>
      </c>
      <c r="AA108" s="8">
        <v>55.9</v>
      </c>
      <c r="AB108" s="8">
        <v>6251</v>
      </c>
      <c r="AC108" s="8" t="s">
        <v>598</v>
      </c>
      <c r="AD108" s="8" t="s">
        <v>3725</v>
      </c>
      <c r="AE108" s="8" t="s">
        <v>4083</v>
      </c>
      <c r="AF108" s="9">
        <f t="shared" si="8"/>
        <v>157.07900000000001</v>
      </c>
      <c r="AG108" s="9">
        <f t="shared" si="9"/>
        <v>73.601666666666659</v>
      </c>
      <c r="AH108" s="9">
        <f t="shared" si="10"/>
        <v>0.18648500780634938</v>
      </c>
      <c r="AI108" s="9">
        <f t="shared" si="11"/>
        <v>3.4776658136534189E-2</v>
      </c>
      <c r="AJ108" s="9">
        <f t="shared" si="12"/>
        <v>0.16617227244589333</v>
      </c>
      <c r="AK108" s="9">
        <f t="shared" si="13"/>
        <v>2.7613224129832199E-2</v>
      </c>
      <c r="AL108" s="9">
        <f t="shared" si="14"/>
        <v>9.5001453999178864E-2</v>
      </c>
      <c r="AM108" s="9">
        <f t="shared" si="15"/>
        <v>9.0252762619580981E-3</v>
      </c>
      <c r="AN108" s="8" t="s">
        <v>598</v>
      </c>
    </row>
    <row r="109" spans="13:40" ht="23">
      <c r="M109" s="8" t="s">
        <v>1568</v>
      </c>
      <c r="N109" s="8" t="s">
        <v>150</v>
      </c>
      <c r="O109" s="8"/>
      <c r="P109" s="8"/>
      <c r="Q109" s="8"/>
      <c r="R109" s="8"/>
      <c r="S109" s="8"/>
      <c r="T109" s="8"/>
      <c r="U109" s="8"/>
      <c r="V109" s="8"/>
      <c r="W109" s="8" t="s">
        <v>1568</v>
      </c>
      <c r="X109" s="8">
        <v>16.489999999999998</v>
      </c>
      <c r="Y109" s="8">
        <v>2.59</v>
      </c>
      <c r="Z109" s="9">
        <v>0.18</v>
      </c>
      <c r="AA109" s="8">
        <v>55.5</v>
      </c>
      <c r="AB109" s="8">
        <v>24410</v>
      </c>
      <c r="AC109" s="8" t="s">
        <v>1568</v>
      </c>
      <c r="AD109" s="8" t="s">
        <v>3725</v>
      </c>
      <c r="AE109" s="8" t="s">
        <v>4083</v>
      </c>
      <c r="AF109" s="9">
        <f t="shared" si="8"/>
        <v>143.745</v>
      </c>
      <c r="AG109" s="9">
        <f t="shared" si="9"/>
        <v>16.649999999999999</v>
      </c>
      <c r="AH109" s="9">
        <f t="shared" si="10"/>
        <v>0.18515058914583885</v>
      </c>
      <c r="AI109" s="9">
        <f t="shared" si="11"/>
        <v>3.4280740661051218E-2</v>
      </c>
      <c r="AJ109" s="9">
        <f t="shared" si="12"/>
        <v>0.15206636980586161</v>
      </c>
      <c r="AK109" s="9">
        <f t="shared" si="13"/>
        <v>2.3124180825933059E-2</v>
      </c>
      <c r="AL109" s="9">
        <f t="shared" si="14"/>
        <v>2.1491010743683266E-2</v>
      </c>
      <c r="AM109" s="9">
        <f t="shared" si="15"/>
        <v>4.6186354278510958E-4</v>
      </c>
      <c r="AN109" s="8" t="s">
        <v>1568</v>
      </c>
    </row>
    <row r="110" spans="13:40" ht="23">
      <c r="M110" s="8" t="s">
        <v>498</v>
      </c>
      <c r="N110" s="8" t="s">
        <v>150</v>
      </c>
      <c r="O110" s="8"/>
      <c r="P110" s="8"/>
      <c r="Q110" s="8"/>
      <c r="R110" s="8"/>
      <c r="S110" s="8"/>
      <c r="T110" s="8"/>
      <c r="U110" s="8"/>
      <c r="V110" s="8"/>
      <c r="W110" s="8" t="s">
        <v>498</v>
      </c>
      <c r="X110" s="8">
        <v>12.54</v>
      </c>
      <c r="Y110" s="8">
        <v>1.79</v>
      </c>
      <c r="Z110" s="9">
        <v>0.39</v>
      </c>
      <c r="AA110" s="8">
        <v>55.2</v>
      </c>
      <c r="AB110" s="8">
        <v>8279</v>
      </c>
      <c r="AC110" s="8" t="s">
        <v>498</v>
      </c>
      <c r="AD110" s="8" t="s">
        <v>3725</v>
      </c>
      <c r="AE110" s="8" t="s">
        <v>4083</v>
      </c>
      <c r="AF110" s="9">
        <f t="shared" si="8"/>
        <v>98.808000000000007</v>
      </c>
      <c r="AG110" s="9">
        <f t="shared" si="9"/>
        <v>35.880000000000003</v>
      </c>
      <c r="AH110" s="9">
        <f t="shared" si="10"/>
        <v>0.18414977515045594</v>
      </c>
      <c r="AI110" s="9">
        <f t="shared" si="11"/>
        <v>3.3911139687963478E-2</v>
      </c>
      <c r="AJ110" s="9">
        <f t="shared" si="12"/>
        <v>0.10452797570543375</v>
      </c>
      <c r="AK110" s="9">
        <f t="shared" si="13"/>
        <v>1.0926097705075749E-2</v>
      </c>
      <c r="AL110" s="9">
        <f t="shared" si="14"/>
        <v>4.6312160089090434E-2</v>
      </c>
      <c r="AM110" s="9">
        <f t="shared" si="15"/>
        <v>2.144816172117541E-3</v>
      </c>
      <c r="AN110" s="8" t="s">
        <v>498</v>
      </c>
    </row>
    <row r="111" spans="13:40" ht="23">
      <c r="M111" s="9" t="s">
        <v>2720</v>
      </c>
      <c r="N111" s="8" t="s">
        <v>1614</v>
      </c>
      <c r="O111" s="8"/>
      <c r="P111" s="8"/>
      <c r="Q111" s="8"/>
      <c r="R111" s="8"/>
      <c r="S111" s="8"/>
      <c r="T111" s="8"/>
      <c r="U111" s="8"/>
      <c r="V111" s="8"/>
      <c r="W111" s="9" t="s">
        <v>2720</v>
      </c>
      <c r="X111" s="8">
        <v>12.5</v>
      </c>
      <c r="Y111" s="8">
        <v>2.0299999999999998</v>
      </c>
      <c r="Z111" s="9">
        <v>1.1399999999999999</v>
      </c>
      <c r="AA111" s="8">
        <v>54.8</v>
      </c>
      <c r="AB111" s="8">
        <v>6226</v>
      </c>
      <c r="AC111" s="9" t="s">
        <v>2720</v>
      </c>
      <c r="AD111" s="8" t="s">
        <v>3725</v>
      </c>
      <c r="AE111" s="8" t="s">
        <v>4083</v>
      </c>
      <c r="AF111" s="9">
        <f t="shared" si="8"/>
        <v>111.24399999999999</v>
      </c>
      <c r="AG111" s="9">
        <f t="shared" si="9"/>
        <v>67.586666666666673</v>
      </c>
      <c r="AH111" s="9">
        <f t="shared" si="10"/>
        <v>0.18281535648994537</v>
      </c>
      <c r="AI111" s="9">
        <f t="shared" si="11"/>
        <v>3.3421454568545811E-2</v>
      </c>
      <c r="AJ111" s="9">
        <f t="shared" si="12"/>
        <v>0.11768389330191148</v>
      </c>
      <c r="AK111" s="9">
        <f t="shared" si="13"/>
        <v>1.3849498742695686E-2</v>
      </c>
      <c r="AL111" s="9">
        <f t="shared" si="14"/>
        <v>8.7237584352136535E-2</v>
      </c>
      <c r="AM111" s="9">
        <f t="shared" si="15"/>
        <v>7.610396123596137E-3</v>
      </c>
      <c r="AN111" s="9" t="s">
        <v>2720</v>
      </c>
    </row>
    <row r="112" spans="13:40" ht="23">
      <c r="M112" s="8" t="s">
        <v>844</v>
      </c>
      <c r="N112" s="8" t="s">
        <v>150</v>
      </c>
      <c r="O112" s="8"/>
      <c r="P112" s="8"/>
      <c r="Q112" s="8"/>
      <c r="R112" s="8"/>
      <c r="S112" s="8"/>
      <c r="T112" s="8"/>
      <c r="U112" s="8"/>
      <c r="V112" s="8"/>
      <c r="W112" s="8" t="s">
        <v>844</v>
      </c>
      <c r="X112" s="8">
        <v>25.47</v>
      </c>
      <c r="Y112" s="8">
        <v>6.74</v>
      </c>
      <c r="Z112" s="9">
        <v>9</v>
      </c>
      <c r="AA112" s="8">
        <v>53</v>
      </c>
      <c r="AB112" s="8">
        <v>26819</v>
      </c>
      <c r="AC112" s="8" t="s">
        <v>844</v>
      </c>
      <c r="AD112" s="8" t="s">
        <v>3725</v>
      </c>
      <c r="AE112" s="8" t="s">
        <v>4083</v>
      </c>
      <c r="AF112" s="9">
        <f t="shared" si="8"/>
        <v>357.22</v>
      </c>
      <c r="AG112" s="9">
        <f t="shared" si="9"/>
        <v>484.95000000000005</v>
      </c>
      <c r="AH112" s="9">
        <f t="shared" si="10"/>
        <v>0.17681047251764792</v>
      </c>
      <c r="AI112" s="9">
        <f t="shared" si="11"/>
        <v>3.126194319191393E-2</v>
      </c>
      <c r="AJ112" s="9">
        <f t="shared" si="12"/>
        <v>0.37789939561062913</v>
      </c>
      <c r="AK112" s="9">
        <f t="shared" si="13"/>
        <v>0.14280795320287878</v>
      </c>
      <c r="AL112" s="9">
        <f t="shared" si="14"/>
        <v>0.62594988949845065</v>
      </c>
      <c r="AM112" s="9">
        <f t="shared" si="15"/>
        <v>0.39181326416312257</v>
      </c>
      <c r="AN112" s="8" t="s">
        <v>844</v>
      </c>
    </row>
    <row r="113" spans="13:40" ht="23">
      <c r="M113" s="8" t="s">
        <v>1242</v>
      </c>
      <c r="N113" s="8" t="s">
        <v>150</v>
      </c>
      <c r="O113" s="8"/>
      <c r="P113" s="8"/>
      <c r="Q113" s="8"/>
      <c r="R113" s="8"/>
      <c r="S113" s="8"/>
      <c r="T113" s="8"/>
      <c r="U113" s="8"/>
      <c r="V113" s="8"/>
      <c r="W113" s="8" t="s">
        <v>1242</v>
      </c>
      <c r="X113" s="8">
        <v>28.08</v>
      </c>
      <c r="Y113" s="8">
        <v>1.92</v>
      </c>
      <c r="Z113" s="9">
        <v>0.44</v>
      </c>
      <c r="AA113" s="8">
        <v>51.6</v>
      </c>
      <c r="AB113" s="8">
        <v>8761</v>
      </c>
      <c r="AC113" s="8" t="s">
        <v>1242</v>
      </c>
      <c r="AD113" s="8" t="s">
        <v>3725</v>
      </c>
      <c r="AE113" s="8" t="s">
        <v>4083</v>
      </c>
      <c r="AF113" s="9">
        <f t="shared" si="8"/>
        <v>99.072000000000003</v>
      </c>
      <c r="AG113" s="9">
        <f t="shared" si="9"/>
        <v>37.839999999999996</v>
      </c>
      <c r="AH113" s="9">
        <f t="shared" si="10"/>
        <v>0.17214000720586098</v>
      </c>
      <c r="AI113" s="9">
        <f t="shared" si="11"/>
        <v>2.9632182080833871E-2</v>
      </c>
      <c r="AJ113" s="9">
        <f t="shared" si="12"/>
        <v>0.10480725861356097</v>
      </c>
      <c r="AK113" s="9">
        <f t="shared" si="13"/>
        <v>1.0984561458089849E-2</v>
      </c>
      <c r="AL113" s="9">
        <f t="shared" si="14"/>
        <v>4.8842032825283772E-2</v>
      </c>
      <c r="AM113" s="9">
        <f t="shared" si="15"/>
        <v>2.3855441705060974E-3</v>
      </c>
      <c r="AN113" s="8" t="s">
        <v>1242</v>
      </c>
    </row>
    <row r="114" spans="13:40" ht="23">
      <c r="M114" s="9" t="s">
        <v>3085</v>
      </c>
      <c r="N114" s="8" t="s">
        <v>1814</v>
      </c>
      <c r="O114" s="8"/>
      <c r="P114" s="8"/>
      <c r="Q114" s="8"/>
      <c r="R114" s="8"/>
      <c r="S114" s="8"/>
      <c r="T114" s="8"/>
      <c r="U114" s="8"/>
      <c r="V114" s="8"/>
      <c r="W114" s="9" t="s">
        <v>3085</v>
      </c>
      <c r="X114" s="8">
        <v>3.63</v>
      </c>
      <c r="Y114" s="8">
        <v>5.15</v>
      </c>
      <c r="Z114" s="9">
        <v>0.32</v>
      </c>
      <c r="AA114" s="8">
        <v>49</v>
      </c>
      <c r="AB114" s="8">
        <v>11552</v>
      </c>
      <c r="AC114" s="9" t="s">
        <v>3085</v>
      </c>
      <c r="AD114" s="8" t="s">
        <v>3725</v>
      </c>
      <c r="AE114" s="8" t="s">
        <v>4083</v>
      </c>
      <c r="AF114" s="9">
        <f t="shared" si="8"/>
        <v>252.35000000000002</v>
      </c>
      <c r="AG114" s="9">
        <f t="shared" si="9"/>
        <v>26.133333333333333</v>
      </c>
      <c r="AH114" s="9">
        <f t="shared" si="10"/>
        <v>0.16346628591254242</v>
      </c>
      <c r="AI114" s="9">
        <f t="shared" si="11"/>
        <v>2.6721226630041065E-2</v>
      </c>
      <c r="AJ114" s="9">
        <f t="shared" si="12"/>
        <v>0.26695849191630444</v>
      </c>
      <c r="AK114" s="9">
        <f t="shared" si="13"/>
        <v>7.1266836406227579E-2</v>
      </c>
      <c r="AL114" s="9">
        <f t="shared" si="14"/>
        <v>3.3731636482577945E-2</v>
      </c>
      <c r="AM114" s="9">
        <f t="shared" si="15"/>
        <v>1.1378232997927833E-3</v>
      </c>
      <c r="AN114" s="9" t="s">
        <v>3085</v>
      </c>
    </row>
    <row r="115" spans="13:40" ht="23">
      <c r="M115" s="8" t="s">
        <v>544</v>
      </c>
      <c r="N115" s="8" t="s">
        <v>150</v>
      </c>
      <c r="O115" s="8"/>
      <c r="P115" s="8" t="s">
        <v>3715</v>
      </c>
      <c r="Q115" s="8"/>
      <c r="R115" s="8"/>
      <c r="S115" s="8"/>
      <c r="T115" s="8"/>
      <c r="U115" s="8"/>
      <c r="V115" s="8"/>
      <c r="W115" s="8" t="s">
        <v>544</v>
      </c>
      <c r="X115" s="8">
        <v>40.58</v>
      </c>
      <c r="Y115" s="8">
        <v>1.74</v>
      </c>
      <c r="Z115" s="9">
        <v>0.56999999999999995</v>
      </c>
      <c r="AA115" s="8">
        <v>47.7</v>
      </c>
      <c r="AB115" s="8">
        <v>6586</v>
      </c>
      <c r="AC115" s="8" t="s">
        <v>544</v>
      </c>
      <c r="AD115" s="8" t="s">
        <v>3725</v>
      </c>
      <c r="AE115" s="8" t="s">
        <v>4083</v>
      </c>
      <c r="AF115" s="9">
        <f t="shared" si="8"/>
        <v>82.998000000000005</v>
      </c>
      <c r="AG115" s="9">
        <f t="shared" si="9"/>
        <v>45.314999999999998</v>
      </c>
      <c r="AH115" s="9">
        <f t="shared" si="10"/>
        <v>0.15912942526588311</v>
      </c>
      <c r="AI115" s="9">
        <f t="shared" si="11"/>
        <v>2.5322173985450277E-2</v>
      </c>
      <c r="AJ115" s="9">
        <f t="shared" si="12"/>
        <v>8.780273791190582E-2</v>
      </c>
      <c r="AK115" s="9">
        <f t="shared" si="13"/>
        <v>7.7093207848268237E-3</v>
      </c>
      <c r="AL115" s="9">
        <f t="shared" si="14"/>
        <v>5.8490399510510951E-2</v>
      </c>
      <c r="AM115" s="9">
        <f t="shared" si="15"/>
        <v>3.4211268348991798E-3</v>
      </c>
      <c r="AN115" s="8" t="s">
        <v>544</v>
      </c>
    </row>
    <row r="116" spans="13:40" ht="23">
      <c r="M116" s="9" t="s">
        <v>4995</v>
      </c>
      <c r="N116" s="8" t="s">
        <v>150</v>
      </c>
      <c r="O116" s="8"/>
      <c r="P116" s="8" t="s">
        <v>3691</v>
      </c>
      <c r="Q116" s="8"/>
      <c r="R116" s="8"/>
      <c r="S116" s="8"/>
      <c r="T116" s="8"/>
      <c r="U116" s="8"/>
      <c r="V116" s="8"/>
      <c r="W116" s="9" t="s">
        <v>4995</v>
      </c>
      <c r="X116" s="8">
        <v>11.2</v>
      </c>
      <c r="Y116" s="8">
        <v>4.6100000000000003</v>
      </c>
      <c r="Z116" s="9">
        <v>4.28</v>
      </c>
      <c r="AA116" s="8">
        <v>47.1</v>
      </c>
      <c r="AB116" s="8">
        <v>5020</v>
      </c>
      <c r="AC116" s="9" t="s">
        <v>4995</v>
      </c>
      <c r="AD116" s="8" t="s">
        <v>3725</v>
      </c>
      <c r="AE116" s="8" t="s">
        <v>4083</v>
      </c>
      <c r="AF116" s="9">
        <f t="shared" si="8"/>
        <v>217.13100000000003</v>
      </c>
      <c r="AG116" s="9">
        <f t="shared" si="9"/>
        <v>210.38000000000002</v>
      </c>
      <c r="AH116" s="9">
        <f t="shared" si="10"/>
        <v>0.1571277972751173</v>
      </c>
      <c r="AI116" s="9">
        <f t="shared" si="11"/>
        <v>2.4689144676530359E-2</v>
      </c>
      <c r="AJ116" s="9">
        <f t="shared" si="12"/>
        <v>0.22970067092640814</v>
      </c>
      <c r="AK116" s="9">
        <f t="shared" si="13"/>
        <v>5.2762398224042044E-2</v>
      </c>
      <c r="AL116" s="9">
        <f t="shared" si="14"/>
        <v>0.27154827869405923</v>
      </c>
      <c r="AM116" s="9">
        <f t="shared" si="15"/>
        <v>7.3738467661706456E-2</v>
      </c>
      <c r="AN116" s="9" t="s">
        <v>4995</v>
      </c>
    </row>
    <row r="117" spans="13:40" ht="23">
      <c r="M117" s="8" t="s">
        <v>860</v>
      </c>
      <c r="N117" s="8" t="s">
        <v>150</v>
      </c>
      <c r="O117" s="8"/>
      <c r="P117" s="8" t="s">
        <v>3691</v>
      </c>
      <c r="Q117" s="8"/>
      <c r="R117" s="8"/>
      <c r="S117" s="8"/>
      <c r="T117" s="8"/>
      <c r="U117" s="8"/>
      <c r="V117" s="8"/>
      <c r="W117" s="8" t="s">
        <v>860</v>
      </c>
      <c r="X117" s="8">
        <v>12.75</v>
      </c>
      <c r="Y117" s="8">
        <v>2.64</v>
      </c>
      <c r="Z117" s="9">
        <v>1.58</v>
      </c>
      <c r="AA117" s="8">
        <v>46.5</v>
      </c>
      <c r="AB117" s="8">
        <v>5856</v>
      </c>
      <c r="AC117" s="8" t="s">
        <v>860</v>
      </c>
      <c r="AD117" s="8" t="s">
        <v>3725</v>
      </c>
      <c r="AE117" s="8" t="s">
        <v>4083</v>
      </c>
      <c r="AF117" s="9">
        <f t="shared" si="8"/>
        <v>122.76</v>
      </c>
      <c r="AG117" s="9">
        <f t="shared" si="9"/>
        <v>91.45</v>
      </c>
      <c r="AH117" s="9">
        <f t="shared" si="10"/>
        <v>0.15512616928435147</v>
      </c>
      <c r="AI117" s="9">
        <f t="shared" si="11"/>
        <v>2.4064128396837269E-2</v>
      </c>
      <c r="AJ117" s="9">
        <f t="shared" si="12"/>
        <v>0.12986655227915803</v>
      </c>
      <c r="AK117" s="9">
        <f t="shared" si="13"/>
        <v>1.6865321400875283E-2</v>
      </c>
      <c r="AL117" s="9">
        <f t="shared" si="14"/>
        <v>0.11803921516575586</v>
      </c>
      <c r="AM117" s="9">
        <f t="shared" si="15"/>
        <v>1.3933256316947607E-2</v>
      </c>
      <c r="AN117" s="8" t="s">
        <v>860</v>
      </c>
    </row>
    <row r="118" spans="13:40" ht="23">
      <c r="M118" s="9" t="s">
        <v>4990</v>
      </c>
      <c r="N118" s="8" t="s">
        <v>150</v>
      </c>
      <c r="O118" s="8"/>
      <c r="P118" s="8" t="s">
        <v>3691</v>
      </c>
      <c r="Q118" s="8"/>
      <c r="R118" s="8"/>
      <c r="S118" s="8"/>
      <c r="T118" s="8"/>
      <c r="U118" s="8"/>
      <c r="V118" s="8"/>
      <c r="W118" s="9" t="s">
        <v>4990</v>
      </c>
      <c r="X118" s="8">
        <v>11.45</v>
      </c>
      <c r="Y118" s="8">
        <v>3.9</v>
      </c>
      <c r="Z118" s="9">
        <v>3.15</v>
      </c>
      <c r="AA118" s="8">
        <v>44.7</v>
      </c>
      <c r="AB118" s="8">
        <v>3971</v>
      </c>
      <c r="AC118" s="9" t="s">
        <v>4990</v>
      </c>
      <c r="AD118" s="8" t="s">
        <v>3725</v>
      </c>
      <c r="AE118" s="8" t="s">
        <v>4083</v>
      </c>
      <c r="AF118" s="9">
        <f t="shared" si="8"/>
        <v>174.33</v>
      </c>
      <c r="AG118" s="9">
        <f t="shared" si="9"/>
        <v>145.27500000000001</v>
      </c>
      <c r="AH118" s="9">
        <f t="shared" si="10"/>
        <v>0.14912128531205399</v>
      </c>
      <c r="AI118" s="9">
        <f t="shared" si="11"/>
        <v>2.2237157733119007E-2</v>
      </c>
      <c r="AJ118" s="9">
        <f t="shared" si="12"/>
        <v>0.18442192944628236</v>
      </c>
      <c r="AK118" s="9">
        <f t="shared" si="13"/>
        <v>3.401144806068955E-2</v>
      </c>
      <c r="AL118" s="9">
        <f t="shared" si="14"/>
        <v>0.18751390905637158</v>
      </c>
      <c r="AM118" s="9">
        <f t="shared" si="15"/>
        <v>3.516146608960119E-2</v>
      </c>
      <c r="AN118" s="9" t="s">
        <v>4990</v>
      </c>
    </row>
    <row r="119" spans="13:40" ht="23">
      <c r="M119" s="8" t="s">
        <v>332</v>
      </c>
      <c r="N119" s="8" t="s">
        <v>150</v>
      </c>
      <c r="O119" s="8"/>
      <c r="P119" s="8"/>
      <c r="Q119" s="8"/>
      <c r="R119" s="8"/>
      <c r="S119" s="8"/>
      <c r="T119" s="8"/>
      <c r="U119" s="8"/>
      <c r="V119" s="8"/>
      <c r="W119" s="8" t="s">
        <v>332</v>
      </c>
      <c r="X119" s="8">
        <v>29.36</v>
      </c>
      <c r="Y119" s="8">
        <v>1.18</v>
      </c>
      <c r="Z119" s="9">
        <v>0.1</v>
      </c>
      <c r="AA119" s="8">
        <v>44.7</v>
      </c>
      <c r="AB119" s="8">
        <v>28535</v>
      </c>
      <c r="AC119" s="8" t="s">
        <v>332</v>
      </c>
      <c r="AD119" s="8" t="s">
        <v>3725</v>
      </c>
      <c r="AE119" s="8" t="s">
        <v>4083</v>
      </c>
      <c r="AF119" s="9">
        <f t="shared" si="8"/>
        <v>52.746000000000002</v>
      </c>
      <c r="AG119" s="9">
        <f t="shared" si="9"/>
        <v>7.4500000000000011E-2</v>
      </c>
      <c r="AH119" s="9">
        <f t="shared" si="10"/>
        <v>0.14912128531205399</v>
      </c>
      <c r="AI119" s="9">
        <f t="shared" si="11"/>
        <v>2.2237157733119007E-2</v>
      </c>
      <c r="AJ119" s="9">
        <f t="shared" si="12"/>
        <v>5.5799455576054653E-2</v>
      </c>
      <c r="AK119" s="9">
        <f t="shared" si="13"/>
        <v>3.1135792425840969E-3</v>
      </c>
      <c r="AL119" s="9">
        <f t="shared" si="14"/>
        <v>9.6160979003267493E-5</v>
      </c>
      <c r="AM119" s="9">
        <f t="shared" si="15"/>
        <v>9.2469338828668516E-9</v>
      </c>
      <c r="AN119" s="8" t="s">
        <v>332</v>
      </c>
    </row>
    <row r="120" spans="13:40" ht="23">
      <c r="M120" s="8" t="s">
        <v>12</v>
      </c>
      <c r="N120" s="8" t="s">
        <v>13</v>
      </c>
      <c r="O120" s="8"/>
      <c r="P120" s="8" t="s">
        <v>3691</v>
      </c>
      <c r="Q120" s="8"/>
      <c r="R120" s="8"/>
      <c r="S120" s="8"/>
      <c r="T120" s="8"/>
      <c r="U120" s="8"/>
      <c r="V120" s="8"/>
      <c r="W120" s="8" t="s">
        <v>12</v>
      </c>
      <c r="X120" s="8">
        <v>33.53</v>
      </c>
      <c r="Y120" s="8">
        <v>3.66</v>
      </c>
      <c r="Z120" s="9">
        <v>3.42</v>
      </c>
      <c r="AA120" s="8">
        <v>44.6</v>
      </c>
      <c r="AB120" s="8">
        <v>3369</v>
      </c>
      <c r="AC120" s="8" t="s">
        <v>12</v>
      </c>
      <c r="AD120" s="8" t="s">
        <v>3725</v>
      </c>
      <c r="AE120" s="8" t="s">
        <v>4083</v>
      </c>
      <c r="AF120" s="9">
        <f t="shared" si="8"/>
        <v>163.23600000000002</v>
      </c>
      <c r="AG120" s="9">
        <f t="shared" si="9"/>
        <v>165.02</v>
      </c>
      <c r="AH120" s="9">
        <f t="shared" si="10"/>
        <v>0.14878768064692635</v>
      </c>
      <c r="AI120" s="9">
        <f t="shared" si="11"/>
        <v>2.2137773912291742E-2</v>
      </c>
      <c r="AJ120" s="9">
        <f t="shared" si="12"/>
        <v>0.17268569996611796</v>
      </c>
      <c r="AK120" s="9">
        <f t="shared" si="13"/>
        <v>2.9820350972788113E-2</v>
      </c>
      <c r="AL120" s="9">
        <f t="shared" si="14"/>
        <v>0.21299979537072752</v>
      </c>
      <c r="AM120" s="9">
        <f t="shared" si="15"/>
        <v>4.53689128279718E-2</v>
      </c>
      <c r="AN120" s="8" t="s">
        <v>12</v>
      </c>
    </row>
    <row r="121" spans="13:40" ht="23">
      <c r="M121" s="8" t="s">
        <v>1058</v>
      </c>
      <c r="N121" s="8" t="s">
        <v>150</v>
      </c>
      <c r="O121" s="8"/>
      <c r="P121" s="8"/>
      <c r="Q121" s="8"/>
      <c r="R121" s="8"/>
      <c r="S121" s="8"/>
      <c r="T121" s="8"/>
      <c r="U121" s="8"/>
      <c r="V121" s="8"/>
      <c r="W121" s="8" t="s">
        <v>1058</v>
      </c>
      <c r="X121" s="8">
        <v>19.18</v>
      </c>
      <c r="Y121" s="8">
        <v>1.37</v>
      </c>
      <c r="Z121" s="9">
        <v>0.41</v>
      </c>
      <c r="AA121" s="8">
        <v>43.9</v>
      </c>
      <c r="AB121" s="8">
        <v>14836</v>
      </c>
      <c r="AC121" s="8" t="s">
        <v>1058</v>
      </c>
      <c r="AD121" s="8" t="s">
        <v>3725</v>
      </c>
      <c r="AE121" s="8" t="s">
        <v>4083</v>
      </c>
      <c r="AF121" s="9">
        <f t="shared" si="8"/>
        <v>60.143000000000001</v>
      </c>
      <c r="AG121" s="9">
        <f t="shared" si="9"/>
        <v>29.998333333333331</v>
      </c>
      <c r="AH121" s="9">
        <f t="shared" si="10"/>
        <v>0.14645244799103291</v>
      </c>
      <c r="AI121" s="9">
        <f t="shared" si="11"/>
        <v>2.1448319522566199E-2</v>
      </c>
      <c r="AJ121" s="9">
        <f t="shared" si="12"/>
        <v>6.3624666452634412E-2</v>
      </c>
      <c r="AK121" s="9">
        <f t="shared" si="13"/>
        <v>4.0480981812089827E-3</v>
      </c>
      <c r="AL121" s="9">
        <f t="shared" si="14"/>
        <v>3.87203906281837E-2</v>
      </c>
      <c r="AM121" s="9">
        <f t="shared" si="15"/>
        <v>1.499268650399136E-3</v>
      </c>
      <c r="AN121" s="8" t="s">
        <v>1058</v>
      </c>
    </row>
    <row r="122" spans="13:40" ht="23">
      <c r="M122" s="9" t="s">
        <v>2406</v>
      </c>
      <c r="N122" s="8" t="s">
        <v>150</v>
      </c>
      <c r="O122" s="8"/>
      <c r="P122" s="8"/>
      <c r="Q122" s="8"/>
      <c r="R122" s="8"/>
      <c r="S122" s="8"/>
      <c r="T122" s="8"/>
      <c r="U122" s="8"/>
      <c r="V122" s="8"/>
      <c r="W122" s="9" t="s">
        <v>2406</v>
      </c>
      <c r="X122" s="8">
        <v>15.44</v>
      </c>
      <c r="Y122" s="8">
        <v>2.0699999999999998</v>
      </c>
      <c r="Z122" s="9">
        <v>4.17</v>
      </c>
      <c r="AA122" s="8">
        <v>43</v>
      </c>
      <c r="AB122" s="8">
        <v>10182</v>
      </c>
      <c r="AC122" s="9" t="s">
        <v>2406</v>
      </c>
      <c r="AD122" s="8" t="s">
        <v>3725</v>
      </c>
      <c r="AE122" s="8" t="s">
        <v>4083</v>
      </c>
      <c r="AF122" s="9">
        <f t="shared" si="8"/>
        <v>89.009999999999991</v>
      </c>
      <c r="AG122" s="9">
        <f t="shared" si="9"/>
        <v>184.18333333333334</v>
      </c>
      <c r="AH122" s="9">
        <f t="shared" si="10"/>
        <v>0.14345000600488417</v>
      </c>
      <c r="AI122" s="9">
        <f t="shared" si="11"/>
        <v>2.0577904222801303E-2</v>
      </c>
      <c r="AJ122" s="9">
        <f t="shared" si="12"/>
        <v>9.4162771410621168E-2</v>
      </c>
      <c r="AK122" s="9">
        <f t="shared" si="13"/>
        <v>8.8666275197288955E-3</v>
      </c>
      <c r="AL122" s="9">
        <f t="shared" si="14"/>
        <v>0.23773489462306691</v>
      </c>
      <c r="AM122" s="9">
        <f t="shared" si="15"/>
        <v>5.6517880121440725E-2</v>
      </c>
      <c r="AN122" s="9" t="s">
        <v>2406</v>
      </c>
    </row>
    <row r="123" spans="13:40" ht="23">
      <c r="M123" s="9" t="s">
        <v>2553</v>
      </c>
      <c r="N123" s="8" t="s">
        <v>150</v>
      </c>
      <c r="O123" s="8"/>
      <c r="P123" s="8"/>
      <c r="Q123" s="8"/>
      <c r="R123" s="8"/>
      <c r="S123" s="8"/>
      <c r="T123" s="8"/>
      <c r="U123" s="8"/>
      <c r="V123" s="8"/>
      <c r="W123" s="9" t="s">
        <v>2553</v>
      </c>
      <c r="X123" s="8">
        <v>2.95</v>
      </c>
      <c r="Y123" s="8">
        <v>2.92</v>
      </c>
      <c r="Z123" s="9">
        <v>4.1500000000000004</v>
      </c>
      <c r="AA123" s="8">
        <v>42.9</v>
      </c>
      <c r="AB123" s="8">
        <v>19133</v>
      </c>
      <c r="AC123" s="9" t="s">
        <v>2553</v>
      </c>
      <c r="AD123" s="8" t="s">
        <v>3725</v>
      </c>
      <c r="AE123" s="8" t="s">
        <v>4083</v>
      </c>
      <c r="AF123" s="9">
        <f t="shared" si="8"/>
        <v>125.26799999999999</v>
      </c>
      <c r="AG123" s="9">
        <f t="shared" si="9"/>
        <v>182.32499999999999</v>
      </c>
      <c r="AH123" s="9">
        <f t="shared" si="10"/>
        <v>0.1431164013397565</v>
      </c>
      <c r="AI123" s="9">
        <f t="shared" si="11"/>
        <v>2.0482304332442258E-2</v>
      </c>
      <c r="AJ123" s="9">
        <f t="shared" si="12"/>
        <v>0.13251973990636662</v>
      </c>
      <c r="AK123" s="9">
        <f t="shared" si="13"/>
        <v>1.7561481464851057E-2</v>
      </c>
      <c r="AL123" s="9">
        <f t="shared" si="14"/>
        <v>0.2353362482788019</v>
      </c>
      <c r="AM123" s="9">
        <f t="shared" si="15"/>
        <v>5.5383149753941888E-2</v>
      </c>
      <c r="AN123" s="9" t="s">
        <v>2553</v>
      </c>
    </row>
    <row r="124" spans="13:40" ht="23">
      <c r="M124" s="9" t="s">
        <v>2212</v>
      </c>
      <c r="N124" s="8" t="s">
        <v>150</v>
      </c>
      <c r="O124" s="8"/>
      <c r="P124" s="8"/>
      <c r="Q124" s="8"/>
      <c r="R124" s="8"/>
      <c r="S124" s="8"/>
      <c r="T124" s="8"/>
      <c r="U124" s="8"/>
      <c r="V124" s="8"/>
      <c r="W124" s="9" t="s">
        <v>2212</v>
      </c>
      <c r="X124" s="8">
        <v>35.729999999999997</v>
      </c>
      <c r="Y124" s="8">
        <v>2.31</v>
      </c>
      <c r="Z124" s="9">
        <v>1.56</v>
      </c>
      <c r="AA124" s="8">
        <v>42.5</v>
      </c>
      <c r="AB124" s="8">
        <v>6298</v>
      </c>
      <c r="AC124" s="9" t="s">
        <v>2212</v>
      </c>
      <c r="AD124" s="8" t="s">
        <v>3725</v>
      </c>
      <c r="AE124" s="8" t="s">
        <v>4083</v>
      </c>
      <c r="AF124" s="9">
        <f t="shared" si="8"/>
        <v>98.174999999999997</v>
      </c>
      <c r="AG124" s="9">
        <f t="shared" si="9"/>
        <v>82.166666666666671</v>
      </c>
      <c r="AH124" s="9">
        <f t="shared" si="10"/>
        <v>0.14178198267924597</v>
      </c>
      <c r="AI124" s="9">
        <f t="shared" si="11"/>
        <v>2.0102130612458004E-2</v>
      </c>
      <c r="AJ124" s="9">
        <f t="shared" si="12"/>
        <v>0.10385833145981052</v>
      </c>
      <c r="AK124" s="9">
        <f t="shared" si="13"/>
        <v>1.0786553013615868E-2</v>
      </c>
      <c r="AL124" s="9">
        <f t="shared" si="14"/>
        <v>0.10605673970606459</v>
      </c>
      <c r="AM124" s="9">
        <f t="shared" si="15"/>
        <v>1.1248032037079938E-2</v>
      </c>
      <c r="AN124" s="9" t="s">
        <v>2212</v>
      </c>
    </row>
    <row r="125" spans="13:40" ht="23">
      <c r="M125" s="9" t="s">
        <v>2390</v>
      </c>
      <c r="N125" s="8" t="s">
        <v>150</v>
      </c>
      <c r="O125" s="8"/>
      <c r="P125" s="8"/>
      <c r="Q125" s="8"/>
      <c r="R125" s="8"/>
      <c r="S125" s="8"/>
      <c r="T125" s="8"/>
      <c r="U125" s="8"/>
      <c r="V125" s="8"/>
      <c r="W125" s="9" t="s">
        <v>2390</v>
      </c>
      <c r="X125" s="8">
        <v>51.8</v>
      </c>
      <c r="Y125" s="8">
        <v>1.28</v>
      </c>
      <c r="Z125" s="9">
        <v>0.05</v>
      </c>
      <c r="AA125" s="8">
        <v>41.1</v>
      </c>
      <c r="AB125" s="8">
        <v>22649</v>
      </c>
      <c r="AC125" s="9" t="s">
        <v>2390</v>
      </c>
      <c r="AD125" s="8" t="s">
        <v>3725</v>
      </c>
      <c r="AE125" s="8" t="s">
        <v>4083</v>
      </c>
      <c r="AF125" s="9">
        <f t="shared" si="8"/>
        <v>52.608000000000004</v>
      </c>
      <c r="AG125" s="9">
        <f t="shared" si="9"/>
        <v>3.4249999999999998</v>
      </c>
      <c r="AH125" s="9">
        <f t="shared" si="10"/>
        <v>0.13711151736745902</v>
      </c>
      <c r="AI125" s="9">
        <f t="shared" si="11"/>
        <v>1.8799568194807017E-2</v>
      </c>
      <c r="AJ125" s="9">
        <f t="shared" si="12"/>
        <v>5.5653466783169979E-2</v>
      </c>
      <c r="AK125" s="9">
        <f t="shared" si="13"/>
        <v>3.0973083649854043E-3</v>
      </c>
      <c r="AL125" s="9">
        <f t="shared" si="14"/>
        <v>4.4208235313582698E-3</v>
      </c>
      <c r="AM125" s="9">
        <f t="shared" si="15"/>
        <v>1.9543680695411003E-5</v>
      </c>
      <c r="AN125" s="9" t="s">
        <v>2390</v>
      </c>
    </row>
    <row r="126" spans="13:40" ht="23">
      <c r="M126" s="9" t="s">
        <v>2467</v>
      </c>
      <c r="N126" s="8" t="s">
        <v>150</v>
      </c>
      <c r="O126" s="8"/>
      <c r="P126" s="8"/>
      <c r="Q126" s="8"/>
      <c r="R126" s="8"/>
      <c r="S126" s="8"/>
      <c r="T126" s="8"/>
      <c r="U126" s="8"/>
      <c r="V126" s="8"/>
      <c r="W126" s="9" t="s">
        <v>2467</v>
      </c>
      <c r="X126" s="8">
        <v>20.89</v>
      </c>
      <c r="Y126" s="8">
        <v>1.66</v>
      </c>
      <c r="Z126" s="9">
        <v>0.56999999999999995</v>
      </c>
      <c r="AA126" s="8">
        <v>40.4</v>
      </c>
      <c r="AB126" s="8">
        <v>6463</v>
      </c>
      <c r="AC126" s="9" t="s">
        <v>2467</v>
      </c>
      <c r="AD126" s="8" t="s">
        <v>3725</v>
      </c>
      <c r="AE126" s="8" t="s">
        <v>4083</v>
      </c>
      <c r="AF126" s="9">
        <f t="shared" si="8"/>
        <v>67.063999999999993</v>
      </c>
      <c r="AG126" s="9">
        <f t="shared" si="9"/>
        <v>38.379999999999995</v>
      </c>
      <c r="AH126" s="9">
        <f t="shared" si="10"/>
        <v>0.13477628471156558</v>
      </c>
      <c r="AI126" s="9">
        <f t="shared" si="11"/>
        <v>1.8164646920652987E-2</v>
      </c>
      <c r="AJ126" s="9">
        <f t="shared" si="12"/>
        <v>7.0946321782742364E-2</v>
      </c>
      <c r="AK126" s="9">
        <f t="shared" si="13"/>
        <v>5.0333805745004234E-3</v>
      </c>
      <c r="AL126" s="9">
        <f t="shared" si="14"/>
        <v>4.9539038579132964E-2</v>
      </c>
      <c r="AM126" s="9">
        <f t="shared" si="15"/>
        <v>2.454116343344824E-3</v>
      </c>
      <c r="AN126" s="9" t="s">
        <v>2467</v>
      </c>
    </row>
    <row r="127" spans="13:40" ht="23">
      <c r="M127" s="8" t="s">
        <v>1103</v>
      </c>
      <c r="N127" s="8" t="s">
        <v>150</v>
      </c>
      <c r="O127" s="8"/>
      <c r="P127" s="8" t="s">
        <v>3693</v>
      </c>
      <c r="Q127" s="8"/>
      <c r="R127" s="8"/>
      <c r="S127" s="8"/>
      <c r="T127" s="8"/>
      <c r="U127" s="8"/>
      <c r="V127" s="8"/>
      <c r="W127" s="8" t="s">
        <v>1103</v>
      </c>
      <c r="X127" s="8">
        <v>39.909999999999997</v>
      </c>
      <c r="Y127" s="8">
        <v>2.3199999999999998</v>
      </c>
      <c r="Z127" s="9">
        <v>2.16</v>
      </c>
      <c r="AA127" s="8">
        <v>39.6</v>
      </c>
      <c r="AB127" s="8">
        <v>6475</v>
      </c>
      <c r="AC127" s="8" t="s">
        <v>1103</v>
      </c>
      <c r="AD127" s="8" t="s">
        <v>3725</v>
      </c>
      <c r="AE127" s="8" t="s">
        <v>4083</v>
      </c>
      <c r="AF127" s="9">
        <f t="shared" si="8"/>
        <v>91.872</v>
      </c>
      <c r="AG127" s="9">
        <f t="shared" si="9"/>
        <v>89.76</v>
      </c>
      <c r="AH127" s="9">
        <f t="shared" si="10"/>
        <v>0.13210744739054447</v>
      </c>
      <c r="AI127" s="9">
        <f t="shared" si="11"/>
        <v>1.7452377656045476E-2</v>
      </c>
      <c r="AJ127" s="9">
        <f t="shared" si="12"/>
        <v>9.7190452028273103E-2</v>
      </c>
      <c r="AK127" s="9">
        <f t="shared" si="13"/>
        <v>9.4459839654600555E-3</v>
      </c>
      <c r="AL127" s="9">
        <f t="shared" si="14"/>
        <v>0.11585784530648711</v>
      </c>
      <c r="AM127" s="9">
        <f t="shared" si="15"/>
        <v>1.3423040319061899E-2</v>
      </c>
      <c r="AN127" s="8" t="s">
        <v>1103</v>
      </c>
    </row>
    <row r="128" spans="13:40" ht="23">
      <c r="M128" s="8" t="s">
        <v>1279</v>
      </c>
      <c r="N128" s="8" t="s">
        <v>150</v>
      </c>
      <c r="O128" s="8"/>
      <c r="P128" s="8"/>
      <c r="Q128" s="8"/>
      <c r="R128" s="8"/>
      <c r="S128" s="8"/>
      <c r="T128" s="8"/>
      <c r="U128" s="8"/>
      <c r="V128" s="8"/>
      <c r="W128" s="8" t="s">
        <v>1279</v>
      </c>
      <c r="X128" s="8">
        <v>14.35</v>
      </c>
      <c r="Y128" s="8">
        <v>1.62</v>
      </c>
      <c r="Z128" s="9">
        <v>1.05</v>
      </c>
      <c r="AA128" s="8">
        <v>39.6</v>
      </c>
      <c r="AB128" s="8">
        <v>13724</v>
      </c>
      <c r="AC128" s="8" t="s">
        <v>1279</v>
      </c>
      <c r="AD128" s="8" t="s">
        <v>3725</v>
      </c>
      <c r="AE128" s="8" t="s">
        <v>4083</v>
      </c>
      <c r="AF128" s="9">
        <f t="shared" si="8"/>
        <v>64.152000000000001</v>
      </c>
      <c r="AG128" s="9">
        <f t="shared" si="9"/>
        <v>42.9</v>
      </c>
      <c r="AH128" s="9">
        <f t="shared" si="10"/>
        <v>0.13210744739054447</v>
      </c>
      <c r="AI128" s="9">
        <f t="shared" si="11"/>
        <v>1.7452377656045476E-2</v>
      </c>
      <c r="AJ128" s="9">
        <f t="shared" si="12"/>
        <v>6.7865746674914837E-2</v>
      </c>
      <c r="AK128" s="9">
        <f t="shared" si="13"/>
        <v>4.6057595717437141E-3</v>
      </c>
      <c r="AL128" s="9">
        <f t="shared" si="14"/>
        <v>5.537323488912986E-2</v>
      </c>
      <c r="AM128" s="9">
        <f t="shared" si="15"/>
        <v>3.0661951420867485E-3</v>
      </c>
      <c r="AN128" s="8" t="s">
        <v>1279</v>
      </c>
    </row>
    <row r="129" spans="13:40" ht="23">
      <c r="M129" s="8" t="s">
        <v>147</v>
      </c>
      <c r="N129" s="8" t="s">
        <v>150</v>
      </c>
      <c r="O129" s="8"/>
      <c r="P129" s="8"/>
      <c r="Q129" s="8"/>
      <c r="R129" s="8"/>
      <c r="S129" s="8"/>
      <c r="T129" s="8"/>
      <c r="U129" s="8"/>
      <c r="V129" s="8"/>
      <c r="W129" s="8" t="s">
        <v>147</v>
      </c>
      <c r="X129" s="8">
        <v>9.68</v>
      </c>
      <c r="Y129" s="8">
        <v>1.58</v>
      </c>
      <c r="Z129" s="9">
        <v>0.42</v>
      </c>
      <c r="AA129" s="8">
        <v>39.1</v>
      </c>
      <c r="AB129" s="8">
        <v>9860</v>
      </c>
      <c r="AC129" s="8" t="s">
        <v>147</v>
      </c>
      <c r="AD129" s="8" t="s">
        <v>3725</v>
      </c>
      <c r="AE129" s="8" t="s">
        <v>4083</v>
      </c>
      <c r="AF129" s="9">
        <f t="shared" si="8"/>
        <v>61.778000000000006</v>
      </c>
      <c r="AG129" s="9">
        <f t="shared" si="9"/>
        <v>27.37</v>
      </c>
      <c r="AH129" s="9">
        <f t="shared" si="10"/>
        <v>0.1304394240649063</v>
      </c>
      <c r="AI129" s="9">
        <f t="shared" si="11"/>
        <v>1.7014443350384458E-2</v>
      </c>
      <c r="AJ129" s="9">
        <f t="shared" si="12"/>
        <v>6.5354316281376876E-2</v>
      </c>
      <c r="AK129" s="9">
        <f t="shared" si="13"/>
        <v>4.2711866566062422E-3</v>
      </c>
      <c r="AL129" s="9">
        <f t="shared" si="14"/>
        <v>3.5327865708985655E-2</v>
      </c>
      <c r="AM129" s="9">
        <f t="shared" si="15"/>
        <v>1.2480580955521246E-3</v>
      </c>
      <c r="AN129" s="8" t="s">
        <v>147</v>
      </c>
    </row>
    <row r="130" spans="13:40" ht="23">
      <c r="M130" s="8" t="s">
        <v>5021</v>
      </c>
      <c r="N130" s="8" t="s">
        <v>1814</v>
      </c>
      <c r="O130" s="8"/>
      <c r="P130" s="8"/>
      <c r="Q130" s="8"/>
      <c r="R130" s="8"/>
      <c r="S130" s="8"/>
      <c r="T130" s="8"/>
      <c r="U130" s="8"/>
      <c r="V130" s="8"/>
      <c r="W130" s="8" t="s">
        <v>5021</v>
      </c>
      <c r="X130" s="8">
        <v>2.93</v>
      </c>
      <c r="Y130" s="8">
        <v>1.1000000000000001</v>
      </c>
      <c r="Z130" s="9">
        <v>0.09</v>
      </c>
      <c r="AA130" s="8">
        <v>37.9</v>
      </c>
      <c r="AB130" s="8"/>
      <c r="AC130" s="8" t="s">
        <v>5021</v>
      </c>
      <c r="AD130" s="8" t="s">
        <v>3725</v>
      </c>
      <c r="AE130" s="8" t="s">
        <v>4083</v>
      </c>
      <c r="AF130" s="9">
        <f t="shared" ref="AF130:AF193" si="16">(AA130*Y130)</f>
        <v>41.690000000000005</v>
      </c>
      <c r="AG130" s="9">
        <f t="shared" ref="AG130:AG193" si="17">((((RIGHT(Z130,2))/60)+(LEFT(Z130,2)))*AA130)</f>
        <v>5.6849999999999996</v>
      </c>
      <c r="AH130" s="9">
        <f t="shared" ref="AH130:AH193" si="18">(AA130/$AA$448)*100</f>
        <v>0.12643616808337463</v>
      </c>
      <c r="AI130" s="9">
        <f t="shared" ref="AI130:AI193" si="19">(AH130*AH130)</f>
        <v>1.5986104599607361E-2</v>
      </c>
      <c r="AJ130" s="9">
        <f t="shared" ref="AJ130:AJ193" si="20">(AF130/$AF$448)*100</f>
        <v>4.4103425908423741E-2</v>
      </c>
      <c r="AK130" s="9">
        <f t="shared" ref="AK130:AK193" si="21">(AJ130*AJ130)</f>
        <v>1.9451121768598225E-3</v>
      </c>
      <c r="AL130" s="9">
        <f t="shared" ref="AL130:AL193" si="22">(AG130/$AG$448)*100</f>
        <v>7.3379216863567204E-3</v>
      </c>
      <c r="AM130" s="9">
        <f t="shared" ref="AM130:AM193" si="23">(AL130*AL130)</f>
        <v>5.3845094675104254E-5</v>
      </c>
      <c r="AN130" s="8" t="s">
        <v>5021</v>
      </c>
    </row>
    <row r="131" spans="13:40" ht="23">
      <c r="M131" s="8" t="s">
        <v>900</v>
      </c>
      <c r="N131" s="8" t="s">
        <v>150</v>
      </c>
      <c r="O131" s="8"/>
      <c r="P131" s="8" t="s">
        <v>3691</v>
      </c>
      <c r="Q131" s="8"/>
      <c r="R131" s="8"/>
      <c r="S131" s="8"/>
      <c r="T131" s="8"/>
      <c r="U131" s="8"/>
      <c r="V131" s="8"/>
      <c r="W131" s="8" t="s">
        <v>900</v>
      </c>
      <c r="X131" s="8">
        <v>17.75</v>
      </c>
      <c r="Y131" s="8">
        <v>5.55</v>
      </c>
      <c r="Z131" s="9">
        <v>7.46</v>
      </c>
      <c r="AA131" s="8">
        <v>35.700000000000003</v>
      </c>
      <c r="AB131" s="8">
        <v>6347</v>
      </c>
      <c r="AC131" s="8" t="s">
        <v>900</v>
      </c>
      <c r="AD131" s="8" t="s">
        <v>3725</v>
      </c>
      <c r="AE131" s="8" t="s">
        <v>4083</v>
      </c>
      <c r="AF131" s="9">
        <f t="shared" si="16"/>
        <v>198.13500000000002</v>
      </c>
      <c r="AG131" s="9">
        <f t="shared" si="17"/>
        <v>277.27000000000004</v>
      </c>
      <c r="AH131" s="9">
        <f t="shared" si="18"/>
        <v>0.11909686545056662</v>
      </c>
      <c r="AI131" s="9">
        <f t="shared" si="19"/>
        <v>1.418406336015037E-2</v>
      </c>
      <c r="AJ131" s="9">
        <f t="shared" si="20"/>
        <v>0.20960499621889031</v>
      </c>
      <c r="AK131" s="9">
        <f t="shared" si="21"/>
        <v>4.3934254439921022E-2</v>
      </c>
      <c r="AL131" s="9">
        <f t="shared" si="22"/>
        <v>0.35788663957363731</v>
      </c>
      <c r="AM131" s="9">
        <f t="shared" si="23"/>
        <v>0.12808284678531057</v>
      </c>
      <c r="AN131" s="8" t="s">
        <v>900</v>
      </c>
    </row>
    <row r="132" spans="13:40" ht="23">
      <c r="M132" s="8" t="s">
        <v>1611</v>
      </c>
      <c r="N132" s="8" t="s">
        <v>150</v>
      </c>
      <c r="O132" s="8"/>
      <c r="P132" s="8" t="s">
        <v>3693</v>
      </c>
      <c r="Q132" s="8"/>
      <c r="R132" s="8"/>
      <c r="S132" s="8"/>
      <c r="T132" s="8"/>
      <c r="U132" s="8"/>
      <c r="V132" s="8"/>
      <c r="W132" s="8" t="s">
        <v>1611</v>
      </c>
      <c r="X132" s="8">
        <v>42.87</v>
      </c>
      <c r="Y132" s="8">
        <v>2.93</v>
      </c>
      <c r="Z132" s="9">
        <v>2.4</v>
      </c>
      <c r="AA132" s="8">
        <v>35.5</v>
      </c>
      <c r="AB132" s="8">
        <v>4268</v>
      </c>
      <c r="AC132" s="8" t="s">
        <v>1611</v>
      </c>
      <c r="AD132" s="8" t="s">
        <v>3725</v>
      </c>
      <c r="AE132" s="8" t="s">
        <v>4083</v>
      </c>
      <c r="AF132" s="9">
        <f t="shared" si="16"/>
        <v>104.015</v>
      </c>
      <c r="AG132" s="9">
        <f t="shared" si="17"/>
        <v>71.236666666666679</v>
      </c>
      <c r="AH132" s="9">
        <f t="shared" si="18"/>
        <v>0.11842965612031134</v>
      </c>
      <c r="AI132" s="9">
        <f t="shared" si="19"/>
        <v>1.4025583448775197E-2</v>
      </c>
      <c r="AJ132" s="9">
        <f t="shared" si="20"/>
        <v>0.11003640791232179</v>
      </c>
      <c r="AK132" s="9">
        <f t="shared" si="21"/>
        <v>1.2108011066246873E-2</v>
      </c>
      <c r="AL132" s="9">
        <f t="shared" si="22"/>
        <v>9.194882694759865E-2</v>
      </c>
      <c r="AM132" s="9">
        <f t="shared" si="23"/>
        <v>8.4545867770394433E-3</v>
      </c>
      <c r="AN132" s="8" t="s">
        <v>1611</v>
      </c>
    </row>
    <row r="133" spans="13:40" ht="23">
      <c r="M133" s="8" t="s">
        <v>259</v>
      </c>
      <c r="N133" s="8" t="s">
        <v>150</v>
      </c>
      <c r="O133" s="8"/>
      <c r="P133" s="8"/>
      <c r="Q133" s="8"/>
      <c r="R133" s="8"/>
      <c r="S133" s="8"/>
      <c r="T133" s="8"/>
      <c r="U133" s="8"/>
      <c r="V133" s="8"/>
      <c r="W133" s="8" t="s">
        <v>259</v>
      </c>
      <c r="X133" s="8">
        <v>9.4700000000000006</v>
      </c>
      <c r="Y133" s="8">
        <v>1.28</v>
      </c>
      <c r="Z133" s="9">
        <v>0.28999999999999998</v>
      </c>
      <c r="AA133" s="8">
        <v>33</v>
      </c>
      <c r="AB133" s="8">
        <v>14456</v>
      </c>
      <c r="AC133" s="8" t="s">
        <v>259</v>
      </c>
      <c r="AD133" s="8" t="s">
        <v>3725</v>
      </c>
      <c r="AE133" s="8" t="s">
        <v>4083</v>
      </c>
      <c r="AF133" s="9">
        <f t="shared" si="16"/>
        <v>42.24</v>
      </c>
      <c r="AG133" s="9">
        <f t="shared" si="17"/>
        <v>15.95</v>
      </c>
      <c r="AH133" s="9">
        <f t="shared" si="18"/>
        <v>0.1100895394921204</v>
      </c>
      <c r="AI133" s="9">
        <f t="shared" si="19"/>
        <v>1.2119706705587137E-2</v>
      </c>
      <c r="AJ133" s="9">
        <f t="shared" si="20"/>
        <v>4.4685265300355451E-2</v>
      </c>
      <c r="AK133" s="9">
        <f t="shared" si="21"/>
        <v>1.9967729349631507E-3</v>
      </c>
      <c r="AL133" s="9">
        <f t="shared" si="22"/>
        <v>2.0587484766471358E-2</v>
      </c>
      <c r="AM133" s="9">
        <f t="shared" si="23"/>
        <v>4.2384452900969021E-4</v>
      </c>
      <c r="AN133" s="8" t="s">
        <v>259</v>
      </c>
    </row>
    <row r="134" spans="13:40" ht="23">
      <c r="M134" s="9" t="s">
        <v>3604</v>
      </c>
      <c r="N134" s="8" t="s">
        <v>2084</v>
      </c>
      <c r="O134" s="8"/>
      <c r="P134" s="8"/>
      <c r="Q134" s="8"/>
      <c r="R134" s="8"/>
      <c r="S134" s="8"/>
      <c r="T134" s="8"/>
      <c r="U134" s="8"/>
      <c r="V134" s="8"/>
      <c r="W134" s="9" t="s">
        <v>3604</v>
      </c>
      <c r="X134" s="8">
        <v>26.37</v>
      </c>
      <c r="Y134" s="8">
        <v>2.44</v>
      </c>
      <c r="Z134" s="9">
        <v>1.54</v>
      </c>
      <c r="AA134" s="8">
        <v>32.299999999999997</v>
      </c>
      <c r="AB134" s="8">
        <v>6089</v>
      </c>
      <c r="AC134" s="9" t="s">
        <v>3604</v>
      </c>
      <c r="AD134" s="8" t="s">
        <v>3725</v>
      </c>
      <c r="AE134" s="8" t="s">
        <v>4083</v>
      </c>
      <c r="AF134" s="9">
        <f t="shared" si="16"/>
        <v>78.811999999999998</v>
      </c>
      <c r="AG134" s="9">
        <f t="shared" si="17"/>
        <v>61.36999999999999</v>
      </c>
      <c r="AH134" s="9">
        <f t="shared" si="18"/>
        <v>0.10775430683622692</v>
      </c>
      <c r="AI134" s="9">
        <f t="shared" si="19"/>
        <v>1.1610990641755739E-2</v>
      </c>
      <c r="AJ134" s="9">
        <f t="shared" si="20"/>
        <v>8.3374411194403739E-2</v>
      </c>
      <c r="AK134" s="9">
        <f t="shared" si="21"/>
        <v>6.9512924420135156E-3</v>
      </c>
      <c r="AL134" s="9">
        <f t="shared" si="22"/>
        <v>7.921341317356409E-2</v>
      </c>
      <c r="AM134" s="9">
        <f t="shared" si="23"/>
        <v>6.2747648266057773E-3</v>
      </c>
      <c r="AN134" s="9" t="s">
        <v>3604</v>
      </c>
    </row>
    <row r="135" spans="13:40" ht="23">
      <c r="M135" s="8" t="s">
        <v>535</v>
      </c>
      <c r="N135" s="8" t="s">
        <v>150</v>
      </c>
      <c r="O135" s="8"/>
      <c r="P135" s="8" t="s">
        <v>3693</v>
      </c>
      <c r="Q135" s="8"/>
      <c r="R135" s="8"/>
      <c r="S135" s="8"/>
      <c r="T135" s="8"/>
      <c r="U135" s="8"/>
      <c r="V135" s="8"/>
      <c r="W135" s="8" t="s">
        <v>535</v>
      </c>
      <c r="X135" s="8">
        <v>6.09</v>
      </c>
      <c r="Y135" s="8">
        <v>10.94</v>
      </c>
      <c r="Z135" s="9">
        <v>13.48</v>
      </c>
      <c r="AA135" s="8">
        <v>32.200000000000003</v>
      </c>
      <c r="AB135" s="8">
        <v>2934</v>
      </c>
      <c r="AC135" s="8" t="s">
        <v>535</v>
      </c>
      <c r="AD135" s="8" t="s">
        <v>3725</v>
      </c>
      <c r="AE135" s="8" t="s">
        <v>4083</v>
      </c>
      <c r="AF135" s="9">
        <f t="shared" si="16"/>
        <v>352.26800000000003</v>
      </c>
      <c r="AG135" s="9">
        <f t="shared" si="17"/>
        <v>444.36000000000007</v>
      </c>
      <c r="AH135" s="9">
        <f t="shared" si="18"/>
        <v>0.10742070217109931</v>
      </c>
      <c r="AI135" s="9">
        <f t="shared" si="19"/>
        <v>1.1539207254932019E-2</v>
      </c>
      <c r="AJ135" s="9">
        <f t="shared" si="20"/>
        <v>0.37266072530363675</v>
      </c>
      <c r="AK135" s="9">
        <f t="shared" si="21"/>
        <v>0.13887601618383261</v>
      </c>
      <c r="AL135" s="9">
        <f t="shared" si="22"/>
        <v>0.57355829033412009</v>
      </c>
      <c r="AM135" s="9">
        <f t="shared" si="23"/>
        <v>0.3289691124109988</v>
      </c>
      <c r="AN135" s="8" t="s">
        <v>535</v>
      </c>
    </row>
    <row r="136" spans="13:40" ht="23">
      <c r="M136" s="9" t="s">
        <v>2768</v>
      </c>
      <c r="N136" s="8" t="s">
        <v>1614</v>
      </c>
      <c r="O136" s="8"/>
      <c r="P136" s="8"/>
      <c r="Q136" s="8"/>
      <c r="R136" s="8"/>
      <c r="S136" s="8"/>
      <c r="T136" s="8"/>
      <c r="U136" s="8"/>
      <c r="V136" s="8"/>
      <c r="W136" s="9" t="s">
        <v>2768</v>
      </c>
      <c r="X136" s="8">
        <v>41.53</v>
      </c>
      <c r="Y136" s="8">
        <v>1.18</v>
      </c>
      <c r="Z136" s="9">
        <v>0.14000000000000001</v>
      </c>
      <c r="AA136" s="8">
        <v>31.3</v>
      </c>
      <c r="AB136" s="8">
        <v>30202</v>
      </c>
      <c r="AC136" s="9" t="s">
        <v>2768</v>
      </c>
      <c r="AD136" s="8" t="s">
        <v>3725</v>
      </c>
      <c r="AE136" s="8" t="s">
        <v>4083</v>
      </c>
      <c r="AF136" s="9">
        <f t="shared" si="16"/>
        <v>36.933999999999997</v>
      </c>
      <c r="AG136" s="9">
        <f t="shared" si="17"/>
        <v>7.3033333333333337</v>
      </c>
      <c r="AH136" s="9">
        <f t="shared" si="18"/>
        <v>0.10441826018495057</v>
      </c>
      <c r="AI136" s="9">
        <f t="shared" si="19"/>
        <v>1.0903173060052033E-2</v>
      </c>
      <c r="AJ136" s="9">
        <f t="shared" si="20"/>
        <v>3.9072102002919704E-2</v>
      </c>
      <c r="AK136" s="9">
        <f t="shared" si="21"/>
        <v>1.5266291549265619E-3</v>
      </c>
      <c r="AL136" s="9">
        <f t="shared" si="22"/>
        <v>9.4267876955775876E-3</v>
      </c>
      <c r="AM136" s="9">
        <f t="shared" si="23"/>
        <v>8.8864326257493008E-5</v>
      </c>
      <c r="AN136" s="9" t="s">
        <v>2768</v>
      </c>
    </row>
    <row r="137" spans="13:40" ht="23">
      <c r="M137" s="8" t="s">
        <v>1553</v>
      </c>
      <c r="N137" s="8" t="s">
        <v>150</v>
      </c>
      <c r="O137" s="8"/>
      <c r="P137" s="8"/>
      <c r="Q137" s="8"/>
      <c r="R137" s="8"/>
      <c r="S137" s="8"/>
      <c r="T137" s="8"/>
      <c r="U137" s="8"/>
      <c r="V137" s="8"/>
      <c r="W137" s="8" t="s">
        <v>1553</v>
      </c>
      <c r="X137" s="8">
        <v>69.17</v>
      </c>
      <c r="Y137" s="8">
        <v>1.28</v>
      </c>
      <c r="Z137" s="9">
        <v>0.27</v>
      </c>
      <c r="AA137" s="8">
        <v>31.2</v>
      </c>
      <c r="AB137" s="8">
        <v>19717</v>
      </c>
      <c r="AC137" s="8" t="s">
        <v>1553</v>
      </c>
      <c r="AD137" s="8" t="s">
        <v>3725</v>
      </c>
      <c r="AE137" s="8" t="s">
        <v>4083</v>
      </c>
      <c r="AF137" s="9">
        <f t="shared" si="16"/>
        <v>39.936</v>
      </c>
      <c r="AG137" s="9">
        <f t="shared" si="17"/>
        <v>14.04</v>
      </c>
      <c r="AH137" s="9">
        <f t="shared" si="18"/>
        <v>0.10408465551982292</v>
      </c>
      <c r="AI137" s="9">
        <f t="shared" si="19"/>
        <v>1.0833615514680204E-2</v>
      </c>
      <c r="AJ137" s="9">
        <f t="shared" si="20"/>
        <v>4.2247887193063334E-2</v>
      </c>
      <c r="AK137" s="9">
        <f t="shared" si="21"/>
        <v>1.7848839722778048E-3</v>
      </c>
      <c r="AL137" s="9">
        <f t="shared" si="22"/>
        <v>1.8122149600078862E-2</v>
      </c>
      <c r="AM137" s="9">
        <f t="shared" si="23"/>
        <v>3.2841230612763847E-4</v>
      </c>
      <c r="AN137" s="8" t="s">
        <v>1553</v>
      </c>
    </row>
    <row r="138" spans="13:40" ht="23">
      <c r="M138" s="9" t="s">
        <v>2707</v>
      </c>
      <c r="N138" s="8" t="s">
        <v>1614</v>
      </c>
      <c r="O138" s="8"/>
      <c r="P138" s="8"/>
      <c r="Q138" s="8"/>
      <c r="R138" s="8"/>
      <c r="S138" s="8"/>
      <c r="T138" s="8"/>
      <c r="U138" s="8"/>
      <c r="V138" s="8"/>
      <c r="W138" s="9" t="s">
        <v>2707</v>
      </c>
      <c r="X138" s="8">
        <v>3.65</v>
      </c>
      <c r="Y138" s="8">
        <v>1.68</v>
      </c>
      <c r="Z138" s="9">
        <v>0.31</v>
      </c>
      <c r="AA138" s="8">
        <v>30.7</v>
      </c>
      <c r="AB138" s="8">
        <v>17101</v>
      </c>
      <c r="AC138" s="9" t="s">
        <v>2707</v>
      </c>
      <c r="AD138" s="8" t="s">
        <v>3725</v>
      </c>
      <c r="AE138" s="8" t="s">
        <v>4083</v>
      </c>
      <c r="AF138" s="9">
        <f t="shared" si="16"/>
        <v>51.575999999999993</v>
      </c>
      <c r="AG138" s="9">
        <f t="shared" si="17"/>
        <v>15.861666666666668</v>
      </c>
      <c r="AH138" s="9">
        <f t="shared" si="18"/>
        <v>0.10241663219418473</v>
      </c>
      <c r="AI138" s="9">
        <f t="shared" si="19"/>
        <v>1.0489166549998916E-2</v>
      </c>
      <c r="AJ138" s="9">
        <f t="shared" si="20"/>
        <v>5.4561724505945375E-2</v>
      </c>
      <c r="AK138" s="9">
        <f t="shared" si="21"/>
        <v>2.9769817810626799E-3</v>
      </c>
      <c r="AL138" s="9">
        <f t="shared" si="22"/>
        <v>2.0473468393156526E-2</v>
      </c>
      <c r="AM138" s="9">
        <f t="shared" si="23"/>
        <v>4.1916290804557926E-4</v>
      </c>
      <c r="AN138" s="9" t="s">
        <v>2707</v>
      </c>
    </row>
    <row r="139" spans="13:40" ht="23">
      <c r="M139" s="8" t="s">
        <v>1619</v>
      </c>
      <c r="N139" s="8" t="s">
        <v>1614</v>
      </c>
      <c r="O139" s="8"/>
      <c r="P139" s="8" t="s">
        <v>3691</v>
      </c>
      <c r="Q139" s="8"/>
      <c r="R139" s="8"/>
      <c r="S139" s="8"/>
      <c r="T139" s="8"/>
      <c r="U139" s="8"/>
      <c r="V139" s="8"/>
      <c r="W139" s="8" t="s">
        <v>1619</v>
      </c>
      <c r="X139" s="8">
        <v>25.93</v>
      </c>
      <c r="Y139" s="8">
        <v>5.3</v>
      </c>
      <c r="Z139" s="9">
        <v>4.0199999999999996</v>
      </c>
      <c r="AA139" s="8">
        <v>30.3</v>
      </c>
      <c r="AB139" s="8">
        <v>3797</v>
      </c>
      <c r="AC139" s="8" t="s">
        <v>1619</v>
      </c>
      <c r="AD139" s="8" t="s">
        <v>3725</v>
      </c>
      <c r="AE139" s="8" t="s">
        <v>4083</v>
      </c>
      <c r="AF139" s="9">
        <f t="shared" si="16"/>
        <v>160.59</v>
      </c>
      <c r="AG139" s="9">
        <f t="shared" si="17"/>
        <v>122.21</v>
      </c>
      <c r="AH139" s="9">
        <f t="shared" si="18"/>
        <v>0.10108221353367418</v>
      </c>
      <c r="AI139" s="9">
        <f t="shared" si="19"/>
        <v>1.0217613892867303E-2</v>
      </c>
      <c r="AJ139" s="9">
        <f t="shared" si="20"/>
        <v>0.16988652354602468</v>
      </c>
      <c r="AK139" s="9">
        <f t="shared" si="21"/>
        <v>2.8861430882553999E-2</v>
      </c>
      <c r="AL139" s="9">
        <f t="shared" si="22"/>
        <v>0.15774272810723916</v>
      </c>
      <c r="AM139" s="9">
        <f t="shared" si="23"/>
        <v>2.4882768270714381E-2</v>
      </c>
      <c r="AN139" s="8" t="s">
        <v>1619</v>
      </c>
    </row>
    <row r="140" spans="13:40" ht="23">
      <c r="M140" s="9" t="s">
        <v>3191</v>
      </c>
      <c r="N140" s="8" t="s">
        <v>1869</v>
      </c>
      <c r="O140" s="8"/>
      <c r="P140" s="8"/>
      <c r="Q140" s="8"/>
      <c r="R140" s="8"/>
      <c r="S140" s="8"/>
      <c r="T140" s="8"/>
      <c r="U140" s="8"/>
      <c r="V140" s="8"/>
      <c r="W140" s="9" t="s">
        <v>3191</v>
      </c>
      <c r="X140" s="8">
        <v>21.85</v>
      </c>
      <c r="Y140" s="8">
        <v>1.62</v>
      </c>
      <c r="Z140" s="9">
        <v>0.31</v>
      </c>
      <c r="AA140" s="8">
        <v>30.1</v>
      </c>
      <c r="AB140" s="8">
        <v>21421</v>
      </c>
      <c r="AC140" s="9" t="s">
        <v>3191</v>
      </c>
      <c r="AD140" s="8" t="s">
        <v>3725</v>
      </c>
      <c r="AE140" s="8" t="s">
        <v>4083</v>
      </c>
      <c r="AF140" s="9">
        <f t="shared" si="16"/>
        <v>48.762000000000008</v>
      </c>
      <c r="AG140" s="9">
        <f t="shared" si="17"/>
        <v>15.551666666666669</v>
      </c>
      <c r="AH140" s="9">
        <f t="shared" si="18"/>
        <v>0.10041500420341892</v>
      </c>
      <c r="AI140" s="9">
        <f t="shared" si="19"/>
        <v>1.0083173069172641E-2</v>
      </c>
      <c r="AJ140" s="9">
        <f t="shared" si="20"/>
        <v>5.1584822598862046E-2</v>
      </c>
      <c r="AK140" s="9">
        <f t="shared" si="21"/>
        <v>2.6609939225560684E-3</v>
      </c>
      <c r="AL140" s="9">
        <f t="shared" si="22"/>
        <v>2.0073335460391254E-2</v>
      </c>
      <c r="AM140" s="9">
        <f t="shared" si="23"/>
        <v>4.0293879650540095E-4</v>
      </c>
      <c r="AN140" s="9" t="s">
        <v>3191</v>
      </c>
    </row>
    <row r="141" spans="13:40" ht="23">
      <c r="M141" s="8" t="s">
        <v>302</v>
      </c>
      <c r="N141" s="8" t="s">
        <v>150</v>
      </c>
      <c r="O141" s="8"/>
      <c r="P141" s="8"/>
      <c r="Q141" s="8"/>
      <c r="R141" s="8"/>
      <c r="S141" s="8"/>
      <c r="T141" s="8"/>
      <c r="U141" s="8"/>
      <c r="V141" s="8"/>
      <c r="W141" s="8" t="s">
        <v>302</v>
      </c>
      <c r="X141" s="8">
        <v>20.27</v>
      </c>
      <c r="Y141" s="8">
        <v>2.15</v>
      </c>
      <c r="Z141" s="9">
        <v>1.32</v>
      </c>
      <c r="AA141" s="8">
        <v>29.8</v>
      </c>
      <c r="AB141" s="8">
        <v>9842</v>
      </c>
      <c r="AC141" s="8" t="s">
        <v>302</v>
      </c>
      <c r="AD141" s="8" t="s">
        <v>3725</v>
      </c>
      <c r="AE141" s="8" t="s">
        <v>4083</v>
      </c>
      <c r="AF141" s="9">
        <f t="shared" si="16"/>
        <v>64.069999999999993</v>
      </c>
      <c r="AG141" s="9">
        <f t="shared" si="17"/>
        <v>45.693333333333328</v>
      </c>
      <c r="AH141" s="9">
        <f t="shared" si="18"/>
        <v>9.9414190208035991E-2</v>
      </c>
      <c r="AI141" s="9">
        <f t="shared" si="19"/>
        <v>9.8831812147195594E-3</v>
      </c>
      <c r="AJ141" s="9">
        <f t="shared" si="20"/>
        <v>6.7778999711026827E-2</v>
      </c>
      <c r="AK141" s="9">
        <f t="shared" si="21"/>
        <v>4.5939928018273743E-3</v>
      </c>
      <c r="AL141" s="9">
        <f t="shared" si="22"/>
        <v>5.8978733788670717E-2</v>
      </c>
      <c r="AM141" s="9">
        <f t="shared" si="23"/>
        <v>3.4784910393148888E-3</v>
      </c>
      <c r="AN141" s="8" t="s">
        <v>302</v>
      </c>
    </row>
    <row r="142" spans="13:40" ht="23">
      <c r="M142" s="8" t="s">
        <v>491</v>
      </c>
      <c r="N142" s="8" t="s">
        <v>150</v>
      </c>
      <c r="O142" s="8"/>
      <c r="P142" s="8"/>
      <c r="Q142" s="8"/>
      <c r="R142" s="8"/>
      <c r="S142" s="8"/>
      <c r="T142" s="8"/>
      <c r="U142" s="8"/>
      <c r="V142" s="8"/>
      <c r="W142" s="8" t="s">
        <v>491</v>
      </c>
      <c r="X142" s="8">
        <v>33.909999999999997</v>
      </c>
      <c r="Y142" s="8">
        <v>2.13</v>
      </c>
      <c r="Z142" s="9">
        <v>1.34</v>
      </c>
      <c r="AA142" s="8">
        <v>29.1</v>
      </c>
      <c r="AB142" s="8">
        <v>7853</v>
      </c>
      <c r="AC142" s="8" t="s">
        <v>491</v>
      </c>
      <c r="AD142" s="8" t="s">
        <v>3725</v>
      </c>
      <c r="AE142" s="8" t="s">
        <v>4083</v>
      </c>
      <c r="AF142" s="9">
        <f t="shared" si="16"/>
        <v>61.982999999999997</v>
      </c>
      <c r="AG142" s="9">
        <f t="shared" si="17"/>
        <v>45.59</v>
      </c>
      <c r="AH142" s="9">
        <f t="shared" si="18"/>
        <v>9.7078957552142534E-2</v>
      </c>
      <c r="AI142" s="9">
        <f t="shared" si="19"/>
        <v>9.4243239994106914E-3</v>
      </c>
      <c r="AJ142" s="9">
        <f t="shared" si="20"/>
        <v>6.5571183691096865E-2</v>
      </c>
      <c r="AK142" s="9">
        <f t="shared" si="21"/>
        <v>4.2995801306515676E-3</v>
      </c>
      <c r="AL142" s="9">
        <f t="shared" si="22"/>
        <v>5.8845356144415634E-2</v>
      </c>
      <c r="AM142" s="9">
        <f t="shared" si="23"/>
        <v>3.462775939763115E-3</v>
      </c>
      <c r="AN142" s="8" t="s">
        <v>491</v>
      </c>
    </row>
    <row r="143" spans="13:40" ht="23">
      <c r="M143" s="8" t="s">
        <v>1721</v>
      </c>
      <c r="N143" s="8" t="s">
        <v>1717</v>
      </c>
      <c r="O143" s="8"/>
      <c r="P143" s="8"/>
      <c r="Q143" s="8"/>
      <c r="R143" s="8"/>
      <c r="S143" s="8"/>
      <c r="T143" s="8"/>
      <c r="U143" s="8"/>
      <c r="V143" s="8"/>
      <c r="W143" s="8" t="s">
        <v>1721</v>
      </c>
      <c r="X143" s="8">
        <v>28.76</v>
      </c>
      <c r="Y143" s="8">
        <v>4.45</v>
      </c>
      <c r="Z143" s="9">
        <v>4.32</v>
      </c>
      <c r="AA143" s="8">
        <v>29.1</v>
      </c>
      <c r="AB143" s="8">
        <v>3838</v>
      </c>
      <c r="AC143" s="8" t="s">
        <v>1721</v>
      </c>
      <c r="AD143" s="8" t="s">
        <v>3725</v>
      </c>
      <c r="AE143" s="8" t="s">
        <v>4083</v>
      </c>
      <c r="AF143" s="9">
        <f t="shared" si="16"/>
        <v>129.495</v>
      </c>
      <c r="AG143" s="9">
        <f t="shared" si="17"/>
        <v>131.92000000000002</v>
      </c>
      <c r="AH143" s="9">
        <f t="shared" si="18"/>
        <v>9.7078957552142534E-2</v>
      </c>
      <c r="AI143" s="9">
        <f t="shared" si="19"/>
        <v>9.4243239994106914E-3</v>
      </c>
      <c r="AJ143" s="9">
        <f t="shared" si="20"/>
        <v>0.13699144010581271</v>
      </c>
      <c r="AK143" s="9">
        <f t="shared" si="21"/>
        <v>1.8766654662264473E-2</v>
      </c>
      <c r="AL143" s="9">
        <f t="shared" si="22"/>
        <v>0.1702759241625644</v>
      </c>
      <c r="AM143" s="9">
        <f t="shared" si="23"/>
        <v>2.8993890349415383E-2</v>
      </c>
      <c r="AN143" s="8" t="s">
        <v>1721</v>
      </c>
    </row>
    <row r="144" spans="13:40" ht="23">
      <c r="M144" s="9" t="s">
        <v>3116</v>
      </c>
      <c r="N144" s="8" t="s">
        <v>1862</v>
      </c>
      <c r="O144" s="8"/>
      <c r="P144" s="8"/>
      <c r="Q144" s="8"/>
      <c r="R144" s="8"/>
      <c r="S144" s="8"/>
      <c r="T144" s="8"/>
      <c r="U144" s="8"/>
      <c r="V144" s="8"/>
      <c r="W144" s="9" t="s">
        <v>3116</v>
      </c>
      <c r="X144" s="8">
        <v>13.87</v>
      </c>
      <c r="Y144" s="8">
        <v>1.55</v>
      </c>
      <c r="Z144" s="9">
        <v>1.17</v>
      </c>
      <c r="AA144" s="8">
        <v>28.8</v>
      </c>
      <c r="AB144" s="8">
        <v>15371</v>
      </c>
      <c r="AC144" s="9" t="s">
        <v>3116</v>
      </c>
      <c r="AD144" s="8" t="s">
        <v>3725</v>
      </c>
      <c r="AE144" s="8" t="s">
        <v>4083</v>
      </c>
      <c r="AF144" s="9">
        <f t="shared" si="16"/>
        <v>44.64</v>
      </c>
      <c r="AG144" s="9">
        <f t="shared" si="17"/>
        <v>36.96</v>
      </c>
      <c r="AH144" s="9">
        <f t="shared" si="18"/>
        <v>9.6078143556759615E-2</v>
      </c>
      <c r="AI144" s="9">
        <f t="shared" si="19"/>
        <v>9.2310096693133097E-3</v>
      </c>
      <c r="AJ144" s="9">
        <f t="shared" si="20"/>
        <v>4.7224200828784743E-2</v>
      </c>
      <c r="AK144" s="9">
        <f t="shared" si="21"/>
        <v>2.2301251439173935E-3</v>
      </c>
      <c r="AL144" s="9">
        <f t="shared" si="22"/>
        <v>4.7706171596788811E-2</v>
      </c>
      <c r="AM144" s="9">
        <f t="shared" si="23"/>
        <v>2.2758788084222595E-3</v>
      </c>
      <c r="AN144" s="9" t="s">
        <v>3116</v>
      </c>
    </row>
    <row r="145" spans="13:40" ht="23">
      <c r="M145" s="8" t="s">
        <v>221</v>
      </c>
      <c r="N145" s="8" t="s">
        <v>150</v>
      </c>
      <c r="O145" s="8"/>
      <c r="P145" s="8"/>
      <c r="Q145" s="8"/>
      <c r="R145" s="8"/>
      <c r="S145" s="8"/>
      <c r="T145" s="8"/>
      <c r="U145" s="8"/>
      <c r="V145" s="8"/>
      <c r="W145" s="8" t="s">
        <v>221</v>
      </c>
      <c r="X145" s="8">
        <v>34.64</v>
      </c>
      <c r="Y145" s="8">
        <v>1.47</v>
      </c>
      <c r="Z145" s="9">
        <v>0.42</v>
      </c>
      <c r="AA145" s="8">
        <v>27.2</v>
      </c>
      <c r="AB145" s="8">
        <v>17281</v>
      </c>
      <c r="AC145" s="8" t="s">
        <v>221</v>
      </c>
      <c r="AD145" s="8" t="s">
        <v>3725</v>
      </c>
      <c r="AE145" s="8" t="s">
        <v>4083</v>
      </c>
      <c r="AF145" s="9">
        <f t="shared" si="16"/>
        <v>39.984000000000002</v>
      </c>
      <c r="AG145" s="9">
        <f t="shared" si="17"/>
        <v>19.04</v>
      </c>
      <c r="AH145" s="9">
        <f t="shared" si="18"/>
        <v>9.0740468914717418E-2</v>
      </c>
      <c r="AI145" s="9">
        <f t="shared" si="19"/>
        <v>8.2338326988627975E-3</v>
      </c>
      <c r="AJ145" s="9">
        <f t="shared" si="20"/>
        <v>4.2298665903631918E-2</v>
      </c>
      <c r="AK145" s="9">
        <f t="shared" si="21"/>
        <v>1.7891771372270733E-3</v>
      </c>
      <c r="AL145" s="9">
        <f t="shared" si="22"/>
        <v>2.4575906580163929E-2</v>
      </c>
      <c r="AM145" s="9">
        <f t="shared" si="23"/>
        <v>6.0397518423694469E-4</v>
      </c>
      <c r="AN145" s="8" t="s">
        <v>221</v>
      </c>
    </row>
    <row r="146" spans="13:40" ht="23">
      <c r="M146" s="8" t="s">
        <v>1995</v>
      </c>
      <c r="N146" s="8" t="s">
        <v>1990</v>
      </c>
      <c r="O146" s="8"/>
      <c r="P146" s="8"/>
      <c r="Q146" s="8"/>
      <c r="R146" s="8"/>
      <c r="S146" s="8"/>
      <c r="T146" s="8"/>
      <c r="U146" s="8"/>
      <c r="V146" s="8"/>
      <c r="W146" s="8" t="s">
        <v>1995</v>
      </c>
      <c r="X146" s="8">
        <v>2.21</v>
      </c>
      <c r="Y146" s="8">
        <v>1.04</v>
      </c>
      <c r="Z146" s="9">
        <v>0.01</v>
      </c>
      <c r="AA146" s="8">
        <v>26.4</v>
      </c>
      <c r="AB146" s="8">
        <v>62030</v>
      </c>
      <c r="AC146" s="8" t="s">
        <v>1995</v>
      </c>
      <c r="AD146" s="8" t="s">
        <v>3725</v>
      </c>
      <c r="AE146" s="8" t="s">
        <v>4083</v>
      </c>
      <c r="AF146" s="9">
        <f t="shared" si="16"/>
        <v>27.456</v>
      </c>
      <c r="AG146" s="9">
        <f t="shared" si="17"/>
        <v>0.43999999999999995</v>
      </c>
      <c r="AH146" s="9">
        <f t="shared" si="18"/>
        <v>8.8071631593696312E-2</v>
      </c>
      <c r="AI146" s="9">
        <f t="shared" si="19"/>
        <v>7.7566122915757665E-3</v>
      </c>
      <c r="AJ146" s="9">
        <f t="shared" si="20"/>
        <v>2.9045422445231041E-2</v>
      </c>
      <c r="AK146" s="9">
        <f t="shared" si="21"/>
        <v>8.4363656502193108E-4</v>
      </c>
      <c r="AL146" s="9">
        <f t="shared" si="22"/>
        <v>5.6793061424748568E-4</v>
      </c>
      <c r="AM146" s="9">
        <f t="shared" si="23"/>
        <v>3.2254518259952641E-7</v>
      </c>
      <c r="AN146" s="8" t="s">
        <v>1995</v>
      </c>
    </row>
    <row r="147" spans="13:40" ht="23">
      <c r="M147" s="8" t="s">
        <v>2025</v>
      </c>
      <c r="N147" s="8" t="s">
        <v>2017</v>
      </c>
      <c r="O147" s="8"/>
      <c r="P147" s="8"/>
      <c r="Q147" s="8"/>
      <c r="R147" s="8"/>
      <c r="S147" s="8"/>
      <c r="T147" s="8"/>
      <c r="U147" s="8"/>
      <c r="V147" s="8"/>
      <c r="W147" s="8" t="s">
        <v>2025</v>
      </c>
      <c r="X147" s="8">
        <v>21.72</v>
      </c>
      <c r="Y147" s="8">
        <v>4.55</v>
      </c>
      <c r="Z147" s="9">
        <v>4.09</v>
      </c>
      <c r="AA147" s="8">
        <v>25.8</v>
      </c>
      <c r="AB147" s="8">
        <v>5519</v>
      </c>
      <c r="AC147" s="8" t="s">
        <v>2025</v>
      </c>
      <c r="AD147" s="8" t="s">
        <v>3725</v>
      </c>
      <c r="AE147" s="8" t="s">
        <v>4083</v>
      </c>
      <c r="AF147" s="9">
        <f t="shared" si="16"/>
        <v>117.39</v>
      </c>
      <c r="AG147" s="9">
        <f t="shared" si="17"/>
        <v>107.07000000000001</v>
      </c>
      <c r="AH147" s="9">
        <f t="shared" si="18"/>
        <v>8.6070003602930489E-2</v>
      </c>
      <c r="AI147" s="9">
        <f t="shared" si="19"/>
        <v>7.4080455202084677E-3</v>
      </c>
      <c r="AJ147" s="9">
        <f t="shared" si="20"/>
        <v>0.1241856840342975</v>
      </c>
      <c r="AK147" s="9">
        <f t="shared" si="21"/>
        <v>1.5422084119066372E-2</v>
      </c>
      <c r="AL147" s="9">
        <f t="shared" si="22"/>
        <v>0.13820075197154161</v>
      </c>
      <c r="AM147" s="9">
        <f t="shared" si="23"/>
        <v>1.9099447845499561E-2</v>
      </c>
      <c r="AN147" s="8" t="s">
        <v>2025</v>
      </c>
    </row>
    <row r="148" spans="13:40" ht="23">
      <c r="M148" s="8" t="s">
        <v>1905</v>
      </c>
      <c r="N148" s="8" t="s">
        <v>1902</v>
      </c>
      <c r="O148" s="8"/>
      <c r="P148" s="8" t="s">
        <v>3694</v>
      </c>
      <c r="Q148" s="8"/>
      <c r="R148" s="8"/>
      <c r="S148" s="8"/>
      <c r="T148" s="8"/>
      <c r="U148" s="8"/>
      <c r="V148" s="8"/>
      <c r="W148" s="8" t="s">
        <v>1905</v>
      </c>
      <c r="X148" s="8">
        <v>15.69</v>
      </c>
      <c r="Y148" s="8">
        <v>7.21</v>
      </c>
      <c r="Z148" s="9">
        <v>5.24</v>
      </c>
      <c r="AA148" s="8">
        <v>25.5</v>
      </c>
      <c r="AB148" s="8">
        <v>6445</v>
      </c>
      <c r="AC148" s="8" t="s">
        <v>1905</v>
      </c>
      <c r="AD148" s="8" t="s">
        <v>3725</v>
      </c>
      <c r="AE148" s="8" t="s">
        <v>4083</v>
      </c>
      <c r="AF148" s="9">
        <f t="shared" si="16"/>
        <v>183.85499999999999</v>
      </c>
      <c r="AG148" s="9">
        <f t="shared" si="17"/>
        <v>137.70000000000002</v>
      </c>
      <c r="AH148" s="9">
        <f t="shared" si="18"/>
        <v>8.5069189607547571E-2</v>
      </c>
      <c r="AI148" s="9">
        <f t="shared" si="19"/>
        <v>7.2367670204848793E-3</v>
      </c>
      <c r="AJ148" s="9">
        <f t="shared" si="20"/>
        <v>0.19449832982473605</v>
      </c>
      <c r="AK148" s="9">
        <f t="shared" si="21"/>
        <v>3.7829600304611813E-2</v>
      </c>
      <c r="AL148" s="9">
        <f t="shared" si="22"/>
        <v>0.17773646723154274</v>
      </c>
      <c r="AM148" s="9">
        <f t="shared" si="23"/>
        <v>3.1590251783949266E-2</v>
      </c>
      <c r="AN148" s="8" t="s">
        <v>1905</v>
      </c>
    </row>
    <row r="149" spans="13:40" ht="23">
      <c r="M149" s="8" t="s">
        <v>717</v>
      </c>
      <c r="N149" s="8" t="s">
        <v>150</v>
      </c>
      <c r="O149" s="8"/>
      <c r="P149" s="8" t="s">
        <v>3691</v>
      </c>
      <c r="Q149" s="8"/>
      <c r="R149" s="8"/>
      <c r="S149" s="8"/>
      <c r="T149" s="8"/>
      <c r="U149" s="8"/>
      <c r="V149" s="8"/>
      <c r="W149" s="8" t="s">
        <v>717</v>
      </c>
      <c r="X149" s="8">
        <v>8.52</v>
      </c>
      <c r="Y149" s="8">
        <v>4.01</v>
      </c>
      <c r="Z149" s="9">
        <v>1.24</v>
      </c>
      <c r="AA149" s="8">
        <v>25.5</v>
      </c>
      <c r="AB149" s="8">
        <v>12668</v>
      </c>
      <c r="AC149" s="8" t="s">
        <v>717</v>
      </c>
      <c r="AD149" s="8" t="s">
        <v>3725</v>
      </c>
      <c r="AE149" s="8" t="s">
        <v>4083</v>
      </c>
      <c r="AF149" s="9">
        <f t="shared" si="16"/>
        <v>102.255</v>
      </c>
      <c r="AG149" s="9">
        <f t="shared" si="17"/>
        <v>35.699999999999996</v>
      </c>
      <c r="AH149" s="9">
        <f t="shared" si="18"/>
        <v>8.5069189607547571E-2</v>
      </c>
      <c r="AI149" s="9">
        <f t="shared" si="19"/>
        <v>7.2367670204848793E-3</v>
      </c>
      <c r="AJ149" s="9">
        <f t="shared" si="20"/>
        <v>0.1081745218581403</v>
      </c>
      <c r="AK149" s="9">
        <f t="shared" si="21"/>
        <v>1.1701727179237275E-2</v>
      </c>
      <c r="AL149" s="9">
        <f t="shared" si="22"/>
        <v>4.6079824837807364E-2</v>
      </c>
      <c r="AM149" s="9">
        <f t="shared" si="23"/>
        <v>2.1233502570830085E-3</v>
      </c>
      <c r="AN149" s="8" t="s">
        <v>717</v>
      </c>
    </row>
    <row r="150" spans="13:40" ht="23">
      <c r="M150" s="8" t="s">
        <v>5024</v>
      </c>
      <c r="N150" s="8" t="s">
        <v>13</v>
      </c>
      <c r="O150" s="8"/>
      <c r="P150" s="8" t="s">
        <v>3693</v>
      </c>
      <c r="Q150" s="8"/>
      <c r="R150" s="8"/>
      <c r="S150" s="8"/>
      <c r="T150" s="8"/>
      <c r="U150" s="8"/>
      <c r="V150" s="8"/>
      <c r="W150" s="8" t="s">
        <v>5024</v>
      </c>
      <c r="X150" s="8">
        <v>41.27</v>
      </c>
      <c r="Y150" s="8">
        <v>3.72</v>
      </c>
      <c r="Z150" s="9">
        <v>3.41</v>
      </c>
      <c r="AA150" s="8">
        <v>25.3</v>
      </c>
      <c r="AB150" s="8">
        <v>4896</v>
      </c>
      <c r="AC150" s="8" t="s">
        <v>5024</v>
      </c>
      <c r="AD150" s="8" t="s">
        <v>3725</v>
      </c>
      <c r="AE150" s="8" t="s">
        <v>4083</v>
      </c>
      <c r="AF150" s="9">
        <f t="shared" si="16"/>
        <v>94.116000000000014</v>
      </c>
      <c r="AG150" s="9">
        <f t="shared" si="17"/>
        <v>93.188333333333347</v>
      </c>
      <c r="AH150" s="9">
        <f t="shared" si="18"/>
        <v>8.4401980277292316E-2</v>
      </c>
      <c r="AI150" s="9">
        <f t="shared" si="19"/>
        <v>7.1236942747284412E-3</v>
      </c>
      <c r="AJ150" s="9">
        <f t="shared" si="20"/>
        <v>9.9564356747354504E-2</v>
      </c>
      <c r="AK150" s="9">
        <f t="shared" si="21"/>
        <v>9.9130611345144767E-3</v>
      </c>
      <c r="AL150" s="9">
        <f t="shared" si="22"/>
        <v>0.12028297134249878</v>
      </c>
      <c r="AM150" s="9">
        <f t="shared" si="23"/>
        <v>1.4467993194980383E-2</v>
      </c>
      <c r="AN150" s="8" t="s">
        <v>5024</v>
      </c>
    </row>
    <row r="151" spans="13:40" ht="23">
      <c r="M151" s="8" t="s">
        <v>4947</v>
      </c>
      <c r="N151" s="8" t="s">
        <v>150</v>
      </c>
      <c r="O151" s="8"/>
      <c r="P151" s="8" t="s">
        <v>4667</v>
      </c>
      <c r="Q151" s="8"/>
      <c r="R151" s="8"/>
      <c r="S151" s="8"/>
      <c r="T151" s="8"/>
      <c r="U151" s="8"/>
      <c r="V151" s="8"/>
      <c r="W151" s="8" t="s">
        <v>4947</v>
      </c>
      <c r="X151" s="8">
        <v>35.479999999999997</v>
      </c>
      <c r="Y151" s="8">
        <v>4.41</v>
      </c>
      <c r="Z151" s="9">
        <v>4.4000000000000004</v>
      </c>
      <c r="AA151" s="8">
        <v>24.9</v>
      </c>
      <c r="AB151" s="8">
        <v>4476</v>
      </c>
      <c r="AC151" s="8" t="s">
        <v>4947</v>
      </c>
      <c r="AD151" s="8" t="s">
        <v>3725</v>
      </c>
      <c r="AE151" s="8" t="s">
        <v>4083</v>
      </c>
      <c r="AF151" s="9">
        <f t="shared" si="16"/>
        <v>109.809</v>
      </c>
      <c r="AG151" s="9">
        <f t="shared" si="17"/>
        <v>99.765999999999991</v>
      </c>
      <c r="AH151" s="9">
        <f t="shared" si="18"/>
        <v>8.3067561616781749E-2</v>
      </c>
      <c r="AI151" s="9">
        <f t="shared" si="19"/>
        <v>6.9002197929578322E-3</v>
      </c>
      <c r="AJ151" s="9">
        <f t="shared" si="20"/>
        <v>0.11616582143387148</v>
      </c>
      <c r="AK151" s="9">
        <f t="shared" si="21"/>
        <v>1.3494498069406115E-2</v>
      </c>
      <c r="AL151" s="9">
        <f t="shared" si="22"/>
        <v>0.12877310377503334</v>
      </c>
      <c r="AM151" s="9">
        <f t="shared" si="23"/>
        <v>1.6582512255855508E-2</v>
      </c>
      <c r="AN151" s="8" t="s">
        <v>4947</v>
      </c>
    </row>
    <row r="152" spans="13:40" ht="23">
      <c r="M152" s="8" t="s">
        <v>4952</v>
      </c>
      <c r="N152" s="8" t="s">
        <v>150</v>
      </c>
      <c r="O152" s="8"/>
      <c r="P152" s="8"/>
      <c r="Q152" s="8"/>
      <c r="R152" s="8"/>
      <c r="S152" s="8"/>
      <c r="T152" s="8"/>
      <c r="U152" s="8"/>
      <c r="V152" s="8"/>
      <c r="W152" s="8" t="s">
        <v>4952</v>
      </c>
      <c r="X152" s="8">
        <v>37.840000000000003</v>
      </c>
      <c r="Y152" s="8">
        <v>3.39</v>
      </c>
      <c r="Z152" s="9">
        <v>3.52</v>
      </c>
      <c r="AA152" s="8">
        <v>24</v>
      </c>
      <c r="AB152" s="8">
        <v>4731</v>
      </c>
      <c r="AC152" s="8" t="s">
        <v>4952</v>
      </c>
      <c r="AD152" s="8" t="s">
        <v>3725</v>
      </c>
      <c r="AE152" s="8" t="s">
        <v>4083</v>
      </c>
      <c r="AF152" s="9">
        <f t="shared" si="16"/>
        <v>81.36</v>
      </c>
      <c r="AG152" s="9">
        <f t="shared" si="17"/>
        <v>92.8</v>
      </c>
      <c r="AH152" s="9">
        <f t="shared" si="18"/>
        <v>8.0065119630633008E-2</v>
      </c>
      <c r="AI152" s="9">
        <f t="shared" si="19"/>
        <v>6.4104233814675747E-3</v>
      </c>
      <c r="AJ152" s="9">
        <f t="shared" si="20"/>
        <v>8.6069914413752821E-2</v>
      </c>
      <c r="AK152" s="9">
        <f t="shared" si="21"/>
        <v>7.4080301671907356E-3</v>
      </c>
      <c r="AL152" s="9">
        <f t="shared" si="22"/>
        <v>0.11978172955037882</v>
      </c>
      <c r="AM152" s="9">
        <f t="shared" si="23"/>
        <v>1.4347662734080094E-2</v>
      </c>
      <c r="AN152" s="8" t="s">
        <v>4952</v>
      </c>
    </row>
    <row r="153" spans="13:40" ht="23">
      <c r="M153" s="9" t="s">
        <v>2289</v>
      </c>
      <c r="N153" s="8" t="s">
        <v>150</v>
      </c>
      <c r="O153" s="8"/>
      <c r="P153" s="8"/>
      <c r="Q153" s="8"/>
      <c r="R153" s="8"/>
      <c r="S153" s="8"/>
      <c r="T153" s="8"/>
      <c r="U153" s="8"/>
      <c r="V153" s="8"/>
      <c r="W153" s="9" t="s">
        <v>2289</v>
      </c>
      <c r="X153" s="8">
        <v>29.47</v>
      </c>
      <c r="Y153" s="8">
        <v>2.48</v>
      </c>
      <c r="Z153" s="9">
        <v>2.2799999999999998</v>
      </c>
      <c r="AA153" s="8">
        <v>24</v>
      </c>
      <c r="AB153" s="8">
        <v>9626</v>
      </c>
      <c r="AC153" s="9" t="s">
        <v>2289</v>
      </c>
      <c r="AD153" s="8" t="s">
        <v>3725</v>
      </c>
      <c r="AE153" s="8" t="s">
        <v>4083</v>
      </c>
      <c r="AF153" s="9">
        <f t="shared" si="16"/>
        <v>59.519999999999996</v>
      </c>
      <c r="AG153" s="9">
        <f t="shared" si="17"/>
        <v>59.2</v>
      </c>
      <c r="AH153" s="9">
        <f t="shared" si="18"/>
        <v>8.0065119630633008E-2</v>
      </c>
      <c r="AI153" s="9">
        <f t="shared" si="19"/>
        <v>6.4104233814675747E-3</v>
      </c>
      <c r="AJ153" s="9">
        <f t="shared" si="20"/>
        <v>6.2965601105046315E-2</v>
      </c>
      <c r="AK153" s="9">
        <f t="shared" si="21"/>
        <v>3.96466692251981E-3</v>
      </c>
      <c r="AL153" s="9">
        <f t="shared" si="22"/>
        <v>7.6412482644207178E-2</v>
      </c>
      <c r="AM153" s="9">
        <f t="shared" si="23"/>
        <v>5.838867503851263E-3</v>
      </c>
      <c r="AN153" s="9" t="s">
        <v>2289</v>
      </c>
    </row>
    <row r="154" spans="13:40" ht="23">
      <c r="M154" s="8" t="s">
        <v>1978</v>
      </c>
      <c r="N154" s="8" t="s">
        <v>1964</v>
      </c>
      <c r="O154" s="8"/>
      <c r="P154" s="8"/>
      <c r="Q154" s="8"/>
      <c r="R154" s="8"/>
      <c r="S154" s="8"/>
      <c r="T154" s="8"/>
      <c r="U154" s="8"/>
      <c r="V154" s="8"/>
      <c r="W154" s="8" t="s">
        <v>1978</v>
      </c>
      <c r="X154" s="8">
        <v>29.47</v>
      </c>
      <c r="Y154" s="8">
        <v>2.48</v>
      </c>
      <c r="Z154" s="9">
        <v>2.2799999999999998</v>
      </c>
      <c r="AA154" s="8">
        <v>24</v>
      </c>
      <c r="AB154" s="8">
        <v>9626</v>
      </c>
      <c r="AC154" s="8" t="s">
        <v>1978</v>
      </c>
      <c r="AD154" s="8" t="s">
        <v>3725</v>
      </c>
      <c r="AE154" s="8" t="s">
        <v>4083</v>
      </c>
      <c r="AF154" s="9">
        <f t="shared" si="16"/>
        <v>59.519999999999996</v>
      </c>
      <c r="AG154" s="9">
        <f t="shared" si="17"/>
        <v>59.2</v>
      </c>
      <c r="AH154" s="9">
        <f t="shared" si="18"/>
        <v>8.0065119630633008E-2</v>
      </c>
      <c r="AI154" s="9">
        <f t="shared" si="19"/>
        <v>6.4104233814675747E-3</v>
      </c>
      <c r="AJ154" s="9">
        <f t="shared" si="20"/>
        <v>6.2965601105046315E-2</v>
      </c>
      <c r="AK154" s="9">
        <f t="shared" si="21"/>
        <v>3.96466692251981E-3</v>
      </c>
      <c r="AL154" s="9">
        <f t="shared" si="22"/>
        <v>7.6412482644207178E-2</v>
      </c>
      <c r="AM154" s="9">
        <f t="shared" si="23"/>
        <v>5.838867503851263E-3</v>
      </c>
      <c r="AN154" s="8" t="s">
        <v>1978</v>
      </c>
    </row>
    <row r="155" spans="13:40" ht="23">
      <c r="M155" s="9" t="s">
        <v>3494</v>
      </c>
      <c r="N155" s="8" t="s">
        <v>2027</v>
      </c>
      <c r="O155" s="8"/>
      <c r="P155" s="8" t="s">
        <v>3693</v>
      </c>
      <c r="Q155" s="8"/>
      <c r="R155" s="8"/>
      <c r="S155" s="8"/>
      <c r="T155" s="8"/>
      <c r="U155" s="8"/>
      <c r="V155" s="8"/>
      <c r="W155" s="9" t="s">
        <v>3494</v>
      </c>
      <c r="X155" s="8">
        <v>26.85</v>
      </c>
      <c r="Y155" s="8">
        <v>2.7</v>
      </c>
      <c r="Z155" s="9">
        <v>1.26</v>
      </c>
      <c r="AA155" s="8">
        <v>23.7</v>
      </c>
      <c r="AB155" s="8">
        <v>10786</v>
      </c>
      <c r="AC155" s="9" t="s">
        <v>3494</v>
      </c>
      <c r="AD155" s="8" t="s">
        <v>3725</v>
      </c>
      <c r="AE155" s="8" t="s">
        <v>4083</v>
      </c>
      <c r="AF155" s="9">
        <f t="shared" si="16"/>
        <v>63.99</v>
      </c>
      <c r="AG155" s="9">
        <f t="shared" si="17"/>
        <v>33.97</v>
      </c>
      <c r="AH155" s="9">
        <f t="shared" si="18"/>
        <v>7.9064305635250104E-2</v>
      </c>
      <c r="AI155" s="9">
        <f t="shared" si="19"/>
        <v>6.2511644255842415E-3</v>
      </c>
      <c r="AJ155" s="9">
        <f t="shared" si="20"/>
        <v>6.769436852674586E-2</v>
      </c>
      <c r="AK155" s="9">
        <f t="shared" si="21"/>
        <v>4.5825275302348806E-3</v>
      </c>
      <c r="AL155" s="9">
        <f t="shared" si="22"/>
        <v>4.3846824922697938E-2</v>
      </c>
      <c r="AM155" s="9">
        <f t="shared" si="23"/>
        <v>1.922544055801725E-3</v>
      </c>
      <c r="AN155" s="9" t="s">
        <v>3494</v>
      </c>
    </row>
    <row r="156" spans="13:40" ht="23">
      <c r="M156" s="8" t="s">
        <v>862</v>
      </c>
      <c r="N156" s="8" t="s">
        <v>150</v>
      </c>
      <c r="O156" s="8"/>
      <c r="P156" s="8"/>
      <c r="Q156" s="8"/>
      <c r="R156" s="8"/>
      <c r="S156" s="8"/>
      <c r="T156" s="8"/>
      <c r="U156" s="8"/>
      <c r="V156" s="8"/>
      <c r="W156" s="8" t="s">
        <v>862</v>
      </c>
      <c r="X156" s="8">
        <v>4.07</v>
      </c>
      <c r="Y156" s="8">
        <v>11.03</v>
      </c>
      <c r="Z156" s="9">
        <v>1.1399999999999999</v>
      </c>
      <c r="AA156" s="8">
        <v>23.3</v>
      </c>
      <c r="AB156" s="8">
        <v>48374</v>
      </c>
      <c r="AC156" s="8" t="s">
        <v>862</v>
      </c>
      <c r="AD156" s="8" t="s">
        <v>3725</v>
      </c>
      <c r="AE156" s="8" t="s">
        <v>4083</v>
      </c>
      <c r="AF156" s="9">
        <f t="shared" si="16"/>
        <v>256.99899999999997</v>
      </c>
      <c r="AG156" s="9">
        <f t="shared" si="17"/>
        <v>28.736666666666668</v>
      </c>
      <c r="AH156" s="9">
        <f t="shared" si="18"/>
        <v>7.7729886974739551E-2</v>
      </c>
      <c r="AI156" s="9">
        <f t="shared" si="19"/>
        <v>6.0419353291057852E-3</v>
      </c>
      <c r="AJ156" s="9">
        <f t="shared" si="20"/>
        <v>0.2718766216128326</v>
      </c>
      <c r="AK156" s="9">
        <f t="shared" si="21"/>
        <v>7.3916897379607355E-2</v>
      </c>
      <c r="AL156" s="9">
        <f t="shared" si="22"/>
        <v>3.7091892616875573E-2</v>
      </c>
      <c r="AM156" s="9">
        <f t="shared" si="23"/>
        <v>1.3758084979018286E-3</v>
      </c>
      <c r="AN156" s="8" t="s">
        <v>862</v>
      </c>
    </row>
    <row r="157" spans="13:40" ht="23">
      <c r="M157" s="8" t="s">
        <v>912</v>
      </c>
      <c r="N157" s="8" t="s">
        <v>150</v>
      </c>
      <c r="O157" s="8" t="s">
        <v>4163</v>
      </c>
      <c r="P157" s="8" t="s">
        <v>3691</v>
      </c>
      <c r="Q157" s="8"/>
      <c r="R157" s="8"/>
      <c r="S157" s="8"/>
      <c r="T157" s="8"/>
      <c r="U157" s="8"/>
      <c r="V157" s="8"/>
      <c r="W157" s="8" t="s">
        <v>912</v>
      </c>
      <c r="X157" s="8">
        <v>24.76</v>
      </c>
      <c r="Y157" s="8">
        <v>1.85</v>
      </c>
      <c r="Z157" s="9">
        <v>1.06</v>
      </c>
      <c r="AA157" s="8">
        <v>23.2</v>
      </c>
      <c r="AB157" s="8">
        <v>13410</v>
      </c>
      <c r="AC157" s="8" t="s">
        <v>912</v>
      </c>
      <c r="AD157" s="8" t="s">
        <v>3725</v>
      </c>
      <c r="AE157" s="8" t="s">
        <v>4083</v>
      </c>
      <c r="AF157" s="9">
        <f t="shared" si="16"/>
        <v>42.92</v>
      </c>
      <c r="AG157" s="9">
        <f t="shared" si="17"/>
        <v>25.52</v>
      </c>
      <c r="AH157" s="9">
        <f t="shared" si="18"/>
        <v>7.7396282309611916E-2</v>
      </c>
      <c r="AI157" s="9">
        <f t="shared" si="19"/>
        <v>5.9901845153491461E-3</v>
      </c>
      <c r="AJ157" s="9">
        <f t="shared" si="20"/>
        <v>4.5404630366743748E-2</v>
      </c>
      <c r="AK157" s="9">
        <f t="shared" si="21"/>
        <v>2.0615804587406283E-3</v>
      </c>
      <c r="AL157" s="9">
        <f t="shared" si="22"/>
        <v>3.293997562635418E-2</v>
      </c>
      <c r="AM157" s="9">
        <f t="shared" si="23"/>
        <v>1.0850419942648076E-3</v>
      </c>
      <c r="AN157" s="8" t="s">
        <v>912</v>
      </c>
    </row>
    <row r="158" spans="13:40" ht="23">
      <c r="M158" s="8" t="s">
        <v>548</v>
      </c>
      <c r="N158" s="8" t="s">
        <v>150</v>
      </c>
      <c r="O158" s="8"/>
      <c r="P158" s="8"/>
      <c r="Q158" s="8"/>
      <c r="R158" s="8"/>
      <c r="S158" s="8"/>
      <c r="T158" s="8"/>
      <c r="U158" s="8"/>
      <c r="V158" s="8"/>
      <c r="W158" s="8" t="s">
        <v>548</v>
      </c>
      <c r="X158" s="8">
        <v>21.45</v>
      </c>
      <c r="Y158" s="8">
        <v>1.7</v>
      </c>
      <c r="Z158" s="9">
        <v>0.39</v>
      </c>
      <c r="AA158" s="8">
        <v>23</v>
      </c>
      <c r="AB158" s="8">
        <v>13586</v>
      </c>
      <c r="AC158" s="8" t="s">
        <v>548</v>
      </c>
      <c r="AD158" s="8" t="s">
        <v>3725</v>
      </c>
      <c r="AE158" s="8" t="s">
        <v>4083</v>
      </c>
      <c r="AF158" s="9">
        <f t="shared" si="16"/>
        <v>39.1</v>
      </c>
      <c r="AG158" s="9">
        <f t="shared" si="17"/>
        <v>14.950000000000001</v>
      </c>
      <c r="AH158" s="9">
        <f t="shared" si="18"/>
        <v>7.6729072979356647E-2</v>
      </c>
      <c r="AI158" s="9">
        <f t="shared" si="19"/>
        <v>5.8873506402714387E-3</v>
      </c>
      <c r="AJ158" s="9">
        <f t="shared" si="20"/>
        <v>4.1363491317327132E-2</v>
      </c>
      <c r="AK158" s="9">
        <f t="shared" si="21"/>
        <v>1.710938413958597E-3</v>
      </c>
      <c r="AL158" s="9">
        <f t="shared" si="22"/>
        <v>1.9296733370454348E-2</v>
      </c>
      <c r="AM158" s="9">
        <f t="shared" si="23"/>
        <v>3.7236391877040639E-4</v>
      </c>
      <c r="AN158" s="8" t="s">
        <v>548</v>
      </c>
    </row>
    <row r="159" spans="13:40" ht="23">
      <c r="M159" s="9" t="s">
        <v>5032</v>
      </c>
      <c r="N159" s="8" t="s">
        <v>150</v>
      </c>
      <c r="O159" s="8"/>
      <c r="P159" s="8"/>
      <c r="Q159" s="8"/>
      <c r="R159" s="8"/>
      <c r="S159" s="8"/>
      <c r="T159" s="8"/>
      <c r="U159" s="8"/>
      <c r="V159" s="8"/>
      <c r="W159" s="9" t="s">
        <v>5032</v>
      </c>
      <c r="X159" s="8">
        <v>33.450000000000003</v>
      </c>
      <c r="Y159" s="8">
        <v>3.47</v>
      </c>
      <c r="Z159" s="9">
        <v>4.17</v>
      </c>
      <c r="AA159" s="8">
        <v>22.2</v>
      </c>
      <c r="AB159" s="8">
        <v>5394</v>
      </c>
      <c r="AC159" s="9" t="s">
        <v>5032</v>
      </c>
      <c r="AD159" s="8" t="s">
        <v>3725</v>
      </c>
      <c r="AE159" s="8" t="s">
        <v>4083</v>
      </c>
      <c r="AF159" s="9">
        <f t="shared" si="16"/>
        <v>77.034000000000006</v>
      </c>
      <c r="AG159" s="9">
        <f t="shared" si="17"/>
        <v>95.089999999999989</v>
      </c>
      <c r="AH159" s="9">
        <f t="shared" si="18"/>
        <v>7.4060235658335527E-2</v>
      </c>
      <c r="AI159" s="9">
        <f t="shared" si="19"/>
        <v>5.484918505768193E-3</v>
      </c>
      <c r="AJ159" s="9">
        <f t="shared" si="20"/>
        <v>8.149348312375905E-2</v>
      </c>
      <c r="AK159" s="9">
        <f t="shared" si="21"/>
        <v>6.6411877916424007E-3</v>
      </c>
      <c r="AL159" s="9">
        <f t="shared" si="22"/>
        <v>0.12273755024725776</v>
      </c>
      <c r="AM159" s="9">
        <f t="shared" si="23"/>
        <v>1.5064506240698123E-2</v>
      </c>
      <c r="AN159" s="9" t="s">
        <v>5032</v>
      </c>
    </row>
    <row r="160" spans="13:40" ht="23">
      <c r="M160" s="9" t="s">
        <v>3167</v>
      </c>
      <c r="N160" s="8" t="s">
        <v>1869</v>
      </c>
      <c r="O160" s="8"/>
      <c r="P160" s="8" t="s">
        <v>3691</v>
      </c>
      <c r="Q160" s="8"/>
      <c r="R160" s="8"/>
      <c r="S160" s="8"/>
      <c r="T160" s="8"/>
      <c r="U160" s="8"/>
      <c r="V160" s="8"/>
      <c r="W160" s="9" t="s">
        <v>3167</v>
      </c>
      <c r="X160" s="8">
        <v>22.23</v>
      </c>
      <c r="Y160" s="8">
        <v>6</v>
      </c>
      <c r="Z160" s="9">
        <v>5.14</v>
      </c>
      <c r="AA160" s="8">
        <v>21.7</v>
      </c>
      <c r="AB160" s="8">
        <v>4395</v>
      </c>
      <c r="AC160" s="9" t="s">
        <v>3167</v>
      </c>
      <c r="AD160" s="8" t="s">
        <v>3725</v>
      </c>
      <c r="AE160" s="8" t="s">
        <v>4083</v>
      </c>
      <c r="AF160" s="9">
        <f t="shared" si="16"/>
        <v>130.19999999999999</v>
      </c>
      <c r="AG160" s="9">
        <f t="shared" si="17"/>
        <v>113.56333333333333</v>
      </c>
      <c r="AH160" s="9">
        <f t="shared" si="18"/>
        <v>7.2392212332697353E-2</v>
      </c>
      <c r="AI160" s="9">
        <f t="shared" si="19"/>
        <v>5.2406324064223388E-3</v>
      </c>
      <c r="AJ160" s="9">
        <f t="shared" si="20"/>
        <v>0.13773725241728879</v>
      </c>
      <c r="AK160" s="9">
        <f t="shared" si="21"/>
        <v>1.8971550703463926E-2</v>
      </c>
      <c r="AL160" s="9">
        <f t="shared" si="22"/>
        <v>0.1465820310363454</v>
      </c>
      <c r="AM160" s="9">
        <f t="shared" si="23"/>
        <v>2.1486291822740127E-2</v>
      </c>
      <c r="AN160" s="9" t="s">
        <v>3167</v>
      </c>
    </row>
    <row r="161" spans="13:40" ht="23">
      <c r="M161" s="9" t="s">
        <v>2492</v>
      </c>
      <c r="N161" s="8" t="s">
        <v>150</v>
      </c>
      <c r="O161" s="8"/>
      <c r="P161" s="8"/>
      <c r="Q161" s="8"/>
      <c r="R161" s="8"/>
      <c r="S161" s="8"/>
      <c r="T161" s="8"/>
      <c r="U161" s="8"/>
      <c r="V161" s="8"/>
      <c r="W161" s="9" t="s">
        <v>2492</v>
      </c>
      <c r="X161" s="8">
        <v>4.03</v>
      </c>
      <c r="Y161" s="8">
        <v>1.99</v>
      </c>
      <c r="Z161" s="9">
        <v>0.15</v>
      </c>
      <c r="AA161" s="8">
        <v>21.6</v>
      </c>
      <c r="AB161" s="8">
        <v>33418</v>
      </c>
      <c r="AC161" s="9" t="s">
        <v>2492</v>
      </c>
      <c r="AD161" s="8" t="s">
        <v>3725</v>
      </c>
      <c r="AE161" s="8" t="s">
        <v>4083</v>
      </c>
      <c r="AF161" s="9">
        <f t="shared" si="16"/>
        <v>42.984000000000002</v>
      </c>
      <c r="AG161" s="9">
        <f t="shared" si="17"/>
        <v>5.4</v>
      </c>
      <c r="AH161" s="9">
        <f t="shared" si="18"/>
        <v>7.2058607667569718E-2</v>
      </c>
      <c r="AI161" s="9">
        <f t="shared" si="19"/>
        <v>5.1924429389887377E-3</v>
      </c>
      <c r="AJ161" s="9">
        <f t="shared" si="20"/>
        <v>4.5472335314168527E-2</v>
      </c>
      <c r="AK161" s="9">
        <f t="shared" si="21"/>
        <v>2.067733278924178E-3</v>
      </c>
      <c r="AL161" s="9">
        <f t="shared" si="22"/>
        <v>6.9700575384918717E-3</v>
      </c>
      <c r="AM161" s="9">
        <f t="shared" si="23"/>
        <v>4.8581702089887368E-5</v>
      </c>
      <c r="AN161" s="9" t="s">
        <v>2492</v>
      </c>
    </row>
    <row r="162" spans="13:40" ht="23">
      <c r="M162" s="8" t="s">
        <v>1651</v>
      </c>
      <c r="N162" s="8" t="s">
        <v>1614</v>
      </c>
      <c r="O162" s="8"/>
      <c r="P162" s="8" t="s">
        <v>3692</v>
      </c>
      <c r="Q162" s="8"/>
      <c r="R162" s="8"/>
      <c r="S162" s="8"/>
      <c r="T162" s="8"/>
      <c r="U162" s="8"/>
      <c r="V162" s="8"/>
      <c r="W162" s="8" t="s">
        <v>1651</v>
      </c>
      <c r="X162" s="8">
        <v>34.869999999999997</v>
      </c>
      <c r="Y162" s="8">
        <v>1.83</v>
      </c>
      <c r="Z162" s="9">
        <v>1.1399999999999999</v>
      </c>
      <c r="AA162" s="8">
        <v>21.1</v>
      </c>
      <c r="AB162" s="8">
        <v>10805</v>
      </c>
      <c r="AC162" s="8" t="s">
        <v>1651</v>
      </c>
      <c r="AD162" s="8" t="s">
        <v>3725</v>
      </c>
      <c r="AE162" s="8" t="s">
        <v>4083</v>
      </c>
      <c r="AF162" s="9">
        <f t="shared" si="16"/>
        <v>38.613000000000007</v>
      </c>
      <c r="AG162" s="9">
        <f t="shared" si="17"/>
        <v>26.023333333333337</v>
      </c>
      <c r="AH162" s="9">
        <f t="shared" si="18"/>
        <v>7.0390584341931531E-2</v>
      </c>
      <c r="AI162" s="9">
        <f t="shared" si="19"/>
        <v>4.954834363998576E-3</v>
      </c>
      <c r="AJ162" s="9">
        <f t="shared" si="20"/>
        <v>4.0848298983016701E-2</v>
      </c>
      <c r="AK162" s="9">
        <f t="shared" si="21"/>
        <v>1.6685835298059233E-3</v>
      </c>
      <c r="AL162" s="9">
        <f t="shared" si="22"/>
        <v>3.3589653829016082E-2</v>
      </c>
      <c r="AM162" s="9">
        <f t="shared" si="23"/>
        <v>1.1282648443531346E-3</v>
      </c>
      <c r="AN162" s="8" t="s">
        <v>1651</v>
      </c>
    </row>
    <row r="163" spans="13:40" ht="23">
      <c r="M163" s="9" t="s">
        <v>2739</v>
      </c>
      <c r="N163" s="8" t="s">
        <v>1614</v>
      </c>
      <c r="O163" s="8"/>
      <c r="P163" s="8"/>
      <c r="Q163" s="8"/>
      <c r="R163" s="8"/>
      <c r="S163" s="8"/>
      <c r="T163" s="8"/>
      <c r="U163" s="8"/>
      <c r="V163" s="8"/>
      <c r="W163" s="9" t="s">
        <v>2739</v>
      </c>
      <c r="X163" s="8">
        <v>7.63</v>
      </c>
      <c r="Y163" s="8">
        <v>2.4300000000000002</v>
      </c>
      <c r="Z163" s="9">
        <v>0.44</v>
      </c>
      <c r="AA163" s="8">
        <v>21</v>
      </c>
      <c r="AB163" s="8">
        <v>15506</v>
      </c>
      <c r="AC163" s="9" t="s">
        <v>2739</v>
      </c>
      <c r="AD163" s="8" t="s">
        <v>3725</v>
      </c>
      <c r="AE163" s="8" t="s">
        <v>4083</v>
      </c>
      <c r="AF163" s="9">
        <f t="shared" si="16"/>
        <v>51.03</v>
      </c>
      <c r="AG163" s="9">
        <f t="shared" si="17"/>
        <v>15.399999999999999</v>
      </c>
      <c r="AH163" s="9">
        <f t="shared" si="18"/>
        <v>7.0056979676803882E-2</v>
      </c>
      <c r="AI163" s="9">
        <f t="shared" si="19"/>
        <v>4.9079804014361119E-3</v>
      </c>
      <c r="AJ163" s="9">
        <f t="shared" si="20"/>
        <v>5.3984116673227715E-2</v>
      </c>
      <c r="AK163" s="9">
        <f t="shared" si="21"/>
        <v>2.9142848529886624E-3</v>
      </c>
      <c r="AL163" s="9">
        <f t="shared" si="22"/>
        <v>1.9877571498662001E-2</v>
      </c>
      <c r="AM163" s="9">
        <f t="shared" si="23"/>
        <v>3.9511784868441989E-4</v>
      </c>
      <c r="AN163" s="9" t="s">
        <v>2739</v>
      </c>
    </row>
    <row r="164" spans="13:40" ht="23">
      <c r="M164" s="8" t="s">
        <v>1541</v>
      </c>
      <c r="N164" s="8" t="s">
        <v>150</v>
      </c>
      <c r="O164" s="8"/>
      <c r="P164" s="8" t="s">
        <v>3693</v>
      </c>
      <c r="Q164" s="8"/>
      <c r="R164" s="8"/>
      <c r="S164" s="8"/>
      <c r="T164" s="8"/>
      <c r="U164" s="8"/>
      <c r="V164" s="8"/>
      <c r="W164" s="8" t="s">
        <v>1541</v>
      </c>
      <c r="X164" s="8">
        <v>28.57</v>
      </c>
      <c r="Y164" s="8">
        <v>2.27</v>
      </c>
      <c r="Z164" s="9">
        <v>1.33</v>
      </c>
      <c r="AA164" s="8">
        <v>20.9</v>
      </c>
      <c r="AB164" s="8">
        <v>10546</v>
      </c>
      <c r="AC164" s="8" t="s">
        <v>1541</v>
      </c>
      <c r="AD164" s="8" t="s">
        <v>3725</v>
      </c>
      <c r="AE164" s="8" t="s">
        <v>4083</v>
      </c>
      <c r="AF164" s="9">
        <f t="shared" si="16"/>
        <v>47.442999999999998</v>
      </c>
      <c r="AG164" s="9">
        <f t="shared" si="17"/>
        <v>32.394999999999996</v>
      </c>
      <c r="AH164" s="9">
        <f t="shared" si="18"/>
        <v>6.9723375011676247E-2</v>
      </c>
      <c r="AI164" s="9">
        <f t="shared" si="19"/>
        <v>4.8613490230188395E-3</v>
      </c>
      <c r="AJ164" s="9">
        <f t="shared" si="20"/>
        <v>5.0189465948029442E-2</v>
      </c>
      <c r="AK164" s="9">
        <f t="shared" si="21"/>
        <v>2.518982492148407E-3</v>
      </c>
      <c r="AL164" s="9">
        <f t="shared" si="22"/>
        <v>4.1813891473971139E-2</v>
      </c>
      <c r="AM164" s="9">
        <f t="shared" si="23"/>
        <v>1.7484015201970364E-3</v>
      </c>
      <c r="AN164" s="8" t="s">
        <v>1541</v>
      </c>
    </row>
    <row r="165" spans="13:40" ht="23">
      <c r="M165" s="8" t="s">
        <v>5035</v>
      </c>
      <c r="N165" s="8" t="s">
        <v>150</v>
      </c>
      <c r="O165" s="8"/>
      <c r="P165" s="8"/>
      <c r="Q165" s="8"/>
      <c r="R165" s="8"/>
      <c r="S165" s="8"/>
      <c r="T165" s="8"/>
      <c r="U165" s="8"/>
      <c r="V165" s="8"/>
      <c r="W165" s="8" t="s">
        <v>5035</v>
      </c>
      <c r="X165" s="8">
        <v>3.24</v>
      </c>
      <c r="Y165" s="8">
        <v>2.0699999999999998</v>
      </c>
      <c r="Z165" s="9">
        <v>0.57999999999999996</v>
      </c>
      <c r="AA165" s="8">
        <v>20.6</v>
      </c>
      <c r="AB165" s="8">
        <v>16579</v>
      </c>
      <c r="AC165" s="8" t="s">
        <v>5035</v>
      </c>
      <c r="AD165" s="8" t="s">
        <v>3725</v>
      </c>
      <c r="AE165" s="8" t="s">
        <v>4083</v>
      </c>
      <c r="AF165" s="9">
        <f t="shared" si="16"/>
        <v>42.642000000000003</v>
      </c>
      <c r="AG165" s="9">
        <f t="shared" si="17"/>
        <v>19.913333333333334</v>
      </c>
      <c r="AH165" s="9">
        <f t="shared" si="18"/>
        <v>6.8722561016293343E-2</v>
      </c>
      <c r="AI165" s="9">
        <f t="shared" si="19"/>
        <v>4.7227903926381617E-3</v>
      </c>
      <c r="AJ165" s="9">
        <f t="shared" si="20"/>
        <v>4.5110537001367357E-2</v>
      </c>
      <c r="AK165" s="9">
        <f t="shared" si="21"/>
        <v>2.0349605485517333E-3</v>
      </c>
      <c r="AL165" s="9">
        <f t="shared" si="22"/>
        <v>2.5703162799352124E-2</v>
      </c>
      <c r="AM165" s="9">
        <f t="shared" si="23"/>
        <v>6.6065257788999895E-4</v>
      </c>
      <c r="AN165" s="8" t="s">
        <v>5035</v>
      </c>
    </row>
    <row r="166" spans="13:40" ht="23">
      <c r="M166" s="24" t="s">
        <v>5128</v>
      </c>
      <c r="N166" s="24" t="s">
        <v>1614</v>
      </c>
      <c r="O166" s="24"/>
      <c r="P166" s="24"/>
      <c r="Q166" s="24"/>
      <c r="R166" s="24"/>
      <c r="S166" s="24"/>
      <c r="T166" s="24"/>
      <c r="U166" s="24"/>
      <c r="V166" s="24"/>
      <c r="W166" s="24" t="s">
        <v>5128</v>
      </c>
      <c r="X166" s="24">
        <v>97.92</v>
      </c>
      <c r="Y166" s="24">
        <v>1.1499999999999999</v>
      </c>
      <c r="Z166" s="25">
        <v>0.12</v>
      </c>
      <c r="AA166" s="24">
        <v>20.399999999999999</v>
      </c>
      <c r="AB166" s="24">
        <v>79335</v>
      </c>
      <c r="AC166" s="24" t="s">
        <v>5128</v>
      </c>
      <c r="AD166" s="8" t="s">
        <v>3725</v>
      </c>
      <c r="AE166" s="8" t="s">
        <v>4083</v>
      </c>
      <c r="AF166" s="25">
        <f t="shared" si="16"/>
        <v>23.459999999999997</v>
      </c>
      <c r="AG166" s="25">
        <f t="shared" si="17"/>
        <v>4.08</v>
      </c>
      <c r="AH166" s="25">
        <f t="shared" si="18"/>
        <v>6.805535168603806E-2</v>
      </c>
      <c r="AI166" s="25">
        <f t="shared" si="19"/>
        <v>4.6315308931103236E-3</v>
      </c>
      <c r="AJ166" s="25">
        <f t="shared" si="20"/>
        <v>2.4818094790396275E-2</v>
      </c>
      <c r="AK166" s="25">
        <f t="shared" si="21"/>
        <v>6.1593782902509477E-4</v>
      </c>
      <c r="AL166" s="25">
        <f t="shared" si="22"/>
        <v>5.2662656957494138E-3</v>
      </c>
      <c r="AM166" s="25">
        <f t="shared" si="23"/>
        <v>2.7733554378227058E-5</v>
      </c>
      <c r="AN166" s="24" t="s">
        <v>5128</v>
      </c>
    </row>
    <row r="167" spans="13:40" ht="23">
      <c r="M167" s="9" t="s">
        <v>3402</v>
      </c>
      <c r="N167" s="8" t="s">
        <v>1990</v>
      </c>
      <c r="O167" s="8"/>
      <c r="P167" s="8"/>
      <c r="Q167" s="8"/>
      <c r="R167" s="8"/>
      <c r="S167" s="8"/>
      <c r="T167" s="8"/>
      <c r="U167" s="8"/>
      <c r="V167" s="8"/>
      <c r="W167" s="9" t="s">
        <v>3402</v>
      </c>
      <c r="X167" s="8">
        <v>92.72</v>
      </c>
      <c r="Y167" s="8">
        <v>1.29</v>
      </c>
      <c r="Z167" s="9">
        <v>0.17</v>
      </c>
      <c r="AA167" s="8">
        <v>20.100000000000001</v>
      </c>
      <c r="AB167" s="8">
        <v>28707</v>
      </c>
      <c r="AC167" s="9" t="s">
        <v>3402</v>
      </c>
      <c r="AD167" s="8" t="s">
        <v>3725</v>
      </c>
      <c r="AE167" s="8" t="s">
        <v>4083</v>
      </c>
      <c r="AF167" s="9">
        <f t="shared" si="16"/>
        <v>25.929000000000002</v>
      </c>
      <c r="AG167" s="9">
        <f t="shared" si="17"/>
        <v>5.6950000000000003</v>
      </c>
      <c r="AH167" s="9">
        <f t="shared" si="18"/>
        <v>6.7054537690655155E-2</v>
      </c>
      <c r="AI167" s="9">
        <f t="shared" si="19"/>
        <v>4.496311024907493E-3</v>
      </c>
      <c r="AJ167" s="9">
        <f t="shared" si="20"/>
        <v>2.7430024715267912E-2</v>
      </c>
      <c r="AK167" s="9">
        <f t="shared" si="21"/>
        <v>7.5240625588020847E-4</v>
      </c>
      <c r="AL167" s="9">
        <f t="shared" si="22"/>
        <v>7.3508292003168904E-3</v>
      </c>
      <c r="AM167" s="9">
        <f t="shared" si="23"/>
        <v>5.4034689932231454E-5</v>
      </c>
      <c r="AN167" s="9" t="s">
        <v>3402</v>
      </c>
    </row>
    <row r="168" spans="13:40" ht="23">
      <c r="M168" s="8" t="s">
        <v>726</v>
      </c>
      <c r="N168" s="8" t="s">
        <v>150</v>
      </c>
      <c r="O168" s="8"/>
      <c r="P168" s="8"/>
      <c r="Q168" s="8"/>
      <c r="R168" s="8"/>
      <c r="S168" s="8"/>
      <c r="T168" s="8"/>
      <c r="U168" s="8"/>
      <c r="V168" s="8"/>
      <c r="W168" s="8" t="s">
        <v>726</v>
      </c>
      <c r="X168" s="8">
        <v>11</v>
      </c>
      <c r="Y168" s="8">
        <v>7.21</v>
      </c>
      <c r="Z168" s="9">
        <v>2.4900000000000002</v>
      </c>
      <c r="AA168" s="8">
        <v>20</v>
      </c>
      <c r="AB168" s="8">
        <v>9121</v>
      </c>
      <c r="AC168" s="8" t="s">
        <v>726</v>
      </c>
      <c r="AD168" s="8" t="s">
        <v>3725</v>
      </c>
      <c r="AE168" s="8" t="s">
        <v>4083</v>
      </c>
      <c r="AF168" s="9">
        <f t="shared" si="16"/>
        <v>144.19999999999999</v>
      </c>
      <c r="AG168" s="9">
        <f t="shared" si="17"/>
        <v>56.333333333333329</v>
      </c>
      <c r="AH168" s="9">
        <f t="shared" si="18"/>
        <v>6.6720933025527521E-2</v>
      </c>
      <c r="AI168" s="9">
        <f t="shared" si="19"/>
        <v>4.451682903796929E-3</v>
      </c>
      <c r="AJ168" s="9">
        <f t="shared" si="20"/>
        <v>0.15254770966645964</v>
      </c>
      <c r="AK168" s="9">
        <f t="shared" si="21"/>
        <v>2.3270803724482463E-2</v>
      </c>
      <c r="AL168" s="9">
        <f t="shared" si="22"/>
        <v>7.271232864229174E-2</v>
      </c>
      <c r="AM168" s="9">
        <f t="shared" si="23"/>
        <v>5.2870827365846399E-3</v>
      </c>
      <c r="AN168" s="8" t="s">
        <v>726</v>
      </c>
    </row>
    <row r="169" spans="13:40" ht="23">
      <c r="M169" s="9" t="s">
        <v>3503</v>
      </c>
      <c r="N169" s="8" t="s">
        <v>2032</v>
      </c>
      <c r="O169" s="8"/>
      <c r="P169" s="8"/>
      <c r="Q169" s="8"/>
      <c r="R169" s="8"/>
      <c r="S169" s="8"/>
      <c r="T169" s="8"/>
      <c r="U169" s="8"/>
      <c r="V169" s="8"/>
      <c r="W169" s="9" t="s">
        <v>3503</v>
      </c>
      <c r="X169" s="8">
        <v>2.71</v>
      </c>
      <c r="Y169" s="8">
        <v>1.04</v>
      </c>
      <c r="Z169" s="9">
        <v>0.02</v>
      </c>
      <c r="AA169" s="8">
        <v>19.899999999999999</v>
      </c>
      <c r="AB169" s="8">
        <v>93198</v>
      </c>
      <c r="AC169" s="9" t="s">
        <v>3503</v>
      </c>
      <c r="AD169" s="8" t="s">
        <v>3725</v>
      </c>
      <c r="AE169" s="8" t="s">
        <v>4083</v>
      </c>
      <c r="AF169" s="9">
        <f t="shared" si="16"/>
        <v>20.695999999999998</v>
      </c>
      <c r="AG169" s="9">
        <f t="shared" si="17"/>
        <v>0.66333333333333333</v>
      </c>
      <c r="AH169" s="9">
        <f t="shared" si="18"/>
        <v>6.6387328360399872E-2</v>
      </c>
      <c r="AI169" s="9">
        <f t="shared" si="19"/>
        <v>4.4072773668315532E-3</v>
      </c>
      <c r="AJ169" s="9">
        <f t="shared" si="20"/>
        <v>2.1894087373488549E-2</v>
      </c>
      <c r="AK169" s="9">
        <f t="shared" si="21"/>
        <v>4.7935106191795068E-4</v>
      </c>
      <c r="AL169" s="9">
        <f t="shared" si="22"/>
        <v>8.5619842602461876E-4</v>
      </c>
      <c r="AM169" s="9">
        <f t="shared" si="23"/>
        <v>7.3307574472703455E-7</v>
      </c>
      <c r="AN169" s="9" t="s">
        <v>3503</v>
      </c>
    </row>
    <row r="170" spans="13:40" ht="23">
      <c r="M170" s="8" t="s">
        <v>1551</v>
      </c>
      <c r="N170" s="8" t="s">
        <v>150</v>
      </c>
      <c r="O170" s="8"/>
      <c r="P170" s="8"/>
      <c r="Q170" s="8"/>
      <c r="R170" s="8"/>
      <c r="S170" s="8"/>
      <c r="T170" s="8"/>
      <c r="U170" s="8"/>
      <c r="V170" s="8"/>
      <c r="W170" s="8" t="s">
        <v>1551</v>
      </c>
      <c r="X170" s="8">
        <v>8.86</v>
      </c>
      <c r="Y170" s="8">
        <v>4.1500000000000004</v>
      </c>
      <c r="Z170" s="9">
        <v>2.48</v>
      </c>
      <c r="AA170" s="8">
        <v>19.7</v>
      </c>
      <c r="AB170" s="8">
        <v>11649</v>
      </c>
      <c r="AC170" s="8" t="s">
        <v>1551</v>
      </c>
      <c r="AD170" s="8" t="s">
        <v>3725</v>
      </c>
      <c r="AE170" s="8" t="s">
        <v>4083</v>
      </c>
      <c r="AF170" s="9">
        <f t="shared" si="16"/>
        <v>81.75500000000001</v>
      </c>
      <c r="AG170" s="9">
        <f t="shared" si="17"/>
        <v>55.16</v>
      </c>
      <c r="AH170" s="9">
        <f t="shared" si="18"/>
        <v>6.5720119030144603E-2</v>
      </c>
      <c r="AI170" s="9">
        <f t="shared" si="19"/>
        <v>4.3191340453363749E-3</v>
      </c>
      <c r="AJ170" s="9">
        <f t="shared" si="20"/>
        <v>8.6487780886140161E-2</v>
      </c>
      <c r="AK170" s="9">
        <f t="shared" si="21"/>
        <v>7.4801362426089911E-3</v>
      </c>
      <c r="AL170" s="9">
        <f t="shared" si="22"/>
        <v>7.1197847004298445E-2</v>
      </c>
      <c r="AM170" s="9">
        <f t="shared" si="23"/>
        <v>5.069133418047489E-3</v>
      </c>
      <c r="AN170" s="8" t="s">
        <v>1551</v>
      </c>
    </row>
    <row r="171" spans="13:40" ht="23">
      <c r="M171" s="24" t="s">
        <v>5132</v>
      </c>
      <c r="N171" s="24" t="s">
        <v>150</v>
      </c>
      <c r="O171" s="24"/>
      <c r="P171" s="24"/>
      <c r="Q171" s="24"/>
      <c r="R171" s="24"/>
      <c r="S171" s="24"/>
      <c r="T171" s="24"/>
      <c r="U171" s="24"/>
      <c r="V171" s="24"/>
      <c r="W171" s="24" t="s">
        <v>5132</v>
      </c>
      <c r="X171" s="24">
        <v>34.020000000000003</v>
      </c>
      <c r="Y171" s="24">
        <v>1.35</v>
      </c>
      <c r="Z171" s="25">
        <v>0.35</v>
      </c>
      <c r="AA171" s="24">
        <v>19.7</v>
      </c>
      <c r="AB171" s="24">
        <v>27944</v>
      </c>
      <c r="AC171" s="24" t="s">
        <v>5132</v>
      </c>
      <c r="AD171" s="8" t="s">
        <v>3725</v>
      </c>
      <c r="AE171" s="8" t="s">
        <v>4083</v>
      </c>
      <c r="AF171" s="25">
        <f t="shared" si="16"/>
        <v>26.595000000000002</v>
      </c>
      <c r="AG171" s="25">
        <f t="shared" si="17"/>
        <v>11.491666666666667</v>
      </c>
      <c r="AH171" s="25">
        <f t="shared" si="18"/>
        <v>6.5720119030144603E-2</v>
      </c>
      <c r="AI171" s="25">
        <f t="shared" si="19"/>
        <v>4.3191340453363749E-3</v>
      </c>
      <c r="AJ171" s="25">
        <f t="shared" si="20"/>
        <v>2.8134579324407036E-2</v>
      </c>
      <c r="AK171" s="25">
        <f t="shared" si="21"/>
        <v>7.9155455376135185E-4</v>
      </c>
      <c r="AL171" s="25">
        <f t="shared" si="22"/>
        <v>1.4832884792562177E-2</v>
      </c>
      <c r="AM171" s="25">
        <f t="shared" si="23"/>
        <v>2.2001447126942229E-4</v>
      </c>
      <c r="AN171" s="24" t="s">
        <v>5132</v>
      </c>
    </row>
    <row r="172" spans="13:40" ht="23">
      <c r="M172" s="8" t="s">
        <v>934</v>
      </c>
      <c r="N172" s="8" t="s">
        <v>150</v>
      </c>
      <c r="O172" s="8"/>
      <c r="P172" s="8" t="s">
        <v>3691</v>
      </c>
      <c r="Q172" s="8"/>
      <c r="R172" s="8"/>
      <c r="S172" s="8"/>
      <c r="T172" s="8"/>
      <c r="U172" s="8"/>
      <c r="V172" s="8"/>
      <c r="W172" s="8" t="s">
        <v>934</v>
      </c>
      <c r="X172" s="8">
        <v>28.8</v>
      </c>
      <c r="Y172" s="8">
        <v>1.92</v>
      </c>
      <c r="Z172" s="9">
        <v>1.53</v>
      </c>
      <c r="AA172" s="8">
        <v>19.5</v>
      </c>
      <c r="AB172" s="8">
        <v>12889</v>
      </c>
      <c r="AC172" s="8" t="s">
        <v>934</v>
      </c>
      <c r="AD172" s="8" t="s">
        <v>3725</v>
      </c>
      <c r="AE172" s="8" t="s">
        <v>4083</v>
      </c>
      <c r="AF172" s="9">
        <f t="shared" si="16"/>
        <v>37.44</v>
      </c>
      <c r="AG172" s="9">
        <f t="shared" si="17"/>
        <v>36.725000000000001</v>
      </c>
      <c r="AH172" s="9">
        <f t="shared" si="18"/>
        <v>6.5052909699889319E-2</v>
      </c>
      <c r="AI172" s="9">
        <f t="shared" si="19"/>
        <v>4.2318810604219537E-3</v>
      </c>
      <c r="AJ172" s="9">
        <f t="shared" si="20"/>
        <v>3.9607394243496873E-2</v>
      </c>
      <c r="AK172" s="9">
        <f t="shared" si="21"/>
        <v>1.5687456787597891E-3</v>
      </c>
      <c r="AL172" s="9">
        <f t="shared" si="22"/>
        <v>4.7402845018724805E-2</v>
      </c>
      <c r="AM172" s="9">
        <f t="shared" si="23"/>
        <v>2.247029715869243E-3</v>
      </c>
      <c r="AN172" s="8" t="s">
        <v>934</v>
      </c>
    </row>
    <row r="173" spans="13:40" ht="23">
      <c r="M173" s="9" t="s">
        <v>3016</v>
      </c>
      <c r="N173" s="8" t="s">
        <v>1814</v>
      </c>
      <c r="O173" s="8"/>
      <c r="P173" s="8" t="s">
        <v>3691</v>
      </c>
      <c r="Q173" s="8"/>
      <c r="R173" s="8"/>
      <c r="S173" s="8"/>
      <c r="T173" s="8"/>
      <c r="U173" s="8"/>
      <c r="V173" s="8"/>
      <c r="W173" s="9" t="s">
        <v>3016</v>
      </c>
      <c r="X173" s="8">
        <v>20.88</v>
      </c>
      <c r="Y173" s="8">
        <v>6.42</v>
      </c>
      <c r="Z173" s="9">
        <v>9.34</v>
      </c>
      <c r="AA173" s="8">
        <v>19.3</v>
      </c>
      <c r="AB173" s="8">
        <v>4670</v>
      </c>
      <c r="AC173" s="9" t="s">
        <v>3016</v>
      </c>
      <c r="AD173" s="8" t="s">
        <v>3725</v>
      </c>
      <c r="AE173" s="8" t="s">
        <v>4083</v>
      </c>
      <c r="AF173" s="9">
        <f t="shared" si="16"/>
        <v>123.90600000000001</v>
      </c>
      <c r="AG173" s="9">
        <f t="shared" si="17"/>
        <v>184.63666666666666</v>
      </c>
      <c r="AH173" s="9">
        <f t="shared" si="18"/>
        <v>6.438570036963405E-2</v>
      </c>
      <c r="AI173" s="9">
        <f t="shared" si="19"/>
        <v>4.145518412088294E-3</v>
      </c>
      <c r="AJ173" s="9">
        <f t="shared" si="20"/>
        <v>0.13107889399398301</v>
      </c>
      <c r="AK173" s="9">
        <f t="shared" si="21"/>
        <v>1.7181676450685836E-2</v>
      </c>
      <c r="AL173" s="9">
        <f t="shared" si="22"/>
        <v>0.23832003525592788</v>
      </c>
      <c r="AM173" s="9">
        <f t="shared" si="23"/>
        <v>5.6796439204386706E-2</v>
      </c>
      <c r="AN173" s="9" t="s">
        <v>3016</v>
      </c>
    </row>
    <row r="174" spans="13:40" ht="23">
      <c r="M174" s="24" t="s">
        <v>5110</v>
      </c>
      <c r="N174" s="24" t="s">
        <v>1964</v>
      </c>
      <c r="O174" s="24"/>
      <c r="P174" s="24"/>
      <c r="Q174" s="24"/>
      <c r="R174" s="24"/>
      <c r="S174" s="24"/>
      <c r="T174" s="24"/>
      <c r="U174" s="24"/>
      <c r="V174" s="24"/>
      <c r="W174" s="24" t="s">
        <v>5110</v>
      </c>
      <c r="X174" s="24">
        <v>70.8</v>
      </c>
      <c r="Y174" s="24">
        <v>1.28</v>
      </c>
      <c r="Z174" s="25">
        <v>0.22</v>
      </c>
      <c r="AA174" s="24">
        <v>19.2</v>
      </c>
      <c r="AB174" s="24">
        <v>39224</v>
      </c>
      <c r="AC174" s="24" t="s">
        <v>5110</v>
      </c>
      <c r="AD174" s="8" t="s">
        <v>3725</v>
      </c>
      <c r="AE174" s="8" t="s">
        <v>4083</v>
      </c>
      <c r="AF174" s="25">
        <f t="shared" si="16"/>
        <v>24.576000000000001</v>
      </c>
      <c r="AG174" s="25">
        <f t="shared" si="17"/>
        <v>7.0399999999999991</v>
      </c>
      <c r="AH174" s="25">
        <f t="shared" si="18"/>
        <v>6.4052095704506401E-2</v>
      </c>
      <c r="AI174" s="25">
        <f t="shared" si="19"/>
        <v>4.1026709641392477E-3</v>
      </c>
      <c r="AJ174" s="25">
        <f t="shared" si="20"/>
        <v>2.5998699811115897E-2</v>
      </c>
      <c r="AK174" s="25">
        <f t="shared" si="21"/>
        <v>6.7593239186851774E-4</v>
      </c>
      <c r="AL174" s="25">
        <f t="shared" si="22"/>
        <v>9.086889827959771E-3</v>
      </c>
      <c r="AM174" s="25">
        <f t="shared" si="23"/>
        <v>8.257156674547876E-5</v>
      </c>
      <c r="AN174" s="24" t="s">
        <v>5110</v>
      </c>
    </row>
    <row r="175" spans="13:40" ht="23">
      <c r="M175" s="9" t="s">
        <v>3099</v>
      </c>
      <c r="N175" s="8" t="s">
        <v>1814</v>
      </c>
      <c r="O175" s="8"/>
      <c r="P175" s="8"/>
      <c r="Q175" s="8"/>
      <c r="R175" s="8"/>
      <c r="S175" s="8"/>
      <c r="T175" s="8"/>
      <c r="U175" s="8"/>
      <c r="V175" s="8"/>
      <c r="W175" s="9" t="s">
        <v>3099</v>
      </c>
      <c r="X175" s="8">
        <v>35.24</v>
      </c>
      <c r="Y175" s="8">
        <v>1.62</v>
      </c>
      <c r="Z175" s="9">
        <v>1.1200000000000001</v>
      </c>
      <c r="AA175" s="8">
        <v>18.899999999999999</v>
      </c>
      <c r="AB175" s="8">
        <v>21517</v>
      </c>
      <c r="AC175" s="9" t="s">
        <v>3099</v>
      </c>
      <c r="AD175" s="8" t="s">
        <v>3725</v>
      </c>
      <c r="AE175" s="8" t="s">
        <v>4083</v>
      </c>
      <c r="AF175" s="9">
        <f t="shared" si="16"/>
        <v>30.617999999999999</v>
      </c>
      <c r="AG175" s="9">
        <f t="shared" si="17"/>
        <v>22.679999999999996</v>
      </c>
      <c r="AH175" s="9">
        <f t="shared" si="18"/>
        <v>6.3051281709123497E-2</v>
      </c>
      <c r="AI175" s="9">
        <f t="shared" si="19"/>
        <v>3.975464125163251E-3</v>
      </c>
      <c r="AJ175" s="9">
        <f t="shared" si="20"/>
        <v>3.2390470003936626E-2</v>
      </c>
      <c r="AK175" s="9">
        <f t="shared" si="21"/>
        <v>1.0491425470759183E-3</v>
      </c>
      <c r="AL175" s="9">
        <f t="shared" si="22"/>
        <v>2.9274241661665857E-2</v>
      </c>
      <c r="AM175" s="9">
        <f t="shared" si="23"/>
        <v>8.5698122486561293E-4</v>
      </c>
      <c r="AN175" s="9" t="s">
        <v>3099</v>
      </c>
    </row>
    <row r="176" spans="13:40" ht="23">
      <c r="M176" s="8" t="s">
        <v>872</v>
      </c>
      <c r="N176" s="8" t="s">
        <v>150</v>
      </c>
      <c r="O176" s="8"/>
      <c r="P176" s="8"/>
      <c r="Q176" s="8"/>
      <c r="R176" s="8"/>
      <c r="S176" s="8"/>
      <c r="T176" s="8"/>
      <c r="U176" s="8"/>
      <c r="V176" s="8"/>
      <c r="W176" s="8" t="s">
        <v>872</v>
      </c>
      <c r="X176" s="8">
        <v>14.88</v>
      </c>
      <c r="Y176" s="8">
        <v>3.25</v>
      </c>
      <c r="Z176" s="9">
        <v>1.55</v>
      </c>
      <c r="AA176" s="8">
        <v>18.100000000000001</v>
      </c>
      <c r="AB176" s="8">
        <v>11225</v>
      </c>
      <c r="AC176" s="8" t="s">
        <v>872</v>
      </c>
      <c r="AD176" s="8" t="s">
        <v>3725</v>
      </c>
      <c r="AE176" s="8" t="s">
        <v>4083</v>
      </c>
      <c r="AF176" s="9">
        <f t="shared" si="16"/>
        <v>58.825000000000003</v>
      </c>
      <c r="AG176" s="9">
        <f t="shared" si="17"/>
        <v>34.69166666666667</v>
      </c>
      <c r="AH176" s="9">
        <f t="shared" si="18"/>
        <v>6.0382444388102405E-2</v>
      </c>
      <c r="AI176" s="9">
        <f t="shared" si="19"/>
        <v>3.6460395902822794E-3</v>
      </c>
      <c r="AJ176" s="9">
        <f t="shared" si="20"/>
        <v>6.2230367691605344E-2</v>
      </c>
      <c r="AK176" s="9">
        <f t="shared" si="21"/>
        <v>3.8726186630323981E-3</v>
      </c>
      <c r="AL176" s="9">
        <f t="shared" si="22"/>
        <v>4.4778317180156887E-2</v>
      </c>
      <c r="AM176" s="9">
        <f t="shared" si="23"/>
        <v>2.0050976894867333E-3</v>
      </c>
      <c r="AN176" s="8" t="s">
        <v>872</v>
      </c>
    </row>
    <row r="177" spans="13:40" ht="23">
      <c r="M177" s="8" t="s">
        <v>1670</v>
      </c>
      <c r="N177" s="8" t="s">
        <v>1614</v>
      </c>
      <c r="O177" s="8"/>
      <c r="P177" s="8"/>
      <c r="Q177" s="8"/>
      <c r="R177" s="8"/>
      <c r="S177" s="8"/>
      <c r="T177" s="8"/>
      <c r="U177" s="8"/>
      <c r="V177" s="8"/>
      <c r="W177" s="8" t="s">
        <v>1670</v>
      </c>
      <c r="X177" s="8">
        <v>4.6900000000000004</v>
      </c>
      <c r="Y177" s="8">
        <v>10.19</v>
      </c>
      <c r="Z177" s="9">
        <v>5.25</v>
      </c>
      <c r="AA177" s="8">
        <v>18</v>
      </c>
      <c r="AB177" s="8">
        <v>51161</v>
      </c>
      <c r="AC177" s="8" t="s">
        <v>1670</v>
      </c>
      <c r="AD177" s="8" t="s">
        <v>3725</v>
      </c>
      <c r="AE177" s="8" t="s">
        <v>4083</v>
      </c>
      <c r="AF177" s="9">
        <f t="shared" si="16"/>
        <v>183.42</v>
      </c>
      <c r="AG177" s="9">
        <f t="shared" si="17"/>
        <v>97.5</v>
      </c>
      <c r="AH177" s="9">
        <f t="shared" si="18"/>
        <v>6.0048839722974763E-2</v>
      </c>
      <c r="AI177" s="9">
        <f t="shared" si="19"/>
        <v>3.6058631520755119E-3</v>
      </c>
      <c r="AJ177" s="9">
        <f t="shared" si="20"/>
        <v>0.19403814776020822</v>
      </c>
      <c r="AK177" s="9">
        <f t="shared" si="21"/>
        <v>3.7650802786212398E-2</v>
      </c>
      <c r="AL177" s="9">
        <f t="shared" si="22"/>
        <v>0.12584826111165878</v>
      </c>
      <c r="AM177" s="9">
        <f t="shared" si="23"/>
        <v>1.5837784824828248E-2</v>
      </c>
      <c r="AN177" s="8" t="s">
        <v>1670</v>
      </c>
    </row>
    <row r="178" spans="13:40" ht="23">
      <c r="M178" s="9" t="s">
        <v>2937</v>
      </c>
      <c r="N178" s="8" t="s">
        <v>1717</v>
      </c>
      <c r="O178" s="8"/>
      <c r="P178" s="8"/>
      <c r="Q178" s="8"/>
      <c r="R178" s="8"/>
      <c r="S178" s="8"/>
      <c r="T178" s="8"/>
      <c r="U178" s="8"/>
      <c r="V178" s="8"/>
      <c r="W178" s="9" t="s">
        <v>2937</v>
      </c>
      <c r="X178" s="8">
        <v>22.72</v>
      </c>
      <c r="Y178" s="8">
        <v>2.39</v>
      </c>
      <c r="Z178" s="9">
        <v>1.45</v>
      </c>
      <c r="AA178" s="8">
        <v>17.399999999999999</v>
      </c>
      <c r="AB178" s="8">
        <v>9087</v>
      </c>
      <c r="AC178" s="9" t="s">
        <v>2937</v>
      </c>
      <c r="AD178" s="8" t="s">
        <v>3725</v>
      </c>
      <c r="AE178" s="8" t="s">
        <v>4083</v>
      </c>
      <c r="AF178" s="9">
        <f t="shared" si="16"/>
        <v>41.585999999999999</v>
      </c>
      <c r="AG178" s="9">
        <f t="shared" si="17"/>
        <v>30.449999999999996</v>
      </c>
      <c r="AH178" s="9">
        <f t="shared" si="18"/>
        <v>5.8047211732208927E-2</v>
      </c>
      <c r="AI178" s="9">
        <f t="shared" si="19"/>
        <v>3.3694787898838935E-3</v>
      </c>
      <c r="AJ178" s="9">
        <f t="shared" si="20"/>
        <v>4.3993405368858464E-2</v>
      </c>
      <c r="AK178" s="9">
        <f t="shared" si="21"/>
        <v>1.9354197159487047E-3</v>
      </c>
      <c r="AL178" s="9">
        <f t="shared" si="22"/>
        <v>3.9303380008718046E-2</v>
      </c>
      <c r="AM178" s="9">
        <f t="shared" si="23"/>
        <v>1.5447556801096974E-3</v>
      </c>
      <c r="AN178" s="9" t="s">
        <v>2937</v>
      </c>
    </row>
    <row r="179" spans="13:40" ht="23">
      <c r="M179" s="8" t="s">
        <v>990</v>
      </c>
      <c r="N179" s="8" t="s">
        <v>150</v>
      </c>
      <c r="O179" s="8"/>
      <c r="P179" s="8"/>
      <c r="Q179" s="8"/>
      <c r="R179" s="8"/>
      <c r="S179" s="8"/>
      <c r="T179" s="8"/>
      <c r="U179" s="8"/>
      <c r="V179" s="8"/>
      <c r="W179" s="8" t="s">
        <v>990</v>
      </c>
      <c r="X179" s="8">
        <v>7.01</v>
      </c>
      <c r="Y179" s="8">
        <v>2.2599999999999998</v>
      </c>
      <c r="Z179" s="9">
        <v>0.42</v>
      </c>
      <c r="AA179" s="8">
        <v>17.3</v>
      </c>
      <c r="AB179" s="8">
        <v>38118</v>
      </c>
      <c r="AC179" s="8" t="s">
        <v>990</v>
      </c>
      <c r="AD179" s="8" t="s">
        <v>3725</v>
      </c>
      <c r="AE179" s="8" t="s">
        <v>4083</v>
      </c>
      <c r="AF179" s="9">
        <f t="shared" si="16"/>
        <v>39.097999999999999</v>
      </c>
      <c r="AG179" s="9">
        <f t="shared" si="17"/>
        <v>12.11</v>
      </c>
      <c r="AH179" s="9">
        <f t="shared" si="18"/>
        <v>5.7713607067081299E-2</v>
      </c>
      <c r="AI179" s="9">
        <f t="shared" si="19"/>
        <v>3.3308604406934563E-3</v>
      </c>
      <c r="AJ179" s="9">
        <f t="shared" si="20"/>
        <v>4.136137553772011E-2</v>
      </c>
      <c r="AK179" s="9">
        <f t="shared" si="21"/>
        <v>1.7107633863723114E-3</v>
      </c>
      <c r="AL179" s="9">
        <f t="shared" si="22"/>
        <v>1.5630999405766028E-2</v>
      </c>
      <c r="AM179" s="9">
        <f t="shared" si="23"/>
        <v>2.4432814242305792E-4</v>
      </c>
      <c r="AN179" s="8" t="s">
        <v>990</v>
      </c>
    </row>
    <row r="180" spans="13:40" ht="23">
      <c r="M180" s="8" t="s">
        <v>807</v>
      </c>
      <c r="N180" s="8" t="s">
        <v>150</v>
      </c>
      <c r="O180" s="8"/>
      <c r="P180" s="8"/>
      <c r="Q180" s="8"/>
      <c r="R180" s="8"/>
      <c r="S180" s="8"/>
      <c r="T180" s="8"/>
      <c r="U180" s="8"/>
      <c r="V180" s="8"/>
      <c r="W180" s="8" t="s">
        <v>807</v>
      </c>
      <c r="X180" s="8">
        <v>16.75</v>
      </c>
      <c r="Y180" s="8">
        <v>2.69</v>
      </c>
      <c r="Z180" s="9">
        <v>2.4</v>
      </c>
      <c r="AA180" s="8">
        <v>17.100000000000001</v>
      </c>
      <c r="AB180" s="8">
        <v>9992</v>
      </c>
      <c r="AC180" s="8" t="s">
        <v>807</v>
      </c>
      <c r="AD180" s="8" t="s">
        <v>3725</v>
      </c>
      <c r="AE180" s="8" t="s">
        <v>4083</v>
      </c>
      <c r="AF180" s="9">
        <f t="shared" si="16"/>
        <v>45.999000000000002</v>
      </c>
      <c r="AG180" s="9">
        <f t="shared" si="17"/>
        <v>34.314000000000007</v>
      </c>
      <c r="AH180" s="9">
        <f t="shared" si="18"/>
        <v>5.7046397736826029E-2</v>
      </c>
      <c r="AI180" s="9">
        <f t="shared" si="19"/>
        <v>3.2542914947481499E-3</v>
      </c>
      <c r="AJ180" s="9">
        <f t="shared" si="20"/>
        <v>4.8661873071757823E-2</v>
      </c>
      <c r="AK180" s="9">
        <f t="shared" si="21"/>
        <v>2.3679778908518691E-3</v>
      </c>
      <c r="AL180" s="9">
        <f t="shared" si="22"/>
        <v>4.4290843402927799E-2</v>
      </c>
      <c r="AM180" s="9">
        <f t="shared" si="23"/>
        <v>1.9616788093426729E-3</v>
      </c>
      <c r="AN180" s="8" t="s">
        <v>807</v>
      </c>
    </row>
    <row r="181" spans="13:40" ht="23">
      <c r="M181" s="8" t="s">
        <v>1808</v>
      </c>
      <c r="N181" s="8" t="s">
        <v>1717</v>
      </c>
      <c r="O181" s="8"/>
      <c r="P181" s="8"/>
      <c r="Q181" s="8"/>
      <c r="R181" s="8"/>
      <c r="S181" s="8"/>
      <c r="T181" s="8"/>
      <c r="U181" s="8"/>
      <c r="V181" s="8"/>
      <c r="W181" s="8" t="s">
        <v>1808</v>
      </c>
      <c r="X181" s="8">
        <v>32.979999999999997</v>
      </c>
      <c r="Y181" s="8">
        <v>1.32</v>
      </c>
      <c r="Z181" s="9">
        <v>0.21</v>
      </c>
      <c r="AA181" s="8">
        <v>16.8</v>
      </c>
      <c r="AB181" s="8">
        <v>21551</v>
      </c>
      <c r="AC181" s="8" t="s">
        <v>1808</v>
      </c>
      <c r="AD181" s="8" t="s">
        <v>3725</v>
      </c>
      <c r="AE181" s="8" t="s">
        <v>4083</v>
      </c>
      <c r="AF181" s="9">
        <f t="shared" si="16"/>
        <v>22.176000000000002</v>
      </c>
      <c r="AG181" s="9">
        <f t="shared" si="17"/>
        <v>5.88</v>
      </c>
      <c r="AH181" s="9">
        <f t="shared" si="18"/>
        <v>5.6045583741443118E-2</v>
      </c>
      <c r="AI181" s="9">
        <f t="shared" si="19"/>
        <v>3.1411074569191134E-3</v>
      </c>
      <c r="AJ181" s="9">
        <f t="shared" si="20"/>
        <v>2.3459764282686615E-2</v>
      </c>
      <c r="AK181" s="9">
        <f t="shared" si="21"/>
        <v>5.5036054019921865E-4</v>
      </c>
      <c r="AL181" s="9">
        <f t="shared" si="22"/>
        <v>7.5896182085800372E-3</v>
      </c>
      <c r="AM181" s="9">
        <f t="shared" si="23"/>
        <v>5.7602304552009651E-5</v>
      </c>
      <c r="AN181" s="8" t="s">
        <v>1808</v>
      </c>
    </row>
    <row r="182" spans="13:40" ht="23">
      <c r="M182" s="9" t="s">
        <v>3313</v>
      </c>
      <c r="N182" s="8" t="s">
        <v>1939</v>
      </c>
      <c r="O182" s="8"/>
      <c r="P182" s="8"/>
      <c r="Q182" s="8"/>
      <c r="R182" s="8"/>
      <c r="S182" s="8"/>
      <c r="T182" s="8"/>
      <c r="U182" s="8"/>
      <c r="V182" s="8"/>
      <c r="W182" s="9" t="s">
        <v>3313</v>
      </c>
      <c r="X182" s="8">
        <v>40.799999999999997</v>
      </c>
      <c r="Y182" s="8">
        <v>1.4</v>
      </c>
      <c r="Z182" s="9">
        <v>0.26</v>
      </c>
      <c r="AA182" s="8">
        <v>16.7</v>
      </c>
      <c r="AB182" s="8">
        <v>18740</v>
      </c>
      <c r="AC182" s="9" t="s">
        <v>3313</v>
      </c>
      <c r="AD182" s="8" t="s">
        <v>3725</v>
      </c>
      <c r="AE182" s="8" t="s">
        <v>4083</v>
      </c>
      <c r="AF182" s="9">
        <f t="shared" si="16"/>
        <v>23.38</v>
      </c>
      <c r="AG182" s="9">
        <f t="shared" si="17"/>
        <v>7.2366666666666664</v>
      </c>
      <c r="AH182" s="9">
        <f t="shared" si="18"/>
        <v>5.5711979076315477E-2</v>
      </c>
      <c r="AI182" s="9">
        <f t="shared" si="19"/>
        <v>3.1038246125998136E-3</v>
      </c>
      <c r="AJ182" s="9">
        <f t="shared" si="20"/>
        <v>2.4733463606115301E-2</v>
      </c>
      <c r="AK182" s="9">
        <f t="shared" si="21"/>
        <v>6.117442219550301E-4</v>
      </c>
      <c r="AL182" s="9">
        <f t="shared" si="22"/>
        <v>9.3407376025097851E-3</v>
      </c>
      <c r="AM182" s="9">
        <f t="shared" si="23"/>
        <v>8.7249378958940255E-5</v>
      </c>
      <c r="AN182" s="9" t="s">
        <v>3313</v>
      </c>
    </row>
    <row r="183" spans="13:40" ht="23">
      <c r="M183" s="9" t="s">
        <v>3525</v>
      </c>
      <c r="N183" s="8" t="s">
        <v>2041</v>
      </c>
      <c r="O183" s="8"/>
      <c r="P183" s="8"/>
      <c r="Q183" s="8"/>
      <c r="R183" s="8"/>
      <c r="S183" s="8"/>
      <c r="T183" s="8"/>
      <c r="U183" s="8"/>
      <c r="V183" s="8"/>
      <c r="W183" s="9" t="s">
        <v>3525</v>
      </c>
      <c r="X183" s="8">
        <v>31.37</v>
      </c>
      <c r="Y183" s="8">
        <v>1.59</v>
      </c>
      <c r="Z183" s="9">
        <v>0.39</v>
      </c>
      <c r="AA183" s="8">
        <v>16.600000000000001</v>
      </c>
      <c r="AB183" s="8">
        <v>18722</v>
      </c>
      <c r="AC183" s="9" t="s">
        <v>3525</v>
      </c>
      <c r="AD183" s="8" t="s">
        <v>3725</v>
      </c>
      <c r="AE183" s="8" t="s">
        <v>4083</v>
      </c>
      <c r="AF183" s="9">
        <f t="shared" si="16"/>
        <v>26.394000000000002</v>
      </c>
      <c r="AG183" s="9">
        <f t="shared" si="17"/>
        <v>10.790000000000001</v>
      </c>
      <c r="AH183" s="9">
        <f t="shared" si="18"/>
        <v>5.5378374411187842E-2</v>
      </c>
      <c r="AI183" s="9">
        <f t="shared" si="19"/>
        <v>3.0667643524257045E-3</v>
      </c>
      <c r="AJ183" s="9">
        <f t="shared" si="20"/>
        <v>2.7921943473901083E-2</v>
      </c>
      <c r="AK183" s="9">
        <f t="shared" si="21"/>
        <v>7.7963492735972728E-4</v>
      </c>
      <c r="AL183" s="9">
        <f t="shared" si="22"/>
        <v>1.3927207563023573E-2</v>
      </c>
      <c r="AM183" s="9">
        <f t="shared" si="23"/>
        <v>1.9396711050354099E-4</v>
      </c>
      <c r="AN183" s="9" t="s">
        <v>3525</v>
      </c>
    </row>
    <row r="184" spans="13:40" ht="23">
      <c r="M184" s="8" t="s">
        <v>1434</v>
      </c>
      <c r="N184" s="8" t="s">
        <v>150</v>
      </c>
      <c r="O184" s="8"/>
      <c r="P184" s="8" t="s">
        <v>4060</v>
      </c>
      <c r="Q184" s="8"/>
      <c r="R184" s="8"/>
      <c r="S184" s="8"/>
      <c r="T184" s="8"/>
      <c r="U184" s="8"/>
      <c r="V184" s="8"/>
      <c r="W184" s="8" t="s">
        <v>1434</v>
      </c>
      <c r="X184" s="8">
        <v>26.42</v>
      </c>
      <c r="Y184" s="8">
        <v>13.32</v>
      </c>
      <c r="Z184" s="9">
        <v>6.27</v>
      </c>
      <c r="AA184" s="8">
        <v>16.5</v>
      </c>
      <c r="AB184" s="8">
        <v>4969</v>
      </c>
      <c r="AC184" s="8" t="s">
        <v>1434</v>
      </c>
      <c r="AD184" s="8" t="s">
        <v>3725</v>
      </c>
      <c r="AE184" s="8" t="s">
        <v>4083</v>
      </c>
      <c r="AF184" s="9">
        <f t="shared" si="16"/>
        <v>219.78</v>
      </c>
      <c r="AG184" s="9">
        <f t="shared" si="17"/>
        <v>106.425</v>
      </c>
      <c r="AH184" s="9">
        <f t="shared" si="18"/>
        <v>5.50447697460602E-2</v>
      </c>
      <c r="AI184" s="9">
        <f t="shared" si="19"/>
        <v>3.0299266763967841E-3</v>
      </c>
      <c r="AJ184" s="9">
        <f t="shared" si="20"/>
        <v>0.23250302101591194</v>
      </c>
      <c r="AK184" s="9">
        <f t="shared" si="21"/>
        <v>5.4057654781525591E-2</v>
      </c>
      <c r="AL184" s="9">
        <f t="shared" si="22"/>
        <v>0.13736821732111062</v>
      </c>
      <c r="AM184" s="9">
        <f t="shared" si="23"/>
        <v>1.8870027129979879E-2</v>
      </c>
      <c r="AN184" s="8" t="s">
        <v>1434</v>
      </c>
    </row>
    <row r="185" spans="13:40" ht="23">
      <c r="M185" s="8" t="s">
        <v>1748</v>
      </c>
      <c r="N185" s="8" t="s">
        <v>1717</v>
      </c>
      <c r="O185" s="8"/>
      <c r="P185" s="8"/>
      <c r="Q185" s="8"/>
      <c r="R185" s="8"/>
      <c r="S185" s="8"/>
      <c r="T185" s="8"/>
      <c r="U185" s="8"/>
      <c r="V185" s="8"/>
      <c r="W185" s="8" t="s">
        <v>1748</v>
      </c>
      <c r="X185" s="8">
        <v>37.29</v>
      </c>
      <c r="Y185" s="8">
        <v>2.29</v>
      </c>
      <c r="Z185" s="9">
        <v>1.1000000000000001</v>
      </c>
      <c r="AA185" s="8">
        <v>16.3</v>
      </c>
      <c r="AB185" s="8">
        <v>9432</v>
      </c>
      <c r="AC185" s="8" t="s">
        <v>1748</v>
      </c>
      <c r="AD185" s="8" t="s">
        <v>3725</v>
      </c>
      <c r="AE185" s="8" t="s">
        <v>4083</v>
      </c>
      <c r="AF185" s="9">
        <f t="shared" si="16"/>
        <v>37.327000000000005</v>
      </c>
      <c r="AG185" s="9">
        <f t="shared" si="17"/>
        <v>16.327166666666667</v>
      </c>
      <c r="AH185" s="9">
        <f t="shared" si="18"/>
        <v>5.4377560415804924E-2</v>
      </c>
      <c r="AI185" s="9">
        <f t="shared" si="19"/>
        <v>2.9569190767745144E-3</v>
      </c>
      <c r="AJ185" s="9">
        <f t="shared" si="20"/>
        <v>3.9487852695700001E-2</v>
      </c>
      <c r="AK185" s="9">
        <f t="shared" si="21"/>
        <v>1.5592905105173019E-3</v>
      </c>
      <c r="AL185" s="9">
        <f t="shared" si="22"/>
        <v>2.1074313168002443E-2</v>
      </c>
      <c r="AM185" s="9">
        <f t="shared" si="23"/>
        <v>4.4412667550304113E-4</v>
      </c>
      <c r="AN185" s="8" t="s">
        <v>1748</v>
      </c>
    </row>
    <row r="186" spans="13:40" ht="23">
      <c r="M186" s="9" t="s">
        <v>4949</v>
      </c>
      <c r="N186" s="8" t="s">
        <v>150</v>
      </c>
      <c r="O186" s="8"/>
      <c r="P186" s="8" t="s">
        <v>3691</v>
      </c>
      <c r="Q186" s="8"/>
      <c r="R186" s="8"/>
      <c r="S186" s="8"/>
      <c r="T186" s="8"/>
      <c r="U186" s="8"/>
      <c r="V186" s="8"/>
      <c r="W186" s="9" t="s">
        <v>4949</v>
      </c>
      <c r="X186" s="8">
        <v>14.52</v>
      </c>
      <c r="Y186" s="8">
        <v>8.8800000000000008</v>
      </c>
      <c r="Z186" s="9">
        <v>18.27</v>
      </c>
      <c r="AA186" s="8">
        <v>15.5</v>
      </c>
      <c r="AB186" s="8">
        <v>8094</v>
      </c>
      <c r="AC186" s="9" t="s">
        <v>4949</v>
      </c>
      <c r="AD186" s="8" t="s">
        <v>3725</v>
      </c>
      <c r="AE186" s="8" t="s">
        <v>4083</v>
      </c>
      <c r="AF186" s="9">
        <f t="shared" si="16"/>
        <v>137.64000000000001</v>
      </c>
      <c r="AG186" s="9">
        <f t="shared" si="17"/>
        <v>285.97499999999997</v>
      </c>
      <c r="AH186" s="9">
        <f t="shared" si="18"/>
        <v>5.1708723094783825E-2</v>
      </c>
      <c r="AI186" s="9">
        <f t="shared" si="19"/>
        <v>2.6737920440930299E-3</v>
      </c>
      <c r="AJ186" s="9">
        <f t="shared" si="20"/>
        <v>0.14560795255541961</v>
      </c>
      <c r="AK186" s="9">
        <f t="shared" si="21"/>
        <v>2.1201675847381328E-2</v>
      </c>
      <c r="AL186" s="9">
        <f t="shared" si="22"/>
        <v>0.36912263047596527</v>
      </c>
      <c r="AM186" s="9">
        <f t="shared" si="23"/>
        <v>0.136251516329496</v>
      </c>
      <c r="AN186" s="9" t="s">
        <v>4949</v>
      </c>
    </row>
    <row r="187" spans="13:40" ht="23">
      <c r="M187" s="8" t="s">
        <v>5088</v>
      </c>
      <c r="N187" s="8" t="s">
        <v>150</v>
      </c>
      <c r="O187" s="8"/>
      <c r="P187" s="8" t="s">
        <v>3691</v>
      </c>
      <c r="Q187" s="8"/>
      <c r="R187" s="8"/>
      <c r="S187" s="8"/>
      <c r="T187" s="8"/>
      <c r="U187" s="8"/>
      <c r="V187" s="8"/>
      <c r="W187" s="8" t="s">
        <v>5088</v>
      </c>
      <c r="X187" s="8">
        <v>39.44</v>
      </c>
      <c r="Y187" s="8">
        <v>2.2200000000000002</v>
      </c>
      <c r="Z187" s="9">
        <v>1.24</v>
      </c>
      <c r="AA187" s="8">
        <v>15.5</v>
      </c>
      <c r="AB187" s="8">
        <v>16792</v>
      </c>
      <c r="AC187" s="8" t="s">
        <v>5088</v>
      </c>
      <c r="AD187" s="8" t="s">
        <v>3725</v>
      </c>
      <c r="AE187" s="8" t="s">
        <v>4083</v>
      </c>
      <c r="AF187" s="9">
        <f t="shared" si="16"/>
        <v>34.410000000000004</v>
      </c>
      <c r="AG187" s="9">
        <f t="shared" si="17"/>
        <v>21.7</v>
      </c>
      <c r="AH187" s="9">
        <f t="shared" si="18"/>
        <v>5.1708723094783825E-2</v>
      </c>
      <c r="AI187" s="9">
        <f t="shared" si="19"/>
        <v>2.6737920440930299E-3</v>
      </c>
      <c r="AJ187" s="9">
        <f t="shared" si="20"/>
        <v>3.6401988138854903E-2</v>
      </c>
      <c r="AK187" s="9">
        <f t="shared" si="21"/>
        <v>1.325104740461333E-3</v>
      </c>
      <c r="AL187" s="9">
        <f t="shared" si="22"/>
        <v>2.8009305293569185E-2</v>
      </c>
      <c r="AM187" s="9">
        <f t="shared" si="23"/>
        <v>7.8452118302836269E-4</v>
      </c>
      <c r="AN187" s="8" t="s">
        <v>5088</v>
      </c>
    </row>
    <row r="188" spans="13:40" ht="23">
      <c r="M188" s="9" t="s">
        <v>2431</v>
      </c>
      <c r="N188" s="8" t="s">
        <v>150</v>
      </c>
      <c r="O188" s="8"/>
      <c r="P188" s="8"/>
      <c r="Q188" s="8"/>
      <c r="R188" s="8"/>
      <c r="S188" s="8"/>
      <c r="T188" s="8"/>
      <c r="U188" s="8"/>
      <c r="V188" s="8"/>
      <c r="W188" s="9" t="s">
        <v>2431</v>
      </c>
      <c r="X188" s="8">
        <v>29.21</v>
      </c>
      <c r="Y188" s="8">
        <v>2.09</v>
      </c>
      <c r="Z188" s="9">
        <v>1.37</v>
      </c>
      <c r="AA188" s="8">
        <v>15.1</v>
      </c>
      <c r="AB188" s="8">
        <v>17561</v>
      </c>
      <c r="AC188" s="9" t="s">
        <v>2431</v>
      </c>
      <c r="AD188" s="8" t="s">
        <v>3725</v>
      </c>
      <c r="AE188" s="8" t="s">
        <v>4083</v>
      </c>
      <c r="AF188" s="9">
        <f t="shared" si="16"/>
        <v>31.558999999999997</v>
      </c>
      <c r="AG188" s="9">
        <f t="shared" si="17"/>
        <v>24.411666666666665</v>
      </c>
      <c r="AH188" s="9">
        <f t="shared" si="18"/>
        <v>5.0374304434273265E-2</v>
      </c>
      <c r="AI188" s="9">
        <f t="shared" si="19"/>
        <v>2.5375705472368429E-3</v>
      </c>
      <c r="AJ188" s="9">
        <f t="shared" si="20"/>
        <v>3.3385944309041606E-2</v>
      </c>
      <c r="AK188" s="9">
        <f t="shared" si="21"/>
        <v>1.1146212774064276E-3</v>
      </c>
      <c r="AL188" s="9">
        <f t="shared" si="22"/>
        <v>3.1509392829101986E-2</v>
      </c>
      <c r="AM188" s="9">
        <f t="shared" si="23"/>
        <v>9.9284183645866357E-4</v>
      </c>
      <c r="AN188" s="9" t="s">
        <v>2431</v>
      </c>
    </row>
    <row r="189" spans="13:40" ht="23">
      <c r="M189" s="9" t="s">
        <v>3669</v>
      </c>
      <c r="N189" s="8" t="s">
        <v>2107</v>
      </c>
      <c r="O189" s="8"/>
      <c r="P189" s="8"/>
      <c r="Q189" s="8"/>
      <c r="R189" s="8"/>
      <c r="S189" s="8"/>
      <c r="T189" s="8"/>
      <c r="U189" s="8"/>
      <c r="V189" s="8"/>
      <c r="W189" s="9" t="s">
        <v>3669</v>
      </c>
      <c r="X189" s="8">
        <v>5.99</v>
      </c>
      <c r="Y189" s="8">
        <v>2.87</v>
      </c>
      <c r="Z189" s="9">
        <v>2.3199999999999998</v>
      </c>
      <c r="AA189" s="8">
        <v>15</v>
      </c>
      <c r="AB189" s="8">
        <v>13699</v>
      </c>
      <c r="AC189" s="9" t="s">
        <v>3669</v>
      </c>
      <c r="AD189" s="8" t="s">
        <v>3725</v>
      </c>
      <c r="AE189" s="8" t="s">
        <v>4083</v>
      </c>
      <c r="AF189" s="9">
        <f t="shared" si="16"/>
        <v>43.050000000000004</v>
      </c>
      <c r="AG189" s="9">
        <f t="shared" si="17"/>
        <v>38</v>
      </c>
      <c r="AH189" s="9">
        <f t="shared" si="18"/>
        <v>5.0040699769145637E-2</v>
      </c>
      <c r="AI189" s="9">
        <f t="shared" si="19"/>
        <v>2.5040716333857723E-3</v>
      </c>
      <c r="AJ189" s="9">
        <f t="shared" si="20"/>
        <v>4.5542156041200335E-2</v>
      </c>
      <c r="AK189" s="9">
        <f t="shared" si="21"/>
        <v>2.0740879768810401E-3</v>
      </c>
      <c r="AL189" s="9">
        <f t="shared" si="22"/>
        <v>4.9048553048646498E-2</v>
      </c>
      <c r="AM189" s="9">
        <f t="shared" si="23"/>
        <v>2.4057605561658897E-3</v>
      </c>
      <c r="AN189" s="9" t="s">
        <v>3669</v>
      </c>
    </row>
    <row r="190" spans="13:40" ht="23">
      <c r="M190" s="8" t="s">
        <v>1846</v>
      </c>
      <c r="N190" s="8" t="s">
        <v>1814</v>
      </c>
      <c r="O190" s="8"/>
      <c r="P190" s="8"/>
      <c r="Q190" s="8"/>
      <c r="R190" s="8"/>
      <c r="S190" s="8"/>
      <c r="T190" s="8"/>
      <c r="U190" s="8"/>
      <c r="V190" s="8"/>
      <c r="W190" s="8" t="s">
        <v>1846</v>
      </c>
      <c r="X190" s="8">
        <v>53.14</v>
      </c>
      <c r="Y190" s="8">
        <v>1.21</v>
      </c>
      <c r="Z190" s="9">
        <v>0.32</v>
      </c>
      <c r="AA190" s="8">
        <v>14.9</v>
      </c>
      <c r="AB190" s="8">
        <v>29113</v>
      </c>
      <c r="AC190" s="8" t="s">
        <v>1846</v>
      </c>
      <c r="AD190" s="8" t="s">
        <v>3725</v>
      </c>
      <c r="AE190" s="8" t="s">
        <v>4083</v>
      </c>
      <c r="AF190" s="9">
        <f t="shared" si="16"/>
        <v>18.029</v>
      </c>
      <c r="AG190" s="9">
        <f t="shared" si="17"/>
        <v>7.9466666666666663</v>
      </c>
      <c r="AH190" s="9">
        <f t="shared" si="18"/>
        <v>4.9707095104017995E-2</v>
      </c>
      <c r="AI190" s="9">
        <f t="shared" si="19"/>
        <v>2.4707953036798899E-3</v>
      </c>
      <c r="AJ190" s="9">
        <f t="shared" si="20"/>
        <v>1.9072695267521506E-2</v>
      </c>
      <c r="AK190" s="9">
        <f t="shared" si="21"/>
        <v>3.6376770476773725E-4</v>
      </c>
      <c r="AL190" s="9">
        <f t="shared" si="22"/>
        <v>1.0257171093681865E-2</v>
      </c>
      <c r="AM190" s="9">
        <f t="shared" si="23"/>
        <v>1.0520955884506282E-4</v>
      </c>
      <c r="AN190" s="8" t="s">
        <v>1846</v>
      </c>
    </row>
    <row r="191" spans="13:40" ht="23">
      <c r="M191" s="9" t="s">
        <v>2766</v>
      </c>
      <c r="N191" s="8" t="s">
        <v>1614</v>
      </c>
      <c r="O191" s="8"/>
      <c r="P191" s="8"/>
      <c r="Q191" s="8"/>
      <c r="R191" s="8"/>
      <c r="S191" s="8"/>
      <c r="T191" s="8"/>
      <c r="U191" s="8"/>
      <c r="V191" s="8"/>
      <c r="W191" s="9" t="s">
        <v>2766</v>
      </c>
      <c r="X191" s="8">
        <v>32.380000000000003</v>
      </c>
      <c r="Y191" s="8">
        <v>2.4900000000000002</v>
      </c>
      <c r="Z191" s="9">
        <v>1.58</v>
      </c>
      <c r="AA191" s="8">
        <v>14.8</v>
      </c>
      <c r="AB191" s="8">
        <v>10834</v>
      </c>
      <c r="AC191" s="9" t="s">
        <v>2766</v>
      </c>
      <c r="AD191" s="8" t="s">
        <v>3725</v>
      </c>
      <c r="AE191" s="8" t="s">
        <v>4083</v>
      </c>
      <c r="AF191" s="9">
        <f t="shared" si="16"/>
        <v>36.852000000000004</v>
      </c>
      <c r="AG191" s="9">
        <f t="shared" si="17"/>
        <v>29.106666666666669</v>
      </c>
      <c r="AH191" s="9">
        <f t="shared" si="18"/>
        <v>4.9373490438890361E-2</v>
      </c>
      <c r="AI191" s="9">
        <f t="shared" si="19"/>
        <v>2.4377415581191978E-3</v>
      </c>
      <c r="AJ191" s="9">
        <f t="shared" si="20"/>
        <v>3.8985355039031708E-2</v>
      </c>
      <c r="AK191" s="9">
        <f t="shared" si="21"/>
        <v>1.5198579075193549E-3</v>
      </c>
      <c r="AL191" s="9">
        <f t="shared" si="22"/>
        <v>3.7569470633401866E-2</v>
      </c>
      <c r="AM191" s="9">
        <f t="shared" si="23"/>
        <v>1.4114651236740452E-3</v>
      </c>
      <c r="AN191" s="9" t="s">
        <v>2766</v>
      </c>
    </row>
    <row r="192" spans="13:40" ht="23">
      <c r="M192" s="8" t="s">
        <v>719</v>
      </c>
      <c r="N192" s="8" t="s">
        <v>150</v>
      </c>
      <c r="O192" s="8"/>
      <c r="P192" s="8" t="s">
        <v>3691</v>
      </c>
      <c r="Q192" s="8"/>
      <c r="R192" s="8"/>
      <c r="S192" s="8"/>
      <c r="T192" s="8"/>
      <c r="U192" s="8"/>
      <c r="V192" s="8"/>
      <c r="W192" s="8" t="s">
        <v>719</v>
      </c>
      <c r="X192" s="8">
        <v>23.42</v>
      </c>
      <c r="Y192" s="8">
        <v>4.28</v>
      </c>
      <c r="Z192" s="9">
        <v>4.1100000000000003</v>
      </c>
      <c r="AA192" s="8">
        <v>14.8</v>
      </c>
      <c r="AB192" s="8">
        <v>7109</v>
      </c>
      <c r="AC192" s="8" t="s">
        <v>719</v>
      </c>
      <c r="AD192" s="8" t="s">
        <v>3725</v>
      </c>
      <c r="AE192" s="8" t="s">
        <v>4083</v>
      </c>
      <c r="AF192" s="9">
        <f t="shared" si="16"/>
        <v>63.344000000000008</v>
      </c>
      <c r="AG192" s="9">
        <f t="shared" si="17"/>
        <v>61.913333333333341</v>
      </c>
      <c r="AH192" s="9">
        <f t="shared" si="18"/>
        <v>4.9373490438890361E-2</v>
      </c>
      <c r="AI192" s="9">
        <f t="shared" si="19"/>
        <v>2.4377415581191978E-3</v>
      </c>
      <c r="AJ192" s="9">
        <f t="shared" si="20"/>
        <v>6.7010971713676995E-2</v>
      </c>
      <c r="AK192" s="9">
        <f t="shared" si="21"/>
        <v>4.4904703300112188E-3</v>
      </c>
      <c r="AL192" s="9">
        <f t="shared" si="22"/>
        <v>7.9914721432066682E-2</v>
      </c>
      <c r="AM192" s="9">
        <f t="shared" si="23"/>
        <v>6.386362701564818E-3</v>
      </c>
      <c r="AN192" s="8" t="s">
        <v>719</v>
      </c>
    </row>
    <row r="193" spans="13:40" ht="23">
      <c r="M193" s="8" t="s">
        <v>397</v>
      </c>
      <c r="N193" s="8" t="s">
        <v>150</v>
      </c>
      <c r="O193" s="8"/>
      <c r="P193" s="8"/>
      <c r="Q193" s="8"/>
      <c r="R193" s="8"/>
      <c r="S193" s="8"/>
      <c r="T193" s="8"/>
      <c r="U193" s="8"/>
      <c r="V193" s="8"/>
      <c r="W193" s="8" t="s">
        <v>397</v>
      </c>
      <c r="X193" s="8">
        <v>36.06</v>
      </c>
      <c r="Y193" s="8">
        <v>2.88</v>
      </c>
      <c r="Z193" s="9">
        <v>0.59</v>
      </c>
      <c r="AA193" s="8">
        <v>14.8</v>
      </c>
      <c r="AB193" s="8">
        <v>14702</v>
      </c>
      <c r="AC193" s="8" t="s">
        <v>397</v>
      </c>
      <c r="AD193" s="8" t="s">
        <v>3725</v>
      </c>
      <c r="AE193" s="8" t="s">
        <v>4083</v>
      </c>
      <c r="AF193" s="9">
        <f t="shared" si="16"/>
        <v>42.624000000000002</v>
      </c>
      <c r="AG193" s="9">
        <f t="shared" si="17"/>
        <v>14.553333333333333</v>
      </c>
      <c r="AH193" s="9">
        <f t="shared" si="18"/>
        <v>4.9373490438890361E-2</v>
      </c>
      <c r="AI193" s="9">
        <f t="shared" si="19"/>
        <v>2.4377415581191978E-3</v>
      </c>
      <c r="AJ193" s="9">
        <f t="shared" si="20"/>
        <v>4.509149498490414E-2</v>
      </c>
      <c r="AK193" s="9">
        <f t="shared" si="21"/>
        <v>2.0332429199736352E-3</v>
      </c>
      <c r="AL193" s="9">
        <f t="shared" si="22"/>
        <v>1.878473531670093E-2</v>
      </c>
      <c r="AM193" s="9">
        <f t="shared" si="23"/>
        <v>3.5286628091851118E-4</v>
      </c>
      <c r="AN193" s="8" t="s">
        <v>397</v>
      </c>
    </row>
    <row r="194" spans="13:40" ht="23">
      <c r="M194" s="8" t="s">
        <v>1980</v>
      </c>
      <c r="N194" s="8" t="s">
        <v>1964</v>
      </c>
      <c r="O194" s="8"/>
      <c r="P194" s="8"/>
      <c r="Q194" s="8"/>
      <c r="R194" s="8"/>
      <c r="S194" s="8"/>
      <c r="T194" s="8"/>
      <c r="U194" s="8"/>
      <c r="V194" s="8"/>
      <c r="W194" s="8" t="s">
        <v>1980</v>
      </c>
      <c r="X194" s="8">
        <v>36.54</v>
      </c>
      <c r="Y194" s="8">
        <v>1.04</v>
      </c>
      <c r="Z194" s="9">
        <v>0.06</v>
      </c>
      <c r="AA194" s="8">
        <v>14.6</v>
      </c>
      <c r="AB194" s="8">
        <v>81274</v>
      </c>
      <c r="AC194" s="8" t="s">
        <v>1980</v>
      </c>
      <c r="AD194" s="8" t="s">
        <v>3725</v>
      </c>
      <c r="AE194" s="8" t="s">
        <v>4083</v>
      </c>
      <c r="AF194" s="9">
        <f t="shared" ref="AF194:AF257" si="24">(AA194*Y194)</f>
        <v>15.183999999999999</v>
      </c>
      <c r="AG194" s="9">
        <f t="shared" ref="AG194:AG257" si="25">((((RIGHT(Z194,2))/60)+(LEFT(Z194,2)))*AA194)</f>
        <v>1.46</v>
      </c>
      <c r="AH194" s="9">
        <f t="shared" ref="AH194:AH257" si="26">(AA194/$AA$448)*100</f>
        <v>4.8706281108635084E-2</v>
      </c>
      <c r="AI194" s="9">
        <f t="shared" ref="AI194:AI257" si="27">(AH194*AH194)</f>
        <v>2.372301819433383E-3</v>
      </c>
      <c r="AJ194" s="9">
        <f t="shared" ref="AJ194:AJ257" si="28">(AF194/$AF$448)*100</f>
        <v>1.6062998776529287E-2</v>
      </c>
      <c r="AK194" s="9">
        <f t="shared" ref="AK194:AK257" si="29">(AJ194*AJ194)</f>
        <v>2.580199296947814E-4</v>
      </c>
      <c r="AL194" s="9">
        <f t="shared" ref="AL194:AL257" si="30">(AG194/$AG$448)*100</f>
        <v>1.8844970381848394E-3</v>
      </c>
      <c r="AM194" s="9">
        <f t="shared" ref="AM194:AM257" si="31">(AL194*AL194)</f>
        <v>3.5513290869274321E-6</v>
      </c>
      <c r="AN194" s="8" t="s">
        <v>1980</v>
      </c>
    </row>
    <row r="195" spans="13:40" ht="23">
      <c r="M195" s="8" t="s">
        <v>672</v>
      </c>
      <c r="N195" s="8" t="s">
        <v>150</v>
      </c>
      <c r="O195" s="8"/>
      <c r="P195" s="8" t="s">
        <v>3692</v>
      </c>
      <c r="Q195" s="8"/>
      <c r="R195" s="8"/>
      <c r="S195" s="8"/>
      <c r="T195" s="8"/>
      <c r="U195" s="8"/>
      <c r="V195" s="8"/>
      <c r="W195" s="8" t="s">
        <v>672</v>
      </c>
      <c r="X195" s="8">
        <v>15.41</v>
      </c>
      <c r="Y195" s="8">
        <v>4.93</v>
      </c>
      <c r="Z195" s="9">
        <v>3.35</v>
      </c>
      <c r="AA195" s="8">
        <v>14.3</v>
      </c>
      <c r="AB195" s="8">
        <v>11290</v>
      </c>
      <c r="AC195" s="8" t="s">
        <v>672</v>
      </c>
      <c r="AD195" s="8" t="s">
        <v>3725</v>
      </c>
      <c r="AE195" s="8" t="s">
        <v>4083</v>
      </c>
      <c r="AF195" s="9">
        <f t="shared" si="24"/>
        <v>70.498999999999995</v>
      </c>
      <c r="AG195" s="9">
        <f t="shared" si="25"/>
        <v>51.241666666666674</v>
      </c>
      <c r="AH195" s="9">
        <f t="shared" si="26"/>
        <v>4.770546711325218E-2</v>
      </c>
      <c r="AI195" s="9">
        <f t="shared" si="27"/>
        <v>2.2758115924935854E-3</v>
      </c>
      <c r="AJ195" s="9">
        <f t="shared" si="28"/>
        <v>7.4580173257806789E-2</v>
      </c>
      <c r="AK195" s="9">
        <f t="shared" si="29"/>
        <v>5.5622022431644786E-3</v>
      </c>
      <c r="AL195" s="9">
        <f t="shared" si="30"/>
        <v>6.6140252784238462E-2</v>
      </c>
      <c r="AM195" s="9">
        <f t="shared" si="31"/>
        <v>4.3745330383629637E-3</v>
      </c>
      <c r="AN195" s="8" t="s">
        <v>672</v>
      </c>
    </row>
    <row r="196" spans="13:40" ht="23">
      <c r="M196" s="9" t="s">
        <v>2692</v>
      </c>
      <c r="N196" s="8" t="s">
        <v>1614</v>
      </c>
      <c r="O196" s="8"/>
      <c r="P196" s="8"/>
      <c r="Q196" s="8"/>
      <c r="R196" s="8"/>
      <c r="S196" s="8"/>
      <c r="T196" s="8"/>
      <c r="U196" s="8"/>
      <c r="V196" s="8"/>
      <c r="W196" s="9" t="s">
        <v>2692</v>
      </c>
      <c r="X196" s="8">
        <v>23.56</v>
      </c>
      <c r="Y196" s="8">
        <v>2.16</v>
      </c>
      <c r="Z196" s="9">
        <v>0.4</v>
      </c>
      <c r="AA196" s="8">
        <v>14.1</v>
      </c>
      <c r="AB196" s="8">
        <v>27954</v>
      </c>
      <c r="AC196" s="9" t="s">
        <v>2692</v>
      </c>
      <c r="AD196" s="8" t="s">
        <v>3725</v>
      </c>
      <c r="AE196" s="8" t="s">
        <v>4083</v>
      </c>
      <c r="AF196" s="9">
        <f t="shared" si="24"/>
        <v>30.456</v>
      </c>
      <c r="AG196" s="9">
        <f t="shared" si="25"/>
        <v>9.4E-2</v>
      </c>
      <c r="AH196" s="9">
        <f t="shared" si="26"/>
        <v>4.7038257782996896E-2</v>
      </c>
      <c r="AI196" s="9">
        <f t="shared" si="27"/>
        <v>2.2125976952596682E-3</v>
      </c>
      <c r="AJ196" s="9">
        <f t="shared" si="28"/>
        <v>3.221909185576765E-2</v>
      </c>
      <c r="AK196" s="9">
        <f t="shared" si="29"/>
        <v>1.0380698800103933E-3</v>
      </c>
      <c r="AL196" s="9">
        <f t="shared" si="30"/>
        <v>1.2133063122559923E-4</v>
      </c>
      <c r="AM196" s="9">
        <f t="shared" si="31"/>
        <v>1.4721122073602356E-8</v>
      </c>
      <c r="AN196" s="9" t="s">
        <v>2692</v>
      </c>
    </row>
    <row r="197" spans="13:40" ht="23">
      <c r="M197" s="9" t="s">
        <v>3341</v>
      </c>
      <c r="N197" s="8" t="s">
        <v>1964</v>
      </c>
      <c r="O197" s="8"/>
      <c r="P197" s="8"/>
      <c r="Q197" s="8"/>
      <c r="R197" s="8"/>
      <c r="S197" s="8"/>
      <c r="T197" s="8"/>
      <c r="U197" s="8"/>
      <c r="V197" s="8"/>
      <c r="W197" s="9" t="s">
        <v>3341</v>
      </c>
      <c r="X197" s="8">
        <v>40.82</v>
      </c>
      <c r="Y197" s="8">
        <v>1.96</v>
      </c>
      <c r="Z197" s="9">
        <v>1.38</v>
      </c>
      <c r="AA197" s="8">
        <v>14</v>
      </c>
      <c r="AB197" s="8">
        <v>15630</v>
      </c>
      <c r="AC197" s="9" t="s">
        <v>3341</v>
      </c>
      <c r="AD197" s="8" t="s">
        <v>3725</v>
      </c>
      <c r="AE197" s="8" t="s">
        <v>4083</v>
      </c>
      <c r="AF197" s="9">
        <f t="shared" si="24"/>
        <v>27.439999999999998</v>
      </c>
      <c r="AG197" s="9">
        <f t="shared" si="25"/>
        <v>22.866666666666667</v>
      </c>
      <c r="AH197" s="9">
        <f t="shared" si="26"/>
        <v>4.6704653117869262E-2</v>
      </c>
      <c r="AI197" s="9">
        <f t="shared" si="27"/>
        <v>2.1813246228604951E-3</v>
      </c>
      <c r="AJ197" s="9">
        <f t="shared" si="28"/>
        <v>2.9028496208374846E-2</v>
      </c>
      <c r="AK197" s="9">
        <f t="shared" si="29"/>
        <v>8.426535921196328E-4</v>
      </c>
      <c r="AL197" s="9">
        <f t="shared" si="30"/>
        <v>2.9515181922255704E-2</v>
      </c>
      <c r="AM197" s="9">
        <f t="shared" si="31"/>
        <v>8.7114596390384989E-4</v>
      </c>
      <c r="AN197" s="9" t="s">
        <v>3341</v>
      </c>
    </row>
    <row r="198" spans="13:40" ht="23">
      <c r="M198" s="9" t="s">
        <v>5063</v>
      </c>
      <c r="N198" s="8" t="s">
        <v>150</v>
      </c>
      <c r="O198" s="8"/>
      <c r="P198" s="8"/>
      <c r="Q198" s="8"/>
      <c r="R198" s="8"/>
      <c r="S198" s="8"/>
      <c r="T198" s="8"/>
      <c r="U198" s="8"/>
      <c r="V198" s="8"/>
      <c r="W198" s="9" t="s">
        <v>5063</v>
      </c>
      <c r="X198" s="8">
        <v>13.71</v>
      </c>
      <c r="Y198" s="8">
        <v>3.74</v>
      </c>
      <c r="Z198" s="9">
        <v>0.5</v>
      </c>
      <c r="AA198" s="8">
        <v>13.9</v>
      </c>
      <c r="AB198" s="8">
        <v>25698</v>
      </c>
      <c r="AC198" s="9" t="s">
        <v>5063</v>
      </c>
      <c r="AD198" s="8" t="s">
        <v>3725</v>
      </c>
      <c r="AE198" s="8" t="s">
        <v>4083</v>
      </c>
      <c r="AF198" s="9">
        <f t="shared" si="24"/>
        <v>51.986000000000004</v>
      </c>
      <c r="AG198" s="9">
        <f t="shared" si="25"/>
        <v>0.11583333333333333</v>
      </c>
      <c r="AH198" s="9">
        <f t="shared" si="26"/>
        <v>4.637104845274162E-2</v>
      </c>
      <c r="AI198" s="9">
        <f t="shared" si="27"/>
        <v>2.150274134606511E-3</v>
      </c>
      <c r="AJ198" s="9">
        <f t="shared" si="28"/>
        <v>5.4995459325385389E-2</v>
      </c>
      <c r="AK198" s="9">
        <f t="shared" si="29"/>
        <v>3.0245005464101188E-3</v>
      </c>
      <c r="AL198" s="9">
        <f t="shared" si="30"/>
        <v>1.4951203670530403E-4</v>
      </c>
      <c r="AM198" s="9">
        <f t="shared" si="31"/>
        <v>2.235384911976818E-8</v>
      </c>
      <c r="AN198" s="9" t="s">
        <v>5063</v>
      </c>
    </row>
    <row r="199" spans="13:40" ht="23">
      <c r="M199" s="9" t="s">
        <v>3422</v>
      </c>
      <c r="N199" s="8" t="s">
        <v>2003</v>
      </c>
      <c r="O199" s="8"/>
      <c r="P199" s="8"/>
      <c r="Q199" s="8"/>
      <c r="R199" s="8"/>
      <c r="S199" s="8"/>
      <c r="T199" s="8"/>
      <c r="U199" s="8"/>
      <c r="V199" s="8"/>
      <c r="W199" s="9" t="s">
        <v>3422</v>
      </c>
      <c r="X199" s="8">
        <v>7.15</v>
      </c>
      <c r="Y199" s="8">
        <v>2.11</v>
      </c>
      <c r="Z199" s="9">
        <v>0.24</v>
      </c>
      <c r="AA199" s="8">
        <v>13.8</v>
      </c>
      <c r="AB199" s="8">
        <v>27911</v>
      </c>
      <c r="AC199" s="9" t="s">
        <v>3422</v>
      </c>
      <c r="AD199" s="8" t="s">
        <v>3725</v>
      </c>
      <c r="AE199" s="8" t="s">
        <v>4083</v>
      </c>
      <c r="AF199" s="9">
        <f t="shared" si="24"/>
        <v>29.117999999999999</v>
      </c>
      <c r="AG199" s="9">
        <f t="shared" si="25"/>
        <v>5.5200000000000005</v>
      </c>
      <c r="AH199" s="9">
        <f t="shared" si="26"/>
        <v>4.6037443787613985E-2</v>
      </c>
      <c r="AI199" s="9">
        <f t="shared" si="27"/>
        <v>2.1194462304977174E-3</v>
      </c>
      <c r="AJ199" s="9">
        <f t="shared" si="28"/>
        <v>3.0803635298668322E-2</v>
      </c>
      <c r="AK199" s="9">
        <f t="shared" si="29"/>
        <v>9.4886394761336504E-4</v>
      </c>
      <c r="AL199" s="9">
        <f t="shared" si="30"/>
        <v>7.1249477060139135E-3</v>
      </c>
      <c r="AM199" s="9">
        <f t="shared" si="31"/>
        <v>5.0764879813432927E-5</v>
      </c>
      <c r="AN199" s="9" t="s">
        <v>3422</v>
      </c>
    </row>
    <row r="200" spans="13:40" ht="23">
      <c r="M200" s="9" t="s">
        <v>3080</v>
      </c>
      <c r="N200" s="8" t="s">
        <v>1814</v>
      </c>
      <c r="O200" s="8"/>
      <c r="P200" s="8"/>
      <c r="Q200" s="8"/>
      <c r="R200" s="8"/>
      <c r="S200" s="8"/>
      <c r="T200" s="8"/>
      <c r="U200" s="8"/>
      <c r="V200" s="8"/>
      <c r="W200" s="9" t="s">
        <v>3080</v>
      </c>
      <c r="X200" s="8">
        <v>52.79</v>
      </c>
      <c r="Y200" s="8">
        <v>33.94</v>
      </c>
      <c r="Z200" s="9">
        <v>12.28</v>
      </c>
      <c r="AA200" s="8">
        <v>13.6</v>
      </c>
      <c r="AB200" s="8">
        <v>17118</v>
      </c>
      <c r="AC200" s="9" t="s">
        <v>3080</v>
      </c>
      <c r="AD200" s="8" t="s">
        <v>3725</v>
      </c>
      <c r="AE200" s="8" t="s">
        <v>4083</v>
      </c>
      <c r="AF200" s="9">
        <f t="shared" si="24"/>
        <v>461.58399999999995</v>
      </c>
      <c r="AG200" s="9">
        <f t="shared" si="25"/>
        <v>169.54666666666665</v>
      </c>
      <c r="AH200" s="9">
        <f t="shared" si="26"/>
        <v>4.5370234457358709E-2</v>
      </c>
      <c r="AI200" s="9">
        <f t="shared" si="27"/>
        <v>2.0584581747156994E-3</v>
      </c>
      <c r="AJ200" s="9">
        <f t="shared" si="28"/>
        <v>0.48830500706437657</v>
      </c>
      <c r="AK200" s="9">
        <f t="shared" si="29"/>
        <v>0.23844177992414087</v>
      </c>
      <c r="AL200" s="9">
        <f t="shared" si="30"/>
        <v>0.2188425966900312</v>
      </c>
      <c r="AM200" s="9">
        <f t="shared" si="31"/>
        <v>4.7892082126035657E-2</v>
      </c>
      <c r="AN200" s="9" t="s">
        <v>3080</v>
      </c>
    </row>
    <row r="201" spans="13:40" ht="23">
      <c r="M201" s="9" t="s">
        <v>3349</v>
      </c>
      <c r="N201" s="8" t="s">
        <v>1964</v>
      </c>
      <c r="O201" s="8"/>
      <c r="P201" s="8"/>
      <c r="Q201" s="8"/>
      <c r="R201" s="8"/>
      <c r="S201" s="8"/>
      <c r="T201" s="8"/>
      <c r="U201" s="8"/>
      <c r="V201" s="8"/>
      <c r="W201" s="9" t="s">
        <v>3349</v>
      </c>
      <c r="X201" s="8">
        <v>34.47</v>
      </c>
      <c r="Y201" s="8">
        <v>1.74</v>
      </c>
      <c r="Z201" s="9">
        <v>1.19</v>
      </c>
      <c r="AA201" s="8">
        <v>13.6</v>
      </c>
      <c r="AB201" s="8">
        <v>28220</v>
      </c>
      <c r="AC201" s="9" t="s">
        <v>3349</v>
      </c>
      <c r="AD201" s="8" t="s">
        <v>3725</v>
      </c>
      <c r="AE201" s="8" t="s">
        <v>4083</v>
      </c>
      <c r="AF201" s="9">
        <f t="shared" si="24"/>
        <v>23.663999999999998</v>
      </c>
      <c r="AG201" s="9">
        <f t="shared" si="25"/>
        <v>17.906666666666666</v>
      </c>
      <c r="AH201" s="9">
        <f t="shared" si="26"/>
        <v>4.5370234457358709E-2</v>
      </c>
      <c r="AI201" s="9">
        <f t="shared" si="27"/>
        <v>2.0584581747156994E-3</v>
      </c>
      <c r="AJ201" s="9">
        <f t="shared" si="28"/>
        <v>2.5033904310312764E-2</v>
      </c>
      <c r="AK201" s="9">
        <f t="shared" si="29"/>
        <v>6.2669636501789595E-4</v>
      </c>
      <c r="AL201" s="9">
        <f t="shared" si="30"/>
        <v>2.3113054998011313E-2</v>
      </c>
      <c r="AM201" s="9">
        <f t="shared" si="31"/>
        <v>5.3421331134109577E-4</v>
      </c>
      <c r="AN201" s="9" t="s">
        <v>3349</v>
      </c>
    </row>
    <row r="202" spans="13:40" ht="23">
      <c r="M202" s="8" t="s">
        <v>1724</v>
      </c>
      <c r="N202" s="8" t="s">
        <v>1717</v>
      </c>
      <c r="O202" s="8"/>
      <c r="P202" s="8"/>
      <c r="Q202" s="8"/>
      <c r="R202" s="8"/>
      <c r="S202" s="8"/>
      <c r="T202" s="8"/>
      <c r="U202" s="8"/>
      <c r="V202" s="8"/>
      <c r="W202" s="8" t="s">
        <v>1724</v>
      </c>
      <c r="X202" s="8">
        <v>24.89</v>
      </c>
      <c r="Y202" s="8">
        <v>5.35</v>
      </c>
      <c r="Z202" s="9">
        <v>6.58</v>
      </c>
      <c r="AA202" s="8">
        <v>13.1</v>
      </c>
      <c r="AB202" s="8">
        <v>9506</v>
      </c>
      <c r="AC202" s="8" t="s">
        <v>1724</v>
      </c>
      <c r="AD202" s="8" t="s">
        <v>3725</v>
      </c>
      <c r="AE202" s="8" t="s">
        <v>4083</v>
      </c>
      <c r="AF202" s="9">
        <f t="shared" si="24"/>
        <v>70.084999999999994</v>
      </c>
      <c r="AG202" s="9">
        <f t="shared" si="25"/>
        <v>91.263333333333335</v>
      </c>
      <c r="AH202" s="9">
        <f t="shared" si="26"/>
        <v>4.3702211131720521E-2</v>
      </c>
      <c r="AI202" s="9">
        <f t="shared" si="27"/>
        <v>1.909883257801477E-3</v>
      </c>
      <c r="AJ202" s="9">
        <f t="shared" si="28"/>
        <v>7.4142206879152725E-2</v>
      </c>
      <c r="AK202" s="9">
        <f t="shared" si="29"/>
        <v>5.4970668409110813E-3</v>
      </c>
      <c r="AL202" s="9">
        <f t="shared" si="30"/>
        <v>0.11779827490516601</v>
      </c>
      <c r="AM202" s="9">
        <f t="shared" si="31"/>
        <v>1.3876433570633064E-2</v>
      </c>
      <c r="AN202" s="8" t="s">
        <v>1724</v>
      </c>
    </row>
    <row r="203" spans="13:40" ht="23">
      <c r="M203" s="8" t="s">
        <v>160</v>
      </c>
      <c r="N203" s="8" t="s">
        <v>150</v>
      </c>
      <c r="O203" s="8"/>
      <c r="P203" s="8" t="s">
        <v>4008</v>
      </c>
      <c r="Q203" s="8"/>
      <c r="R203" s="8"/>
      <c r="S203" s="8"/>
      <c r="T203" s="8"/>
      <c r="U203" s="8"/>
      <c r="V203" s="8"/>
      <c r="W203" s="8" t="s">
        <v>160</v>
      </c>
      <c r="X203" s="8">
        <v>34.840000000000003</v>
      </c>
      <c r="Y203" s="8">
        <v>3.02</v>
      </c>
      <c r="Z203" s="9">
        <v>3.39</v>
      </c>
      <c r="AA203" s="8">
        <v>12.9</v>
      </c>
      <c r="AB203" s="8">
        <v>9078</v>
      </c>
      <c r="AC203" s="8" t="s">
        <v>160</v>
      </c>
      <c r="AD203" s="8" t="s">
        <v>3725</v>
      </c>
      <c r="AE203" s="8" t="s">
        <v>4083</v>
      </c>
      <c r="AF203" s="9">
        <f t="shared" si="24"/>
        <v>38.957999999999998</v>
      </c>
      <c r="AG203" s="9">
        <f t="shared" si="25"/>
        <v>47.085000000000001</v>
      </c>
      <c r="AH203" s="9">
        <f t="shared" si="26"/>
        <v>4.3035001801465245E-2</v>
      </c>
      <c r="AI203" s="9">
        <f t="shared" si="27"/>
        <v>1.8520113800521169E-3</v>
      </c>
      <c r="AJ203" s="9">
        <f t="shared" si="28"/>
        <v>4.12132709652284E-2</v>
      </c>
      <c r="AK203" s="9">
        <f t="shared" si="29"/>
        <v>1.6985337036533382E-3</v>
      </c>
      <c r="AL203" s="9">
        <f t="shared" si="30"/>
        <v>6.0775029481461067E-2</v>
      </c>
      <c r="AM203" s="9">
        <f t="shared" si="31"/>
        <v>3.693604208472462E-3</v>
      </c>
      <c r="AN203" s="8" t="s">
        <v>160</v>
      </c>
    </row>
    <row r="204" spans="13:40" ht="23">
      <c r="M204" s="8" t="s">
        <v>643</v>
      </c>
      <c r="N204" s="8" t="s">
        <v>150</v>
      </c>
      <c r="O204" s="8"/>
      <c r="P204" s="8"/>
      <c r="Q204" s="8"/>
      <c r="R204" s="8"/>
      <c r="S204" s="8"/>
      <c r="T204" s="8"/>
      <c r="U204" s="8"/>
      <c r="V204" s="8"/>
      <c r="W204" s="8" t="s">
        <v>643</v>
      </c>
      <c r="X204" s="8">
        <v>11.31</v>
      </c>
      <c r="Y204" s="8">
        <v>11.1</v>
      </c>
      <c r="Z204" s="9">
        <v>13.2</v>
      </c>
      <c r="AA204" s="8">
        <v>12.7</v>
      </c>
      <c r="AB204" s="8">
        <v>7371</v>
      </c>
      <c r="AC204" s="8" t="s">
        <v>643</v>
      </c>
      <c r="AD204" s="8" t="s">
        <v>3725</v>
      </c>
      <c r="AE204" s="8" t="s">
        <v>4083</v>
      </c>
      <c r="AF204" s="9">
        <f t="shared" si="24"/>
        <v>140.97</v>
      </c>
      <c r="AG204" s="9">
        <f t="shared" si="25"/>
        <v>165.14233333333334</v>
      </c>
      <c r="AH204" s="9">
        <f t="shared" si="26"/>
        <v>4.2367792471209968E-2</v>
      </c>
      <c r="AI204" s="9">
        <f t="shared" si="27"/>
        <v>1.7950298388835161E-3</v>
      </c>
      <c r="AJ204" s="9">
        <f t="shared" si="28"/>
        <v>0.14913072560111526</v>
      </c>
      <c r="AK204" s="9">
        <f t="shared" si="29"/>
        <v>2.2239973318315134E-2</v>
      </c>
      <c r="AL204" s="9">
        <f t="shared" si="30"/>
        <v>0.21315769729150694</v>
      </c>
      <c r="AM204" s="9">
        <f t="shared" si="31"/>
        <v>4.5436203914617702E-2</v>
      </c>
      <c r="AN204" s="8" t="s">
        <v>643</v>
      </c>
    </row>
    <row r="205" spans="13:40" ht="23">
      <c r="M205" s="8" t="s">
        <v>2758</v>
      </c>
      <c r="N205" s="8" t="s">
        <v>1614</v>
      </c>
      <c r="O205" s="8"/>
      <c r="P205" s="8"/>
      <c r="Q205" s="8"/>
      <c r="R205" s="8"/>
      <c r="S205" s="8"/>
      <c r="T205" s="8"/>
      <c r="U205" s="8"/>
      <c r="V205" s="8"/>
      <c r="W205" s="8" t="s">
        <v>2758</v>
      </c>
      <c r="X205" s="8">
        <v>39.380000000000003</v>
      </c>
      <c r="Y205" s="8">
        <v>3.22</v>
      </c>
      <c r="Z205" s="9">
        <v>1.18</v>
      </c>
      <c r="AA205" s="8">
        <v>12.6</v>
      </c>
      <c r="AB205" s="8">
        <v>14638</v>
      </c>
      <c r="AC205" s="8" t="s">
        <v>2758</v>
      </c>
      <c r="AD205" s="8" t="s">
        <v>3725</v>
      </c>
      <c r="AE205" s="8" t="s">
        <v>4083</v>
      </c>
      <c r="AF205" s="9">
        <f t="shared" si="24"/>
        <v>40.572000000000003</v>
      </c>
      <c r="AG205" s="9">
        <f t="shared" si="25"/>
        <v>16.38</v>
      </c>
      <c r="AH205" s="9">
        <f t="shared" si="26"/>
        <v>4.2034187806082333E-2</v>
      </c>
      <c r="AI205" s="9">
        <f t="shared" si="27"/>
        <v>1.7668729445170007E-3</v>
      </c>
      <c r="AJ205" s="9">
        <f t="shared" si="28"/>
        <v>4.2920705108097097E-2</v>
      </c>
      <c r="AK205" s="9">
        <f t="shared" si="29"/>
        <v>1.8421869269762323E-3</v>
      </c>
      <c r="AL205" s="9">
        <f t="shared" si="30"/>
        <v>2.1142507866758673E-2</v>
      </c>
      <c r="AM205" s="9">
        <f t="shared" si="31"/>
        <v>4.4700563889595236E-4</v>
      </c>
      <c r="AN205" s="8" t="s">
        <v>2758</v>
      </c>
    </row>
    <row r="206" spans="13:40" ht="23">
      <c r="M206" s="8" t="s">
        <v>941</v>
      </c>
      <c r="N206" s="8" t="s">
        <v>150</v>
      </c>
      <c r="O206" s="8"/>
      <c r="P206" s="8"/>
      <c r="Q206" s="8"/>
      <c r="R206" s="8"/>
      <c r="S206" s="8"/>
      <c r="T206" s="8"/>
      <c r="U206" s="8"/>
      <c r="V206" s="8"/>
      <c r="W206" s="8" t="s">
        <v>941</v>
      </c>
      <c r="X206" s="8">
        <v>25.45</v>
      </c>
      <c r="Y206" s="8">
        <v>3.72</v>
      </c>
      <c r="Z206" s="9">
        <v>3.39</v>
      </c>
      <c r="AA206" s="8">
        <v>12.6</v>
      </c>
      <c r="AB206" s="8">
        <v>8405</v>
      </c>
      <c r="AC206" s="8" t="s">
        <v>941</v>
      </c>
      <c r="AD206" s="8" t="s">
        <v>3725</v>
      </c>
      <c r="AE206" s="8" t="s">
        <v>4083</v>
      </c>
      <c r="AF206" s="9">
        <f t="shared" si="24"/>
        <v>46.872</v>
      </c>
      <c r="AG206" s="9">
        <f t="shared" si="25"/>
        <v>45.989999999999995</v>
      </c>
      <c r="AH206" s="9">
        <f t="shared" si="26"/>
        <v>4.2034187806082333E-2</v>
      </c>
      <c r="AI206" s="9">
        <f t="shared" si="27"/>
        <v>1.7668729445170007E-3</v>
      </c>
      <c r="AJ206" s="9">
        <f t="shared" si="28"/>
        <v>4.9585410870223973E-2</v>
      </c>
      <c r="AK206" s="9">
        <f t="shared" si="29"/>
        <v>2.4587129711689257E-3</v>
      </c>
      <c r="AL206" s="9">
        <f t="shared" si="30"/>
        <v>5.9361656702822431E-2</v>
      </c>
      <c r="AM206" s="9">
        <f t="shared" si="31"/>
        <v>3.5238062865037435E-3</v>
      </c>
      <c r="AN206" s="8" t="s">
        <v>941</v>
      </c>
    </row>
    <row r="207" spans="13:40" ht="23">
      <c r="M207" s="8" t="s">
        <v>1356</v>
      </c>
      <c r="N207" s="8" t="s">
        <v>150</v>
      </c>
      <c r="O207" s="8"/>
      <c r="P207" s="8"/>
      <c r="Q207" s="8"/>
      <c r="R207" s="8"/>
      <c r="S207" s="8"/>
      <c r="T207" s="8"/>
      <c r="U207" s="8"/>
      <c r="V207" s="8"/>
      <c r="W207" s="8" t="s">
        <v>1356</v>
      </c>
      <c r="X207" s="8">
        <v>44.78</v>
      </c>
      <c r="Y207" s="8">
        <v>2.64</v>
      </c>
      <c r="Z207" s="9">
        <v>1.56</v>
      </c>
      <c r="AA207" s="8">
        <v>12.6</v>
      </c>
      <c r="AB207" s="8">
        <v>11737</v>
      </c>
      <c r="AC207" s="8" t="s">
        <v>1356</v>
      </c>
      <c r="AD207" s="8" t="s">
        <v>3725</v>
      </c>
      <c r="AE207" s="8" t="s">
        <v>4083</v>
      </c>
      <c r="AF207" s="9">
        <f t="shared" si="24"/>
        <v>33.264000000000003</v>
      </c>
      <c r="AG207" s="9">
        <f t="shared" si="25"/>
        <v>24.36</v>
      </c>
      <c r="AH207" s="9">
        <f t="shared" si="26"/>
        <v>4.2034187806082333E-2</v>
      </c>
      <c r="AI207" s="9">
        <f t="shared" si="27"/>
        <v>1.7668729445170007E-3</v>
      </c>
      <c r="AJ207" s="9">
        <f t="shared" si="28"/>
        <v>3.518964642402992E-2</v>
      </c>
      <c r="AK207" s="9">
        <f t="shared" si="29"/>
        <v>1.2383112154482417E-3</v>
      </c>
      <c r="AL207" s="9">
        <f t="shared" si="30"/>
        <v>3.1442704006974437E-2</v>
      </c>
      <c r="AM207" s="9">
        <f t="shared" si="31"/>
        <v>9.8864363527020622E-4</v>
      </c>
      <c r="AN207" s="8" t="s">
        <v>1356</v>
      </c>
    </row>
    <row r="208" spans="13:40" ht="23">
      <c r="M208" s="8" t="s">
        <v>1132</v>
      </c>
      <c r="N208" s="8" t="s">
        <v>150</v>
      </c>
      <c r="O208" s="8"/>
      <c r="P208" s="8"/>
      <c r="Q208" s="8"/>
      <c r="R208" s="8"/>
      <c r="S208" s="8"/>
      <c r="T208" s="8"/>
      <c r="U208" s="8"/>
      <c r="V208" s="8"/>
      <c r="W208" s="8" t="s">
        <v>1132</v>
      </c>
      <c r="X208" s="8">
        <v>5.96</v>
      </c>
      <c r="Y208" s="8">
        <v>2.52</v>
      </c>
      <c r="Z208" s="9">
        <v>0.41</v>
      </c>
      <c r="AA208" s="8">
        <v>12.5</v>
      </c>
      <c r="AB208" s="8">
        <v>28927</v>
      </c>
      <c r="AC208" s="8" t="s">
        <v>1132</v>
      </c>
      <c r="AD208" s="8" t="s">
        <v>3725</v>
      </c>
      <c r="AE208" s="8" t="s">
        <v>4083</v>
      </c>
      <c r="AF208" s="9">
        <f t="shared" si="24"/>
        <v>31.5</v>
      </c>
      <c r="AG208" s="9">
        <f t="shared" si="25"/>
        <v>8.5416666666666661</v>
      </c>
      <c r="AH208" s="9">
        <f t="shared" si="26"/>
        <v>4.1700583140954699E-2</v>
      </c>
      <c r="AI208" s="9">
        <f t="shared" si="27"/>
        <v>1.7389386342956752E-3</v>
      </c>
      <c r="AJ208" s="9">
        <f t="shared" si="28"/>
        <v>3.3323528810634391E-2</v>
      </c>
      <c r="AK208" s="9">
        <f t="shared" si="29"/>
        <v>1.1104575723931804E-3</v>
      </c>
      <c r="AL208" s="9">
        <f t="shared" si="30"/>
        <v>1.1025168174311987E-2</v>
      </c>
      <c r="AM208" s="9">
        <f t="shared" si="31"/>
        <v>1.2155433327186191E-4</v>
      </c>
      <c r="AN208" s="8" t="s">
        <v>1132</v>
      </c>
    </row>
    <row r="209" spans="13:40" ht="23">
      <c r="M209" s="24" t="s">
        <v>5118</v>
      </c>
      <c r="N209" s="24" t="s">
        <v>1869</v>
      </c>
      <c r="O209" s="24"/>
      <c r="P209" s="24"/>
      <c r="Q209" s="24"/>
      <c r="R209" s="24"/>
      <c r="S209" s="24"/>
      <c r="T209" s="24"/>
      <c r="U209" s="24"/>
      <c r="V209" s="24"/>
      <c r="W209" s="24" t="s">
        <v>5118</v>
      </c>
      <c r="X209" s="24">
        <v>10.42</v>
      </c>
      <c r="Y209" s="24">
        <v>39.93</v>
      </c>
      <c r="Z209" s="25">
        <v>32.369999999999997</v>
      </c>
      <c r="AA209" s="24">
        <v>12.3</v>
      </c>
      <c r="AB209" s="24">
        <v>3380</v>
      </c>
      <c r="AC209" s="24" t="s">
        <v>5118</v>
      </c>
      <c r="AD209" s="8" t="s">
        <v>3725</v>
      </c>
      <c r="AE209" s="8" t="s">
        <v>4083</v>
      </c>
      <c r="AF209" s="25">
        <f t="shared" si="24"/>
        <v>491.13900000000001</v>
      </c>
      <c r="AG209" s="25">
        <f t="shared" si="25"/>
        <v>401.185</v>
      </c>
      <c r="AH209" s="25">
        <f t="shared" si="26"/>
        <v>4.1033373810699422E-2</v>
      </c>
      <c r="AI209" s="25">
        <f t="shared" si="27"/>
        <v>1.6837377662885932E-3</v>
      </c>
      <c r="AJ209" s="25">
        <f t="shared" si="28"/>
        <v>0.51957094020717987</v>
      </c>
      <c r="AK209" s="25">
        <f t="shared" si="29"/>
        <v>0.26995396190777288</v>
      </c>
      <c r="AL209" s="25">
        <f t="shared" si="30"/>
        <v>0.51783009881108544</v>
      </c>
      <c r="AM209" s="25">
        <f t="shared" si="31"/>
        <v>0.2681480112346985</v>
      </c>
      <c r="AN209" s="24" t="s">
        <v>5118</v>
      </c>
    </row>
    <row r="210" spans="13:40" ht="23">
      <c r="M210" s="9" t="s">
        <v>2649</v>
      </c>
      <c r="N210" s="8" t="s">
        <v>150</v>
      </c>
      <c r="O210" s="8"/>
      <c r="P210" s="8"/>
      <c r="Q210" s="8"/>
      <c r="R210" s="8"/>
      <c r="S210" s="8"/>
      <c r="T210" s="8"/>
      <c r="U210" s="8"/>
      <c r="V210" s="8"/>
      <c r="W210" s="9" t="s">
        <v>2649</v>
      </c>
      <c r="X210" s="8">
        <v>34.17</v>
      </c>
      <c r="Y210" s="8">
        <v>1.96</v>
      </c>
      <c r="Z210" s="9">
        <v>1.2</v>
      </c>
      <c r="AA210" s="8">
        <v>12.3</v>
      </c>
      <c r="AB210" s="8">
        <v>18549</v>
      </c>
      <c r="AC210" s="9" t="s">
        <v>2649</v>
      </c>
      <c r="AD210" s="8" t="s">
        <v>3725</v>
      </c>
      <c r="AE210" s="8" t="s">
        <v>4083</v>
      </c>
      <c r="AF210" s="9">
        <f t="shared" si="24"/>
        <v>24.108000000000001</v>
      </c>
      <c r="AG210" s="9">
        <f t="shared" si="25"/>
        <v>12.341000000000001</v>
      </c>
      <c r="AH210" s="9">
        <f t="shared" si="26"/>
        <v>4.1033373810699422E-2</v>
      </c>
      <c r="AI210" s="9">
        <f t="shared" si="27"/>
        <v>1.6837377662885932E-3</v>
      </c>
      <c r="AJ210" s="9">
        <f t="shared" si="28"/>
        <v>2.5503607383072186E-2</v>
      </c>
      <c r="AK210" s="9">
        <f t="shared" si="29"/>
        <v>6.5043398954989413E-4</v>
      </c>
      <c r="AL210" s="9">
        <f t="shared" si="30"/>
        <v>1.592916297824596E-2</v>
      </c>
      <c r="AM210" s="9">
        <f t="shared" si="31"/>
        <v>2.5373823318752169E-4</v>
      </c>
      <c r="AN210" s="9" t="s">
        <v>2649</v>
      </c>
    </row>
    <row r="211" spans="13:40" ht="23">
      <c r="M211" s="8" t="s">
        <v>439</v>
      </c>
      <c r="N211" s="8" t="s">
        <v>150</v>
      </c>
      <c r="O211" s="8"/>
      <c r="P211" s="8" t="s">
        <v>3691</v>
      </c>
      <c r="Q211" s="8"/>
      <c r="R211" s="8"/>
      <c r="S211" s="8"/>
      <c r="T211" s="8"/>
      <c r="U211" s="8"/>
      <c r="V211" s="8"/>
      <c r="W211" s="8" t="s">
        <v>439</v>
      </c>
      <c r="X211" s="8">
        <v>31.86</v>
      </c>
      <c r="Y211" s="8">
        <v>3.49</v>
      </c>
      <c r="Z211" s="9">
        <v>2.2599999999999998</v>
      </c>
      <c r="AA211" s="8">
        <v>11.9</v>
      </c>
      <c r="AB211" s="8">
        <v>14277</v>
      </c>
      <c r="AC211" s="8" t="s">
        <v>439</v>
      </c>
      <c r="AD211" s="8" t="s">
        <v>3725</v>
      </c>
      <c r="AE211" s="8" t="s">
        <v>4083</v>
      </c>
      <c r="AF211" s="9">
        <f t="shared" si="24"/>
        <v>41.531000000000006</v>
      </c>
      <c r="AG211" s="9">
        <f t="shared" si="25"/>
        <v>28.956666666666671</v>
      </c>
      <c r="AH211" s="9">
        <f t="shared" si="26"/>
        <v>3.9698955150188869E-2</v>
      </c>
      <c r="AI211" s="9">
        <f t="shared" si="27"/>
        <v>1.5760070400167073E-3</v>
      </c>
      <c r="AJ211" s="9">
        <f t="shared" si="28"/>
        <v>4.3935221429665307E-2</v>
      </c>
      <c r="AK211" s="9">
        <f t="shared" si="29"/>
        <v>1.9303036820737217E-3</v>
      </c>
      <c r="AL211" s="9">
        <f t="shared" si="30"/>
        <v>3.737585792399932E-2</v>
      </c>
      <c r="AM211" s="9">
        <f t="shared" si="31"/>
        <v>1.3969547555549827E-3</v>
      </c>
      <c r="AN211" s="8" t="s">
        <v>439</v>
      </c>
    </row>
    <row r="212" spans="13:40" ht="23">
      <c r="M212" s="8" t="s">
        <v>5027</v>
      </c>
      <c r="N212" s="8" t="s">
        <v>150</v>
      </c>
      <c r="O212" s="8"/>
      <c r="P212" s="8"/>
      <c r="Q212" s="8"/>
      <c r="R212" s="8"/>
      <c r="S212" s="8"/>
      <c r="T212" s="8"/>
      <c r="U212" s="8"/>
      <c r="V212" s="8"/>
      <c r="W212" s="8" t="s">
        <v>5027</v>
      </c>
      <c r="X212" s="8">
        <v>7.8</v>
      </c>
      <c r="Y212" s="8">
        <v>1.7</v>
      </c>
      <c r="Z212" s="9">
        <v>0.32</v>
      </c>
      <c r="AA212" s="8">
        <v>11.8</v>
      </c>
      <c r="AB212" s="8">
        <v>25940</v>
      </c>
      <c r="AC212" s="8" t="s">
        <v>5027</v>
      </c>
      <c r="AD212" s="8" t="s">
        <v>3725</v>
      </c>
      <c r="AE212" s="8" t="s">
        <v>4083</v>
      </c>
      <c r="AF212" s="9">
        <f t="shared" si="24"/>
        <v>20.060000000000002</v>
      </c>
      <c r="AG212" s="9">
        <f t="shared" si="25"/>
        <v>6.2933333333333339</v>
      </c>
      <c r="AH212" s="9">
        <f t="shared" si="26"/>
        <v>3.9365350485061235E-2</v>
      </c>
      <c r="AI212" s="9">
        <f t="shared" si="27"/>
        <v>1.5496308188117107E-3</v>
      </c>
      <c r="AJ212" s="9">
        <f t="shared" si="28"/>
        <v>2.1221269458454792E-2</v>
      </c>
      <c r="AK212" s="9">
        <f t="shared" si="29"/>
        <v>4.5034227742834614E-4</v>
      </c>
      <c r="AL212" s="9">
        <f t="shared" si="30"/>
        <v>8.1231287856004045E-3</v>
      </c>
      <c r="AM212" s="9">
        <f t="shared" si="31"/>
        <v>6.5985221267449905E-5</v>
      </c>
      <c r="AN212" s="8" t="s">
        <v>5027</v>
      </c>
    </row>
    <row r="213" spans="13:40" ht="23">
      <c r="M213" s="8" t="s">
        <v>49</v>
      </c>
      <c r="N213" s="8" t="s">
        <v>23</v>
      </c>
      <c r="O213" s="8"/>
      <c r="P213" s="8"/>
      <c r="Q213" s="8"/>
      <c r="R213" s="8"/>
      <c r="S213" s="8"/>
      <c r="T213" s="8"/>
      <c r="U213" s="8"/>
      <c r="V213" s="8"/>
      <c r="W213" s="8" t="s">
        <v>49</v>
      </c>
      <c r="X213" s="8">
        <v>31.38</v>
      </c>
      <c r="Y213" s="8">
        <v>2.63</v>
      </c>
      <c r="Z213" s="9">
        <v>1.38</v>
      </c>
      <c r="AA213" s="8">
        <v>11.6</v>
      </c>
      <c r="AB213" s="8">
        <v>14880</v>
      </c>
      <c r="AC213" s="8" t="s">
        <v>49</v>
      </c>
      <c r="AD213" s="8" t="s">
        <v>3725</v>
      </c>
      <c r="AE213" s="8" t="s">
        <v>4083</v>
      </c>
      <c r="AF213" s="9">
        <f t="shared" si="24"/>
        <v>30.507999999999999</v>
      </c>
      <c r="AG213" s="9">
        <f t="shared" si="25"/>
        <v>18.946666666666665</v>
      </c>
      <c r="AH213" s="9">
        <f t="shared" si="26"/>
        <v>3.8698141154805958E-2</v>
      </c>
      <c r="AI213" s="9">
        <f t="shared" si="27"/>
        <v>1.4975461288372865E-3</v>
      </c>
      <c r="AJ213" s="9">
        <f t="shared" si="28"/>
        <v>3.2274102125550284E-2</v>
      </c>
      <c r="AK213" s="9">
        <f t="shared" si="29"/>
        <v>1.0416176680104494E-3</v>
      </c>
      <c r="AL213" s="9">
        <f t="shared" si="30"/>
        <v>2.4455436449869011E-2</v>
      </c>
      <c r="AM213" s="9">
        <f t="shared" si="31"/>
        <v>5.9806837195358175E-4</v>
      </c>
      <c r="AN213" s="8" t="s">
        <v>49</v>
      </c>
    </row>
    <row r="214" spans="13:40" ht="23">
      <c r="M214" s="8" t="s">
        <v>4981</v>
      </c>
      <c r="N214" s="8" t="s">
        <v>150</v>
      </c>
      <c r="O214" s="8"/>
      <c r="P214" s="8" t="s">
        <v>3693</v>
      </c>
      <c r="Q214" s="8"/>
      <c r="R214" s="8"/>
      <c r="S214" s="8"/>
      <c r="T214" s="8"/>
      <c r="U214" s="8"/>
      <c r="V214" s="8"/>
      <c r="W214" s="8" t="s">
        <v>4981</v>
      </c>
      <c r="X214" s="8">
        <v>39.11</v>
      </c>
      <c r="Y214" s="8">
        <v>3.38</v>
      </c>
      <c r="Z214" s="9">
        <v>3.38</v>
      </c>
      <c r="AA214" s="8">
        <v>11.5</v>
      </c>
      <c r="AB214" s="8">
        <v>10827</v>
      </c>
      <c r="AC214" s="8" t="s">
        <v>4981</v>
      </c>
      <c r="AD214" s="8" t="s">
        <v>3725</v>
      </c>
      <c r="AE214" s="8" t="s">
        <v>4083</v>
      </c>
      <c r="AF214" s="9">
        <f t="shared" si="24"/>
        <v>38.869999999999997</v>
      </c>
      <c r="AG214" s="9">
        <f t="shared" si="25"/>
        <v>41.783333333333331</v>
      </c>
      <c r="AH214" s="9">
        <f t="shared" si="26"/>
        <v>3.8364536489678323E-2</v>
      </c>
      <c r="AI214" s="9">
        <f t="shared" si="27"/>
        <v>1.4718376600678597E-3</v>
      </c>
      <c r="AJ214" s="9">
        <f t="shared" si="28"/>
        <v>4.1120176662519319E-2</v>
      </c>
      <c r="AK214" s="9">
        <f t="shared" si="29"/>
        <v>1.6908689287567983E-3</v>
      </c>
      <c r="AL214" s="9">
        <f t="shared" si="30"/>
        <v>5.3931895830244193E-2</v>
      </c>
      <c r="AM214" s="9">
        <f t="shared" si="31"/>
        <v>2.9086493878443111E-3</v>
      </c>
      <c r="AN214" s="8" t="s">
        <v>4981</v>
      </c>
    </row>
    <row r="215" spans="13:40" ht="23">
      <c r="M215" s="9" t="s">
        <v>5002</v>
      </c>
      <c r="N215" s="8" t="s">
        <v>150</v>
      </c>
      <c r="O215" s="8"/>
      <c r="P215" s="8" t="s">
        <v>3704</v>
      </c>
      <c r="Q215" s="8"/>
      <c r="R215" s="8"/>
      <c r="S215" s="8"/>
      <c r="T215" s="8"/>
      <c r="U215" s="8"/>
      <c r="V215" s="8"/>
      <c r="W215" s="9" t="s">
        <v>5002</v>
      </c>
      <c r="X215" s="8">
        <v>6.85</v>
      </c>
      <c r="Y215" s="8">
        <v>18.73</v>
      </c>
      <c r="Z215" s="9">
        <v>2.2200000000000002</v>
      </c>
      <c r="AA215" s="8">
        <v>11.5</v>
      </c>
      <c r="AB215" s="8">
        <v>37581</v>
      </c>
      <c r="AC215" s="9" t="s">
        <v>5002</v>
      </c>
      <c r="AD215" s="8" t="s">
        <v>3725</v>
      </c>
      <c r="AE215" s="8" t="s">
        <v>4083</v>
      </c>
      <c r="AF215" s="9">
        <f t="shared" si="24"/>
        <v>215.39500000000001</v>
      </c>
      <c r="AG215" s="9">
        <f t="shared" si="25"/>
        <v>27.216666666666669</v>
      </c>
      <c r="AH215" s="9">
        <f t="shared" si="26"/>
        <v>3.8364536489678323E-2</v>
      </c>
      <c r="AI215" s="9">
        <f t="shared" si="27"/>
        <v>1.4718376600678597E-3</v>
      </c>
      <c r="AJ215" s="9">
        <f t="shared" si="28"/>
        <v>0.22786417422751096</v>
      </c>
      <c r="AK215" s="9">
        <f t="shared" si="29"/>
        <v>5.1922081896385468E-2</v>
      </c>
      <c r="AL215" s="9">
        <f t="shared" si="30"/>
        <v>3.5129950494929715E-2</v>
      </c>
      <c r="AM215" s="9">
        <f t="shared" si="31"/>
        <v>1.2341134217762125E-3</v>
      </c>
      <c r="AN215" s="9" t="s">
        <v>5002</v>
      </c>
    </row>
    <row r="216" spans="13:40" ht="23">
      <c r="M216" s="9" t="s">
        <v>2800</v>
      </c>
      <c r="N216" s="8" t="s">
        <v>1614</v>
      </c>
      <c r="O216" s="8"/>
      <c r="P216" s="8" t="s">
        <v>3693</v>
      </c>
      <c r="Q216" s="8"/>
      <c r="R216" s="8"/>
      <c r="S216" s="8"/>
      <c r="T216" s="8"/>
      <c r="U216" s="8"/>
      <c r="V216" s="8"/>
      <c r="W216" s="9" t="s">
        <v>2800</v>
      </c>
      <c r="X216" s="8">
        <v>24.58</v>
      </c>
      <c r="Y216" s="8">
        <v>5.81</v>
      </c>
      <c r="Z216" s="9">
        <v>5.55</v>
      </c>
      <c r="AA216" s="8">
        <v>11.4</v>
      </c>
      <c r="AB216" s="8">
        <v>7195</v>
      </c>
      <c r="AC216" s="9" t="s">
        <v>2800</v>
      </c>
      <c r="AD216" s="8" t="s">
        <v>3725</v>
      </c>
      <c r="AE216" s="8" t="s">
        <v>4083</v>
      </c>
      <c r="AF216" s="9">
        <f t="shared" si="24"/>
        <v>66.233999999999995</v>
      </c>
      <c r="AG216" s="9">
        <f t="shared" si="25"/>
        <v>67.45</v>
      </c>
      <c r="AH216" s="9">
        <f t="shared" si="26"/>
        <v>3.8030931824550682E-2</v>
      </c>
      <c r="AI216" s="9">
        <f t="shared" si="27"/>
        <v>1.4463517754436219E-3</v>
      </c>
      <c r="AJ216" s="9">
        <f t="shared" si="28"/>
        <v>7.0068273245827248E-2</v>
      </c>
      <c r="AK216" s="9">
        <f t="shared" si="29"/>
        <v>4.9095629156519103E-3</v>
      </c>
      <c r="AL216" s="9">
        <f t="shared" si="30"/>
        <v>8.7061181661347534E-2</v>
      </c>
      <c r="AM216" s="9">
        <f t="shared" si="31"/>
        <v>7.5796493522701557E-3</v>
      </c>
      <c r="AN216" s="9" t="s">
        <v>2800</v>
      </c>
    </row>
    <row r="217" spans="13:40" ht="23">
      <c r="M217" s="8" t="s">
        <v>2002</v>
      </c>
      <c r="N217" s="8" t="s">
        <v>1990</v>
      </c>
      <c r="O217" s="8"/>
      <c r="P217" s="8"/>
      <c r="Q217" s="8"/>
      <c r="R217" s="8"/>
      <c r="S217" s="8"/>
      <c r="T217" s="8"/>
      <c r="U217" s="8"/>
      <c r="V217" s="8"/>
      <c r="W217" s="8" t="s">
        <v>2002</v>
      </c>
      <c r="X217" s="8">
        <v>51.92</v>
      </c>
      <c r="Y217" s="8">
        <v>3.55</v>
      </c>
      <c r="Z217" s="9">
        <v>3.01</v>
      </c>
      <c r="AA217" s="8">
        <v>11.3</v>
      </c>
      <c r="AB217" s="8">
        <v>11939</v>
      </c>
      <c r="AC217" s="8" t="s">
        <v>2002</v>
      </c>
      <c r="AD217" s="8" t="s">
        <v>3725</v>
      </c>
      <c r="AE217" s="8" t="s">
        <v>4083</v>
      </c>
      <c r="AF217" s="9">
        <f t="shared" si="24"/>
        <v>40.115000000000002</v>
      </c>
      <c r="AG217" s="9">
        <f t="shared" si="25"/>
        <v>34.088333333333338</v>
      </c>
      <c r="AH217" s="9">
        <f t="shared" si="26"/>
        <v>3.7697327159423047E-2</v>
      </c>
      <c r="AI217" s="9">
        <f t="shared" si="27"/>
        <v>1.4210884749645744E-3</v>
      </c>
      <c r="AJ217" s="9">
        <f t="shared" si="28"/>
        <v>4.243724946789202E-2</v>
      </c>
      <c r="AK217" s="9">
        <f t="shared" si="29"/>
        <v>1.8009201424001016E-3</v>
      </c>
      <c r="AL217" s="9">
        <f t="shared" si="30"/>
        <v>4.3999563837893295E-2</v>
      </c>
      <c r="AM217" s="9">
        <f t="shared" si="31"/>
        <v>1.9359616179248473E-3</v>
      </c>
      <c r="AN217" s="8" t="s">
        <v>2002</v>
      </c>
    </row>
    <row r="218" spans="13:40" ht="23">
      <c r="M218" s="8" t="s">
        <v>1699</v>
      </c>
      <c r="N218" s="8" t="s">
        <v>1614</v>
      </c>
      <c r="O218" s="8"/>
      <c r="P218" s="8"/>
      <c r="Q218" s="8"/>
      <c r="R218" s="8"/>
      <c r="S218" s="8"/>
      <c r="T218" s="8"/>
      <c r="U218" s="8"/>
      <c r="V218" s="8"/>
      <c r="W218" s="8" t="s">
        <v>1699</v>
      </c>
      <c r="X218" s="8">
        <v>46.69</v>
      </c>
      <c r="Y218" s="8">
        <v>3.2</v>
      </c>
      <c r="Z218" s="9">
        <v>2.4</v>
      </c>
      <c r="AA218" s="8">
        <v>11.2</v>
      </c>
      <c r="AB218" s="8">
        <v>10350</v>
      </c>
      <c r="AC218" s="8" t="s">
        <v>1699</v>
      </c>
      <c r="AD218" s="8" t="s">
        <v>3725</v>
      </c>
      <c r="AE218" s="8" t="s">
        <v>4083</v>
      </c>
      <c r="AF218" s="9">
        <f t="shared" si="24"/>
        <v>35.839999999999996</v>
      </c>
      <c r="AG218" s="9">
        <f t="shared" si="25"/>
        <v>22.474666666666668</v>
      </c>
      <c r="AH218" s="9">
        <f t="shared" si="26"/>
        <v>3.7363722494295405E-2</v>
      </c>
      <c r="AI218" s="9">
        <f t="shared" si="27"/>
        <v>1.3960477586307165E-3</v>
      </c>
      <c r="AJ218" s="9">
        <f t="shared" si="28"/>
        <v>3.7914770557877349E-2</v>
      </c>
      <c r="AK218" s="9">
        <f t="shared" si="29"/>
        <v>1.437529826456483E-3</v>
      </c>
      <c r="AL218" s="9">
        <f t="shared" si="30"/>
        <v>2.9009207375017033E-2</v>
      </c>
      <c r="AM218" s="9">
        <f t="shared" si="31"/>
        <v>8.415341125267426E-4</v>
      </c>
      <c r="AN218" s="8" t="s">
        <v>1699</v>
      </c>
    </row>
    <row r="219" spans="13:40" ht="23">
      <c r="M219" s="9" t="s">
        <v>2567</v>
      </c>
      <c r="N219" s="8" t="s">
        <v>150</v>
      </c>
      <c r="O219" s="8"/>
      <c r="P219" s="8"/>
      <c r="Q219" s="8"/>
      <c r="R219" s="8"/>
      <c r="S219" s="8"/>
      <c r="T219" s="8"/>
      <c r="U219" s="8"/>
      <c r="V219" s="8"/>
      <c r="W219" s="9" t="s">
        <v>2567</v>
      </c>
      <c r="X219" s="8">
        <v>18.600000000000001</v>
      </c>
      <c r="Y219" s="8">
        <v>4.6900000000000004</v>
      </c>
      <c r="Z219" s="9">
        <v>2.14</v>
      </c>
      <c r="AA219" s="8">
        <v>11.2</v>
      </c>
      <c r="AB219" s="8">
        <v>16470</v>
      </c>
      <c r="AC219" s="9" t="s">
        <v>2567</v>
      </c>
      <c r="AD219" s="8" t="s">
        <v>3725</v>
      </c>
      <c r="AE219" s="8" t="s">
        <v>4083</v>
      </c>
      <c r="AF219" s="9">
        <f t="shared" si="24"/>
        <v>52.527999999999999</v>
      </c>
      <c r="AG219" s="9">
        <f t="shared" si="25"/>
        <v>25.013333333333332</v>
      </c>
      <c r="AH219" s="9">
        <f t="shared" si="26"/>
        <v>3.7363722494295405E-2</v>
      </c>
      <c r="AI219" s="9">
        <f t="shared" si="27"/>
        <v>1.3960477586307165E-3</v>
      </c>
      <c r="AJ219" s="9">
        <f t="shared" si="28"/>
        <v>5.5568835598888991E-2</v>
      </c>
      <c r="AK219" s="9">
        <f t="shared" si="29"/>
        <v>3.0878954898163522E-3</v>
      </c>
      <c r="AL219" s="9">
        <f t="shared" si="30"/>
        <v>3.2285994919038885E-2</v>
      </c>
      <c r="AM219" s="9">
        <f t="shared" si="31"/>
        <v>1.0423854679122047E-3</v>
      </c>
      <c r="AN219" s="9" t="s">
        <v>2567</v>
      </c>
    </row>
    <row r="220" spans="13:40" ht="23">
      <c r="M220" s="9" t="s">
        <v>2497</v>
      </c>
      <c r="N220" s="8" t="s">
        <v>150</v>
      </c>
      <c r="O220" s="8"/>
      <c r="P220" s="8"/>
      <c r="Q220" s="8"/>
      <c r="R220" s="8"/>
      <c r="S220" s="8"/>
      <c r="T220" s="8"/>
      <c r="U220" s="8"/>
      <c r="V220" s="8"/>
      <c r="W220" s="9" t="s">
        <v>2497</v>
      </c>
      <c r="X220" s="8">
        <v>11.41</v>
      </c>
      <c r="Y220" s="8">
        <v>6.57</v>
      </c>
      <c r="Z220" s="9">
        <v>3.25</v>
      </c>
      <c r="AA220" s="8">
        <v>11.1</v>
      </c>
      <c r="AB220" s="8">
        <v>13645</v>
      </c>
      <c r="AC220" s="9" t="s">
        <v>2497</v>
      </c>
      <c r="AD220" s="8" t="s">
        <v>3725</v>
      </c>
      <c r="AE220" s="8" t="s">
        <v>4083</v>
      </c>
      <c r="AF220" s="9">
        <f t="shared" si="24"/>
        <v>72.927000000000007</v>
      </c>
      <c r="AG220" s="9">
        <f t="shared" si="25"/>
        <v>37.924999999999997</v>
      </c>
      <c r="AH220" s="9">
        <f t="shared" si="26"/>
        <v>3.7030117829167764E-2</v>
      </c>
      <c r="AI220" s="9">
        <f t="shared" si="27"/>
        <v>1.3712296264420483E-3</v>
      </c>
      <c r="AJ220" s="9">
        <f t="shared" si="28"/>
        <v>7.7148729700734428E-2</v>
      </c>
      <c r="AK220" s="9">
        <f t="shared" si="29"/>
        <v>5.9519264944369824E-3</v>
      </c>
      <c r="AL220" s="9">
        <f t="shared" si="30"/>
        <v>4.8951746693945225E-2</v>
      </c>
      <c r="AM220" s="9">
        <f t="shared" si="31"/>
        <v>2.3962735043881775E-3</v>
      </c>
      <c r="AN220" s="9" t="s">
        <v>2497</v>
      </c>
    </row>
    <row r="221" spans="13:40" ht="23">
      <c r="M221" s="8" t="s">
        <v>1746</v>
      </c>
      <c r="N221" s="8" t="s">
        <v>1717</v>
      </c>
      <c r="O221" s="8"/>
      <c r="P221" s="8"/>
      <c r="Q221" s="8"/>
      <c r="R221" s="8"/>
      <c r="S221" s="8"/>
      <c r="T221" s="8"/>
      <c r="U221" s="8"/>
      <c r="V221" s="8"/>
      <c r="W221" s="8" t="s">
        <v>1746</v>
      </c>
      <c r="X221" s="8">
        <v>29.84</v>
      </c>
      <c r="Y221" s="8">
        <v>3.6</v>
      </c>
      <c r="Z221" s="9">
        <v>1.5</v>
      </c>
      <c r="AA221" s="8">
        <v>11.1</v>
      </c>
      <c r="AB221" s="8">
        <v>9918</v>
      </c>
      <c r="AC221" s="8" t="s">
        <v>1746</v>
      </c>
      <c r="AD221" s="8" t="s">
        <v>3725</v>
      </c>
      <c r="AE221" s="8" t="s">
        <v>4083</v>
      </c>
      <c r="AF221" s="9">
        <f t="shared" si="24"/>
        <v>39.96</v>
      </c>
      <c r="AG221" s="9">
        <f t="shared" si="25"/>
        <v>11.192499999999999</v>
      </c>
      <c r="AH221" s="9">
        <f t="shared" si="26"/>
        <v>3.7030117829167764E-2</v>
      </c>
      <c r="AI221" s="9">
        <f t="shared" si="27"/>
        <v>1.3712296264420483E-3</v>
      </c>
      <c r="AJ221" s="9">
        <f t="shared" si="28"/>
        <v>4.227327654834763E-2</v>
      </c>
      <c r="AK221" s="9">
        <f t="shared" si="29"/>
        <v>1.7870299101330777E-3</v>
      </c>
      <c r="AL221" s="9">
        <f t="shared" si="30"/>
        <v>1.4446734999920418E-2</v>
      </c>
      <c r="AM221" s="9">
        <f t="shared" si="31"/>
        <v>2.087081521579256E-4</v>
      </c>
      <c r="AN221" s="8" t="s">
        <v>1746</v>
      </c>
    </row>
    <row r="222" spans="13:40" ht="23">
      <c r="M222" s="8" t="s">
        <v>307</v>
      </c>
      <c r="N222" s="8" t="s">
        <v>150</v>
      </c>
      <c r="O222" s="8"/>
      <c r="P222" s="8"/>
      <c r="Q222" s="8"/>
      <c r="R222" s="8"/>
      <c r="S222" s="8"/>
      <c r="T222" s="8"/>
      <c r="U222" s="8"/>
      <c r="V222" s="8"/>
      <c r="W222" s="8" t="s">
        <v>307</v>
      </c>
      <c r="X222" s="8">
        <v>9.86</v>
      </c>
      <c r="Y222" s="8">
        <v>19.39</v>
      </c>
      <c r="Z222" s="9">
        <v>6.01</v>
      </c>
      <c r="AA222" s="8">
        <v>10.9</v>
      </c>
      <c r="AB222" s="8">
        <v>22711</v>
      </c>
      <c r="AC222" s="8" t="s">
        <v>307</v>
      </c>
      <c r="AD222" s="8" t="s">
        <v>3725</v>
      </c>
      <c r="AE222" s="8" t="s">
        <v>4083</v>
      </c>
      <c r="AF222" s="9">
        <f t="shared" si="24"/>
        <v>211.351</v>
      </c>
      <c r="AG222" s="9">
        <f t="shared" si="25"/>
        <v>65.581666666666663</v>
      </c>
      <c r="AH222" s="9">
        <f t="shared" si="26"/>
        <v>3.6362908498912494E-2</v>
      </c>
      <c r="AI222" s="9">
        <f t="shared" si="27"/>
        <v>1.3222611145002824E-3</v>
      </c>
      <c r="AJ222" s="9">
        <f t="shared" si="28"/>
        <v>0.22358606786210761</v>
      </c>
      <c r="AK222" s="9">
        <f t="shared" si="29"/>
        <v>4.999072974203899E-2</v>
      </c>
      <c r="AL222" s="9">
        <f t="shared" si="30"/>
        <v>8.4649627803122421E-2</v>
      </c>
      <c r="AM222" s="9">
        <f t="shared" si="31"/>
        <v>7.1655594872071567E-3</v>
      </c>
      <c r="AN222" s="8" t="s">
        <v>307</v>
      </c>
    </row>
    <row r="223" spans="13:40" ht="23">
      <c r="M223" s="8" t="s">
        <v>1766</v>
      </c>
      <c r="N223" s="8" t="s">
        <v>1717</v>
      </c>
      <c r="O223" s="8"/>
      <c r="P223" s="8"/>
      <c r="Q223" s="8"/>
      <c r="R223" s="8"/>
      <c r="S223" s="8"/>
      <c r="T223" s="8"/>
      <c r="U223" s="8"/>
      <c r="V223" s="8"/>
      <c r="W223" s="8" t="s">
        <v>1766</v>
      </c>
      <c r="X223" s="8">
        <v>78.88</v>
      </c>
      <c r="Y223" s="8">
        <v>2.5299999999999998</v>
      </c>
      <c r="Z223" s="9">
        <v>1.33</v>
      </c>
      <c r="AA223" s="8">
        <v>10.8</v>
      </c>
      <c r="AB223" s="8">
        <v>20344</v>
      </c>
      <c r="AC223" s="8" t="s">
        <v>1766</v>
      </c>
      <c r="AD223" s="8" t="s">
        <v>3725</v>
      </c>
      <c r="AE223" s="8" t="s">
        <v>4083</v>
      </c>
      <c r="AF223" s="9">
        <f t="shared" si="24"/>
        <v>27.323999999999998</v>
      </c>
      <c r="AG223" s="9">
        <f t="shared" si="25"/>
        <v>16.740000000000002</v>
      </c>
      <c r="AH223" s="9">
        <f t="shared" si="26"/>
        <v>3.6029303833784859E-2</v>
      </c>
      <c r="AI223" s="9">
        <f t="shared" si="27"/>
        <v>1.2981107347471844E-3</v>
      </c>
      <c r="AJ223" s="9">
        <f t="shared" si="28"/>
        <v>2.8905780991167432E-2</v>
      </c>
      <c r="AK223" s="9">
        <f t="shared" si="29"/>
        <v>8.3554417470933643E-4</v>
      </c>
      <c r="AL223" s="9">
        <f t="shared" si="30"/>
        <v>2.1607178369324805E-2</v>
      </c>
      <c r="AM223" s="9">
        <f t="shared" si="31"/>
        <v>4.6687015708381772E-4</v>
      </c>
      <c r="AN223" s="8" t="s">
        <v>1766</v>
      </c>
    </row>
    <row r="224" spans="13:40" ht="23">
      <c r="M224" s="9" t="s">
        <v>3666</v>
      </c>
      <c r="N224" s="8" t="s">
        <v>2107</v>
      </c>
      <c r="O224" s="8"/>
      <c r="P224" s="8"/>
      <c r="Q224" s="8"/>
      <c r="R224" s="8"/>
      <c r="S224" s="8"/>
      <c r="T224" s="8"/>
      <c r="U224" s="8"/>
      <c r="V224" s="8"/>
      <c r="W224" s="9" t="s">
        <v>3666</v>
      </c>
      <c r="X224" s="8">
        <v>23.23</v>
      </c>
      <c r="Y224" s="8">
        <v>6.64</v>
      </c>
      <c r="Z224" s="9">
        <v>7.55</v>
      </c>
      <c r="AA224" s="8">
        <v>10.8</v>
      </c>
      <c r="AB224" s="8">
        <v>8175</v>
      </c>
      <c r="AC224" s="9" t="s">
        <v>3666</v>
      </c>
      <c r="AD224" s="8" t="s">
        <v>3725</v>
      </c>
      <c r="AE224" s="8" t="s">
        <v>4083</v>
      </c>
      <c r="AF224" s="9">
        <f t="shared" si="24"/>
        <v>71.712000000000003</v>
      </c>
      <c r="AG224" s="9">
        <f t="shared" si="25"/>
        <v>85.500000000000014</v>
      </c>
      <c r="AH224" s="9">
        <f t="shared" si="26"/>
        <v>3.6029303833784859E-2</v>
      </c>
      <c r="AI224" s="9">
        <f t="shared" si="27"/>
        <v>1.2981107347471844E-3</v>
      </c>
      <c r="AJ224" s="9">
        <f t="shared" si="28"/>
        <v>7.5863393589467101E-2</v>
      </c>
      <c r="AK224" s="9">
        <f t="shared" si="29"/>
        <v>5.7552544869103979E-3</v>
      </c>
      <c r="AL224" s="9">
        <f t="shared" si="30"/>
        <v>0.11035924435945466</v>
      </c>
      <c r="AM224" s="9">
        <f t="shared" si="31"/>
        <v>1.2179162815589823E-2</v>
      </c>
      <c r="AN224" s="9" t="s">
        <v>3666</v>
      </c>
    </row>
    <row r="225" spans="13:40" ht="23">
      <c r="M225" s="8" t="s">
        <v>189</v>
      </c>
      <c r="N225" s="8" t="s">
        <v>150</v>
      </c>
      <c r="O225" s="8"/>
      <c r="P225" s="8" t="s">
        <v>3691</v>
      </c>
      <c r="Q225" s="8"/>
      <c r="R225" s="8"/>
      <c r="S225" s="8"/>
      <c r="T225" s="8"/>
      <c r="U225" s="8"/>
      <c r="V225" s="8"/>
      <c r="W225" s="8" t="s">
        <v>189</v>
      </c>
      <c r="X225" s="8">
        <v>31.63</v>
      </c>
      <c r="Y225" s="8">
        <v>5.49</v>
      </c>
      <c r="Z225" s="9">
        <v>5.18</v>
      </c>
      <c r="AA225" s="8">
        <v>10.7</v>
      </c>
      <c r="AB225" s="8">
        <v>8397</v>
      </c>
      <c r="AC225" s="8" t="s">
        <v>189</v>
      </c>
      <c r="AD225" s="8" t="s">
        <v>3725</v>
      </c>
      <c r="AE225" s="8" t="s">
        <v>4083</v>
      </c>
      <c r="AF225" s="9">
        <f t="shared" si="24"/>
        <v>58.742999999999995</v>
      </c>
      <c r="AG225" s="9">
        <f t="shared" si="25"/>
        <v>56.709999999999994</v>
      </c>
      <c r="AH225" s="9">
        <f t="shared" si="26"/>
        <v>3.5695699168657218E-2</v>
      </c>
      <c r="AI225" s="9">
        <f t="shared" si="27"/>
        <v>1.2741829391392755E-3</v>
      </c>
      <c r="AJ225" s="9">
        <f t="shared" si="28"/>
        <v>6.2143620727717327E-2</v>
      </c>
      <c r="AK225" s="9">
        <f t="shared" si="29"/>
        <v>3.8618295971503788E-3</v>
      </c>
      <c r="AL225" s="9">
        <f t="shared" si="30"/>
        <v>7.3198511668124813E-2</v>
      </c>
      <c r="AM225" s="9">
        <f t="shared" si="31"/>
        <v>5.3580221104286042E-3</v>
      </c>
      <c r="AN225" s="8" t="s">
        <v>189</v>
      </c>
    </row>
    <row r="226" spans="13:40" ht="23">
      <c r="M226" s="9" t="s">
        <v>2537</v>
      </c>
      <c r="N226" s="8" t="s">
        <v>150</v>
      </c>
      <c r="O226" s="8"/>
      <c r="P226" s="8"/>
      <c r="Q226" s="8"/>
      <c r="R226" s="8"/>
      <c r="S226" s="8"/>
      <c r="T226" s="8"/>
      <c r="U226" s="8"/>
      <c r="V226" s="8"/>
      <c r="W226" s="9" t="s">
        <v>2537</v>
      </c>
      <c r="X226" s="8">
        <v>13.56</v>
      </c>
      <c r="Y226" s="8">
        <v>2.14</v>
      </c>
      <c r="Z226" s="9">
        <v>0.47</v>
      </c>
      <c r="AA226" s="8">
        <v>10.7</v>
      </c>
      <c r="AB226" s="8">
        <v>26050</v>
      </c>
      <c r="AC226" s="9" t="s">
        <v>2537</v>
      </c>
      <c r="AD226" s="8" t="s">
        <v>3725</v>
      </c>
      <c r="AE226" s="8" t="s">
        <v>4083</v>
      </c>
      <c r="AF226" s="9">
        <f t="shared" si="24"/>
        <v>22.898</v>
      </c>
      <c r="AG226" s="9">
        <f t="shared" si="25"/>
        <v>8.3816666666666659</v>
      </c>
      <c r="AH226" s="9">
        <f t="shared" si="26"/>
        <v>3.5695699168657218E-2</v>
      </c>
      <c r="AI226" s="9">
        <f t="shared" si="27"/>
        <v>1.2741829391392755E-3</v>
      </c>
      <c r="AJ226" s="9">
        <f t="shared" si="28"/>
        <v>2.4223560720822424E-2</v>
      </c>
      <c r="AK226" s="9">
        <f t="shared" si="29"/>
        <v>5.8678089399537097E-4</v>
      </c>
      <c r="AL226" s="9">
        <f t="shared" si="30"/>
        <v>1.0818647950949264E-2</v>
      </c>
      <c r="AM226" s="9">
        <f t="shared" si="31"/>
        <v>1.1704314348657872E-4</v>
      </c>
      <c r="AN226" s="9" t="s">
        <v>2537</v>
      </c>
    </row>
    <row r="227" spans="13:40" ht="23">
      <c r="M227" s="9" t="s">
        <v>5030</v>
      </c>
      <c r="N227" s="8" t="s">
        <v>2003</v>
      </c>
      <c r="O227" s="8"/>
      <c r="P227" s="8" t="s">
        <v>3697</v>
      </c>
      <c r="Q227" s="8"/>
      <c r="R227" s="8"/>
      <c r="S227" s="8"/>
      <c r="T227" s="8"/>
      <c r="U227" s="8"/>
      <c r="V227" s="8"/>
      <c r="W227" s="9" t="s">
        <v>5030</v>
      </c>
      <c r="X227" s="8">
        <v>22.53</v>
      </c>
      <c r="Y227" s="8">
        <v>5.05</v>
      </c>
      <c r="Z227" s="9">
        <v>6.42</v>
      </c>
      <c r="AA227" s="8">
        <v>10.6</v>
      </c>
      <c r="AB227" s="8">
        <v>9127</v>
      </c>
      <c r="AC227" s="9" t="s">
        <v>5030</v>
      </c>
      <c r="AD227" s="8" t="s">
        <v>3725</v>
      </c>
      <c r="AE227" s="8" t="s">
        <v>4083</v>
      </c>
      <c r="AF227" s="9">
        <f t="shared" si="24"/>
        <v>53.529999999999994</v>
      </c>
      <c r="AG227" s="9">
        <f t="shared" si="25"/>
        <v>71.02</v>
      </c>
      <c r="AH227" s="9">
        <f t="shared" si="26"/>
        <v>3.5362094503529583E-2</v>
      </c>
      <c r="AI227" s="9">
        <f t="shared" si="27"/>
        <v>1.2504777276765571E-3</v>
      </c>
      <c r="AJ227" s="9">
        <f t="shared" si="28"/>
        <v>5.6628841182008213E-2</v>
      </c>
      <c r="AK227" s="9">
        <f t="shared" si="29"/>
        <v>3.2068256536171092E-3</v>
      </c>
      <c r="AL227" s="9">
        <f t="shared" si="30"/>
        <v>9.1669164145128268E-2</v>
      </c>
      <c r="AM227" s="9">
        <f t="shared" si="31"/>
        <v>8.40323565506647E-3</v>
      </c>
      <c r="AN227" s="9" t="s">
        <v>5030</v>
      </c>
    </row>
    <row r="228" spans="13:40" ht="23">
      <c r="M228" s="9" t="s">
        <v>4957</v>
      </c>
      <c r="N228" s="8" t="s">
        <v>150</v>
      </c>
      <c r="O228" s="8"/>
      <c r="P228" s="8"/>
      <c r="Q228" s="8"/>
      <c r="R228" s="8"/>
      <c r="S228" s="8"/>
      <c r="T228" s="8"/>
      <c r="U228" s="8"/>
      <c r="V228" s="8"/>
      <c r="W228" s="9" t="s">
        <v>4957</v>
      </c>
      <c r="X228" s="8">
        <v>25.07</v>
      </c>
      <c r="Y228" s="8">
        <v>1.55</v>
      </c>
      <c r="Z228" s="9">
        <v>0.51</v>
      </c>
      <c r="AA228" s="8">
        <v>10.6</v>
      </c>
      <c r="AB228" s="8">
        <v>22936</v>
      </c>
      <c r="AC228" s="9" t="s">
        <v>4957</v>
      </c>
      <c r="AD228" s="8" t="s">
        <v>3725</v>
      </c>
      <c r="AE228" s="8" t="s">
        <v>4083</v>
      </c>
      <c r="AF228" s="9">
        <f t="shared" si="24"/>
        <v>16.43</v>
      </c>
      <c r="AG228" s="9">
        <f t="shared" si="25"/>
        <v>9.01</v>
      </c>
      <c r="AH228" s="9">
        <f t="shared" si="26"/>
        <v>3.5362094503529583E-2</v>
      </c>
      <c r="AI228" s="9">
        <f t="shared" si="27"/>
        <v>1.2504777276765571E-3</v>
      </c>
      <c r="AJ228" s="9">
        <f t="shared" si="28"/>
        <v>1.7381129471705493E-2</v>
      </c>
      <c r="AK228" s="9">
        <f t="shared" si="29"/>
        <v>3.0210366171218924E-4</v>
      </c>
      <c r="AL228" s="9">
        <f t="shared" si="30"/>
        <v>1.1629670078113288E-2</v>
      </c>
      <c r="AM228" s="9">
        <f t="shared" si="31"/>
        <v>1.3524922612576353E-4</v>
      </c>
      <c r="AN228" s="9" t="s">
        <v>4957</v>
      </c>
    </row>
    <row r="229" spans="13:40" ht="23">
      <c r="M229" s="8" t="s">
        <v>4999</v>
      </c>
      <c r="N229" s="8" t="s">
        <v>150</v>
      </c>
      <c r="O229" s="8"/>
      <c r="P229" s="8" t="s">
        <v>4667</v>
      </c>
      <c r="Q229" s="8"/>
      <c r="R229" s="8"/>
      <c r="S229" s="8"/>
      <c r="T229" s="8"/>
      <c r="U229" s="8"/>
      <c r="V229" s="8"/>
      <c r="W229" s="8" t="s">
        <v>4999</v>
      </c>
      <c r="X229" s="8">
        <v>17.72</v>
      </c>
      <c r="Y229" s="8">
        <v>3.44</v>
      </c>
      <c r="Z229" s="9">
        <v>3.5</v>
      </c>
      <c r="AA229" s="8">
        <v>10.5</v>
      </c>
      <c r="AB229" s="8">
        <v>16319</v>
      </c>
      <c r="AC229" s="8" t="s">
        <v>4999</v>
      </c>
      <c r="AD229" s="8" t="s">
        <v>3725</v>
      </c>
      <c r="AE229" s="8" t="s">
        <v>4083</v>
      </c>
      <c r="AF229" s="9">
        <f t="shared" si="24"/>
        <v>36.119999999999997</v>
      </c>
      <c r="AG229" s="9">
        <f t="shared" si="25"/>
        <v>31.587499999999999</v>
      </c>
      <c r="AH229" s="9">
        <f t="shared" si="26"/>
        <v>3.5028489838401941E-2</v>
      </c>
      <c r="AI229" s="9">
        <f t="shared" si="27"/>
        <v>1.226995100359028E-3</v>
      </c>
      <c r="AJ229" s="9">
        <f t="shared" si="28"/>
        <v>3.8210979702860769E-2</v>
      </c>
      <c r="AK229" s="9">
        <f t="shared" si="29"/>
        <v>1.4600789698524376E-3</v>
      </c>
      <c r="AL229" s="9">
        <f t="shared" si="30"/>
        <v>4.0771609721687398E-2</v>
      </c>
      <c r="AM229" s="9">
        <f t="shared" si="31"/>
        <v>1.6623241592975944E-3</v>
      </c>
      <c r="AN229" s="8" t="s">
        <v>4999</v>
      </c>
    </row>
    <row r="230" spans="13:40" ht="23">
      <c r="M230" s="9" t="s">
        <v>2398</v>
      </c>
      <c r="N230" s="8" t="s">
        <v>150</v>
      </c>
      <c r="O230" s="8"/>
      <c r="P230" s="8"/>
      <c r="Q230" s="8"/>
      <c r="R230" s="8"/>
      <c r="S230" s="8"/>
      <c r="T230" s="8"/>
      <c r="U230" s="8"/>
      <c r="V230" s="8"/>
      <c r="W230" s="9" t="s">
        <v>2398</v>
      </c>
      <c r="X230" s="8">
        <v>28.38</v>
      </c>
      <c r="Y230" s="8">
        <v>3.49</v>
      </c>
      <c r="Z230" s="9">
        <v>2.5299999999999998</v>
      </c>
      <c r="AA230" s="8">
        <v>10.5</v>
      </c>
      <c r="AB230" s="8">
        <v>9895</v>
      </c>
      <c r="AC230" s="9" t="s">
        <v>2398</v>
      </c>
      <c r="AD230" s="8" t="s">
        <v>3725</v>
      </c>
      <c r="AE230" s="8" t="s">
        <v>4083</v>
      </c>
      <c r="AF230" s="9">
        <f t="shared" si="24"/>
        <v>36.645000000000003</v>
      </c>
      <c r="AG230" s="9">
        <f t="shared" si="25"/>
        <v>30.274999999999999</v>
      </c>
      <c r="AH230" s="9">
        <f t="shared" si="26"/>
        <v>3.5028489838401941E-2</v>
      </c>
      <c r="AI230" s="9">
        <f t="shared" si="27"/>
        <v>1.226995100359028E-3</v>
      </c>
      <c r="AJ230" s="9">
        <f t="shared" si="28"/>
        <v>3.8766371849704682E-2</v>
      </c>
      <c r="AK230" s="9">
        <f t="shared" si="29"/>
        <v>1.5028315863895756E-3</v>
      </c>
      <c r="AL230" s="9">
        <f t="shared" si="30"/>
        <v>3.9077498514415068E-2</v>
      </c>
      <c r="AM230" s="9">
        <f t="shared" si="31"/>
        <v>1.5270508901441119E-3</v>
      </c>
      <c r="AN230" s="9" t="s">
        <v>2398</v>
      </c>
    </row>
    <row r="231" spans="13:40" ht="23">
      <c r="M231" s="9" t="s">
        <v>2178</v>
      </c>
      <c r="N231" s="8" t="s">
        <v>150</v>
      </c>
      <c r="O231" s="8"/>
      <c r="P231" s="8"/>
      <c r="Q231" s="8"/>
      <c r="R231" s="8"/>
      <c r="S231" s="8"/>
      <c r="T231" s="8"/>
      <c r="U231" s="8"/>
      <c r="V231" s="8"/>
      <c r="W231" s="9" t="s">
        <v>2178</v>
      </c>
      <c r="X231" s="8">
        <v>33.020000000000003</v>
      </c>
      <c r="Y231" s="8">
        <v>2.17</v>
      </c>
      <c r="Z231" s="9">
        <v>1.39</v>
      </c>
      <c r="AA231" s="8">
        <v>10.3</v>
      </c>
      <c r="AB231" s="8">
        <v>12408</v>
      </c>
      <c r="AC231" s="9" t="s">
        <v>2178</v>
      </c>
      <c r="AD231" s="8" t="s">
        <v>3725</v>
      </c>
      <c r="AE231" s="8" t="s">
        <v>4083</v>
      </c>
      <c r="AF231" s="9">
        <f t="shared" si="24"/>
        <v>22.350999999999999</v>
      </c>
      <c r="AG231" s="9">
        <f t="shared" si="25"/>
        <v>16.995000000000001</v>
      </c>
      <c r="AH231" s="9">
        <f t="shared" si="26"/>
        <v>3.4361280508146672E-2</v>
      </c>
      <c r="AI231" s="9">
        <f t="shared" si="27"/>
        <v>1.1806975981595404E-3</v>
      </c>
      <c r="AJ231" s="9">
        <f t="shared" si="28"/>
        <v>2.3644894998301247E-2</v>
      </c>
      <c r="AK231" s="9">
        <f t="shared" si="29"/>
        <v>5.5908105948069132E-4</v>
      </c>
      <c r="AL231" s="9">
        <f t="shared" si="30"/>
        <v>2.1936319975309142E-2</v>
      </c>
      <c r="AM231" s="9">
        <f t="shared" si="31"/>
        <v>4.8120213405914689E-4</v>
      </c>
      <c r="AN231" s="9" t="s">
        <v>2178</v>
      </c>
    </row>
    <row r="232" spans="13:40" ht="23">
      <c r="M232" t="s">
        <v>2418</v>
      </c>
      <c r="N232" s="8" t="s">
        <v>150</v>
      </c>
      <c r="O232" s="8"/>
      <c r="P232" s="8"/>
      <c r="Q232" s="8"/>
      <c r="R232" s="8"/>
      <c r="S232" s="8"/>
      <c r="T232" s="8"/>
      <c r="U232" s="8"/>
      <c r="V232" s="8"/>
      <c r="W232" t="s">
        <v>2418</v>
      </c>
      <c r="X232">
        <v>38.909999999999997</v>
      </c>
      <c r="Y232">
        <v>2.27</v>
      </c>
      <c r="Z232">
        <v>1.1200000000000001</v>
      </c>
      <c r="AA232">
        <v>10.1</v>
      </c>
      <c r="AB232">
        <v>20559</v>
      </c>
      <c r="AC232" t="s">
        <v>2418</v>
      </c>
      <c r="AD232" s="8" t="s">
        <v>3725</v>
      </c>
      <c r="AE232" s="8" t="s">
        <v>4083</v>
      </c>
      <c r="AF232" s="9">
        <f t="shared" si="24"/>
        <v>22.927</v>
      </c>
      <c r="AG232" s="9">
        <f t="shared" si="25"/>
        <v>12.12</v>
      </c>
      <c r="AH232" s="9">
        <f t="shared" si="26"/>
        <v>3.3694071177891395E-2</v>
      </c>
      <c r="AI232" s="9">
        <f t="shared" si="27"/>
        <v>1.1352904325408117E-3</v>
      </c>
      <c r="AJ232" s="9">
        <f t="shared" si="28"/>
        <v>2.4254239525124274E-2</v>
      </c>
      <c r="AK232" s="9">
        <f t="shared" si="29"/>
        <v>5.8826813494210054E-4</v>
      </c>
      <c r="AL232" s="9">
        <f t="shared" si="30"/>
        <v>1.5643906919726197E-2</v>
      </c>
      <c r="AM232" s="9">
        <f t="shared" si="31"/>
        <v>2.4473182371305717E-4</v>
      </c>
      <c r="AN232" t="s">
        <v>2418</v>
      </c>
    </row>
    <row r="233" spans="13:40" ht="23">
      <c r="M233" s="9" t="s">
        <v>2862</v>
      </c>
      <c r="N233" s="8" t="s">
        <v>1717</v>
      </c>
      <c r="O233" s="8"/>
      <c r="P233" s="8"/>
      <c r="Q233" s="8"/>
      <c r="R233" s="8"/>
      <c r="S233" s="8"/>
      <c r="T233" s="8"/>
      <c r="U233" s="8"/>
      <c r="V233" s="8"/>
      <c r="W233" s="9" t="s">
        <v>2862</v>
      </c>
      <c r="X233" s="8">
        <v>40.700000000000003</v>
      </c>
      <c r="Y233" s="8">
        <v>2.2200000000000002</v>
      </c>
      <c r="Z233" s="9">
        <v>1.35</v>
      </c>
      <c r="AA233" s="8">
        <v>10.1</v>
      </c>
      <c r="AB233" s="8">
        <v>11915</v>
      </c>
      <c r="AC233" s="9" t="s">
        <v>2862</v>
      </c>
      <c r="AD233" s="8" t="s">
        <v>3725</v>
      </c>
      <c r="AE233" s="8" t="s">
        <v>4083</v>
      </c>
      <c r="AF233" s="9">
        <f t="shared" si="24"/>
        <v>22.422000000000001</v>
      </c>
      <c r="AG233" s="9">
        <f t="shared" si="25"/>
        <v>15.991666666666667</v>
      </c>
      <c r="AH233" s="9">
        <f t="shared" si="26"/>
        <v>3.3694071177891395E-2</v>
      </c>
      <c r="AI233" s="9">
        <f t="shared" si="27"/>
        <v>1.1352904325408117E-3</v>
      </c>
      <c r="AJ233" s="9">
        <f t="shared" si="28"/>
        <v>2.3720005174350616E-2</v>
      </c>
      <c r="AK233" s="9">
        <f t="shared" si="29"/>
        <v>5.6263864547122005E-4</v>
      </c>
      <c r="AL233" s="9">
        <f t="shared" si="30"/>
        <v>2.0641266074638738E-2</v>
      </c>
      <c r="AM233" s="9">
        <f t="shared" si="31"/>
        <v>4.2606186516403209E-4</v>
      </c>
      <c r="AN233" s="9" t="s">
        <v>2862</v>
      </c>
    </row>
    <row r="234" spans="13:40" ht="23">
      <c r="M234" s="9" t="s">
        <v>2175</v>
      </c>
      <c r="N234" s="8" t="s">
        <v>150</v>
      </c>
      <c r="O234" s="8"/>
      <c r="P234" s="8"/>
      <c r="Q234" s="8"/>
      <c r="R234" s="8"/>
      <c r="S234" s="8"/>
      <c r="T234" s="8"/>
      <c r="U234" s="8"/>
      <c r="V234" s="8"/>
      <c r="W234" s="9" t="s">
        <v>2175</v>
      </c>
      <c r="X234" s="8">
        <v>36.119999999999997</v>
      </c>
      <c r="Y234" s="8">
        <v>3.01</v>
      </c>
      <c r="Z234" s="9">
        <v>3.49</v>
      </c>
      <c r="AA234" s="8">
        <v>9.9</v>
      </c>
      <c r="AB234" s="8">
        <v>17386</v>
      </c>
      <c r="AC234" s="9" t="s">
        <v>2175</v>
      </c>
      <c r="AD234" s="8" t="s">
        <v>3725</v>
      </c>
      <c r="AE234" s="8" t="s">
        <v>4083</v>
      </c>
      <c r="AF234" s="9">
        <f t="shared" si="24"/>
        <v>29.798999999999999</v>
      </c>
      <c r="AG234" s="9">
        <f t="shared" si="25"/>
        <v>37.784999999999997</v>
      </c>
      <c r="AH234" s="9">
        <f t="shared" si="26"/>
        <v>3.3026861847636119E-2</v>
      </c>
      <c r="AI234" s="9">
        <f t="shared" si="27"/>
        <v>1.0907736035028423E-3</v>
      </c>
      <c r="AJ234" s="9">
        <f t="shared" si="28"/>
        <v>3.1524058254860134E-2</v>
      </c>
      <c r="AK234" s="9">
        <f t="shared" si="29"/>
        <v>9.9376624885581539E-4</v>
      </c>
      <c r="AL234" s="9">
        <f t="shared" si="30"/>
        <v>4.8771041498502844E-2</v>
      </c>
      <c r="AM234" s="9">
        <f t="shared" si="31"/>
        <v>2.3786144888486866E-3</v>
      </c>
      <c r="AN234" s="9" t="s">
        <v>2175</v>
      </c>
    </row>
    <row r="235" spans="13:40" ht="23">
      <c r="M235" s="24" t="s">
        <v>5135</v>
      </c>
      <c r="N235" s="24" t="s">
        <v>150</v>
      </c>
      <c r="O235" s="24"/>
      <c r="P235" s="24"/>
      <c r="Q235" s="24"/>
      <c r="R235" s="24"/>
      <c r="S235" s="24"/>
      <c r="T235" s="24"/>
      <c r="U235" s="24"/>
      <c r="V235" s="24"/>
      <c r="W235" s="24" t="s">
        <v>5135</v>
      </c>
      <c r="X235" s="24">
        <v>12.26</v>
      </c>
      <c r="Y235" s="24">
        <v>1.58</v>
      </c>
      <c r="Z235" s="25">
        <v>1.1499999999999999</v>
      </c>
      <c r="AA235" s="24">
        <v>9.9</v>
      </c>
      <c r="AB235" s="24">
        <v>24911</v>
      </c>
      <c r="AC235" s="24" t="s">
        <v>5135</v>
      </c>
      <c r="AD235" s="8" t="s">
        <v>3725</v>
      </c>
      <c r="AE235" s="24"/>
      <c r="AF235" s="25">
        <f t="shared" si="24"/>
        <v>15.642000000000001</v>
      </c>
      <c r="AG235" s="25">
        <f t="shared" si="25"/>
        <v>12.375</v>
      </c>
      <c r="AH235" s="25">
        <f t="shared" si="26"/>
        <v>3.3026861847636119E-2</v>
      </c>
      <c r="AI235" s="25">
        <f t="shared" si="27"/>
        <v>1.0907736035028423E-3</v>
      </c>
      <c r="AJ235" s="25">
        <f t="shared" si="28"/>
        <v>1.6547512306537879E-2</v>
      </c>
      <c r="AK235" s="25">
        <f t="shared" si="29"/>
        <v>2.7382016353502252E-4</v>
      </c>
      <c r="AL235" s="25">
        <f t="shared" si="30"/>
        <v>1.5973048525710538E-2</v>
      </c>
      <c r="AM235" s="25">
        <f t="shared" si="31"/>
        <v>2.551382792047036E-4</v>
      </c>
      <c r="AN235" s="24" t="s">
        <v>5135</v>
      </c>
    </row>
    <row r="236" spans="13:40" ht="23">
      <c r="M236" s="9" t="s">
        <v>2150</v>
      </c>
      <c r="N236" s="8" t="s">
        <v>150</v>
      </c>
      <c r="O236" s="8"/>
      <c r="P236" s="8" t="s">
        <v>3693</v>
      </c>
      <c r="Q236" s="8"/>
      <c r="R236" s="8"/>
      <c r="S236" s="8"/>
      <c r="T236" s="8"/>
      <c r="U236" s="8"/>
      <c r="V236" s="8"/>
      <c r="W236" s="9" t="s">
        <v>2150</v>
      </c>
      <c r="X236" s="8">
        <v>30.99</v>
      </c>
      <c r="Y236" s="8">
        <v>3.9</v>
      </c>
      <c r="Z236" s="9">
        <v>3.07</v>
      </c>
      <c r="AA236" s="8">
        <v>9.6999999999999993</v>
      </c>
      <c r="AB236" s="8">
        <v>12778</v>
      </c>
      <c r="AC236" s="9" t="s">
        <v>2150</v>
      </c>
      <c r="AD236" s="8" t="s">
        <v>3725</v>
      </c>
      <c r="AE236" s="8" t="s">
        <v>4083</v>
      </c>
      <c r="AF236" s="9">
        <f t="shared" si="24"/>
        <v>37.83</v>
      </c>
      <c r="AG236" s="9">
        <f t="shared" si="25"/>
        <v>30.231666666666666</v>
      </c>
      <c r="AH236" s="9">
        <f t="shared" si="26"/>
        <v>3.2359652517380842E-2</v>
      </c>
      <c r="AI236" s="9">
        <f t="shared" si="27"/>
        <v>1.0471471110456323E-3</v>
      </c>
      <c r="AJ236" s="9">
        <f t="shared" si="28"/>
        <v>4.0019971266866634E-2</v>
      </c>
      <c r="AK236" s="9">
        <f t="shared" si="29"/>
        <v>1.601598100200831E-3</v>
      </c>
      <c r="AL236" s="9">
        <f t="shared" si="30"/>
        <v>3.9021565953921006E-2</v>
      </c>
      <c r="AM236" s="9">
        <f t="shared" si="31"/>
        <v>1.522682609496207E-3</v>
      </c>
      <c r="AN236" s="9" t="s">
        <v>2150</v>
      </c>
    </row>
    <row r="237" spans="13:40" ht="23">
      <c r="M237" s="24" t="s">
        <v>5121</v>
      </c>
      <c r="N237" s="24" t="s">
        <v>150</v>
      </c>
      <c r="O237" s="24"/>
      <c r="P237" s="24"/>
      <c r="Q237" s="24"/>
      <c r="R237" s="24"/>
      <c r="S237" s="24"/>
      <c r="T237" s="24"/>
      <c r="U237" s="24"/>
      <c r="V237" s="24"/>
      <c r="W237" s="24" t="s">
        <v>5121</v>
      </c>
      <c r="X237" s="24">
        <v>66.77</v>
      </c>
      <c r="Y237" s="24">
        <v>2.12</v>
      </c>
      <c r="Z237" s="25">
        <v>1.42</v>
      </c>
      <c r="AA237" s="24">
        <v>9.5</v>
      </c>
      <c r="AB237" s="24">
        <v>14082</v>
      </c>
      <c r="AC237" s="24" t="s">
        <v>5121</v>
      </c>
      <c r="AD237" s="8" t="s">
        <v>3725</v>
      </c>
      <c r="AE237" s="8" t="s">
        <v>4083</v>
      </c>
      <c r="AF237" s="25">
        <f t="shared" si="24"/>
        <v>20.14</v>
      </c>
      <c r="AG237" s="25">
        <f t="shared" si="25"/>
        <v>16.149999999999999</v>
      </c>
      <c r="AH237" s="25">
        <f t="shared" si="26"/>
        <v>3.1692443187125566E-2</v>
      </c>
      <c r="AI237" s="25">
        <f t="shared" si="27"/>
        <v>1.0044109551691817E-3</v>
      </c>
      <c r="AJ237" s="25">
        <f t="shared" si="28"/>
        <v>2.1305900642735767E-2</v>
      </c>
      <c r="AK237" s="25">
        <f t="shared" si="29"/>
        <v>4.5394140219812834E-4</v>
      </c>
      <c r="AL237" s="25">
        <f t="shared" si="30"/>
        <v>2.084563504567476E-2</v>
      </c>
      <c r="AM237" s="25">
        <f t="shared" si="31"/>
        <v>4.3454050045746374E-4</v>
      </c>
      <c r="AN237" s="24" t="s">
        <v>5121</v>
      </c>
    </row>
    <row r="238" spans="13:40" ht="23">
      <c r="M238" s="9" t="s">
        <v>3172</v>
      </c>
      <c r="N238" s="8" t="s">
        <v>1869</v>
      </c>
      <c r="O238" s="8"/>
      <c r="P238" s="8" t="s">
        <v>3691</v>
      </c>
      <c r="Q238" s="8"/>
      <c r="R238" s="8"/>
      <c r="S238" s="8"/>
      <c r="T238" s="8"/>
      <c r="U238" s="8"/>
      <c r="V238" s="8"/>
      <c r="W238" s="9" t="s">
        <v>3172</v>
      </c>
      <c r="X238" s="8">
        <v>8.66</v>
      </c>
      <c r="Y238" s="8">
        <v>1.79</v>
      </c>
      <c r="Z238" s="9">
        <v>2</v>
      </c>
      <c r="AA238" s="8">
        <v>9.4</v>
      </c>
      <c r="AB238" s="8">
        <v>25573</v>
      </c>
      <c r="AC238" s="9" t="s">
        <v>3172</v>
      </c>
      <c r="AD238" s="8" t="s">
        <v>3725</v>
      </c>
      <c r="AE238" s="8" t="s">
        <v>4083</v>
      </c>
      <c r="AF238" s="9">
        <f t="shared" si="24"/>
        <v>16.826000000000001</v>
      </c>
      <c r="AG238" s="9">
        <f t="shared" si="25"/>
        <v>19.113333333333333</v>
      </c>
      <c r="AH238" s="9">
        <f t="shared" si="26"/>
        <v>3.1358838521997938E-2</v>
      </c>
      <c r="AI238" s="9">
        <f t="shared" si="27"/>
        <v>9.8337675344874176E-4</v>
      </c>
      <c r="AJ238" s="9">
        <f t="shared" si="28"/>
        <v>1.7800053833896327E-2</v>
      </c>
      <c r="AK238" s="9">
        <f t="shared" si="29"/>
        <v>3.1684191648960729E-4</v>
      </c>
      <c r="AL238" s="9">
        <f t="shared" si="30"/>
        <v>2.4670561682538509E-2</v>
      </c>
      <c r="AM238" s="9">
        <f t="shared" si="31"/>
        <v>6.0863661373193731E-4</v>
      </c>
      <c r="AN238" s="9" t="s">
        <v>3172</v>
      </c>
    </row>
    <row r="239" spans="13:40" ht="23">
      <c r="M239" s="8" t="s">
        <v>194</v>
      </c>
      <c r="N239" s="8" t="s">
        <v>150</v>
      </c>
      <c r="O239" s="8"/>
      <c r="P239" s="8"/>
      <c r="Q239" s="8"/>
      <c r="R239" s="8"/>
      <c r="S239" s="8"/>
      <c r="T239" s="8"/>
      <c r="U239" s="8"/>
      <c r="V239" s="8"/>
      <c r="W239" s="8" t="s">
        <v>194</v>
      </c>
      <c r="X239" s="8">
        <v>22.91</v>
      </c>
      <c r="Y239" s="8">
        <v>3.96</v>
      </c>
      <c r="Z239" s="9">
        <v>2.56</v>
      </c>
      <c r="AA239" s="8">
        <v>9.3000000000000007</v>
      </c>
      <c r="AB239" s="8">
        <v>12106</v>
      </c>
      <c r="AC239" s="8" t="s">
        <v>194</v>
      </c>
      <c r="AD239" s="8" t="s">
        <v>3725</v>
      </c>
      <c r="AE239" s="8" t="s">
        <v>4083</v>
      </c>
      <c r="AF239" s="9">
        <f t="shared" si="24"/>
        <v>36.828000000000003</v>
      </c>
      <c r="AG239" s="9">
        <f t="shared" si="25"/>
        <v>27.280000000000005</v>
      </c>
      <c r="AH239" s="9">
        <f t="shared" si="26"/>
        <v>3.1025233856870296E-2</v>
      </c>
      <c r="AI239" s="9">
        <f t="shared" si="27"/>
        <v>9.6256513587349092E-4</v>
      </c>
      <c r="AJ239" s="9">
        <f t="shared" si="28"/>
        <v>3.8959965683747412E-2</v>
      </c>
      <c r="AK239" s="9">
        <f t="shared" si="29"/>
        <v>1.517878926078776E-3</v>
      </c>
      <c r="AL239" s="9">
        <f t="shared" si="30"/>
        <v>3.5211698083344123E-2</v>
      </c>
      <c r="AM239" s="9">
        <f t="shared" si="31"/>
        <v>1.2398636819125801E-3</v>
      </c>
      <c r="AN239" s="8" t="s">
        <v>194</v>
      </c>
    </row>
    <row r="240" spans="13:40" ht="23">
      <c r="M240" s="8" t="s">
        <v>1203</v>
      </c>
      <c r="N240" s="8" t="s">
        <v>150</v>
      </c>
      <c r="O240" s="8"/>
      <c r="P240" s="8" t="s">
        <v>3691</v>
      </c>
      <c r="Q240" s="8"/>
      <c r="R240" s="8"/>
      <c r="S240" s="8"/>
      <c r="T240" s="8"/>
      <c r="U240" s="8"/>
      <c r="V240" s="8"/>
      <c r="W240" s="8" t="s">
        <v>1203</v>
      </c>
      <c r="X240" s="8">
        <v>23.85</v>
      </c>
      <c r="Y240" s="8">
        <v>3.86</v>
      </c>
      <c r="Z240" s="9">
        <v>3.16</v>
      </c>
      <c r="AA240" s="8">
        <v>9.1</v>
      </c>
      <c r="AB240" s="8">
        <v>9725</v>
      </c>
      <c r="AC240" s="8" t="s">
        <v>1203</v>
      </c>
      <c r="AD240" s="8" t="s">
        <v>3725</v>
      </c>
      <c r="AE240" s="8" t="s">
        <v>4083</v>
      </c>
      <c r="AF240" s="9">
        <f t="shared" si="24"/>
        <v>35.125999999999998</v>
      </c>
      <c r="AG240" s="9">
        <f t="shared" si="25"/>
        <v>29.726666666666667</v>
      </c>
      <c r="AH240" s="9">
        <f t="shared" si="26"/>
        <v>3.035802452661502E-2</v>
      </c>
      <c r="AI240" s="9">
        <f t="shared" si="27"/>
        <v>9.2160965315855913E-4</v>
      </c>
      <c r="AJ240" s="9">
        <f t="shared" si="28"/>
        <v>3.715943723816964E-2</v>
      </c>
      <c r="AK240" s="9">
        <f t="shared" si="29"/>
        <v>1.3808237758574685E-3</v>
      </c>
      <c r="AL240" s="9">
        <f t="shared" si="30"/>
        <v>3.8369736498932411E-2</v>
      </c>
      <c r="AM240" s="9">
        <f t="shared" si="31"/>
        <v>1.472236678997506E-3</v>
      </c>
      <c r="AN240" s="8" t="s">
        <v>1203</v>
      </c>
    </row>
    <row r="241" spans="13:40" ht="23">
      <c r="M241" s="8" t="s">
        <v>449</v>
      </c>
      <c r="N241" s="8" t="s">
        <v>150</v>
      </c>
      <c r="O241" s="8"/>
      <c r="P241" s="8"/>
      <c r="Q241" s="8"/>
      <c r="R241" s="8"/>
      <c r="S241" s="8"/>
      <c r="T241" s="8"/>
      <c r="U241" s="8"/>
      <c r="V241" s="8"/>
      <c r="W241" s="8" t="s">
        <v>449</v>
      </c>
      <c r="X241" s="8">
        <v>24.07</v>
      </c>
      <c r="Y241" s="8">
        <v>3.79</v>
      </c>
      <c r="Z241" s="9">
        <v>4.54</v>
      </c>
      <c r="AA241" s="8">
        <v>9</v>
      </c>
      <c r="AB241" s="8">
        <v>14561</v>
      </c>
      <c r="AC241" s="8" t="s">
        <v>449</v>
      </c>
      <c r="AD241" s="8" t="s">
        <v>3725</v>
      </c>
      <c r="AE241" s="8" t="s">
        <v>4083</v>
      </c>
      <c r="AF241" s="9">
        <f t="shared" si="24"/>
        <v>34.11</v>
      </c>
      <c r="AG241" s="9">
        <f t="shared" si="25"/>
        <v>44.1</v>
      </c>
      <c r="AH241" s="9">
        <f t="shared" si="26"/>
        <v>3.0024419861487382E-2</v>
      </c>
      <c r="AI241" s="9">
        <f t="shared" si="27"/>
        <v>9.0146578801887796E-4</v>
      </c>
      <c r="AJ241" s="9">
        <f t="shared" si="28"/>
        <v>3.6084621197801238E-2</v>
      </c>
      <c r="AK241" s="9">
        <f t="shared" si="29"/>
        <v>1.3020998869888065E-3</v>
      </c>
      <c r="AL241" s="9">
        <f t="shared" si="30"/>
        <v>5.6922136564350287E-2</v>
      </c>
      <c r="AM241" s="9">
        <f t="shared" si="31"/>
        <v>3.2401296310505439E-3</v>
      </c>
      <c r="AN241" s="8" t="s">
        <v>449</v>
      </c>
    </row>
    <row r="242" spans="13:40" ht="23">
      <c r="M242" s="9" t="s">
        <v>3470</v>
      </c>
      <c r="N242" s="8" t="s">
        <v>2017</v>
      </c>
      <c r="O242" s="8"/>
      <c r="P242" s="8"/>
      <c r="Q242" s="8"/>
      <c r="R242" s="8"/>
      <c r="S242" s="8"/>
      <c r="T242" s="8"/>
      <c r="U242" s="8"/>
      <c r="V242" s="8"/>
      <c r="W242" s="9" t="s">
        <v>3470</v>
      </c>
      <c r="X242" s="8">
        <v>11.73</v>
      </c>
      <c r="Y242" s="8">
        <v>2.41</v>
      </c>
      <c r="Z242" s="9">
        <v>1.55</v>
      </c>
      <c r="AA242" s="8">
        <v>9</v>
      </c>
      <c r="AB242" s="8">
        <v>15194</v>
      </c>
      <c r="AC242" s="9" t="s">
        <v>3470</v>
      </c>
      <c r="AD242" s="8" t="s">
        <v>3725</v>
      </c>
      <c r="AE242" s="8" t="s">
        <v>4083</v>
      </c>
      <c r="AF242" s="9">
        <f t="shared" si="24"/>
        <v>21.69</v>
      </c>
      <c r="AG242" s="9">
        <f t="shared" si="25"/>
        <v>17.25</v>
      </c>
      <c r="AH242" s="9">
        <f t="shared" si="26"/>
        <v>3.0024419861487382E-2</v>
      </c>
      <c r="AI242" s="9">
        <f t="shared" si="27"/>
        <v>9.0146578801887796E-4</v>
      </c>
      <c r="AJ242" s="9">
        <f t="shared" si="28"/>
        <v>2.2945629838179681E-2</v>
      </c>
      <c r="AK242" s="9">
        <f t="shared" si="29"/>
        <v>5.2650192867076168E-4</v>
      </c>
      <c r="AL242" s="9">
        <f t="shared" si="30"/>
        <v>2.2265461581293475E-2</v>
      </c>
      <c r="AM242" s="9">
        <f t="shared" si="31"/>
        <v>4.9575077942805572E-4</v>
      </c>
      <c r="AN242" s="9" t="s">
        <v>3470</v>
      </c>
    </row>
    <row r="243" spans="13:40" ht="23">
      <c r="M243" s="8" t="s">
        <v>1307</v>
      </c>
      <c r="N243" s="8" t="s">
        <v>150</v>
      </c>
      <c r="O243" s="8"/>
      <c r="P243" s="8" t="s">
        <v>3693</v>
      </c>
      <c r="Q243" s="8"/>
      <c r="R243" s="8"/>
      <c r="S243" s="8"/>
      <c r="T243" s="8"/>
      <c r="U243" s="8"/>
      <c r="V243" s="8"/>
      <c r="W243" s="8" t="s">
        <v>1307</v>
      </c>
      <c r="X243" s="8">
        <v>19.760000000000002</v>
      </c>
      <c r="Y243" s="8">
        <v>8.4499999999999993</v>
      </c>
      <c r="Z243" s="9">
        <v>3.48</v>
      </c>
      <c r="AA243" s="8">
        <v>8.9</v>
      </c>
      <c r="AB243" s="8">
        <v>8968</v>
      </c>
      <c r="AC243" s="8" t="s">
        <v>1307</v>
      </c>
      <c r="AD243" s="8" t="s">
        <v>3725</v>
      </c>
      <c r="AE243" s="8" t="s">
        <v>4083</v>
      </c>
      <c r="AF243" s="9">
        <f t="shared" si="24"/>
        <v>75.204999999999998</v>
      </c>
      <c r="AG243" s="9">
        <f t="shared" si="25"/>
        <v>33.82</v>
      </c>
      <c r="AH243" s="9">
        <f t="shared" si="26"/>
        <v>2.9690815196359743E-2</v>
      </c>
      <c r="AI243" s="9">
        <f t="shared" si="27"/>
        <v>8.8154450702438662E-4</v>
      </c>
      <c r="AJ243" s="9">
        <f t="shared" si="28"/>
        <v>7.955860267313522E-2</v>
      </c>
      <c r="AK243" s="9">
        <f t="shared" si="29"/>
        <v>6.3295712593017988E-3</v>
      </c>
      <c r="AL243" s="9">
        <f t="shared" si="30"/>
        <v>4.3653212213295385E-2</v>
      </c>
      <c r="AM243" s="9">
        <f t="shared" si="31"/>
        <v>1.9056029365390015E-3</v>
      </c>
      <c r="AN243" s="8" t="s">
        <v>1307</v>
      </c>
    </row>
    <row r="244" spans="13:40" ht="23">
      <c r="M244" s="9" t="s">
        <v>5057</v>
      </c>
      <c r="N244" s="8" t="s">
        <v>150</v>
      </c>
      <c r="O244" s="8"/>
      <c r="P244" s="8"/>
      <c r="Q244" s="8"/>
      <c r="R244" s="8"/>
      <c r="S244" s="8"/>
      <c r="T244" s="8"/>
      <c r="U244" s="8"/>
      <c r="V244" s="8"/>
      <c r="W244" s="9" t="s">
        <v>5057</v>
      </c>
      <c r="X244" s="8">
        <v>33.409999999999997</v>
      </c>
      <c r="Y244" s="8">
        <v>2.2999999999999998</v>
      </c>
      <c r="Z244" s="9">
        <v>4.5</v>
      </c>
      <c r="AA244" s="8">
        <v>8.8000000000000007</v>
      </c>
      <c r="AB244" s="8">
        <v>15481</v>
      </c>
      <c r="AC244" s="9" t="s">
        <v>5057</v>
      </c>
      <c r="AD244" s="8" t="s">
        <v>3725</v>
      </c>
      <c r="AE244" s="8" t="s">
        <v>4083</v>
      </c>
      <c r="AF244" s="9">
        <f t="shared" si="24"/>
        <v>20.239999999999998</v>
      </c>
      <c r="AG244" s="9">
        <f t="shared" si="25"/>
        <v>35.273333333333341</v>
      </c>
      <c r="AH244" s="9">
        <f t="shared" si="26"/>
        <v>2.9357210531232105E-2</v>
      </c>
      <c r="AI244" s="9">
        <f t="shared" si="27"/>
        <v>8.6184581017508519E-4</v>
      </c>
      <c r="AJ244" s="9">
        <f t="shared" si="28"/>
        <v>2.1411689623086986E-2</v>
      </c>
      <c r="AK244" s="9">
        <f t="shared" si="29"/>
        <v>4.5846045251541094E-4</v>
      </c>
      <c r="AL244" s="9">
        <f t="shared" si="30"/>
        <v>4.5529104242173456E-2</v>
      </c>
      <c r="AM244" s="9">
        <f t="shared" si="31"/>
        <v>2.0728993330946968E-3</v>
      </c>
      <c r="AN244" s="9" t="s">
        <v>5057</v>
      </c>
    </row>
    <row r="245" spans="13:40" ht="23">
      <c r="M245" s="8" t="s">
        <v>98</v>
      </c>
      <c r="N245" s="8" t="s">
        <v>82</v>
      </c>
      <c r="O245" s="8"/>
      <c r="P245" s="8"/>
      <c r="Q245" s="8"/>
      <c r="R245" s="8"/>
      <c r="S245" s="8"/>
      <c r="T245" s="8"/>
      <c r="U245" s="8"/>
      <c r="V245" s="8"/>
      <c r="W245" s="8" t="s">
        <v>98</v>
      </c>
      <c r="X245" s="8">
        <v>40.43</v>
      </c>
      <c r="Y245" s="8">
        <v>2.66</v>
      </c>
      <c r="Z245" s="9">
        <v>2.17</v>
      </c>
      <c r="AA245" s="8">
        <v>8.6</v>
      </c>
      <c r="AB245" s="8">
        <v>16661</v>
      </c>
      <c r="AC245" s="8" t="s">
        <v>98</v>
      </c>
      <c r="AD245" s="8" t="s">
        <v>3725</v>
      </c>
      <c r="AE245" s="8" t="s">
        <v>4083</v>
      </c>
      <c r="AF245" s="9">
        <f t="shared" si="24"/>
        <v>22.876000000000001</v>
      </c>
      <c r="AG245" s="9">
        <f t="shared" si="25"/>
        <v>19.636666666666663</v>
      </c>
      <c r="AH245" s="9">
        <f t="shared" si="26"/>
        <v>2.8690001200976825E-2</v>
      </c>
      <c r="AI245" s="9">
        <f t="shared" si="27"/>
        <v>8.231161689120517E-4</v>
      </c>
      <c r="AJ245" s="9">
        <f t="shared" si="28"/>
        <v>2.4200287145145157E-2</v>
      </c>
      <c r="AK245" s="9">
        <f t="shared" si="29"/>
        <v>5.8565389790747797E-4</v>
      </c>
      <c r="AL245" s="9">
        <f t="shared" si="30"/>
        <v>2.5346054913120745E-2</v>
      </c>
      <c r="AM245" s="9">
        <f t="shared" si="31"/>
        <v>6.4242249965893231E-4</v>
      </c>
      <c r="AN245" s="8" t="s">
        <v>98</v>
      </c>
    </row>
    <row r="246" spans="13:40" ht="23">
      <c r="M246" s="9" t="s">
        <v>3462</v>
      </c>
      <c r="N246" s="8" t="s">
        <v>2017</v>
      </c>
      <c r="O246" s="8"/>
      <c r="P246" s="8"/>
      <c r="Q246" s="8"/>
      <c r="R246" s="8"/>
      <c r="S246" s="8"/>
      <c r="T246" s="8"/>
      <c r="U246" s="8"/>
      <c r="V246" s="8"/>
      <c r="W246" s="9" t="s">
        <v>3462</v>
      </c>
      <c r="X246" s="8">
        <v>37.909999999999997</v>
      </c>
      <c r="Y246" s="8">
        <v>2.5099999999999998</v>
      </c>
      <c r="Z246" s="9">
        <v>2.1800000000000002</v>
      </c>
      <c r="AA246" s="8">
        <v>8.5</v>
      </c>
      <c r="AB246" s="8">
        <v>15840</v>
      </c>
      <c r="AC246" s="9" t="s">
        <v>3462</v>
      </c>
      <c r="AD246" s="8" t="s">
        <v>3725</v>
      </c>
      <c r="AE246" s="8" t="s">
        <v>4083</v>
      </c>
      <c r="AF246" s="9">
        <f t="shared" si="24"/>
        <v>21.334999999999997</v>
      </c>
      <c r="AG246" s="9">
        <f t="shared" si="25"/>
        <v>19.549999999999997</v>
      </c>
      <c r="AH246" s="9">
        <f t="shared" si="26"/>
        <v>2.8356396535849194E-2</v>
      </c>
      <c r="AI246" s="9">
        <f t="shared" si="27"/>
        <v>8.0408522449832017E-4</v>
      </c>
      <c r="AJ246" s="9">
        <f t="shared" si="28"/>
        <v>2.2570078957932848E-2</v>
      </c>
      <c r="AK246" s="9">
        <f t="shared" si="29"/>
        <v>5.0940846416732311E-4</v>
      </c>
      <c r="AL246" s="9">
        <f t="shared" si="30"/>
        <v>2.5234189792132607E-2</v>
      </c>
      <c r="AM246" s="9">
        <f t="shared" si="31"/>
        <v>6.3676433446536941E-4</v>
      </c>
      <c r="AN246" s="9" t="s">
        <v>3462</v>
      </c>
    </row>
    <row r="247" spans="13:40" ht="23">
      <c r="M247" s="9" t="s">
        <v>3438</v>
      </c>
      <c r="N247" s="8" t="s">
        <v>2003</v>
      </c>
      <c r="O247" s="8"/>
      <c r="P247" s="8" t="s">
        <v>3705</v>
      </c>
      <c r="Q247" s="8"/>
      <c r="R247" s="8"/>
      <c r="S247" s="8"/>
      <c r="T247" s="8"/>
      <c r="U247" s="8"/>
      <c r="V247" s="8"/>
      <c r="W247" s="9" t="s">
        <v>3438</v>
      </c>
      <c r="X247" s="8">
        <v>52.85</v>
      </c>
      <c r="Y247" s="8">
        <v>2.91</v>
      </c>
      <c r="Z247" s="9">
        <v>4.03</v>
      </c>
      <c r="AA247" s="8">
        <v>8.3000000000000007</v>
      </c>
      <c r="AB247" s="8">
        <v>15812</v>
      </c>
      <c r="AC247" s="9" t="s">
        <v>3438</v>
      </c>
      <c r="AD247" s="8" t="s">
        <v>3725</v>
      </c>
      <c r="AE247" s="8" t="s">
        <v>4083</v>
      </c>
      <c r="AF247" s="9">
        <f t="shared" si="24"/>
        <v>24.153000000000002</v>
      </c>
      <c r="AG247" s="9">
        <f t="shared" si="25"/>
        <v>33.615000000000002</v>
      </c>
      <c r="AH247" s="9">
        <f t="shared" si="26"/>
        <v>2.7689187205593921E-2</v>
      </c>
      <c r="AI247" s="9">
        <f t="shared" si="27"/>
        <v>7.6669108810642614E-4</v>
      </c>
      <c r="AJ247" s="9">
        <f t="shared" si="28"/>
        <v>2.5551212424230238E-2</v>
      </c>
      <c r="AK247" s="9">
        <f t="shared" si="29"/>
        <v>6.5286445634813763E-4</v>
      </c>
      <c r="AL247" s="9">
        <f t="shared" si="30"/>
        <v>4.3388608177111897E-2</v>
      </c>
      <c r="AM247" s="9">
        <f t="shared" si="31"/>
        <v>1.8825713195469414E-3</v>
      </c>
      <c r="AN247" s="9" t="s">
        <v>3438</v>
      </c>
    </row>
    <row r="248" spans="13:40" ht="23">
      <c r="M248" s="8" t="s">
        <v>1126</v>
      </c>
      <c r="N248" s="8" t="s">
        <v>150</v>
      </c>
      <c r="O248" s="8"/>
      <c r="P248" s="8"/>
      <c r="Q248" s="8"/>
      <c r="R248" s="8"/>
      <c r="S248" s="8"/>
      <c r="T248" s="8"/>
      <c r="U248" s="8"/>
      <c r="V248" s="8"/>
      <c r="W248" s="8" t="s">
        <v>1126</v>
      </c>
      <c r="X248" s="8">
        <v>31.28</v>
      </c>
      <c r="Y248" s="8">
        <v>2.38</v>
      </c>
      <c r="Z248" s="9">
        <v>3.09</v>
      </c>
      <c r="AA248" s="8">
        <v>8.3000000000000007</v>
      </c>
      <c r="AB248" s="8">
        <v>15822</v>
      </c>
      <c r="AC248" s="8" t="s">
        <v>1126</v>
      </c>
      <c r="AD248" s="8" t="s">
        <v>3725</v>
      </c>
      <c r="AE248" s="8" t="s">
        <v>4083</v>
      </c>
      <c r="AF248" s="9">
        <f t="shared" si="24"/>
        <v>19.754000000000001</v>
      </c>
      <c r="AG248" s="9">
        <f t="shared" si="25"/>
        <v>26.145000000000003</v>
      </c>
      <c r="AH248" s="9">
        <f t="shared" si="26"/>
        <v>2.7689187205593921E-2</v>
      </c>
      <c r="AI248" s="9">
        <f t="shared" si="27"/>
        <v>7.6669108810642614E-4</v>
      </c>
      <c r="AJ248" s="9">
        <f t="shared" si="28"/>
        <v>2.0897555178580055E-2</v>
      </c>
      <c r="AK248" s="9">
        <f t="shared" si="29"/>
        <v>4.3670781244179807E-4</v>
      </c>
      <c r="AL248" s="9">
        <f t="shared" si="30"/>
        <v>3.3746695248864818E-2</v>
      </c>
      <c r="AM248" s="9">
        <f t="shared" si="31"/>
        <v>1.1388394402197552E-3</v>
      </c>
      <c r="AN248" s="8" t="s">
        <v>1126</v>
      </c>
    </row>
    <row r="249" spans="13:40" ht="23">
      <c r="M249" s="9" t="s">
        <v>2382</v>
      </c>
      <c r="N249" s="8" t="s">
        <v>150</v>
      </c>
      <c r="O249" s="8"/>
      <c r="P249" s="8"/>
      <c r="Q249" s="8"/>
      <c r="R249" s="8"/>
      <c r="S249" s="8"/>
      <c r="T249" s="8"/>
      <c r="U249" s="8"/>
      <c r="V249" s="8"/>
      <c r="W249" s="9" t="s">
        <v>2382</v>
      </c>
      <c r="X249" s="8">
        <v>61.41</v>
      </c>
      <c r="Y249" s="8">
        <v>1.52</v>
      </c>
      <c r="Z249" s="9">
        <v>1.29</v>
      </c>
      <c r="AA249" s="8">
        <v>8.3000000000000007</v>
      </c>
      <c r="AB249" s="8">
        <v>16648</v>
      </c>
      <c r="AC249" s="9" t="s">
        <v>2382</v>
      </c>
      <c r="AD249" s="8" t="s">
        <v>3725</v>
      </c>
      <c r="AE249" s="8" t="s">
        <v>4083</v>
      </c>
      <c r="AF249" s="9">
        <f t="shared" si="24"/>
        <v>12.616000000000001</v>
      </c>
      <c r="AG249" s="9">
        <f t="shared" si="25"/>
        <v>12.311666666666667</v>
      </c>
      <c r="AH249" s="9">
        <f t="shared" si="26"/>
        <v>2.7689187205593921E-2</v>
      </c>
      <c r="AI249" s="9">
        <f t="shared" si="27"/>
        <v>7.6669108810642614E-4</v>
      </c>
      <c r="AJ249" s="9">
        <f t="shared" si="28"/>
        <v>1.3346337761109954E-2</v>
      </c>
      <c r="AK249" s="9">
        <f t="shared" si="29"/>
        <v>1.7812473163362946E-4</v>
      </c>
      <c r="AL249" s="9">
        <f t="shared" si="30"/>
        <v>1.5891300937296127E-2</v>
      </c>
      <c r="AM249" s="9">
        <f t="shared" si="31"/>
        <v>2.5253344547970877E-4</v>
      </c>
      <c r="AN249" s="9" t="s">
        <v>2382</v>
      </c>
    </row>
    <row r="250" spans="13:40" ht="23">
      <c r="M250" s="9" t="s">
        <v>2580</v>
      </c>
      <c r="N250" s="8" t="s">
        <v>150</v>
      </c>
      <c r="O250" s="8"/>
      <c r="P250" s="8"/>
      <c r="Q250" s="8"/>
      <c r="R250" s="8"/>
      <c r="S250" s="8"/>
      <c r="T250" s="8"/>
      <c r="U250" s="8"/>
      <c r="V250" s="8"/>
      <c r="W250" s="9" t="s">
        <v>2580</v>
      </c>
      <c r="X250" s="8">
        <v>25.4</v>
      </c>
      <c r="Y250" s="8">
        <v>13.87</v>
      </c>
      <c r="Z250" s="9">
        <v>7.57</v>
      </c>
      <c r="AA250" s="8">
        <v>8.1999999999999993</v>
      </c>
      <c r="AB250" s="8">
        <v>18341</v>
      </c>
      <c r="AC250" s="9" t="s">
        <v>2580</v>
      </c>
      <c r="AD250" s="8" t="s">
        <v>3725</v>
      </c>
      <c r="AE250" s="8" t="s">
        <v>4083</v>
      </c>
      <c r="AF250" s="9">
        <f t="shared" si="24"/>
        <v>113.73399999999998</v>
      </c>
      <c r="AG250" s="9">
        <f t="shared" si="25"/>
        <v>65.19</v>
      </c>
      <c r="AH250" s="9">
        <f t="shared" si="26"/>
        <v>2.7355582540466279E-2</v>
      </c>
      <c r="AI250" s="9">
        <f t="shared" si="27"/>
        <v>7.4832789612826352E-4</v>
      </c>
      <c r="AJ250" s="9">
        <f t="shared" si="28"/>
        <v>0.12031803891265687</v>
      </c>
      <c r="AK250" s="9">
        <f t="shared" si="29"/>
        <v>1.4476430487787613E-2</v>
      </c>
      <c r="AL250" s="9">
        <f t="shared" si="30"/>
        <v>8.4144083506349082E-2</v>
      </c>
      <c r="AM250" s="9">
        <f t="shared" si="31"/>
        <v>7.0802267891234474E-3</v>
      </c>
      <c r="AN250" s="9" t="s">
        <v>2580</v>
      </c>
    </row>
    <row r="251" spans="13:40" ht="23">
      <c r="M251" s="8" t="s">
        <v>802</v>
      </c>
      <c r="N251" s="8" t="s">
        <v>150</v>
      </c>
      <c r="O251" s="8"/>
      <c r="P251" s="8" t="s">
        <v>3691</v>
      </c>
      <c r="Q251" s="8"/>
      <c r="R251" s="8"/>
      <c r="S251" s="8"/>
      <c r="T251" s="8"/>
      <c r="U251" s="8"/>
      <c r="V251" s="8"/>
      <c r="W251" s="8" t="s">
        <v>802</v>
      </c>
      <c r="X251" s="8">
        <v>41.37</v>
      </c>
      <c r="Y251" s="8">
        <v>2.69</v>
      </c>
      <c r="Z251" s="9">
        <v>2.4900000000000002</v>
      </c>
      <c r="AA251" s="8">
        <v>8.1</v>
      </c>
      <c r="AB251" s="8">
        <v>13848</v>
      </c>
      <c r="AC251" s="8" t="s">
        <v>802</v>
      </c>
      <c r="AD251" s="8" t="s">
        <v>3725</v>
      </c>
      <c r="AE251" s="8" t="s">
        <v>4083</v>
      </c>
      <c r="AF251" s="9">
        <f t="shared" si="24"/>
        <v>21.788999999999998</v>
      </c>
      <c r="AG251" s="9">
        <f t="shared" si="25"/>
        <v>22.814999999999998</v>
      </c>
      <c r="AH251" s="9">
        <f t="shared" si="26"/>
        <v>2.7021977875338641E-2</v>
      </c>
      <c r="AI251" s="9">
        <f t="shared" si="27"/>
        <v>7.3018728829529105E-4</v>
      </c>
      <c r="AJ251" s="9">
        <f t="shared" si="28"/>
        <v>2.3050360928727386E-2</v>
      </c>
      <c r="AK251" s="9">
        <f t="shared" si="29"/>
        <v>5.3131913894460207E-4</v>
      </c>
      <c r="AL251" s="9">
        <f t="shared" si="30"/>
        <v>2.9448493100128151E-2</v>
      </c>
      <c r="AM251" s="9">
        <f t="shared" si="31"/>
        <v>8.6721374586829533E-4</v>
      </c>
      <c r="AN251" s="8" t="s">
        <v>802</v>
      </c>
    </row>
    <row r="252" spans="13:40" ht="23">
      <c r="M252" s="9" t="s">
        <v>4975</v>
      </c>
      <c r="N252" s="8" t="s">
        <v>150</v>
      </c>
      <c r="O252" s="8"/>
      <c r="P252" s="8"/>
      <c r="Q252" s="8"/>
      <c r="R252" s="8"/>
      <c r="S252" s="8"/>
      <c r="T252" s="8"/>
      <c r="U252" s="8"/>
      <c r="V252" s="8"/>
      <c r="W252" s="9" t="s">
        <v>4975</v>
      </c>
      <c r="X252" s="8">
        <v>32.5</v>
      </c>
      <c r="Y252" s="8">
        <v>3.74</v>
      </c>
      <c r="Z252" s="9">
        <v>4.28</v>
      </c>
      <c r="AA252" s="8">
        <v>8</v>
      </c>
      <c r="AB252" s="8">
        <v>12272</v>
      </c>
      <c r="AC252" s="9" t="s">
        <v>4975</v>
      </c>
      <c r="AD252" s="8" t="s">
        <v>3725</v>
      </c>
      <c r="AE252" s="8" t="s">
        <v>4083</v>
      </c>
      <c r="AF252" s="9">
        <f t="shared" si="24"/>
        <v>29.92</v>
      </c>
      <c r="AG252" s="9">
        <f t="shared" si="25"/>
        <v>35.733333333333334</v>
      </c>
      <c r="AH252" s="9">
        <f t="shared" si="26"/>
        <v>2.6688373210211003E-2</v>
      </c>
      <c r="AI252" s="9">
        <f t="shared" si="27"/>
        <v>7.122692646075084E-4</v>
      </c>
      <c r="AJ252" s="9">
        <f t="shared" si="28"/>
        <v>3.1652062921085113E-2</v>
      </c>
      <c r="AK252" s="9">
        <f t="shared" si="29"/>
        <v>1.0018530871603311E-3</v>
      </c>
      <c r="AL252" s="9">
        <f t="shared" si="30"/>
        <v>4.6122849884341267E-2</v>
      </c>
      <c r="AM252" s="9">
        <f t="shared" si="31"/>
        <v>2.1273172814534791E-3</v>
      </c>
      <c r="AN252" s="9" t="s">
        <v>4975</v>
      </c>
    </row>
    <row r="253" spans="13:40" ht="23">
      <c r="M253" s="24" t="s">
        <v>518</v>
      </c>
      <c r="N253" s="24" t="s">
        <v>150</v>
      </c>
      <c r="O253" s="24"/>
      <c r="P253" s="24"/>
      <c r="Q253" s="24"/>
      <c r="R253" s="24"/>
      <c r="S253" s="24"/>
      <c r="T253" s="24"/>
      <c r="U253" s="24"/>
      <c r="V253" s="24"/>
      <c r="W253" s="24" t="s">
        <v>518</v>
      </c>
      <c r="X253" s="24">
        <v>20.23</v>
      </c>
      <c r="Y253" s="24">
        <v>16.149999999999999</v>
      </c>
      <c r="Z253" s="25">
        <v>21.45</v>
      </c>
      <c r="AA253" s="24">
        <v>7.2</v>
      </c>
      <c r="AB253" s="24">
        <v>7918</v>
      </c>
      <c r="AC253" s="24" t="s">
        <v>518</v>
      </c>
      <c r="AD253" s="8" t="s">
        <v>3725</v>
      </c>
      <c r="AE253" s="8" t="s">
        <v>4083</v>
      </c>
      <c r="AF253" s="25">
        <f t="shared" si="24"/>
        <v>116.27999999999999</v>
      </c>
      <c r="AG253" s="25">
        <f t="shared" si="25"/>
        <v>156.6</v>
      </c>
      <c r="AH253" s="25">
        <f t="shared" si="26"/>
        <v>2.4019535889189904E-2</v>
      </c>
      <c r="AI253" s="25">
        <f t="shared" si="27"/>
        <v>5.7693810433208186E-4</v>
      </c>
      <c r="AJ253" s="25">
        <f t="shared" si="28"/>
        <v>0.12301142635239894</v>
      </c>
      <c r="AK253" s="25">
        <f t="shared" si="29"/>
        <v>1.5131811013251667E-2</v>
      </c>
      <c r="AL253" s="25">
        <f t="shared" si="30"/>
        <v>0.20213166861626428</v>
      </c>
      <c r="AM253" s="25">
        <f t="shared" si="31"/>
        <v>4.0857211457595279E-2</v>
      </c>
      <c r="AN253" s="24" t="s">
        <v>518</v>
      </c>
    </row>
    <row r="254" spans="13:40" ht="23">
      <c r="M254" s="8" t="s">
        <v>233</v>
      </c>
      <c r="N254" s="8" t="s">
        <v>150</v>
      </c>
      <c r="O254" s="8" t="s">
        <v>4163</v>
      </c>
      <c r="P254" s="8" t="s">
        <v>3693</v>
      </c>
      <c r="Q254" s="8"/>
      <c r="R254" s="8"/>
      <c r="S254" s="8"/>
      <c r="T254" s="8"/>
      <c r="U254" s="8"/>
      <c r="V254" s="8"/>
      <c r="W254" s="8" t="s">
        <v>233</v>
      </c>
      <c r="X254" s="8">
        <v>36.369999999999997</v>
      </c>
      <c r="Y254" s="8">
        <v>1.7</v>
      </c>
      <c r="Z254" s="9">
        <v>0.44</v>
      </c>
      <c r="AA254" s="8">
        <v>7.2</v>
      </c>
      <c r="AB254" s="8">
        <v>22882</v>
      </c>
      <c r="AC254" s="8" t="s">
        <v>233</v>
      </c>
      <c r="AD254" s="8" t="s">
        <v>3725</v>
      </c>
      <c r="AE254" s="8" t="s">
        <v>4083</v>
      </c>
      <c r="AF254" s="9">
        <f t="shared" si="24"/>
        <v>12.24</v>
      </c>
      <c r="AG254" s="9">
        <f t="shared" si="25"/>
        <v>5.2799999999999994</v>
      </c>
      <c r="AH254" s="9">
        <f t="shared" si="26"/>
        <v>2.4019535889189904E-2</v>
      </c>
      <c r="AI254" s="9">
        <f t="shared" si="27"/>
        <v>5.7693810433208186E-4</v>
      </c>
      <c r="AJ254" s="9">
        <f t="shared" si="28"/>
        <v>1.2948571194989364E-2</v>
      </c>
      <c r="AK254" s="9">
        <f t="shared" si="29"/>
        <v>1.6766549599170829E-4</v>
      </c>
      <c r="AL254" s="9">
        <f t="shared" si="30"/>
        <v>6.8151673709698291E-3</v>
      </c>
      <c r="AM254" s="9">
        <f t="shared" si="31"/>
        <v>4.6446506294331813E-5</v>
      </c>
      <c r="AN254" s="8" t="s">
        <v>233</v>
      </c>
    </row>
    <row r="255" spans="13:40" ht="23">
      <c r="M255" s="9" t="s">
        <v>3486</v>
      </c>
      <c r="N255" s="8" t="s">
        <v>2027</v>
      </c>
      <c r="O255" s="8"/>
      <c r="P255" s="8"/>
      <c r="Q255" s="8"/>
      <c r="R255" s="8"/>
      <c r="S255" s="8"/>
      <c r="T255" s="8"/>
      <c r="U255" s="8"/>
      <c r="V255" s="8"/>
      <c r="W255" s="9" t="s">
        <v>3486</v>
      </c>
      <c r="X255" s="8">
        <v>15.68</v>
      </c>
      <c r="Y255" s="8">
        <v>4.97</v>
      </c>
      <c r="Z255" s="9">
        <v>4.0999999999999996</v>
      </c>
      <c r="AA255" s="8">
        <v>7.1</v>
      </c>
      <c r="AB255" s="8">
        <v>13436</v>
      </c>
      <c r="AC255" s="9" t="s">
        <v>3486</v>
      </c>
      <c r="AD255" s="8" t="s">
        <v>3725</v>
      </c>
      <c r="AE255" s="8" t="s">
        <v>4083</v>
      </c>
      <c r="AF255" s="9">
        <f t="shared" si="24"/>
        <v>35.286999999999999</v>
      </c>
      <c r="AG255" s="9">
        <f t="shared" si="25"/>
        <v>28.411833333333334</v>
      </c>
      <c r="AH255" s="9">
        <f t="shared" si="26"/>
        <v>2.3685931224062266E-2</v>
      </c>
      <c r="AI255" s="9">
        <f t="shared" si="27"/>
        <v>5.6102333795100779E-4</v>
      </c>
      <c r="AJ255" s="9">
        <f t="shared" si="28"/>
        <v>3.7329757496535103E-2</v>
      </c>
      <c r="AK255" s="9">
        <f t="shared" si="29"/>
        <v>1.3935107947501187E-3</v>
      </c>
      <c r="AL255" s="9">
        <f t="shared" si="30"/>
        <v>3.6672613538402711E-2</v>
      </c>
      <c r="AM255" s="9">
        <f t="shared" si="31"/>
        <v>1.3448805837370378E-3</v>
      </c>
      <c r="AN255" s="9" t="s">
        <v>3486</v>
      </c>
    </row>
    <row r="256" spans="13:40" ht="23">
      <c r="M256" s="8" t="s">
        <v>1588</v>
      </c>
      <c r="N256" s="8" t="s">
        <v>150</v>
      </c>
      <c r="O256" s="8"/>
      <c r="P256" s="8"/>
      <c r="Q256" s="8"/>
      <c r="R256" s="8"/>
      <c r="S256" s="8"/>
      <c r="T256" s="8"/>
      <c r="U256" s="8"/>
      <c r="V256" s="8"/>
      <c r="W256" s="8" t="s">
        <v>1588</v>
      </c>
      <c r="X256" s="8">
        <v>27.25</v>
      </c>
      <c r="Y256" s="8">
        <v>2.99</v>
      </c>
      <c r="Z256" s="9">
        <v>2.04</v>
      </c>
      <c r="AA256" s="8">
        <v>7.1</v>
      </c>
      <c r="AB256" s="8">
        <v>14557</v>
      </c>
      <c r="AC256" s="8" t="s">
        <v>1588</v>
      </c>
      <c r="AD256" s="8" t="s">
        <v>3725</v>
      </c>
      <c r="AE256" s="8" t="s">
        <v>4083</v>
      </c>
      <c r="AF256" s="9">
        <f t="shared" si="24"/>
        <v>21.228999999999999</v>
      </c>
      <c r="AG256" s="9">
        <f t="shared" si="25"/>
        <v>14.673333333333334</v>
      </c>
      <c r="AH256" s="9">
        <f t="shared" si="26"/>
        <v>2.3685931224062266E-2</v>
      </c>
      <c r="AI256" s="9">
        <f t="shared" si="27"/>
        <v>5.6102333795100779E-4</v>
      </c>
      <c r="AJ256" s="9">
        <f t="shared" si="28"/>
        <v>2.2457942638760553E-2</v>
      </c>
      <c r="AK256" s="9">
        <f t="shared" si="29"/>
        <v>5.0435918756585934E-4</v>
      </c>
      <c r="AL256" s="9">
        <f t="shared" si="30"/>
        <v>1.8939625484222976E-2</v>
      </c>
      <c r="AM256" s="9">
        <f t="shared" si="31"/>
        <v>3.5870941348262837E-4</v>
      </c>
      <c r="AN256" s="8" t="s">
        <v>1588</v>
      </c>
    </row>
    <row r="257" spans="13:40" ht="23">
      <c r="M257" s="8" t="s">
        <v>2092</v>
      </c>
      <c r="N257" s="8" t="s">
        <v>2084</v>
      </c>
      <c r="O257" s="8"/>
      <c r="P257" s="8"/>
      <c r="Q257" s="8"/>
      <c r="R257" s="8"/>
      <c r="S257" s="8"/>
      <c r="T257" s="8"/>
      <c r="U257" s="8"/>
      <c r="V257" s="8"/>
      <c r="W257" s="8" t="s">
        <v>2092</v>
      </c>
      <c r="X257" s="8">
        <v>20.11</v>
      </c>
      <c r="Y257" s="8">
        <v>2.31</v>
      </c>
      <c r="Z257" s="9">
        <v>1.37</v>
      </c>
      <c r="AA257" s="8">
        <v>7</v>
      </c>
      <c r="AB257" s="8">
        <v>23362</v>
      </c>
      <c r="AC257" s="8" t="s">
        <v>2092</v>
      </c>
      <c r="AD257" s="8" t="s">
        <v>3725</v>
      </c>
      <c r="AE257" s="8" t="s">
        <v>4083</v>
      </c>
      <c r="AF257" s="9">
        <f t="shared" si="24"/>
        <v>16.170000000000002</v>
      </c>
      <c r="AG257" s="9">
        <f t="shared" si="25"/>
        <v>11.316666666666666</v>
      </c>
      <c r="AH257" s="9">
        <f t="shared" si="26"/>
        <v>2.3352326558934631E-2</v>
      </c>
      <c r="AI257" s="9">
        <f t="shared" si="27"/>
        <v>5.4533115571512377E-4</v>
      </c>
      <c r="AJ257" s="9">
        <f t="shared" si="28"/>
        <v>1.7106078122792322E-2</v>
      </c>
      <c r="AK257" s="9">
        <f t="shared" si="29"/>
        <v>2.9261790874307407E-4</v>
      </c>
      <c r="AL257" s="9">
        <f t="shared" si="30"/>
        <v>1.4607003298259199E-2</v>
      </c>
      <c r="AM257" s="9">
        <f t="shared" si="31"/>
        <v>2.1336454535535513E-4</v>
      </c>
      <c r="AN257" s="8" t="s">
        <v>2092</v>
      </c>
    </row>
    <row r="258" spans="13:40" ht="23">
      <c r="M258" s="8" t="s">
        <v>1641</v>
      </c>
      <c r="N258" s="8" t="s">
        <v>1614</v>
      </c>
      <c r="O258" s="8"/>
      <c r="P258" s="8" t="s">
        <v>3691</v>
      </c>
      <c r="Q258" s="8"/>
      <c r="R258" s="8"/>
      <c r="S258" s="8"/>
      <c r="T258" s="8"/>
      <c r="U258" s="8"/>
      <c r="V258" s="8"/>
      <c r="W258" s="8" t="s">
        <v>1641</v>
      </c>
      <c r="X258" s="8">
        <v>41.66</v>
      </c>
      <c r="Y258" s="8">
        <v>2.63</v>
      </c>
      <c r="Z258" s="9">
        <v>1.25</v>
      </c>
      <c r="AA258" s="8">
        <v>6.7</v>
      </c>
      <c r="AB258" s="8">
        <v>22086</v>
      </c>
      <c r="AC258" s="8" t="s">
        <v>1641</v>
      </c>
      <c r="AD258" s="8" t="s">
        <v>3725</v>
      </c>
      <c r="AE258" s="8" t="s">
        <v>4083</v>
      </c>
      <c r="AF258" s="9">
        <f t="shared" ref="AF258:AF321" si="32">(AA258*Y258)</f>
        <v>17.620999999999999</v>
      </c>
      <c r="AG258" s="9">
        <f t="shared" ref="AG258:AG321" si="33">((((RIGHT(Z258,2))/60)+(LEFT(Z258,2)))*AA258)</f>
        <v>9.4916666666666671</v>
      </c>
      <c r="AH258" s="9">
        <f t="shared" ref="AH258:AH321" si="34">(AA258/$AA$448)*100</f>
        <v>2.235151256355172E-2</v>
      </c>
      <c r="AI258" s="9">
        <f t="shared" ref="AI258:AI321" si="35">(AH258*AH258)</f>
        <v>4.9959011387861038E-4</v>
      </c>
      <c r="AJ258" s="9">
        <f t="shared" ref="AJ258:AJ321" si="36">(AF258/$AF$448)*100</f>
        <v>1.8641076227688524E-2</v>
      </c>
      <c r="AK258" s="9">
        <f t="shared" ref="AK258:AK321" si="37">(AJ258*AJ258)</f>
        <v>3.474897229264942E-4</v>
      </c>
      <c r="AL258" s="9">
        <f t="shared" ref="AL258:AL321" si="38">(AG258/$AG$448)*100</f>
        <v>1.2251382000528152E-2</v>
      </c>
      <c r="AM258" s="9">
        <f t="shared" ref="AM258:AM321" si="39">(AL258*AL258)</f>
        <v>1.500963609228652E-4</v>
      </c>
      <c r="AN258" s="8" t="s">
        <v>1641</v>
      </c>
    </row>
    <row r="259" spans="13:40" ht="23">
      <c r="M259" s="9" t="s">
        <v>3170</v>
      </c>
      <c r="N259" s="8" t="s">
        <v>1869</v>
      </c>
      <c r="O259" s="8"/>
      <c r="P259" s="8"/>
      <c r="Q259" s="8"/>
      <c r="R259" s="8"/>
      <c r="S259" s="8"/>
      <c r="T259" s="8"/>
      <c r="U259" s="8"/>
      <c r="V259" s="8"/>
      <c r="W259" s="9" t="s">
        <v>3170</v>
      </c>
      <c r="X259" s="8">
        <v>3.33</v>
      </c>
      <c r="Y259" s="8">
        <v>4.75</v>
      </c>
      <c r="Z259" s="9">
        <v>1.04</v>
      </c>
      <c r="AA259" s="8">
        <v>6.7</v>
      </c>
      <c r="AB259" s="8">
        <v>67723</v>
      </c>
      <c r="AC259" s="9" t="s">
        <v>3170</v>
      </c>
      <c r="AD259" s="8" t="s">
        <v>3725</v>
      </c>
      <c r="AE259" s="8" t="s">
        <v>4083</v>
      </c>
      <c r="AF259" s="9">
        <f t="shared" si="32"/>
        <v>31.824999999999999</v>
      </c>
      <c r="AG259" s="9">
        <f t="shared" si="33"/>
        <v>7.1466666666666665</v>
      </c>
      <c r="AH259" s="9">
        <f t="shared" si="34"/>
        <v>2.235151256355172E-2</v>
      </c>
      <c r="AI259" s="9">
        <f t="shared" si="35"/>
        <v>4.9959011387861038E-4</v>
      </c>
      <c r="AJ259" s="9">
        <f t="shared" si="36"/>
        <v>3.3667342996775859E-2</v>
      </c>
      <c r="AK259" s="9">
        <f t="shared" si="37"/>
        <v>1.1334899844625524E-3</v>
      </c>
      <c r="AL259" s="9">
        <f t="shared" si="38"/>
        <v>9.2245699768682549E-3</v>
      </c>
      <c r="AM259" s="9">
        <f t="shared" si="39"/>
        <v>8.5092691258139194E-5</v>
      </c>
      <c r="AN259" s="9" t="s">
        <v>3170</v>
      </c>
    </row>
    <row r="260" spans="13:40" ht="23">
      <c r="M260" s="8" t="s">
        <v>1162</v>
      </c>
      <c r="N260" s="8" t="s">
        <v>150</v>
      </c>
      <c r="O260" s="8"/>
      <c r="P260" s="8"/>
      <c r="Q260" s="8"/>
      <c r="R260" s="8"/>
      <c r="S260" s="8"/>
      <c r="T260" s="8"/>
      <c r="U260" s="8"/>
      <c r="V260" s="8"/>
      <c r="W260" s="8" t="s">
        <v>1162</v>
      </c>
      <c r="X260" s="8">
        <v>41.73</v>
      </c>
      <c r="Y260" s="8">
        <v>3.04</v>
      </c>
      <c r="Z260" s="9">
        <v>3.19</v>
      </c>
      <c r="AA260" s="8">
        <v>6.7</v>
      </c>
      <c r="AB260" s="8">
        <v>17275</v>
      </c>
      <c r="AC260" s="8" t="s">
        <v>1162</v>
      </c>
      <c r="AD260" s="8" t="s">
        <v>3725</v>
      </c>
      <c r="AE260" s="8" t="s">
        <v>4083</v>
      </c>
      <c r="AF260" s="9">
        <f t="shared" si="32"/>
        <v>20.368000000000002</v>
      </c>
      <c r="AG260" s="9">
        <f t="shared" si="33"/>
        <v>22.221666666666664</v>
      </c>
      <c r="AH260" s="9">
        <f t="shared" si="34"/>
        <v>2.235151256355172E-2</v>
      </c>
      <c r="AI260" s="9">
        <f t="shared" si="35"/>
        <v>4.9959011387861038E-4</v>
      </c>
      <c r="AJ260" s="9">
        <f t="shared" si="36"/>
        <v>2.1547099517936551E-2</v>
      </c>
      <c r="AK260" s="9">
        <f t="shared" si="37"/>
        <v>4.6427749763586158E-4</v>
      </c>
      <c r="AL260" s="9">
        <f t="shared" si="38"/>
        <v>2.8682647271824725E-2</v>
      </c>
      <c r="AM260" s="9">
        <f t="shared" si="39"/>
        <v>8.2269425451991427E-4</v>
      </c>
      <c r="AN260" s="8" t="s">
        <v>1162</v>
      </c>
    </row>
    <row r="261" spans="13:40" ht="23">
      <c r="M261" s="8" t="s">
        <v>883</v>
      </c>
      <c r="N261" s="8" t="s">
        <v>150</v>
      </c>
      <c r="O261" s="8"/>
      <c r="P261" s="8"/>
      <c r="Q261" s="8"/>
      <c r="R261" s="8"/>
      <c r="S261" s="8"/>
      <c r="T261" s="8"/>
      <c r="U261" s="8"/>
      <c r="V261" s="8"/>
      <c r="W261" s="8" t="s">
        <v>883</v>
      </c>
      <c r="X261" s="8">
        <v>43.26</v>
      </c>
      <c r="Y261" s="8">
        <v>2.92</v>
      </c>
      <c r="Z261" s="9">
        <v>2.37</v>
      </c>
      <c r="AA261" s="8">
        <v>6.7</v>
      </c>
      <c r="AB261" s="8">
        <v>20321</v>
      </c>
      <c r="AC261" s="8" t="s">
        <v>883</v>
      </c>
      <c r="AD261" s="8" t="s">
        <v>3725</v>
      </c>
      <c r="AE261" s="8" t="s">
        <v>4083</v>
      </c>
      <c r="AF261" s="9">
        <f t="shared" si="32"/>
        <v>19.564</v>
      </c>
      <c r="AG261" s="9">
        <f t="shared" si="33"/>
        <v>17.531666666666666</v>
      </c>
      <c r="AH261" s="9">
        <f t="shared" si="34"/>
        <v>2.235151256355172E-2</v>
      </c>
      <c r="AI261" s="9">
        <f t="shared" si="35"/>
        <v>4.9959011387861038E-4</v>
      </c>
      <c r="AJ261" s="9">
        <f t="shared" si="36"/>
        <v>2.0696556115912736E-2</v>
      </c>
      <c r="AK261" s="9">
        <f t="shared" si="37"/>
        <v>4.2834743505912489E-4</v>
      </c>
      <c r="AL261" s="9">
        <f t="shared" si="38"/>
        <v>2.2629023224504937E-2</v>
      </c>
      <c r="AM261" s="9">
        <f t="shared" si="39"/>
        <v>5.1207269209518382E-4</v>
      </c>
      <c r="AN261" s="8" t="s">
        <v>883</v>
      </c>
    </row>
    <row r="262" spans="13:40" ht="23">
      <c r="M262" s="8" t="s">
        <v>1155</v>
      </c>
      <c r="N262" s="8" t="s">
        <v>150</v>
      </c>
      <c r="O262" s="8"/>
      <c r="P262" s="8"/>
      <c r="Q262" s="8"/>
      <c r="R262" s="8"/>
      <c r="S262" s="8"/>
      <c r="T262" s="8"/>
      <c r="U262" s="8"/>
      <c r="V262" s="8"/>
      <c r="W262" s="8" t="s">
        <v>1155</v>
      </c>
      <c r="X262" s="8">
        <v>19.82</v>
      </c>
      <c r="Y262" s="8">
        <v>3.21</v>
      </c>
      <c r="Z262" s="9">
        <v>2.33</v>
      </c>
      <c r="AA262" s="8">
        <v>6.7</v>
      </c>
      <c r="AB262" s="8">
        <v>15210</v>
      </c>
      <c r="AC262" s="8" t="s">
        <v>1155</v>
      </c>
      <c r="AD262" s="8" t="s">
        <v>3725</v>
      </c>
      <c r="AE262" s="8" t="s">
        <v>4083</v>
      </c>
      <c r="AF262" s="9">
        <f t="shared" si="32"/>
        <v>21.507000000000001</v>
      </c>
      <c r="AG262" s="9">
        <f t="shared" si="33"/>
        <v>17.085000000000001</v>
      </c>
      <c r="AH262" s="9">
        <f t="shared" si="34"/>
        <v>2.235151256355172E-2</v>
      </c>
      <c r="AI262" s="9">
        <f t="shared" si="35"/>
        <v>4.9959011387861038E-4</v>
      </c>
      <c r="AJ262" s="9">
        <f t="shared" si="36"/>
        <v>2.2752036004136948E-2</v>
      </c>
      <c r="AK262" s="9">
        <f t="shared" si="37"/>
        <v>5.1765514233354393E-4</v>
      </c>
      <c r="AL262" s="9">
        <f t="shared" si="38"/>
        <v>2.205248760095067E-2</v>
      </c>
      <c r="AM262" s="9">
        <f t="shared" si="39"/>
        <v>4.8631220939008305E-4</v>
      </c>
      <c r="AN262" s="8" t="s">
        <v>1155</v>
      </c>
    </row>
    <row r="263" spans="13:40" ht="23">
      <c r="M263" s="8" t="s">
        <v>1021</v>
      </c>
      <c r="N263" s="8" t="s">
        <v>150</v>
      </c>
      <c r="O263" s="8"/>
      <c r="P263" s="8"/>
      <c r="Q263" s="8"/>
      <c r="R263" s="8"/>
      <c r="S263" s="8"/>
      <c r="T263" s="8"/>
      <c r="U263" s="8"/>
      <c r="V263" s="8"/>
      <c r="W263" s="8" t="s">
        <v>1021</v>
      </c>
      <c r="X263" s="8">
        <v>21.39</v>
      </c>
      <c r="Y263" s="8">
        <v>6.07</v>
      </c>
      <c r="Z263" s="9">
        <v>7.05</v>
      </c>
      <c r="AA263" s="8">
        <v>6.6</v>
      </c>
      <c r="AB263" s="8">
        <v>10374</v>
      </c>
      <c r="AC263" s="8" t="s">
        <v>1021</v>
      </c>
      <c r="AD263" s="8" t="s">
        <v>3725</v>
      </c>
      <c r="AE263" s="8" t="s">
        <v>4083</v>
      </c>
      <c r="AF263" s="9">
        <f t="shared" si="32"/>
        <v>40.061999999999998</v>
      </c>
      <c r="AG263" s="9">
        <f t="shared" si="33"/>
        <v>46.749999999999993</v>
      </c>
      <c r="AH263" s="9">
        <f t="shared" si="34"/>
        <v>2.2017907898424078E-2</v>
      </c>
      <c r="AI263" s="9">
        <f t="shared" si="35"/>
        <v>4.8478826822348541E-4</v>
      </c>
      <c r="AJ263" s="9">
        <f t="shared" si="36"/>
        <v>4.2381181308305871E-2</v>
      </c>
      <c r="AK263" s="9">
        <f t="shared" si="37"/>
        <v>1.796164529087495E-3</v>
      </c>
      <c r="AL263" s="9">
        <f t="shared" si="38"/>
        <v>6.0342627763795356E-2</v>
      </c>
      <c r="AM263" s="9">
        <f t="shared" si="39"/>
        <v>3.6412327254399662E-3</v>
      </c>
      <c r="AN263" s="8" t="s">
        <v>1021</v>
      </c>
    </row>
    <row r="264" spans="13:40" ht="23">
      <c r="M264" s="8" t="s">
        <v>5005</v>
      </c>
      <c r="N264" s="8" t="s">
        <v>150</v>
      </c>
      <c r="O264" s="8"/>
      <c r="P264" s="8"/>
      <c r="Q264" s="8"/>
      <c r="R264" s="8"/>
      <c r="S264" s="8"/>
      <c r="T264" s="8"/>
      <c r="U264" s="8"/>
      <c r="V264" s="8"/>
      <c r="W264" s="8" t="s">
        <v>5005</v>
      </c>
      <c r="X264" s="8">
        <v>40.65</v>
      </c>
      <c r="Y264" s="8">
        <v>2.73</v>
      </c>
      <c r="Z264" s="9">
        <v>1.45</v>
      </c>
      <c r="AA264" s="8">
        <v>6.6</v>
      </c>
      <c r="AB264" s="8">
        <v>16881</v>
      </c>
      <c r="AC264" s="8" t="s">
        <v>5005</v>
      </c>
      <c r="AD264" s="8" t="s">
        <v>3725</v>
      </c>
      <c r="AE264" s="8" t="s">
        <v>4083</v>
      </c>
      <c r="AF264" s="9">
        <f t="shared" si="32"/>
        <v>18.018000000000001</v>
      </c>
      <c r="AG264" s="9">
        <f t="shared" si="33"/>
        <v>11.549999999999999</v>
      </c>
      <c r="AH264" s="9">
        <f t="shared" si="34"/>
        <v>2.2017907898424078E-2</v>
      </c>
      <c r="AI264" s="9">
        <f t="shared" si="35"/>
        <v>4.8478826822348541E-4</v>
      </c>
      <c r="AJ264" s="9">
        <f t="shared" si="36"/>
        <v>1.9061058479682872E-2</v>
      </c>
      <c r="AK264" s="9">
        <f t="shared" si="37"/>
        <v>3.6332395036589035E-4</v>
      </c>
      <c r="AL264" s="9">
        <f t="shared" si="38"/>
        <v>1.49081786239965E-2</v>
      </c>
      <c r="AM264" s="9">
        <f t="shared" si="39"/>
        <v>2.2225378988498617E-4</v>
      </c>
      <c r="AN264" s="8" t="s">
        <v>5005</v>
      </c>
    </row>
    <row r="265" spans="13:40" ht="23">
      <c r="M265" s="24" t="s">
        <v>5120</v>
      </c>
      <c r="N265" s="24" t="s">
        <v>1717</v>
      </c>
      <c r="O265" s="24"/>
      <c r="P265" s="24"/>
      <c r="Q265" s="24"/>
      <c r="R265" s="24"/>
      <c r="S265" s="24"/>
      <c r="T265" s="24"/>
      <c r="U265" s="24"/>
      <c r="V265" s="24"/>
      <c r="W265" s="24" t="s">
        <v>5120</v>
      </c>
      <c r="X265" s="24">
        <v>19.170000000000002</v>
      </c>
      <c r="Y265" s="24">
        <v>8.1300000000000008</v>
      </c>
      <c r="Z265" s="25">
        <v>25</v>
      </c>
      <c r="AA265" s="24">
        <v>6.6</v>
      </c>
      <c r="AB265" s="24">
        <v>11215</v>
      </c>
      <c r="AC265" s="24" t="s">
        <v>5120</v>
      </c>
      <c r="AD265" s="8" t="s">
        <v>3725</v>
      </c>
      <c r="AE265" s="8" t="s">
        <v>4083</v>
      </c>
      <c r="AF265" s="25">
        <f t="shared" si="32"/>
        <v>53.658000000000001</v>
      </c>
      <c r="AG265" s="25">
        <f t="shared" si="33"/>
        <v>167.75</v>
      </c>
      <c r="AH265" s="25">
        <f t="shared" si="34"/>
        <v>2.2017907898424078E-2</v>
      </c>
      <c r="AI265" s="25">
        <f t="shared" si="35"/>
        <v>4.8478826822348541E-4</v>
      </c>
      <c r="AJ265" s="25">
        <f t="shared" si="36"/>
        <v>5.6764251076857786E-2</v>
      </c>
      <c r="AK265" s="25">
        <f t="shared" si="37"/>
        <v>3.2221802003165501E-3</v>
      </c>
      <c r="AL265" s="25">
        <f t="shared" si="38"/>
        <v>0.21652354668185397</v>
      </c>
      <c r="AM265" s="25">
        <f t="shared" si="39"/>
        <v>4.6882446267688997E-2</v>
      </c>
      <c r="AN265" s="24" t="s">
        <v>5120</v>
      </c>
    </row>
    <row r="266" spans="13:40" ht="23">
      <c r="M266" s="8" t="s">
        <v>4986</v>
      </c>
      <c r="N266" s="8" t="s">
        <v>1990</v>
      </c>
      <c r="O266" s="8"/>
      <c r="P266" s="8"/>
      <c r="Q266" s="8"/>
      <c r="R266" s="8"/>
      <c r="S266" s="8"/>
      <c r="T266" s="8"/>
      <c r="U266" s="8"/>
      <c r="V266" s="8"/>
      <c r="W266" s="8" t="s">
        <v>4986</v>
      </c>
      <c r="X266" s="8">
        <v>29.02</v>
      </c>
      <c r="Y266" s="8">
        <v>3.39</v>
      </c>
      <c r="Z266" s="9">
        <v>3.09</v>
      </c>
      <c r="AA266" s="8">
        <v>6.4</v>
      </c>
      <c r="AB266" s="8">
        <v>14420</v>
      </c>
      <c r="AC266" s="8" t="s">
        <v>4986</v>
      </c>
      <c r="AD266" s="8" t="s">
        <v>3725</v>
      </c>
      <c r="AE266" s="8" t="s">
        <v>4083</v>
      </c>
      <c r="AF266" s="9">
        <f t="shared" si="32"/>
        <v>21.696000000000002</v>
      </c>
      <c r="AG266" s="9">
        <f t="shared" si="33"/>
        <v>20.16</v>
      </c>
      <c r="AH266" s="9">
        <f t="shared" si="34"/>
        <v>2.1350698568168805E-2</v>
      </c>
      <c r="AI266" s="9">
        <f t="shared" si="35"/>
        <v>4.5585232934880547E-4</v>
      </c>
      <c r="AJ266" s="9">
        <f t="shared" si="36"/>
        <v>2.2951977177000753E-2</v>
      </c>
      <c r="AK266" s="9">
        <f t="shared" si="37"/>
        <v>5.2679325633356343E-4</v>
      </c>
      <c r="AL266" s="9">
        <f t="shared" si="38"/>
        <v>2.6021548143702986E-2</v>
      </c>
      <c r="AM266" s="9">
        <f t="shared" si="39"/>
        <v>6.7712096779505234E-4</v>
      </c>
      <c r="AN266" s="8" t="s">
        <v>4986</v>
      </c>
    </row>
    <row r="267" spans="13:40" ht="23">
      <c r="M267" s="9" t="s">
        <v>2196</v>
      </c>
      <c r="N267" s="8" t="s">
        <v>150</v>
      </c>
      <c r="O267" s="8"/>
      <c r="P267" s="8"/>
      <c r="Q267" s="8"/>
      <c r="R267" s="8"/>
      <c r="S267" s="8"/>
      <c r="T267" s="8"/>
      <c r="U267" s="8"/>
      <c r="V267" s="8"/>
      <c r="W267" s="9" t="s">
        <v>2196</v>
      </c>
      <c r="X267" s="8">
        <v>13.2</v>
      </c>
      <c r="Y267" s="8">
        <v>4.7</v>
      </c>
      <c r="Z267" s="9">
        <v>5.03</v>
      </c>
      <c r="AA267" s="8">
        <v>6.3</v>
      </c>
      <c r="AB267" s="8">
        <v>16951</v>
      </c>
      <c r="AC267" s="9" t="s">
        <v>2196</v>
      </c>
      <c r="AD267" s="8" t="s">
        <v>3725</v>
      </c>
      <c r="AE267" s="8" t="s">
        <v>4083</v>
      </c>
      <c r="AF267" s="9">
        <f t="shared" si="32"/>
        <v>29.61</v>
      </c>
      <c r="AG267" s="9">
        <f t="shared" si="33"/>
        <v>31.814999999999998</v>
      </c>
      <c r="AH267" s="9">
        <f t="shared" si="34"/>
        <v>2.1017093903041167E-2</v>
      </c>
      <c r="AI267" s="9">
        <f t="shared" si="35"/>
        <v>4.4171823612925017E-4</v>
      </c>
      <c r="AJ267" s="9">
        <f t="shared" si="36"/>
        <v>3.1324117081996325E-2</v>
      </c>
      <c r="AK267" s="9">
        <f t="shared" si="37"/>
        <v>9.81200310966614E-4</v>
      </c>
      <c r="AL267" s="9">
        <f t="shared" si="38"/>
        <v>4.1065255664281271E-2</v>
      </c>
      <c r="AM267" s="9">
        <f t="shared" si="39"/>
        <v>1.6863552227727851E-3</v>
      </c>
      <c r="AN267" s="9" t="s">
        <v>2196</v>
      </c>
    </row>
    <row r="268" spans="13:40" ht="23">
      <c r="M268" s="8" t="s">
        <v>5031</v>
      </c>
      <c r="N268" s="8" t="s">
        <v>2041</v>
      </c>
      <c r="O268" s="8"/>
      <c r="P268" s="8" t="s">
        <v>4167</v>
      </c>
      <c r="Q268" s="8"/>
      <c r="R268" s="8"/>
      <c r="S268" s="8"/>
      <c r="T268" s="8"/>
      <c r="U268" s="8"/>
      <c r="V268" s="8"/>
      <c r="W268" s="8" t="s">
        <v>5031</v>
      </c>
      <c r="X268" s="8">
        <v>41.44</v>
      </c>
      <c r="Y268" s="8">
        <v>5.04</v>
      </c>
      <c r="Z268" s="9">
        <v>8.16</v>
      </c>
      <c r="AA268" s="8">
        <v>6.3</v>
      </c>
      <c r="AB268" s="8">
        <v>25045</v>
      </c>
      <c r="AC268" s="8" t="s">
        <v>5031</v>
      </c>
      <c r="AD268" s="8" t="s">
        <v>3725</v>
      </c>
      <c r="AE268" s="8" t="s">
        <v>4083</v>
      </c>
      <c r="AF268" s="9">
        <f t="shared" si="32"/>
        <v>31.751999999999999</v>
      </c>
      <c r="AG268" s="9">
        <f t="shared" si="33"/>
        <v>52.080000000000005</v>
      </c>
      <c r="AH268" s="9">
        <f t="shared" si="34"/>
        <v>2.1017093903041167E-2</v>
      </c>
      <c r="AI268" s="9">
        <f t="shared" si="35"/>
        <v>4.4171823612925017E-4</v>
      </c>
      <c r="AJ268" s="9">
        <f t="shared" si="36"/>
        <v>3.3590117041119465E-2</v>
      </c>
      <c r="AK268" s="9">
        <f t="shared" si="37"/>
        <v>1.1282959628361043E-3</v>
      </c>
      <c r="AL268" s="9">
        <f t="shared" si="38"/>
        <v>6.7222332704566054E-2</v>
      </c>
      <c r="AM268" s="9">
        <f t="shared" si="39"/>
        <v>4.5188420142433707E-3</v>
      </c>
      <c r="AN268" s="8" t="s">
        <v>5031</v>
      </c>
    </row>
    <row r="269" spans="13:40" ht="23">
      <c r="M269" s="8" t="s">
        <v>2087</v>
      </c>
      <c r="N269" s="8" t="s">
        <v>2084</v>
      </c>
      <c r="O269" s="8"/>
      <c r="P269" s="8"/>
      <c r="Q269" s="8"/>
      <c r="R269" s="8"/>
      <c r="S269" s="8"/>
      <c r="T269" s="8"/>
      <c r="U269" s="8"/>
      <c r="V269" s="8"/>
      <c r="W269" s="8" t="s">
        <v>2087</v>
      </c>
      <c r="X269" s="8">
        <v>27.09</v>
      </c>
      <c r="Y269" s="8">
        <v>4.72</v>
      </c>
      <c r="Z269" s="9">
        <v>2.08</v>
      </c>
      <c r="AA269" s="8">
        <v>6.3</v>
      </c>
      <c r="AB269" s="8">
        <v>17059</v>
      </c>
      <c r="AC269" s="8" t="s">
        <v>2087</v>
      </c>
      <c r="AD269" s="8" t="s">
        <v>3725</v>
      </c>
      <c r="AE269" s="8" t="s">
        <v>4083</v>
      </c>
      <c r="AF269" s="9">
        <f t="shared" si="32"/>
        <v>29.735999999999997</v>
      </c>
      <c r="AG269" s="9">
        <f t="shared" si="33"/>
        <v>13.44</v>
      </c>
      <c r="AH269" s="9">
        <f t="shared" si="34"/>
        <v>2.1017093903041167E-2</v>
      </c>
      <c r="AI269" s="9">
        <f t="shared" si="35"/>
        <v>4.4171823612925017E-4</v>
      </c>
      <c r="AJ269" s="9">
        <f t="shared" si="36"/>
        <v>3.1457411197238862E-2</v>
      </c>
      <c r="AK269" s="9">
        <f t="shared" si="37"/>
        <v>9.8956871923216896E-4</v>
      </c>
      <c r="AL269" s="9">
        <f t="shared" si="38"/>
        <v>1.7347698762468656E-2</v>
      </c>
      <c r="AM269" s="9">
        <f t="shared" si="39"/>
        <v>3.0094265235335651E-4</v>
      </c>
      <c r="AN269" s="8" t="s">
        <v>2087</v>
      </c>
    </row>
    <row r="270" spans="13:40" ht="23">
      <c r="M270" s="9" t="s">
        <v>2256</v>
      </c>
      <c r="N270" s="8" t="s">
        <v>150</v>
      </c>
      <c r="O270" s="8"/>
      <c r="P270" s="8"/>
      <c r="Q270" s="8"/>
      <c r="R270" s="8"/>
      <c r="S270" s="8"/>
      <c r="T270" s="8"/>
      <c r="U270" s="8"/>
      <c r="V270" s="8"/>
      <c r="W270" s="9" t="s">
        <v>2256</v>
      </c>
      <c r="X270" s="8">
        <v>29.03</v>
      </c>
      <c r="Y270" s="8">
        <v>4.47</v>
      </c>
      <c r="Z270" s="9">
        <v>4.26</v>
      </c>
      <c r="AA270" s="8">
        <v>6.2</v>
      </c>
      <c r="AB270" s="8">
        <v>13487</v>
      </c>
      <c r="AC270" s="9" t="s">
        <v>2256</v>
      </c>
      <c r="AD270" s="8" t="s">
        <v>3725</v>
      </c>
      <c r="AE270" s="8" t="s">
        <v>4083</v>
      </c>
      <c r="AF270" s="9">
        <f t="shared" si="32"/>
        <v>27.713999999999999</v>
      </c>
      <c r="AG270" s="9">
        <f t="shared" si="33"/>
        <v>27.486666666666668</v>
      </c>
      <c r="AH270" s="9">
        <f t="shared" si="34"/>
        <v>2.0683489237913529E-2</v>
      </c>
      <c r="AI270" s="9">
        <f t="shared" si="35"/>
        <v>4.2780672705488475E-4</v>
      </c>
      <c r="AJ270" s="9">
        <f t="shared" si="36"/>
        <v>2.9318358014537187E-2</v>
      </c>
      <c r="AK270" s="9">
        <f t="shared" si="37"/>
        <v>8.595661166685769E-4</v>
      </c>
      <c r="AL270" s="9">
        <f t="shared" si="38"/>
        <v>3.5478453371854304E-2</v>
      </c>
      <c r="AM270" s="9">
        <f t="shared" si="39"/>
        <v>1.25872065365884E-3</v>
      </c>
      <c r="AN270" s="9" t="s">
        <v>2256</v>
      </c>
    </row>
    <row r="271" spans="13:40" ht="23">
      <c r="M271" s="8" t="s">
        <v>1539</v>
      </c>
      <c r="N271" s="8" t="s">
        <v>150</v>
      </c>
      <c r="O271" s="8"/>
      <c r="P271" s="8"/>
      <c r="Q271" s="8"/>
      <c r="R271" s="8"/>
      <c r="S271" s="8"/>
      <c r="T271" s="8"/>
      <c r="U271" s="8"/>
      <c r="V271" s="8"/>
      <c r="W271" s="8" t="s">
        <v>1539</v>
      </c>
      <c r="X271" s="8">
        <v>37.68</v>
      </c>
      <c r="Y271" s="8">
        <v>4.3899999999999997</v>
      </c>
      <c r="Z271" s="9">
        <v>3.55</v>
      </c>
      <c r="AA271" s="8">
        <v>6.2</v>
      </c>
      <c r="AB271" s="8">
        <v>14183</v>
      </c>
      <c r="AC271" s="8" t="s">
        <v>1539</v>
      </c>
      <c r="AD271" s="8" t="s">
        <v>3725</v>
      </c>
      <c r="AE271" s="8" t="s">
        <v>4083</v>
      </c>
      <c r="AF271" s="9">
        <f t="shared" si="32"/>
        <v>27.218</v>
      </c>
      <c r="AG271" s="9">
        <f t="shared" si="33"/>
        <v>24.283333333333331</v>
      </c>
      <c r="AH271" s="9">
        <f t="shared" si="34"/>
        <v>2.0683489237913529E-2</v>
      </c>
      <c r="AI271" s="9">
        <f t="shared" si="35"/>
        <v>4.2780672705488475E-4</v>
      </c>
      <c r="AJ271" s="9">
        <f t="shared" si="36"/>
        <v>2.8793644671995137E-2</v>
      </c>
      <c r="AK271" s="9">
        <f t="shared" si="37"/>
        <v>8.2907397349711392E-4</v>
      </c>
      <c r="AL271" s="9">
        <f t="shared" si="38"/>
        <v>3.134374639994647E-2</v>
      </c>
      <c r="AM271" s="9">
        <f t="shared" si="39"/>
        <v>9.8243043838415738E-4</v>
      </c>
      <c r="AN271" s="8" t="s">
        <v>1539</v>
      </c>
    </row>
    <row r="272" spans="13:40" ht="23">
      <c r="M272" s="9" t="s">
        <v>2385</v>
      </c>
      <c r="N272" s="8" t="s">
        <v>150</v>
      </c>
      <c r="O272" s="8" t="s">
        <v>4163</v>
      </c>
      <c r="P272" s="8" t="s">
        <v>3691</v>
      </c>
      <c r="Q272" s="8"/>
      <c r="R272" s="8"/>
      <c r="S272" s="8"/>
      <c r="T272" s="8"/>
      <c r="U272" s="8"/>
      <c r="V272" s="8"/>
      <c r="W272" s="9" t="s">
        <v>2385</v>
      </c>
      <c r="X272" s="8">
        <v>42.76</v>
      </c>
      <c r="Y272" s="8">
        <v>2.89</v>
      </c>
      <c r="Z272" s="9">
        <v>3.16</v>
      </c>
      <c r="AA272" s="8">
        <v>6.2</v>
      </c>
      <c r="AB272" s="8"/>
      <c r="AC272" s="9" t="s">
        <v>2385</v>
      </c>
      <c r="AD272" s="8" t="s">
        <v>3725</v>
      </c>
      <c r="AE272" s="8" t="s">
        <v>4083</v>
      </c>
      <c r="AF272" s="9">
        <f t="shared" si="32"/>
        <v>17.918000000000003</v>
      </c>
      <c r="AG272" s="9">
        <f t="shared" si="33"/>
        <v>20.253333333333334</v>
      </c>
      <c r="AH272" s="9">
        <f t="shared" si="34"/>
        <v>2.0683489237913529E-2</v>
      </c>
      <c r="AI272" s="9">
        <f t="shared" si="35"/>
        <v>4.2780672705488475E-4</v>
      </c>
      <c r="AJ272" s="9">
        <f t="shared" si="36"/>
        <v>1.8955269499331653E-2</v>
      </c>
      <c r="AK272" s="9">
        <f t="shared" si="37"/>
        <v>3.5930224179229282E-4</v>
      </c>
      <c r="AL272" s="9">
        <f t="shared" si="38"/>
        <v>2.6142018273997907E-2</v>
      </c>
      <c r="AM272" s="9">
        <f t="shared" si="39"/>
        <v>6.8340511943804051E-4</v>
      </c>
      <c r="AN272" s="9" t="s">
        <v>2385</v>
      </c>
    </row>
    <row r="273" spans="13:40" ht="23">
      <c r="M273" s="9" t="s">
        <v>3540</v>
      </c>
      <c r="N273" s="8" t="s">
        <v>2041</v>
      </c>
      <c r="O273" s="8"/>
      <c r="P273" s="8" t="s">
        <v>3691</v>
      </c>
      <c r="Q273" s="8"/>
      <c r="R273" s="8"/>
      <c r="S273" s="8"/>
      <c r="T273" s="8"/>
      <c r="U273" s="8"/>
      <c r="V273" s="8"/>
      <c r="W273" s="9" t="s">
        <v>3540</v>
      </c>
      <c r="X273" s="8">
        <v>33.04</v>
      </c>
      <c r="Y273" s="8">
        <v>8.57</v>
      </c>
      <c r="Z273" s="9">
        <v>5.12</v>
      </c>
      <c r="AA273" s="8">
        <v>6.2</v>
      </c>
      <c r="AB273" s="8">
        <v>11784</v>
      </c>
      <c r="AC273" s="9" t="s">
        <v>3540</v>
      </c>
      <c r="AD273" s="8" t="s">
        <v>3725</v>
      </c>
      <c r="AE273" s="8" t="s">
        <v>4083</v>
      </c>
      <c r="AF273" s="9">
        <f t="shared" si="32"/>
        <v>53.134</v>
      </c>
      <c r="AG273" s="9">
        <f t="shared" si="33"/>
        <v>32.24</v>
      </c>
      <c r="AH273" s="9">
        <f t="shared" si="34"/>
        <v>2.0683489237913529E-2</v>
      </c>
      <c r="AI273" s="9">
        <f t="shared" si="35"/>
        <v>4.2780672705488475E-4</v>
      </c>
      <c r="AJ273" s="9">
        <f t="shared" si="36"/>
        <v>5.6209916819817386E-2</v>
      </c>
      <c r="AK273" s="9">
        <f t="shared" si="37"/>
        <v>3.1595547488907894E-3</v>
      </c>
      <c r="AL273" s="9">
        <f t="shared" si="38"/>
        <v>4.1613825007588506E-2</v>
      </c>
      <c r="AM273" s="9">
        <f t="shared" si="39"/>
        <v>1.7317104317621985E-3</v>
      </c>
      <c r="AN273" s="9" t="s">
        <v>3540</v>
      </c>
    </row>
    <row r="274" spans="13:40" ht="23">
      <c r="M274" s="9" t="s">
        <v>3032</v>
      </c>
      <c r="N274" s="8" t="s">
        <v>1814</v>
      </c>
      <c r="O274" s="8"/>
      <c r="P274" s="8" t="s">
        <v>3691</v>
      </c>
      <c r="Q274" s="8"/>
      <c r="R274" s="8"/>
      <c r="S274" s="8"/>
      <c r="T274" s="8"/>
      <c r="U274" s="8"/>
      <c r="V274" s="8"/>
      <c r="W274" s="9" t="s">
        <v>3032</v>
      </c>
      <c r="X274" s="8">
        <v>24.72</v>
      </c>
      <c r="Y274" s="8">
        <v>3.58</v>
      </c>
      <c r="Z274" s="9">
        <v>2.37</v>
      </c>
      <c r="AA274" s="8">
        <v>6.2</v>
      </c>
      <c r="AB274" s="8">
        <v>15145</v>
      </c>
      <c r="AC274" s="9" t="s">
        <v>3032</v>
      </c>
      <c r="AD274" s="8" t="s">
        <v>3725</v>
      </c>
      <c r="AE274" s="8" t="s">
        <v>4083</v>
      </c>
      <c r="AF274" s="9">
        <f t="shared" si="32"/>
        <v>22.196000000000002</v>
      </c>
      <c r="AG274" s="9">
        <f t="shared" si="33"/>
        <v>16.223333333333333</v>
      </c>
      <c r="AH274" s="9">
        <f t="shared" si="34"/>
        <v>2.0683489237913529E-2</v>
      </c>
      <c r="AI274" s="9">
        <f t="shared" si="35"/>
        <v>4.2780672705488475E-4</v>
      </c>
      <c r="AJ274" s="9">
        <f t="shared" si="36"/>
        <v>2.3480922078756856E-2</v>
      </c>
      <c r="AK274" s="9">
        <f t="shared" si="37"/>
        <v>5.5135370166865122E-4</v>
      </c>
      <c r="AL274" s="9">
        <f t="shared" si="38"/>
        <v>2.0940290148049344E-2</v>
      </c>
      <c r="AM274" s="9">
        <f t="shared" si="39"/>
        <v>4.3849575148449243E-4</v>
      </c>
      <c r="AN274" s="9" t="s">
        <v>3032</v>
      </c>
    </row>
    <row r="275" spans="13:40" ht="23">
      <c r="M275" s="9" t="s">
        <v>2829</v>
      </c>
      <c r="N275" s="8" t="s">
        <v>1614</v>
      </c>
      <c r="O275" s="8"/>
      <c r="P275" s="8"/>
      <c r="Q275" s="8"/>
      <c r="R275" s="8"/>
      <c r="S275" s="8"/>
      <c r="T275" s="8"/>
      <c r="U275" s="8"/>
      <c r="V275" s="8"/>
      <c r="W275" s="9" t="s">
        <v>2829</v>
      </c>
      <c r="X275" s="8">
        <v>5.19</v>
      </c>
      <c r="Y275" s="8">
        <v>2.14</v>
      </c>
      <c r="Z275" s="9">
        <v>0.47</v>
      </c>
      <c r="AA275" s="8">
        <v>6.1</v>
      </c>
      <c r="AB275" s="8">
        <v>40765</v>
      </c>
      <c r="AC275" s="9" t="s">
        <v>2829</v>
      </c>
      <c r="AD275" s="8" t="s">
        <v>3725</v>
      </c>
      <c r="AE275" s="8" t="s">
        <v>4083</v>
      </c>
      <c r="AF275" s="9">
        <f t="shared" si="32"/>
        <v>13.054</v>
      </c>
      <c r="AG275" s="9">
        <f t="shared" si="33"/>
        <v>4.7783333333333333</v>
      </c>
      <c r="AH275" s="9">
        <f t="shared" si="34"/>
        <v>2.034988457278589E-2</v>
      </c>
      <c r="AI275" s="9">
        <f t="shared" si="35"/>
        <v>4.1411780212570915E-4</v>
      </c>
      <c r="AJ275" s="9">
        <f t="shared" si="36"/>
        <v>1.3809693495048295E-2</v>
      </c>
      <c r="AK275" s="9">
        <f t="shared" si="37"/>
        <v>1.907076344271792E-4</v>
      </c>
      <c r="AL275" s="9">
        <f t="shared" si="38"/>
        <v>6.1676404206346272E-3</v>
      </c>
      <c r="AM275" s="9">
        <f t="shared" si="39"/>
        <v>3.8039788358246082E-5</v>
      </c>
      <c r="AN275" s="9" t="s">
        <v>2829</v>
      </c>
    </row>
    <row r="276" spans="13:40" ht="23">
      <c r="M276" s="8" t="s">
        <v>1232</v>
      </c>
      <c r="N276" s="8" t="s">
        <v>150</v>
      </c>
      <c r="O276" s="8"/>
      <c r="P276" s="8"/>
      <c r="Q276" s="8"/>
      <c r="R276" s="8"/>
      <c r="S276" s="8"/>
      <c r="T276" s="8"/>
      <c r="U276" s="8"/>
      <c r="V276" s="8"/>
      <c r="W276" s="8" t="s">
        <v>1232</v>
      </c>
      <c r="X276" s="8">
        <v>76.72</v>
      </c>
      <c r="Y276" s="8">
        <v>1.37</v>
      </c>
      <c r="Z276" s="9">
        <v>0.52</v>
      </c>
      <c r="AA276" s="8">
        <v>6.1</v>
      </c>
      <c r="AB276" s="8">
        <v>25410</v>
      </c>
      <c r="AC276" s="8" t="s">
        <v>1232</v>
      </c>
      <c r="AD276" s="8" t="s">
        <v>3725</v>
      </c>
      <c r="AE276" s="8" t="s">
        <v>4083</v>
      </c>
      <c r="AF276" s="9">
        <f t="shared" si="32"/>
        <v>8.3569999999999993</v>
      </c>
      <c r="AG276" s="9">
        <f t="shared" si="33"/>
        <v>5.2866666666666662</v>
      </c>
      <c r="AH276" s="9">
        <f t="shared" si="34"/>
        <v>2.034988457278589E-2</v>
      </c>
      <c r="AI276" s="9">
        <f t="shared" si="35"/>
        <v>4.1411780212570915E-4</v>
      </c>
      <c r="AJ276" s="9">
        <f t="shared" si="36"/>
        <v>8.8407850879514797E-3</v>
      </c>
      <c r="AK276" s="9">
        <f t="shared" si="37"/>
        <v>7.8159480971345252E-5</v>
      </c>
      <c r="AL276" s="9">
        <f t="shared" si="38"/>
        <v>6.8237723802766085E-3</v>
      </c>
      <c r="AM276" s="9">
        <f t="shared" si="39"/>
        <v>4.6563869497825893E-5</v>
      </c>
      <c r="AN276" s="8" t="s">
        <v>1232</v>
      </c>
    </row>
    <row r="277" spans="13:40" ht="23">
      <c r="M277" s="9" t="s">
        <v>3439</v>
      </c>
      <c r="N277" s="8" t="s">
        <v>2003</v>
      </c>
      <c r="O277" s="8"/>
      <c r="P277" s="8"/>
      <c r="Q277" s="8"/>
      <c r="R277" s="8"/>
      <c r="S277" s="8"/>
      <c r="T277" s="8"/>
      <c r="U277" s="8"/>
      <c r="V277" s="8"/>
      <c r="W277" s="9" t="s">
        <v>3439</v>
      </c>
      <c r="X277" s="8">
        <v>21.63</v>
      </c>
      <c r="Y277" s="8">
        <v>5.3</v>
      </c>
      <c r="Z277" s="9">
        <v>14.18</v>
      </c>
      <c r="AA277" s="8">
        <v>6</v>
      </c>
      <c r="AB277" s="8">
        <v>13712</v>
      </c>
      <c r="AC277" s="9" t="s">
        <v>3439</v>
      </c>
      <c r="AD277" s="8" t="s">
        <v>3725</v>
      </c>
      <c r="AE277" s="8" t="s">
        <v>4083</v>
      </c>
      <c r="AF277" s="9">
        <f t="shared" si="32"/>
        <v>31.799999999999997</v>
      </c>
      <c r="AG277" s="9">
        <f t="shared" si="33"/>
        <v>85.800000000000011</v>
      </c>
      <c r="AH277" s="9">
        <f t="shared" si="34"/>
        <v>2.0016279907658252E-2</v>
      </c>
      <c r="AI277" s="9">
        <f t="shared" si="35"/>
        <v>4.0065146134172342E-4</v>
      </c>
      <c r="AJ277" s="9">
        <f t="shared" si="36"/>
        <v>3.3640895751688049E-2</v>
      </c>
      <c r="AK277" s="9">
        <f t="shared" si="37"/>
        <v>1.1317098669759431E-3</v>
      </c>
      <c r="AL277" s="9">
        <f t="shared" si="38"/>
        <v>0.11074646977825973</v>
      </c>
      <c r="AM277" s="9">
        <f t="shared" si="39"/>
        <v>1.2264780568346997E-2</v>
      </c>
      <c r="AN277" s="9" t="s">
        <v>3439</v>
      </c>
    </row>
    <row r="278" spans="13:40" ht="23">
      <c r="M278" s="8" t="s">
        <v>716</v>
      </c>
      <c r="N278" s="8" t="s">
        <v>150</v>
      </c>
      <c r="O278" s="8"/>
      <c r="P278" s="8" t="s">
        <v>3691</v>
      </c>
      <c r="Q278" s="8"/>
      <c r="R278" s="8"/>
      <c r="S278" s="8"/>
      <c r="T278" s="8"/>
      <c r="U278" s="8"/>
      <c r="V278" s="8"/>
      <c r="W278" s="8" t="s">
        <v>716</v>
      </c>
      <c r="X278" s="8">
        <v>25.17</v>
      </c>
      <c r="Y278" s="8">
        <v>11.13</v>
      </c>
      <c r="Z278" s="9">
        <v>9.4600000000000009</v>
      </c>
      <c r="AA278" s="8">
        <v>6</v>
      </c>
      <c r="AB278" s="8">
        <v>11454</v>
      </c>
      <c r="AC278" s="8" t="s">
        <v>716</v>
      </c>
      <c r="AD278" s="8" t="s">
        <v>3725</v>
      </c>
      <c r="AE278" s="8" t="s">
        <v>4083</v>
      </c>
      <c r="AF278" s="9">
        <f t="shared" si="32"/>
        <v>66.78</v>
      </c>
      <c r="AG278" s="9">
        <f t="shared" si="33"/>
        <v>58.600000000000009</v>
      </c>
      <c r="AH278" s="9">
        <f t="shared" si="34"/>
        <v>2.0016279907658252E-2</v>
      </c>
      <c r="AI278" s="9">
        <f t="shared" si="35"/>
        <v>4.0065146134172342E-4</v>
      </c>
      <c r="AJ278" s="9">
        <f t="shared" si="36"/>
        <v>7.06458810785449E-2</v>
      </c>
      <c r="AK278" s="9">
        <f t="shared" si="37"/>
        <v>4.9908405133639085E-3</v>
      </c>
      <c r="AL278" s="9">
        <f t="shared" si="38"/>
        <v>7.5638031806596978E-2</v>
      </c>
      <c r="AM278" s="9">
        <f t="shared" si="39"/>
        <v>5.7211118555757761E-3</v>
      </c>
      <c r="AN278" s="8" t="s">
        <v>716</v>
      </c>
    </row>
    <row r="279" spans="13:40" ht="23">
      <c r="M279" s="8" t="s">
        <v>1631</v>
      </c>
      <c r="N279" s="8" t="s">
        <v>1614</v>
      </c>
      <c r="O279" s="8"/>
      <c r="P279" s="8"/>
      <c r="Q279" s="8"/>
      <c r="R279" s="8"/>
      <c r="S279" s="8"/>
      <c r="T279" s="8"/>
      <c r="U279" s="8"/>
      <c r="V279" s="8"/>
      <c r="W279" s="8" t="s">
        <v>1631</v>
      </c>
      <c r="X279" s="8">
        <v>30.63</v>
      </c>
      <c r="Y279" s="8">
        <v>4.5</v>
      </c>
      <c r="Z279" s="9">
        <v>5.27</v>
      </c>
      <c r="AA279" s="8">
        <v>5.9</v>
      </c>
      <c r="AB279" s="8">
        <v>15907</v>
      </c>
      <c r="AC279" s="8" t="s">
        <v>1631</v>
      </c>
      <c r="AD279" s="8" t="s">
        <v>3725</v>
      </c>
      <c r="AE279" s="8" t="s">
        <v>4083</v>
      </c>
      <c r="AF279" s="9">
        <f t="shared" si="32"/>
        <v>26.55</v>
      </c>
      <c r="AG279" s="9">
        <f t="shared" si="33"/>
        <v>32.155000000000001</v>
      </c>
      <c r="AH279" s="9">
        <f t="shared" si="34"/>
        <v>1.9682675242530617E-2</v>
      </c>
      <c r="AI279" s="9">
        <f t="shared" si="35"/>
        <v>3.8740770470292767E-4</v>
      </c>
      <c r="AJ279" s="9">
        <f t="shared" si="36"/>
        <v>2.8086974283248984E-2</v>
      </c>
      <c r="AK279" s="9">
        <f t="shared" si="37"/>
        <v>7.8887812438788976E-4</v>
      </c>
      <c r="AL279" s="9">
        <f t="shared" si="38"/>
        <v>4.1504111138927061E-2</v>
      </c>
      <c r="AM279" s="9">
        <f t="shared" si="39"/>
        <v>1.7225912414324093E-3</v>
      </c>
      <c r="AN279" s="8" t="s">
        <v>1631</v>
      </c>
    </row>
    <row r="280" spans="13:40" ht="23">
      <c r="M280" s="9" t="s">
        <v>3426</v>
      </c>
      <c r="N280" s="8" t="s">
        <v>2003</v>
      </c>
      <c r="O280" s="8"/>
      <c r="P280" s="8"/>
      <c r="Q280" s="8"/>
      <c r="R280" s="8"/>
      <c r="S280" s="8"/>
      <c r="T280" s="8"/>
      <c r="U280" s="8"/>
      <c r="V280" s="8"/>
      <c r="W280" s="9" t="s">
        <v>3426</v>
      </c>
      <c r="X280" s="8">
        <v>38.46</v>
      </c>
      <c r="Y280" s="8">
        <v>3.89</v>
      </c>
      <c r="Z280" s="9">
        <v>2.38</v>
      </c>
      <c r="AA280" s="8">
        <v>5.8</v>
      </c>
      <c r="AB280" s="8">
        <v>17674</v>
      </c>
      <c r="AC280" s="9" t="s">
        <v>3426</v>
      </c>
      <c r="AD280" s="8" t="s">
        <v>3725</v>
      </c>
      <c r="AE280" s="8" t="s">
        <v>4083</v>
      </c>
      <c r="AF280" s="9">
        <f t="shared" si="32"/>
        <v>22.562000000000001</v>
      </c>
      <c r="AG280" s="9">
        <f t="shared" si="33"/>
        <v>15.273333333333333</v>
      </c>
      <c r="AH280" s="9">
        <f t="shared" si="34"/>
        <v>1.9349070577402979E-2</v>
      </c>
      <c r="AI280" s="9">
        <f t="shared" si="35"/>
        <v>3.7438653220932163E-4</v>
      </c>
      <c r="AJ280" s="9">
        <f t="shared" si="36"/>
        <v>2.3868109746842323E-2</v>
      </c>
      <c r="AK280" s="9">
        <f t="shared" si="37"/>
        <v>5.6968666288730952E-4</v>
      </c>
      <c r="AL280" s="9">
        <f t="shared" si="38"/>
        <v>1.9714076321833182E-2</v>
      </c>
      <c r="AM280" s="9">
        <f t="shared" si="39"/>
        <v>3.8864480522306374E-4</v>
      </c>
      <c r="AN280" s="9" t="s">
        <v>3426</v>
      </c>
    </row>
    <row r="281" spans="13:40" ht="23">
      <c r="M281" s="8" t="s">
        <v>1073</v>
      </c>
      <c r="N281" s="8" t="s">
        <v>150</v>
      </c>
      <c r="O281" s="8"/>
      <c r="P281" s="8"/>
      <c r="Q281" s="8"/>
      <c r="R281" s="8"/>
      <c r="S281" s="8"/>
      <c r="T281" s="8"/>
      <c r="U281" s="8"/>
      <c r="V281" s="8"/>
      <c r="W281" s="8" t="s">
        <v>1073</v>
      </c>
      <c r="X281" s="8">
        <v>61.48</v>
      </c>
      <c r="Y281" s="8">
        <v>2.0499999999999998</v>
      </c>
      <c r="Z281" s="9">
        <v>2.19</v>
      </c>
      <c r="AA281" s="8">
        <v>5.8</v>
      </c>
      <c r="AB281" s="8">
        <v>28753</v>
      </c>
      <c r="AC281" s="8" t="s">
        <v>1073</v>
      </c>
      <c r="AD281" s="8" t="s">
        <v>3725</v>
      </c>
      <c r="AE281" s="8" t="s">
        <v>4083</v>
      </c>
      <c r="AF281" s="9">
        <f t="shared" si="32"/>
        <v>11.889999999999999</v>
      </c>
      <c r="AG281" s="9">
        <f t="shared" si="33"/>
        <v>13.436666666666666</v>
      </c>
      <c r="AH281" s="9">
        <f t="shared" si="34"/>
        <v>1.9349070577402979E-2</v>
      </c>
      <c r="AI281" s="9">
        <f t="shared" si="35"/>
        <v>3.7438653220932163E-4</v>
      </c>
      <c r="AJ281" s="9">
        <f t="shared" si="36"/>
        <v>1.2578309763760091E-2</v>
      </c>
      <c r="AK281" s="9">
        <f t="shared" si="37"/>
        <v>1.5821387651310243E-4</v>
      </c>
      <c r="AL281" s="9">
        <f t="shared" si="38"/>
        <v>1.7343396257815266E-2</v>
      </c>
      <c r="AM281" s="9">
        <f t="shared" si="39"/>
        <v>3.007933937556006E-4</v>
      </c>
      <c r="AN281" s="8" t="s">
        <v>1073</v>
      </c>
    </row>
    <row r="282" spans="13:40" ht="23">
      <c r="M282" s="8" t="s">
        <v>5039</v>
      </c>
      <c r="N282" s="8" t="s">
        <v>1862</v>
      </c>
      <c r="O282" s="8"/>
      <c r="P282" s="8"/>
      <c r="Q282" s="8"/>
      <c r="R282" s="8"/>
      <c r="S282" s="8"/>
      <c r="T282" s="8"/>
      <c r="U282" s="8"/>
      <c r="V282" s="8"/>
      <c r="W282" s="8" t="s">
        <v>5039</v>
      </c>
      <c r="X282" s="8">
        <v>24.71</v>
      </c>
      <c r="Y282" s="8">
        <v>3.16</v>
      </c>
      <c r="Z282" s="9">
        <v>4.16</v>
      </c>
      <c r="AA282" s="8">
        <v>5.8</v>
      </c>
      <c r="AB282" s="8">
        <v>17455</v>
      </c>
      <c r="AC282" s="8" t="s">
        <v>5039</v>
      </c>
      <c r="AD282" s="8" t="s">
        <v>3725</v>
      </c>
      <c r="AE282" s="8" t="s">
        <v>4083</v>
      </c>
      <c r="AF282" s="9">
        <f t="shared" si="32"/>
        <v>18.327999999999999</v>
      </c>
      <c r="AG282" s="9">
        <f t="shared" si="33"/>
        <v>24.746666666666666</v>
      </c>
      <c r="AH282" s="9">
        <f t="shared" si="34"/>
        <v>1.9349070577402979E-2</v>
      </c>
      <c r="AI282" s="9">
        <f t="shared" si="35"/>
        <v>3.7438653220932163E-4</v>
      </c>
      <c r="AJ282" s="9">
        <f t="shared" si="36"/>
        <v>1.9389004318771653E-2</v>
      </c>
      <c r="AK282" s="9">
        <f t="shared" si="37"/>
        <v>3.7593348847334582E-4</v>
      </c>
      <c r="AL282" s="9">
        <f t="shared" si="38"/>
        <v>3.1941794546767689E-2</v>
      </c>
      <c r="AM282" s="9">
        <f t="shared" si="39"/>
        <v>1.0202782388679182E-3</v>
      </c>
      <c r="AN282" s="8" t="s">
        <v>5039</v>
      </c>
    </row>
    <row r="283" spans="13:40" ht="23">
      <c r="M283" s="9" t="s">
        <v>4991</v>
      </c>
      <c r="N283" s="8" t="s">
        <v>150</v>
      </c>
      <c r="O283" s="8"/>
      <c r="P283" s="8"/>
      <c r="Q283" s="8"/>
      <c r="R283" s="8"/>
      <c r="S283" s="8"/>
      <c r="T283" s="8"/>
      <c r="U283" s="8"/>
      <c r="V283" s="8"/>
      <c r="W283" s="9" t="s">
        <v>4991</v>
      </c>
      <c r="X283" s="8">
        <v>10.1</v>
      </c>
      <c r="Y283" s="8">
        <v>2.3199999999999998</v>
      </c>
      <c r="Z283" s="9">
        <v>2.4700000000000002</v>
      </c>
      <c r="AA283" s="8">
        <v>5.7</v>
      </c>
      <c r="AB283" s="8">
        <v>33299</v>
      </c>
      <c r="AC283" s="9" t="s">
        <v>4991</v>
      </c>
      <c r="AD283" s="8" t="s">
        <v>3725</v>
      </c>
      <c r="AE283" s="8" t="s">
        <v>4083</v>
      </c>
      <c r="AF283" s="9">
        <f t="shared" si="32"/>
        <v>13.224</v>
      </c>
      <c r="AG283" s="9">
        <f t="shared" si="33"/>
        <v>15.865</v>
      </c>
      <c r="AH283" s="9">
        <f t="shared" si="34"/>
        <v>1.9015465912275341E-2</v>
      </c>
      <c r="AI283" s="9">
        <f t="shared" si="35"/>
        <v>3.6158794386090547E-4</v>
      </c>
      <c r="AJ283" s="9">
        <f t="shared" si="36"/>
        <v>1.398953476164537E-2</v>
      </c>
      <c r="AK283" s="9">
        <f t="shared" si="37"/>
        <v>1.9570708284728417E-4</v>
      </c>
      <c r="AL283" s="9">
        <f t="shared" si="38"/>
        <v>2.0477770897809913E-2</v>
      </c>
      <c r="AM283" s="9">
        <f t="shared" si="39"/>
        <v>4.1933910094319056E-4</v>
      </c>
      <c r="AN283" s="9" t="s">
        <v>4991</v>
      </c>
    </row>
    <row r="284" spans="13:40" ht="23">
      <c r="M284" s="8" t="s">
        <v>5066</v>
      </c>
      <c r="N284" s="8" t="s">
        <v>150</v>
      </c>
      <c r="O284" s="8"/>
      <c r="P284" s="8"/>
      <c r="Q284" s="8"/>
      <c r="R284" s="8"/>
      <c r="S284" s="8"/>
      <c r="T284" s="8"/>
      <c r="U284" s="8"/>
      <c r="V284" s="8"/>
      <c r="W284" s="8" t="s">
        <v>5066</v>
      </c>
      <c r="X284" s="8">
        <v>83.43</v>
      </c>
      <c r="Y284" s="8">
        <v>1.28</v>
      </c>
      <c r="Z284" s="9">
        <v>0.04</v>
      </c>
      <c r="AA284" s="8">
        <v>5.6</v>
      </c>
      <c r="AB284" s="8">
        <v>24599</v>
      </c>
      <c r="AC284" s="8" t="s">
        <v>5066</v>
      </c>
      <c r="AD284" s="8" t="s">
        <v>3725</v>
      </c>
      <c r="AE284" s="8" t="s">
        <v>4083</v>
      </c>
      <c r="AF284" s="9">
        <f t="shared" si="32"/>
        <v>7.1679999999999993</v>
      </c>
      <c r="AG284" s="9">
        <f t="shared" si="33"/>
        <v>0.37333333333333329</v>
      </c>
      <c r="AH284" s="9">
        <f t="shared" si="34"/>
        <v>1.8681861247147703E-2</v>
      </c>
      <c r="AI284" s="9">
        <f t="shared" si="35"/>
        <v>3.4901193965767912E-4</v>
      </c>
      <c r="AJ284" s="9">
        <f t="shared" si="36"/>
        <v>7.5829541115754696E-3</v>
      </c>
      <c r="AK284" s="9">
        <f t="shared" si="37"/>
        <v>5.7501193058259318E-5</v>
      </c>
      <c r="AL284" s="9">
        <f t="shared" si="38"/>
        <v>4.8188052117968487E-4</v>
      </c>
      <c r="AM284" s="9">
        <f t="shared" si="39"/>
        <v>2.3220883669240473E-7</v>
      </c>
      <c r="AN284" s="8" t="s">
        <v>5066</v>
      </c>
    </row>
    <row r="285" spans="13:40" ht="23">
      <c r="M285" s="24" t="s">
        <v>5106</v>
      </c>
      <c r="N285" s="8" t="s">
        <v>150</v>
      </c>
      <c r="O285" s="24"/>
      <c r="P285" s="24"/>
      <c r="Q285" s="24"/>
      <c r="R285" s="24"/>
      <c r="S285" s="24"/>
      <c r="T285" s="24"/>
      <c r="U285" s="24"/>
      <c r="V285" s="24"/>
      <c r="W285" s="24" t="s">
        <v>5106</v>
      </c>
      <c r="X285" s="24">
        <v>14.88</v>
      </c>
      <c r="Y285" s="24">
        <v>7.84</v>
      </c>
      <c r="Z285" s="25">
        <v>18.350000000000001</v>
      </c>
      <c r="AA285" s="24">
        <v>5.5</v>
      </c>
      <c r="AB285" s="24">
        <v>20587</v>
      </c>
      <c r="AC285" s="24" t="s">
        <v>5106</v>
      </c>
      <c r="AD285" s="8" t="s">
        <v>3725</v>
      </c>
      <c r="AE285" s="8" t="s">
        <v>4083</v>
      </c>
      <c r="AF285" s="25">
        <f t="shared" si="32"/>
        <v>43.12</v>
      </c>
      <c r="AG285" s="25">
        <f t="shared" si="33"/>
        <v>102.20833333333333</v>
      </c>
      <c r="AH285" s="25">
        <f t="shared" si="34"/>
        <v>1.8348256582020068E-2</v>
      </c>
      <c r="AI285" s="25">
        <f t="shared" si="35"/>
        <v>3.3665851959964276E-4</v>
      </c>
      <c r="AJ285" s="25">
        <f t="shared" si="36"/>
        <v>4.5616208327446187E-2</v>
      </c>
      <c r="AK285" s="25">
        <f t="shared" si="37"/>
        <v>2.0808384621729707E-3</v>
      </c>
      <c r="AL285" s="25">
        <f t="shared" si="38"/>
        <v>0.13192554893457223</v>
      </c>
      <c r="AM285" s="25">
        <f t="shared" si="39"/>
        <v>1.7404350461688211E-2</v>
      </c>
      <c r="AN285" s="24" t="s">
        <v>5106</v>
      </c>
    </row>
    <row r="286" spans="13:40" ht="23">
      <c r="M286" s="8" t="s">
        <v>1673</v>
      </c>
      <c r="N286" s="8" t="s">
        <v>1614</v>
      </c>
      <c r="O286" s="8"/>
      <c r="P286" s="8"/>
      <c r="Q286" s="8"/>
      <c r="R286" s="8"/>
      <c r="S286" s="8"/>
      <c r="T286" s="8"/>
      <c r="U286" s="8"/>
      <c r="V286" s="8"/>
      <c r="W286" s="8" t="s">
        <v>1673</v>
      </c>
      <c r="X286" s="8">
        <v>33.78</v>
      </c>
      <c r="Y286" s="8">
        <v>2.29</v>
      </c>
      <c r="Z286" s="9">
        <v>3.04</v>
      </c>
      <c r="AA286" s="8">
        <v>5.4</v>
      </c>
      <c r="AB286" s="8">
        <v>19381</v>
      </c>
      <c r="AC286" s="8" t="s">
        <v>1673</v>
      </c>
      <c r="AD286" s="8" t="s">
        <v>3725</v>
      </c>
      <c r="AE286" s="8" t="s">
        <v>4083</v>
      </c>
      <c r="AF286" s="9">
        <f t="shared" si="32"/>
        <v>12.366000000000001</v>
      </c>
      <c r="AG286" s="9">
        <f t="shared" si="33"/>
        <v>16.560000000000002</v>
      </c>
      <c r="AH286" s="9">
        <f t="shared" si="34"/>
        <v>1.801465191689243E-2</v>
      </c>
      <c r="AI286" s="9">
        <f t="shared" si="35"/>
        <v>3.2452768368679611E-4</v>
      </c>
      <c r="AJ286" s="9">
        <f t="shared" si="36"/>
        <v>1.3081865310231902E-2</v>
      </c>
      <c r="AK286" s="9">
        <f t="shared" si="37"/>
        <v>1.7113519999504884E-4</v>
      </c>
      <c r="AL286" s="9">
        <f t="shared" si="38"/>
        <v>2.1374843118041741E-2</v>
      </c>
      <c r="AM286" s="9">
        <f t="shared" si="39"/>
        <v>4.5688391832089637E-4</v>
      </c>
      <c r="AN286" s="8" t="s">
        <v>1673</v>
      </c>
    </row>
    <row r="287" spans="13:40" ht="23">
      <c r="M287" s="9" t="s">
        <v>3084</v>
      </c>
      <c r="N287" s="8" t="s">
        <v>1814</v>
      </c>
      <c r="O287" s="8"/>
      <c r="P287" s="8"/>
      <c r="Q287" s="8"/>
      <c r="R287" s="8"/>
      <c r="S287" s="8"/>
      <c r="T287" s="8"/>
      <c r="U287" s="8"/>
      <c r="V287" s="8"/>
      <c r="W287" s="9" t="s">
        <v>3084</v>
      </c>
      <c r="X287" s="8">
        <v>35.42</v>
      </c>
      <c r="Y287" s="8">
        <v>1.67</v>
      </c>
      <c r="Z287" s="9">
        <v>0.54</v>
      </c>
      <c r="AA287" s="8">
        <v>5.4</v>
      </c>
      <c r="AB287" s="8">
        <v>29484</v>
      </c>
      <c r="AC287" s="9" t="s">
        <v>3084</v>
      </c>
      <c r="AD287" s="8" t="s">
        <v>3725</v>
      </c>
      <c r="AE287" s="8" t="s">
        <v>4083</v>
      </c>
      <c r="AF287" s="9">
        <f t="shared" si="32"/>
        <v>9.0180000000000007</v>
      </c>
      <c r="AG287" s="9">
        <f t="shared" si="33"/>
        <v>4.8600000000000003</v>
      </c>
      <c r="AH287" s="9">
        <f t="shared" si="34"/>
        <v>1.801465191689243E-2</v>
      </c>
      <c r="AI287" s="9">
        <f t="shared" si="35"/>
        <v>3.2452768368679611E-4</v>
      </c>
      <c r="AJ287" s="9">
        <f t="shared" si="36"/>
        <v>9.5400502480730461E-3</v>
      </c>
      <c r="AK287" s="9">
        <f t="shared" si="37"/>
        <v>9.101255873575859E-5</v>
      </c>
      <c r="AL287" s="9">
        <f t="shared" si="38"/>
        <v>6.273051784642685E-3</v>
      </c>
      <c r="AM287" s="9">
        <f t="shared" si="39"/>
        <v>3.9351178692808776E-5</v>
      </c>
      <c r="AN287" s="9" t="s">
        <v>3084</v>
      </c>
    </row>
    <row r="288" spans="13:40" ht="23">
      <c r="M288" s="9" t="s">
        <v>2708</v>
      </c>
      <c r="N288" s="8" t="s">
        <v>1614</v>
      </c>
      <c r="O288" s="8"/>
      <c r="P288" s="8"/>
      <c r="Q288" s="8"/>
      <c r="R288" s="8"/>
      <c r="S288" s="8"/>
      <c r="T288" s="8"/>
      <c r="U288" s="8"/>
      <c r="V288" s="8"/>
      <c r="W288" s="9" t="s">
        <v>2708</v>
      </c>
      <c r="X288" s="8">
        <v>24.54</v>
      </c>
      <c r="Y288" s="8">
        <v>4.05</v>
      </c>
      <c r="Z288" s="9">
        <v>3.4</v>
      </c>
      <c r="AA288" s="8">
        <v>5.3</v>
      </c>
      <c r="AB288" s="8">
        <v>15793</v>
      </c>
      <c r="AC288" s="9" t="s">
        <v>2708</v>
      </c>
      <c r="AD288" s="8" t="s">
        <v>3725</v>
      </c>
      <c r="AE288" s="8" t="s">
        <v>4083</v>
      </c>
      <c r="AF288" s="9">
        <f t="shared" si="32"/>
        <v>21.465</v>
      </c>
      <c r="AG288" s="9">
        <f t="shared" si="33"/>
        <v>15.935333333333334</v>
      </c>
      <c r="AH288" s="9">
        <f t="shared" si="34"/>
        <v>1.7681047251764791E-2</v>
      </c>
      <c r="AI288" s="9">
        <f t="shared" si="35"/>
        <v>3.1261943191913927E-4</v>
      </c>
      <c r="AJ288" s="9">
        <f t="shared" si="36"/>
        <v>2.2707604632389435E-2</v>
      </c>
      <c r="AK288" s="9">
        <f t="shared" si="37"/>
        <v>5.1563530814091412E-4</v>
      </c>
      <c r="AL288" s="9">
        <f t="shared" si="38"/>
        <v>2.0568553745996445E-2</v>
      </c>
      <c r="AM288" s="9">
        <f t="shared" si="39"/>
        <v>4.2306540320194441E-4</v>
      </c>
      <c r="AN288" s="9" t="s">
        <v>2708</v>
      </c>
    </row>
    <row r="289" spans="13:40" ht="23">
      <c r="M289" s="8" t="s">
        <v>1060</v>
      </c>
      <c r="N289" s="8" t="s">
        <v>150</v>
      </c>
      <c r="O289" s="8"/>
      <c r="P289" s="8"/>
      <c r="Q289" s="8"/>
      <c r="R289" s="8"/>
      <c r="S289" s="8"/>
      <c r="T289" s="8"/>
      <c r="U289" s="8"/>
      <c r="V289" s="8"/>
      <c r="W289" s="8" t="s">
        <v>1060</v>
      </c>
      <c r="X289" s="8">
        <v>33.08</v>
      </c>
      <c r="Y289" s="8">
        <v>3.38</v>
      </c>
      <c r="Z289" s="9">
        <v>3.59</v>
      </c>
      <c r="AA289" s="8">
        <v>5.3</v>
      </c>
      <c r="AB289" s="8">
        <v>17407</v>
      </c>
      <c r="AC289" s="8" t="s">
        <v>1060</v>
      </c>
      <c r="AD289" s="8" t="s">
        <v>3725</v>
      </c>
      <c r="AE289" s="8" t="s">
        <v>4083</v>
      </c>
      <c r="AF289" s="9">
        <f t="shared" si="32"/>
        <v>17.913999999999998</v>
      </c>
      <c r="AG289" s="9">
        <f t="shared" si="33"/>
        <v>21.111666666666665</v>
      </c>
      <c r="AH289" s="9">
        <f t="shared" si="34"/>
        <v>1.7681047251764791E-2</v>
      </c>
      <c r="AI289" s="9">
        <f t="shared" si="35"/>
        <v>3.1261943191913927E-4</v>
      </c>
      <c r="AJ289" s="9">
        <f t="shared" si="36"/>
        <v>1.8951037940117599E-2</v>
      </c>
      <c r="AK289" s="9">
        <f t="shared" si="37"/>
        <v>3.5914183900777666E-4</v>
      </c>
      <c r="AL289" s="9">
        <f t="shared" si="38"/>
        <v>2.724991322224584E-2</v>
      </c>
      <c r="AM289" s="9">
        <f t="shared" si="39"/>
        <v>7.4255777061992868E-4</v>
      </c>
      <c r="AN289" s="8" t="s">
        <v>1060</v>
      </c>
    </row>
    <row r="290" spans="13:40" ht="23">
      <c r="M290" s="8" t="s">
        <v>1150</v>
      </c>
      <c r="N290" s="8" t="s">
        <v>150</v>
      </c>
      <c r="O290" s="8"/>
      <c r="P290" s="8" t="s">
        <v>3691</v>
      </c>
      <c r="Q290" s="8"/>
      <c r="R290" s="8"/>
      <c r="S290" s="8"/>
      <c r="T290" s="8"/>
      <c r="U290" s="8"/>
      <c r="V290" s="8"/>
      <c r="W290" s="8" t="s">
        <v>1150</v>
      </c>
      <c r="X290" s="8">
        <v>19.09</v>
      </c>
      <c r="Y290" s="8">
        <v>4.88</v>
      </c>
      <c r="Z290" s="9">
        <v>3.17</v>
      </c>
      <c r="AA290" s="8">
        <v>5.0999999999999996</v>
      </c>
      <c r="AB290" s="8">
        <v>14815</v>
      </c>
      <c r="AC290" s="8" t="s">
        <v>1150</v>
      </c>
      <c r="AD290" s="8" t="s">
        <v>3725</v>
      </c>
      <c r="AE290" s="8" t="s">
        <v>4083</v>
      </c>
      <c r="AF290" s="9">
        <f t="shared" si="32"/>
        <v>24.887999999999998</v>
      </c>
      <c r="AG290" s="9">
        <f t="shared" si="33"/>
        <v>16.744999999999997</v>
      </c>
      <c r="AH290" s="9">
        <f t="shared" si="34"/>
        <v>1.7013837921509515E-2</v>
      </c>
      <c r="AI290" s="9">
        <f t="shared" si="35"/>
        <v>2.8947068081939522E-4</v>
      </c>
      <c r="AJ290" s="9">
        <f t="shared" si="36"/>
        <v>2.6328761429811706E-2</v>
      </c>
      <c r="AK290" s="9">
        <f t="shared" si="37"/>
        <v>6.9320367842794055E-4</v>
      </c>
      <c r="AL290" s="9">
        <f t="shared" si="38"/>
        <v>2.161363212630488E-2</v>
      </c>
      <c r="AM290" s="9">
        <f t="shared" si="39"/>
        <v>4.6714909369123845E-4</v>
      </c>
      <c r="AN290" s="8" t="s">
        <v>1150</v>
      </c>
    </row>
    <row r="291" spans="13:40" ht="23">
      <c r="M291" s="8" t="s">
        <v>1142</v>
      </c>
      <c r="N291" s="8" t="s">
        <v>150</v>
      </c>
      <c r="O291" s="8"/>
      <c r="P291" s="8"/>
      <c r="Q291" s="8"/>
      <c r="R291" s="8"/>
      <c r="S291" s="8"/>
      <c r="T291" s="8"/>
      <c r="U291" s="8"/>
      <c r="V291" s="8"/>
      <c r="W291" s="8" t="s">
        <v>1142</v>
      </c>
      <c r="X291" s="8">
        <v>21.38</v>
      </c>
      <c r="Y291" s="8">
        <v>3.77</v>
      </c>
      <c r="Z291" s="9">
        <v>3.08</v>
      </c>
      <c r="AA291" s="8">
        <v>5.0999999999999996</v>
      </c>
      <c r="AB291" s="8">
        <v>18263</v>
      </c>
      <c r="AC291" s="8" t="s">
        <v>1142</v>
      </c>
      <c r="AD291" s="8" t="s">
        <v>3725</v>
      </c>
      <c r="AE291" s="8" t="s">
        <v>4083</v>
      </c>
      <c r="AF291" s="9">
        <f t="shared" si="32"/>
        <v>19.227</v>
      </c>
      <c r="AG291" s="9">
        <f t="shared" si="33"/>
        <v>15.979999999999999</v>
      </c>
      <c r="AH291" s="9">
        <f t="shared" si="34"/>
        <v>1.7013837921509515E-2</v>
      </c>
      <c r="AI291" s="9">
        <f t="shared" si="35"/>
        <v>2.8947068081939522E-4</v>
      </c>
      <c r="AJ291" s="9">
        <f t="shared" si="36"/>
        <v>2.0340047252129127E-2</v>
      </c>
      <c r="AK291" s="9">
        <f t="shared" si="37"/>
        <v>4.1371752221884561E-4</v>
      </c>
      <c r="AL291" s="9">
        <f t="shared" si="38"/>
        <v>2.0626207308351869E-2</v>
      </c>
      <c r="AM291" s="9">
        <f t="shared" si="39"/>
        <v>4.2544042792710805E-4</v>
      </c>
      <c r="AN291" s="8" t="s">
        <v>1142</v>
      </c>
    </row>
    <row r="292" spans="13:40" ht="23">
      <c r="M292" s="8" t="s">
        <v>4993</v>
      </c>
      <c r="N292" s="8" t="s">
        <v>150</v>
      </c>
      <c r="O292" s="8"/>
      <c r="P292" s="8"/>
      <c r="Q292" s="8"/>
      <c r="R292" s="8"/>
      <c r="S292" s="8"/>
      <c r="T292" s="8"/>
      <c r="U292" s="8"/>
      <c r="V292" s="8"/>
      <c r="W292" s="8" t="s">
        <v>4993</v>
      </c>
      <c r="X292" s="8">
        <v>9.44</v>
      </c>
      <c r="Y292" s="8">
        <v>3.86</v>
      </c>
      <c r="Z292" s="9">
        <v>2.1</v>
      </c>
      <c r="AA292" s="8">
        <v>5.0999999999999996</v>
      </c>
      <c r="AB292" s="8">
        <v>17611</v>
      </c>
      <c r="AC292" s="8" t="s">
        <v>4993</v>
      </c>
      <c r="AD292" s="8" t="s">
        <v>3725</v>
      </c>
      <c r="AE292" s="8" t="s">
        <v>4083</v>
      </c>
      <c r="AF292" s="9">
        <f t="shared" si="32"/>
        <v>19.685999999999996</v>
      </c>
      <c r="AG292" s="9">
        <f t="shared" si="33"/>
        <v>10.208499999999999</v>
      </c>
      <c r="AH292" s="9">
        <f t="shared" si="34"/>
        <v>1.7013837921509515E-2</v>
      </c>
      <c r="AI292" s="9">
        <f t="shared" si="35"/>
        <v>2.8947068081939522E-4</v>
      </c>
      <c r="AJ292" s="9">
        <f t="shared" si="36"/>
        <v>2.0825618671941222E-2</v>
      </c>
      <c r="AK292" s="9">
        <f t="shared" si="37"/>
        <v>4.3370639306910684E-4</v>
      </c>
      <c r="AL292" s="9">
        <f t="shared" si="38"/>
        <v>1.3176635626239677E-2</v>
      </c>
      <c r="AM292" s="9">
        <f t="shared" si="39"/>
        <v>1.7362372642668869E-4</v>
      </c>
      <c r="AN292" s="8" t="s">
        <v>4993</v>
      </c>
    </row>
    <row r="293" spans="13:40" ht="23">
      <c r="M293" s="8" t="s">
        <v>1772</v>
      </c>
      <c r="N293" s="8" t="s">
        <v>1717</v>
      </c>
      <c r="O293" s="8"/>
      <c r="P293" s="8"/>
      <c r="Q293" s="8"/>
      <c r="R293" s="8"/>
      <c r="S293" s="8"/>
      <c r="T293" s="8"/>
      <c r="U293" s="8"/>
      <c r="V293" s="8"/>
      <c r="W293" s="8" t="s">
        <v>1772</v>
      </c>
      <c r="X293" s="8">
        <v>43.53</v>
      </c>
      <c r="Y293" s="8">
        <v>2.08</v>
      </c>
      <c r="Z293" s="9">
        <v>0.42</v>
      </c>
      <c r="AA293" s="8">
        <v>5</v>
      </c>
      <c r="AB293" s="8">
        <v>22252</v>
      </c>
      <c r="AC293" s="8" t="s">
        <v>1772</v>
      </c>
      <c r="AD293" s="8" t="s">
        <v>3725</v>
      </c>
      <c r="AE293" s="8" t="s">
        <v>4083</v>
      </c>
      <c r="AF293" s="9">
        <f t="shared" si="32"/>
        <v>10.4</v>
      </c>
      <c r="AG293" s="9">
        <f t="shared" si="33"/>
        <v>3.5</v>
      </c>
      <c r="AH293" s="9">
        <f t="shared" si="34"/>
        <v>1.668023325638188E-2</v>
      </c>
      <c r="AI293" s="9">
        <f t="shared" si="35"/>
        <v>2.7823018148730806E-4</v>
      </c>
      <c r="AJ293" s="9">
        <f t="shared" si="36"/>
        <v>1.1002053956526909E-2</v>
      </c>
      <c r="AK293" s="9">
        <f t="shared" si="37"/>
        <v>1.2104519126232942E-4</v>
      </c>
      <c r="AL293" s="9">
        <f t="shared" si="38"/>
        <v>4.5176298860595456E-3</v>
      </c>
      <c r="AM293" s="9">
        <f t="shared" si="39"/>
        <v>2.0408979787418382E-5</v>
      </c>
      <c r="AN293" s="8" t="s">
        <v>1772</v>
      </c>
    </row>
    <row r="294" spans="13:40" ht="23">
      <c r="M294" s="8" t="s">
        <v>309</v>
      </c>
      <c r="N294" s="8" t="s">
        <v>150</v>
      </c>
      <c r="O294" s="8"/>
      <c r="P294" s="8"/>
      <c r="Q294" s="8"/>
      <c r="R294" s="8"/>
      <c r="S294" s="8"/>
      <c r="T294" s="8"/>
      <c r="U294" s="8"/>
      <c r="V294" s="8"/>
      <c r="W294" s="8" t="s">
        <v>309</v>
      </c>
      <c r="X294" s="8">
        <v>34.57</v>
      </c>
      <c r="Y294" s="8">
        <v>4.16</v>
      </c>
      <c r="Z294" s="9">
        <v>4.0599999999999996</v>
      </c>
      <c r="AA294" s="8">
        <v>4.9000000000000004</v>
      </c>
      <c r="AB294" s="8">
        <v>19319</v>
      </c>
      <c r="AC294" s="8" t="s">
        <v>309</v>
      </c>
      <c r="AD294" s="8" t="s">
        <v>3725</v>
      </c>
      <c r="AE294" s="8" t="s">
        <v>4083</v>
      </c>
      <c r="AF294" s="9">
        <f t="shared" si="32"/>
        <v>20.384000000000004</v>
      </c>
      <c r="AG294" s="9">
        <f t="shared" si="33"/>
        <v>20.09</v>
      </c>
      <c r="AH294" s="9">
        <f t="shared" si="34"/>
        <v>1.6346628591254242E-2</v>
      </c>
      <c r="AI294" s="9">
        <f t="shared" si="35"/>
        <v>2.6721226630041067E-4</v>
      </c>
      <c r="AJ294" s="9">
        <f t="shared" si="36"/>
        <v>2.1564025754792746E-2</v>
      </c>
      <c r="AK294" s="9">
        <f t="shared" si="37"/>
        <v>4.6500720675336489E-4</v>
      </c>
      <c r="AL294" s="9">
        <f t="shared" si="38"/>
        <v>2.5931195545981795E-2</v>
      </c>
      <c r="AM294" s="9">
        <f t="shared" si="39"/>
        <v>6.7242690244394613E-4</v>
      </c>
      <c r="AN294" s="8" t="s">
        <v>309</v>
      </c>
    </row>
    <row r="295" spans="13:40" ht="23">
      <c r="M295" s="9" t="s">
        <v>3614</v>
      </c>
      <c r="N295" s="8" t="s">
        <v>2084</v>
      </c>
      <c r="O295" s="8"/>
      <c r="P295" s="8"/>
      <c r="Q295" s="8"/>
      <c r="R295" s="8"/>
      <c r="S295" s="8"/>
      <c r="T295" s="8"/>
      <c r="U295" s="8"/>
      <c r="V295" s="8"/>
      <c r="W295" s="9" t="s">
        <v>3614</v>
      </c>
      <c r="X295" s="8">
        <v>25.45</v>
      </c>
      <c r="Y295" s="8">
        <v>1.79</v>
      </c>
      <c r="Z295" s="9">
        <v>0.56999999999999995</v>
      </c>
      <c r="AA295" s="8">
        <v>4.9000000000000004</v>
      </c>
      <c r="AB295" s="8">
        <v>32486</v>
      </c>
      <c r="AC295" s="9" t="s">
        <v>3614</v>
      </c>
      <c r="AD295" s="8" t="s">
        <v>3725</v>
      </c>
      <c r="AE295" s="8" t="s">
        <v>4083</v>
      </c>
      <c r="AF295" s="9">
        <f t="shared" si="32"/>
        <v>8.7710000000000008</v>
      </c>
      <c r="AG295" s="9">
        <f t="shared" si="33"/>
        <v>4.6550000000000002</v>
      </c>
      <c r="AH295" s="9">
        <f t="shared" si="34"/>
        <v>1.6346628591254242E-2</v>
      </c>
      <c r="AI295" s="9">
        <f t="shared" si="35"/>
        <v>2.6721226630041067E-4</v>
      </c>
      <c r="AJ295" s="9">
        <f t="shared" si="36"/>
        <v>9.2787514666055337E-3</v>
      </c>
      <c r="AK295" s="9">
        <f t="shared" si="37"/>
        <v>8.609522877903434E-5</v>
      </c>
      <c r="AL295" s="9">
        <f t="shared" si="38"/>
        <v>6.0084477484591966E-3</v>
      </c>
      <c r="AM295" s="9">
        <f t="shared" si="39"/>
        <v>3.6101444345964387E-5</v>
      </c>
      <c r="AN295" s="9" t="s">
        <v>3614</v>
      </c>
    </row>
    <row r="296" spans="13:40" ht="23">
      <c r="M296" s="8" t="s">
        <v>1538</v>
      </c>
      <c r="N296" s="8" t="s">
        <v>150</v>
      </c>
      <c r="O296" s="8"/>
      <c r="P296" s="8"/>
      <c r="Q296" s="8"/>
      <c r="R296" s="8"/>
      <c r="S296" s="8"/>
      <c r="T296" s="8"/>
      <c r="U296" s="8"/>
      <c r="V296" s="8"/>
      <c r="W296" s="8" t="s">
        <v>1538</v>
      </c>
      <c r="X296" s="8">
        <v>21.61</v>
      </c>
      <c r="Y296" s="8">
        <v>3.69</v>
      </c>
      <c r="Z296" s="9">
        <v>4.2300000000000004</v>
      </c>
      <c r="AA296" s="8">
        <v>4.8</v>
      </c>
      <c r="AB296" s="8">
        <v>18956</v>
      </c>
      <c r="AC296" s="8" t="s">
        <v>1538</v>
      </c>
      <c r="AD296" s="8" t="s">
        <v>3725</v>
      </c>
      <c r="AE296" s="8" t="s">
        <v>4083</v>
      </c>
      <c r="AF296" s="9">
        <f t="shared" si="32"/>
        <v>17.712</v>
      </c>
      <c r="AG296" s="9">
        <f t="shared" si="33"/>
        <v>21.040000000000003</v>
      </c>
      <c r="AH296" s="9">
        <f t="shared" si="34"/>
        <v>1.60130239261266E-2</v>
      </c>
      <c r="AI296" s="9">
        <f t="shared" si="35"/>
        <v>2.5641693525870298E-4</v>
      </c>
      <c r="AJ296" s="9">
        <f t="shared" si="36"/>
        <v>1.8737344199808138E-2</v>
      </c>
      <c r="AK296" s="9">
        <f t="shared" si="37"/>
        <v>3.5108806766208367E-4</v>
      </c>
      <c r="AL296" s="9">
        <f t="shared" si="38"/>
        <v>2.7157409372197964E-2</v>
      </c>
      <c r="AM296" s="9">
        <f t="shared" si="39"/>
        <v>7.375248838091458E-4</v>
      </c>
      <c r="AN296" s="8" t="s">
        <v>1538</v>
      </c>
    </row>
    <row r="297" spans="13:40" ht="23">
      <c r="M297" s="9" t="s">
        <v>5064</v>
      </c>
      <c r="N297" s="8" t="s">
        <v>150</v>
      </c>
      <c r="O297" s="8"/>
      <c r="P297" s="8"/>
      <c r="Q297" s="8"/>
      <c r="R297" s="8"/>
      <c r="S297" s="8"/>
      <c r="T297" s="8"/>
      <c r="U297" s="8"/>
      <c r="V297" s="8"/>
      <c r="W297" s="9" t="s">
        <v>5064</v>
      </c>
      <c r="X297" s="8">
        <v>18.38</v>
      </c>
      <c r="Y297" s="8">
        <v>3.53</v>
      </c>
      <c r="Z297" s="9">
        <v>3.12</v>
      </c>
      <c r="AA297" s="8">
        <v>4.8</v>
      </c>
      <c r="AB297" s="8">
        <v>19260</v>
      </c>
      <c r="AC297" s="9" t="s">
        <v>5064</v>
      </c>
      <c r="AD297" s="8" t="s">
        <v>3725</v>
      </c>
      <c r="AE297" s="8" t="s">
        <v>4083</v>
      </c>
      <c r="AF297" s="9">
        <f t="shared" si="32"/>
        <v>16.943999999999999</v>
      </c>
      <c r="AG297" s="9">
        <f t="shared" si="33"/>
        <v>15.36</v>
      </c>
      <c r="AH297" s="9">
        <f t="shared" si="34"/>
        <v>1.60130239261266E-2</v>
      </c>
      <c r="AI297" s="9">
        <f t="shared" si="35"/>
        <v>2.5641693525870298E-4</v>
      </c>
      <c r="AJ297" s="9">
        <f t="shared" si="36"/>
        <v>1.7924884830710766E-2</v>
      </c>
      <c r="AK297" s="9">
        <f t="shared" si="37"/>
        <v>3.2130149619424495E-4</v>
      </c>
      <c r="AL297" s="9">
        <f t="shared" si="38"/>
        <v>1.9825941442821321E-2</v>
      </c>
      <c r="AM297" s="9">
        <f t="shared" si="39"/>
        <v>3.9306795409417995E-4</v>
      </c>
      <c r="AN297" s="9" t="s">
        <v>5064</v>
      </c>
    </row>
    <row r="298" spans="13:40" ht="23">
      <c r="M298" s="9" t="s">
        <v>5019</v>
      </c>
      <c r="N298" s="8" t="s">
        <v>150</v>
      </c>
      <c r="O298" s="8"/>
      <c r="P298" s="8"/>
      <c r="Q298" s="8"/>
      <c r="R298" s="8"/>
      <c r="S298" s="8"/>
      <c r="T298" s="8"/>
      <c r="U298" s="8"/>
      <c r="V298" s="8"/>
      <c r="W298" s="9" t="s">
        <v>5019</v>
      </c>
      <c r="X298" s="8">
        <v>20.29</v>
      </c>
      <c r="Y298" s="8">
        <v>4.4000000000000004</v>
      </c>
      <c r="Z298" s="9">
        <v>4.4000000000000004</v>
      </c>
      <c r="AA298" s="8">
        <v>4.7</v>
      </c>
      <c r="AB298" s="8">
        <v>33917</v>
      </c>
      <c r="AC298" s="9" t="s">
        <v>5019</v>
      </c>
      <c r="AD298" s="8" t="s">
        <v>3725</v>
      </c>
      <c r="AE298" s="8" t="s">
        <v>4083</v>
      </c>
      <c r="AF298" s="9">
        <f t="shared" si="32"/>
        <v>20.680000000000003</v>
      </c>
      <c r="AG298" s="9">
        <f t="shared" si="33"/>
        <v>18.831333333333333</v>
      </c>
      <c r="AH298" s="9">
        <f t="shared" si="34"/>
        <v>1.5679419260998969E-2</v>
      </c>
      <c r="AI298" s="9">
        <f t="shared" si="35"/>
        <v>2.4584418836218544E-4</v>
      </c>
      <c r="AJ298" s="9">
        <f t="shared" si="36"/>
        <v>2.1877161136632361E-2</v>
      </c>
      <c r="AK298" s="9">
        <f t="shared" si="37"/>
        <v>4.7861017939817733E-4</v>
      </c>
      <c r="AL298" s="9">
        <f t="shared" si="38"/>
        <v>2.4306569788861716E-2</v>
      </c>
      <c r="AM298" s="9">
        <f t="shared" si="39"/>
        <v>5.9080933490080509E-4</v>
      </c>
      <c r="AN298" s="9" t="s">
        <v>5019</v>
      </c>
    </row>
    <row r="299" spans="13:40" ht="23">
      <c r="M299" s="8" t="s">
        <v>5014</v>
      </c>
      <c r="N299" s="8" t="s">
        <v>150</v>
      </c>
      <c r="O299" s="8"/>
      <c r="P299" s="8"/>
      <c r="Q299" s="8"/>
      <c r="R299" s="8"/>
      <c r="S299" s="8"/>
      <c r="T299" s="8"/>
      <c r="U299" s="8"/>
      <c r="V299" s="8"/>
      <c r="W299" s="8" t="s">
        <v>5014</v>
      </c>
      <c r="X299" s="8">
        <v>35.03</v>
      </c>
      <c r="Y299" s="8">
        <v>3.15</v>
      </c>
      <c r="Z299" s="9">
        <v>2.4700000000000002</v>
      </c>
      <c r="AA299" s="8">
        <v>4.7</v>
      </c>
      <c r="AB299" s="8">
        <v>20951</v>
      </c>
      <c r="AC299" s="8" t="s">
        <v>5014</v>
      </c>
      <c r="AD299" s="8" t="s">
        <v>3725</v>
      </c>
      <c r="AE299" s="8" t="s">
        <v>4083</v>
      </c>
      <c r="AF299" s="9">
        <f t="shared" si="32"/>
        <v>14.805</v>
      </c>
      <c r="AG299" s="9">
        <f t="shared" si="33"/>
        <v>13.081666666666667</v>
      </c>
      <c r="AH299" s="9">
        <f t="shared" si="34"/>
        <v>1.5679419260998969E-2</v>
      </c>
      <c r="AI299" s="9">
        <f t="shared" si="35"/>
        <v>2.4584418836218544E-4</v>
      </c>
      <c r="AJ299" s="9">
        <f t="shared" si="36"/>
        <v>1.5662058540998162E-2</v>
      </c>
      <c r="AK299" s="9">
        <f t="shared" si="37"/>
        <v>2.453000777416535E-4</v>
      </c>
      <c r="AL299" s="9">
        <f t="shared" si="38"/>
        <v>1.6885179512229228E-2</v>
      </c>
      <c r="AM299" s="9">
        <f t="shared" si="39"/>
        <v>2.8510928716020569E-4</v>
      </c>
      <c r="AN299" s="8" t="s">
        <v>5014</v>
      </c>
    </row>
    <row r="300" spans="13:40" ht="23">
      <c r="M300" s="8" t="s">
        <v>886</v>
      </c>
      <c r="N300" s="8" t="s">
        <v>150</v>
      </c>
      <c r="O300" s="8"/>
      <c r="P300" s="8" t="s">
        <v>3691</v>
      </c>
      <c r="Q300" s="8"/>
      <c r="R300" s="8"/>
      <c r="S300" s="8"/>
      <c r="T300" s="8"/>
      <c r="U300" s="8"/>
      <c r="V300" s="8"/>
      <c r="W300" s="8" t="s">
        <v>886</v>
      </c>
      <c r="X300" s="8">
        <v>36.76</v>
      </c>
      <c r="Y300" s="8">
        <v>4.2300000000000004</v>
      </c>
      <c r="Z300" s="9">
        <v>2.15</v>
      </c>
      <c r="AA300" s="8">
        <v>4.7</v>
      </c>
      <c r="AB300" s="8">
        <v>20117</v>
      </c>
      <c r="AC300" s="8" t="s">
        <v>886</v>
      </c>
      <c r="AD300" s="8" t="s">
        <v>3725</v>
      </c>
      <c r="AE300" s="8" t="s">
        <v>4083</v>
      </c>
      <c r="AF300" s="9">
        <f t="shared" si="32"/>
        <v>19.881000000000004</v>
      </c>
      <c r="AG300" s="9">
        <f t="shared" si="33"/>
        <v>10.575000000000001</v>
      </c>
      <c r="AH300" s="9">
        <f t="shared" si="34"/>
        <v>1.5679419260998969E-2</v>
      </c>
      <c r="AI300" s="9">
        <f t="shared" si="35"/>
        <v>2.4584418836218544E-4</v>
      </c>
      <c r="AJ300" s="9">
        <f t="shared" si="36"/>
        <v>2.103190718362611E-2</v>
      </c>
      <c r="AK300" s="9">
        <f t="shared" si="37"/>
        <v>4.4234111978066359E-4</v>
      </c>
      <c r="AL300" s="9">
        <f t="shared" si="38"/>
        <v>1.3649696012879917E-2</v>
      </c>
      <c r="AM300" s="9">
        <f t="shared" si="39"/>
        <v>1.8631420124402991E-4</v>
      </c>
      <c r="AN300" s="8" t="s">
        <v>886</v>
      </c>
    </row>
    <row r="301" spans="13:40" ht="23">
      <c r="M301" s="9" t="s">
        <v>2246</v>
      </c>
      <c r="N301" s="8" t="s">
        <v>150</v>
      </c>
      <c r="O301" s="8"/>
      <c r="P301" s="8"/>
      <c r="Q301" s="8"/>
      <c r="R301" s="8"/>
      <c r="S301" s="8"/>
      <c r="T301" s="8"/>
      <c r="U301" s="8"/>
      <c r="V301" s="8"/>
      <c r="W301" s="9" t="s">
        <v>2246</v>
      </c>
      <c r="X301" s="8">
        <v>30.26</v>
      </c>
      <c r="Y301" s="8">
        <v>2.17</v>
      </c>
      <c r="Z301" s="9">
        <v>0.28000000000000003</v>
      </c>
      <c r="AA301" s="8">
        <v>4.7</v>
      </c>
      <c r="AB301" s="8">
        <v>40839</v>
      </c>
      <c r="AC301" s="9" t="s">
        <v>2246</v>
      </c>
      <c r="AD301" s="8" t="s">
        <v>3725</v>
      </c>
      <c r="AE301" s="8" t="s">
        <v>4083</v>
      </c>
      <c r="AF301" s="9">
        <f t="shared" si="32"/>
        <v>10.199</v>
      </c>
      <c r="AG301" s="9">
        <f t="shared" si="33"/>
        <v>2.1933333333333334</v>
      </c>
      <c r="AH301" s="9">
        <f t="shared" si="34"/>
        <v>1.5679419260998969E-2</v>
      </c>
      <c r="AI301" s="9">
        <f t="shared" si="35"/>
        <v>2.4584418836218544E-4</v>
      </c>
      <c r="AJ301" s="9">
        <f t="shared" si="36"/>
        <v>1.0789418106020958E-2</v>
      </c>
      <c r="AK301" s="9">
        <f t="shared" si="37"/>
        <v>1.1641154306653287E-4</v>
      </c>
      <c r="AL301" s="9">
        <f t="shared" si="38"/>
        <v>2.831048061930649E-3</v>
      </c>
      <c r="AM301" s="9">
        <f t="shared" si="39"/>
        <v>8.0148331289612848E-6</v>
      </c>
      <c r="AN301" s="9" t="s">
        <v>2246</v>
      </c>
    </row>
    <row r="302" spans="13:40" ht="23">
      <c r="M302" s="8" t="s">
        <v>869</v>
      </c>
      <c r="N302" s="8" t="s">
        <v>150</v>
      </c>
      <c r="O302" s="8"/>
      <c r="P302" s="8"/>
      <c r="Q302" s="8"/>
      <c r="R302" s="8"/>
      <c r="S302" s="8"/>
      <c r="T302" s="8"/>
      <c r="U302" s="8"/>
      <c r="V302" s="8"/>
      <c r="W302" s="8" t="s">
        <v>869</v>
      </c>
      <c r="X302" s="8">
        <v>47.91</v>
      </c>
      <c r="Y302" s="8">
        <v>4</v>
      </c>
      <c r="Z302" s="9">
        <v>3.04</v>
      </c>
      <c r="AA302" s="8">
        <v>4.5999999999999996</v>
      </c>
      <c r="AB302" s="8">
        <v>22126</v>
      </c>
      <c r="AC302" s="8" t="s">
        <v>869</v>
      </c>
      <c r="AD302" s="8" t="s">
        <v>3725</v>
      </c>
      <c r="AE302" s="8" t="s">
        <v>4083</v>
      </c>
      <c r="AF302" s="9">
        <f t="shared" si="32"/>
        <v>18.399999999999999</v>
      </c>
      <c r="AG302" s="9">
        <f t="shared" si="33"/>
        <v>14.106666666666667</v>
      </c>
      <c r="AH302" s="9">
        <f t="shared" si="34"/>
        <v>1.5345814595871327E-2</v>
      </c>
      <c r="AI302" s="9">
        <f t="shared" si="35"/>
        <v>2.3549402561085748E-4</v>
      </c>
      <c r="AJ302" s="9">
        <f t="shared" si="36"/>
        <v>1.9465172384624533E-2</v>
      </c>
      <c r="AK302" s="9">
        <f t="shared" si="37"/>
        <v>3.7889293596314952E-4</v>
      </c>
      <c r="AL302" s="9">
        <f t="shared" si="38"/>
        <v>1.8208199693146666E-2</v>
      </c>
      <c r="AM302" s="9">
        <f t="shared" si="39"/>
        <v>3.3153853606550637E-4</v>
      </c>
      <c r="AN302" s="8" t="s">
        <v>869</v>
      </c>
    </row>
    <row r="303" spans="13:40" ht="23">
      <c r="M303" s="9" t="s">
        <v>5076</v>
      </c>
      <c r="N303" s="8" t="s">
        <v>2017</v>
      </c>
      <c r="O303" s="8"/>
      <c r="P303" s="8"/>
      <c r="Q303" s="8"/>
      <c r="R303" s="8"/>
      <c r="S303" s="8"/>
      <c r="T303" s="8"/>
      <c r="U303" s="8"/>
      <c r="V303" s="8"/>
      <c r="W303" s="9" t="s">
        <v>5076</v>
      </c>
      <c r="X303" s="8">
        <v>23.44</v>
      </c>
      <c r="Y303" s="8">
        <v>3.16</v>
      </c>
      <c r="Z303" s="9">
        <v>1.39</v>
      </c>
      <c r="AA303" s="8">
        <v>4.5999999999999996</v>
      </c>
      <c r="AB303" s="8">
        <v>26075</v>
      </c>
      <c r="AC303" s="9" t="s">
        <v>5076</v>
      </c>
      <c r="AD303" s="8" t="s">
        <v>3725</v>
      </c>
      <c r="AE303" s="8" t="s">
        <v>4083</v>
      </c>
      <c r="AF303" s="9">
        <f t="shared" si="32"/>
        <v>14.536</v>
      </c>
      <c r="AG303" s="9">
        <f t="shared" si="33"/>
        <v>7.589999999999999</v>
      </c>
      <c r="AH303" s="9">
        <f t="shared" si="34"/>
        <v>1.5345814595871327E-2</v>
      </c>
      <c r="AI303" s="9">
        <f t="shared" si="35"/>
        <v>2.3549402561085748E-4</v>
      </c>
      <c r="AJ303" s="9">
        <f t="shared" si="36"/>
        <v>1.537748618385338E-2</v>
      </c>
      <c r="AK303" s="9">
        <f t="shared" si="37"/>
        <v>2.3646708133460157E-4</v>
      </c>
      <c r="AL303" s="9">
        <f t="shared" si="38"/>
        <v>9.7968030957691285E-3</v>
      </c>
      <c r="AM303" s="9">
        <f t="shared" si="39"/>
        <v>9.5977350897271586E-5</v>
      </c>
      <c r="AN303" s="9" t="s">
        <v>5076</v>
      </c>
    </row>
    <row r="304" spans="13:40" ht="23">
      <c r="M304" s="9" t="s">
        <v>3364</v>
      </c>
      <c r="N304" s="8" t="s">
        <v>1964</v>
      </c>
      <c r="O304" s="8"/>
      <c r="P304" s="8"/>
      <c r="Q304" s="8"/>
      <c r="R304" s="8"/>
      <c r="S304" s="8"/>
      <c r="T304" s="8"/>
      <c r="U304" s="8"/>
      <c r="V304" s="8"/>
      <c r="W304" s="9" t="s">
        <v>3364</v>
      </c>
      <c r="X304" s="8">
        <v>24.68</v>
      </c>
      <c r="Y304" s="8">
        <v>3.26</v>
      </c>
      <c r="Z304" s="9">
        <v>2.31</v>
      </c>
      <c r="AA304" s="8">
        <v>4.5999999999999996</v>
      </c>
      <c r="AB304" s="8">
        <v>25829</v>
      </c>
      <c r="AC304" s="9" t="s">
        <v>3364</v>
      </c>
      <c r="AD304" s="8" t="s">
        <v>3725</v>
      </c>
      <c r="AE304" s="8" t="s">
        <v>4083</v>
      </c>
      <c r="AF304" s="9">
        <f t="shared" si="32"/>
        <v>14.995999999999999</v>
      </c>
      <c r="AG304" s="9">
        <f t="shared" si="33"/>
        <v>11.576666666666666</v>
      </c>
      <c r="AH304" s="9">
        <f t="shared" si="34"/>
        <v>1.5345814595871327E-2</v>
      </c>
      <c r="AI304" s="9">
        <f t="shared" si="35"/>
        <v>2.3549402561085748E-4</v>
      </c>
      <c r="AJ304" s="9">
        <f t="shared" si="36"/>
        <v>1.5864115493468993E-2</v>
      </c>
      <c r="AK304" s="9">
        <f t="shared" si="37"/>
        <v>2.5167016039012296E-4</v>
      </c>
      <c r="AL304" s="9">
        <f t="shared" si="38"/>
        <v>1.4942598661223622E-2</v>
      </c>
      <c r="AM304" s="9">
        <f t="shared" si="39"/>
        <v>2.2328125475040199E-4</v>
      </c>
      <c r="AN304" s="9" t="s">
        <v>3364</v>
      </c>
    </row>
    <row r="305" spans="13:40" ht="23">
      <c r="M305" s="8" t="s">
        <v>622</v>
      </c>
      <c r="N305" s="8" t="s">
        <v>150</v>
      </c>
      <c r="O305" s="8"/>
      <c r="P305" s="8" t="s">
        <v>3693</v>
      </c>
      <c r="Q305" s="8"/>
      <c r="R305" s="8"/>
      <c r="S305" s="8"/>
      <c r="T305" s="8"/>
      <c r="U305" s="8"/>
      <c r="V305" s="8"/>
      <c r="W305" s="8" t="s">
        <v>622</v>
      </c>
      <c r="X305" s="8">
        <v>14.11</v>
      </c>
      <c r="Y305" s="8">
        <v>5.96</v>
      </c>
      <c r="Z305" s="9">
        <v>4.21</v>
      </c>
      <c r="AA305" s="8">
        <v>4.5</v>
      </c>
      <c r="AB305" s="8">
        <v>17483</v>
      </c>
      <c r="AC305" s="8" t="s">
        <v>622</v>
      </c>
      <c r="AD305" s="8" t="s">
        <v>3725</v>
      </c>
      <c r="AE305" s="8" t="s">
        <v>4083</v>
      </c>
      <c r="AF305" s="9">
        <f t="shared" si="32"/>
        <v>26.82</v>
      </c>
      <c r="AG305" s="9">
        <f t="shared" si="33"/>
        <v>19.574999999999999</v>
      </c>
      <c r="AH305" s="9">
        <f t="shared" si="34"/>
        <v>1.5012209930743691E-2</v>
      </c>
      <c r="AI305" s="9">
        <f t="shared" si="35"/>
        <v>2.2536644700471949E-4</v>
      </c>
      <c r="AJ305" s="9">
        <f t="shared" si="36"/>
        <v>2.8372604530197281E-2</v>
      </c>
      <c r="AK305" s="9">
        <f t="shared" si="37"/>
        <v>8.0500468782697128E-4</v>
      </c>
      <c r="AL305" s="9">
        <f t="shared" si="38"/>
        <v>2.5266458577033035E-2</v>
      </c>
      <c r="AM305" s="9">
        <f t="shared" si="39"/>
        <v>6.3839392902492623E-4</v>
      </c>
      <c r="AN305" s="8" t="s">
        <v>622</v>
      </c>
    </row>
    <row r="306" spans="13:40" ht="23">
      <c r="M306" s="8" t="s">
        <v>1483</v>
      </c>
      <c r="N306" s="8" t="s">
        <v>150</v>
      </c>
      <c r="O306" s="8"/>
      <c r="P306" s="8"/>
      <c r="Q306" s="8"/>
      <c r="R306" s="8"/>
      <c r="S306" s="8"/>
      <c r="T306" s="8"/>
      <c r="U306" s="8"/>
      <c r="V306" s="8"/>
      <c r="W306" s="8" t="s">
        <v>1483</v>
      </c>
      <c r="X306" s="8">
        <v>44.07</v>
      </c>
      <c r="Y306" s="8">
        <v>4.7</v>
      </c>
      <c r="Z306" s="9">
        <v>3.05</v>
      </c>
      <c r="AA306" s="8">
        <v>4.5</v>
      </c>
      <c r="AB306" s="8">
        <v>16773</v>
      </c>
      <c r="AC306" s="8" t="s">
        <v>1483</v>
      </c>
      <c r="AD306" s="8" t="s">
        <v>3725</v>
      </c>
      <c r="AE306" s="8" t="s">
        <v>4083</v>
      </c>
      <c r="AF306" s="9">
        <f t="shared" si="32"/>
        <v>21.150000000000002</v>
      </c>
      <c r="AG306" s="9">
        <f t="shared" si="33"/>
        <v>13.875</v>
      </c>
      <c r="AH306" s="9">
        <f t="shared" si="34"/>
        <v>1.5012209930743691E-2</v>
      </c>
      <c r="AI306" s="9">
        <f t="shared" si="35"/>
        <v>2.2536644700471949E-4</v>
      </c>
      <c r="AJ306" s="9">
        <f t="shared" si="36"/>
        <v>2.2374369344283093E-2</v>
      </c>
      <c r="AK306" s="9">
        <f t="shared" si="37"/>
        <v>5.0061240355439508E-4</v>
      </c>
      <c r="AL306" s="9">
        <f t="shared" si="38"/>
        <v>1.7909175619736057E-2</v>
      </c>
      <c r="AM306" s="9">
        <f t="shared" si="39"/>
        <v>3.2073857137854836E-4</v>
      </c>
      <c r="AN306" s="8" t="s">
        <v>1483</v>
      </c>
    </row>
    <row r="307" spans="13:40" ht="23">
      <c r="M307" s="8" t="s">
        <v>733</v>
      </c>
      <c r="N307" s="8" t="s">
        <v>150</v>
      </c>
      <c r="O307" s="8"/>
      <c r="P307" s="8"/>
      <c r="Q307" s="8"/>
      <c r="R307" s="8"/>
      <c r="S307" s="8"/>
      <c r="T307" s="8"/>
      <c r="U307" s="8"/>
      <c r="V307" s="8"/>
      <c r="W307" s="8" t="s">
        <v>733</v>
      </c>
      <c r="X307" s="8">
        <v>37.840000000000003</v>
      </c>
      <c r="Y307" s="8">
        <v>3.08</v>
      </c>
      <c r="Z307" s="9">
        <v>2.23</v>
      </c>
      <c r="AA307" s="8">
        <v>4.5</v>
      </c>
      <c r="AB307" s="8">
        <v>23579</v>
      </c>
      <c r="AC307" s="8" t="s">
        <v>733</v>
      </c>
      <c r="AD307" s="8" t="s">
        <v>3725</v>
      </c>
      <c r="AE307" s="8" t="s">
        <v>4083</v>
      </c>
      <c r="AF307" s="9">
        <f t="shared" si="32"/>
        <v>13.86</v>
      </c>
      <c r="AG307" s="9">
        <f t="shared" si="33"/>
        <v>10.725</v>
      </c>
      <c r="AH307" s="9">
        <f t="shared" si="34"/>
        <v>1.5012209930743691E-2</v>
      </c>
      <c r="AI307" s="9">
        <f t="shared" si="35"/>
        <v>2.2536644700471949E-4</v>
      </c>
      <c r="AJ307" s="9">
        <f t="shared" si="36"/>
        <v>1.4662352676679131E-2</v>
      </c>
      <c r="AK307" s="9">
        <f t="shared" si="37"/>
        <v>2.1498458601531967E-4</v>
      </c>
      <c r="AL307" s="9">
        <f t="shared" si="38"/>
        <v>1.3843308722282465E-2</v>
      </c>
      <c r="AM307" s="9">
        <f t="shared" si="39"/>
        <v>1.9163719638042178E-4</v>
      </c>
      <c r="AN307" s="8" t="s">
        <v>733</v>
      </c>
    </row>
    <row r="308" spans="13:40" ht="23">
      <c r="M308" s="8" t="s">
        <v>1035</v>
      </c>
      <c r="N308" s="8" t="s">
        <v>150</v>
      </c>
      <c r="O308" s="8"/>
      <c r="P308" s="8"/>
      <c r="Q308" s="8"/>
      <c r="R308" s="8"/>
      <c r="S308" s="8"/>
      <c r="T308" s="8"/>
      <c r="U308" s="8"/>
      <c r="V308" s="8"/>
      <c r="W308" s="8" t="s">
        <v>1035</v>
      </c>
      <c r="X308" s="8">
        <v>22.36</v>
      </c>
      <c r="Y308" s="8">
        <v>2.38</v>
      </c>
      <c r="Z308" s="9">
        <v>1.34</v>
      </c>
      <c r="AA308" s="8">
        <v>4.5</v>
      </c>
      <c r="AB308" s="8">
        <v>28541</v>
      </c>
      <c r="AC308" s="8" t="s">
        <v>1035</v>
      </c>
      <c r="AD308" s="8" t="s">
        <v>3725</v>
      </c>
      <c r="AE308" s="8" t="s">
        <v>4083</v>
      </c>
      <c r="AF308" s="9">
        <f t="shared" si="32"/>
        <v>10.709999999999999</v>
      </c>
      <c r="AG308" s="9">
        <f t="shared" si="33"/>
        <v>7.05</v>
      </c>
      <c r="AH308" s="9">
        <f t="shared" si="34"/>
        <v>1.5012209930743691E-2</v>
      </c>
      <c r="AI308" s="9">
        <f t="shared" si="35"/>
        <v>2.2536644700471949E-4</v>
      </c>
      <c r="AJ308" s="9">
        <f t="shared" si="36"/>
        <v>1.1329999795615692E-2</v>
      </c>
      <c r="AK308" s="9">
        <f t="shared" si="37"/>
        <v>1.283688953686516E-4</v>
      </c>
      <c r="AL308" s="9">
        <f t="shared" si="38"/>
        <v>9.0997973419199418E-3</v>
      </c>
      <c r="AM308" s="9">
        <f t="shared" si="39"/>
        <v>8.2806311664013234E-5</v>
      </c>
      <c r="AN308" s="8" t="s">
        <v>1035</v>
      </c>
    </row>
    <row r="309" spans="13:40" ht="23">
      <c r="M309" s="9" t="s">
        <v>2801</v>
      </c>
      <c r="N309" s="8" t="s">
        <v>1614</v>
      </c>
      <c r="O309" s="8"/>
      <c r="P309" s="8" t="s">
        <v>3692</v>
      </c>
      <c r="Q309" s="8"/>
      <c r="R309" s="8"/>
      <c r="S309" s="8"/>
      <c r="T309" s="8"/>
      <c r="U309" s="8"/>
      <c r="V309" s="8"/>
      <c r="W309" s="9" t="s">
        <v>2801</v>
      </c>
      <c r="X309" s="8">
        <v>35.369999999999997</v>
      </c>
      <c r="Y309" s="8">
        <v>2.2000000000000002</v>
      </c>
      <c r="Z309" s="9">
        <v>3.29</v>
      </c>
      <c r="AA309" s="8">
        <v>4.3</v>
      </c>
      <c r="AB309" s="8">
        <v>27190</v>
      </c>
      <c r="AC309" s="9" t="s">
        <v>2801</v>
      </c>
      <c r="AD309" s="8" t="s">
        <v>3725</v>
      </c>
      <c r="AE309" s="8" t="s">
        <v>4083</v>
      </c>
      <c r="AF309" s="9">
        <f t="shared" si="32"/>
        <v>9.4600000000000009</v>
      </c>
      <c r="AG309" s="9">
        <f t="shared" si="33"/>
        <v>14.978333333333333</v>
      </c>
      <c r="AH309" s="9">
        <f t="shared" si="34"/>
        <v>1.4345000600488413E-2</v>
      </c>
      <c r="AI309" s="9">
        <f t="shared" si="35"/>
        <v>2.0577904222801293E-4</v>
      </c>
      <c r="AJ309" s="9">
        <f t="shared" si="36"/>
        <v>1.0007637541225441E-2</v>
      </c>
      <c r="AK309" s="9">
        <f t="shared" si="37"/>
        <v>1.0015280915654479E-4</v>
      </c>
      <c r="AL309" s="9">
        <f t="shared" si="38"/>
        <v>1.9333304660008165E-2</v>
      </c>
      <c r="AM309" s="9">
        <f t="shared" si="39"/>
        <v>3.7377666907669344E-4</v>
      </c>
      <c r="AN309" s="9" t="s">
        <v>2801</v>
      </c>
    </row>
    <row r="310" spans="13:40" ht="23">
      <c r="M310" s="9" t="s">
        <v>2430</v>
      </c>
      <c r="N310" s="8" t="s">
        <v>150</v>
      </c>
      <c r="O310" s="8"/>
      <c r="P310" s="8"/>
      <c r="Q310" s="8"/>
      <c r="R310" s="8"/>
      <c r="S310" s="8"/>
      <c r="T310" s="8"/>
      <c r="U310" s="8"/>
      <c r="V310" s="8"/>
      <c r="W310" s="9" t="s">
        <v>2430</v>
      </c>
      <c r="X310" s="8">
        <v>39.03</v>
      </c>
      <c r="Y310" s="8">
        <v>4.58</v>
      </c>
      <c r="Z310" s="9">
        <v>4.46</v>
      </c>
      <c r="AA310" s="8">
        <v>4.3</v>
      </c>
      <c r="AB310" s="8">
        <v>21130</v>
      </c>
      <c r="AC310" s="9" t="s">
        <v>2430</v>
      </c>
      <c r="AD310" s="8" t="s">
        <v>3725</v>
      </c>
      <c r="AE310" s="8" t="s">
        <v>4083</v>
      </c>
      <c r="AF310" s="9">
        <f t="shared" si="32"/>
        <v>19.693999999999999</v>
      </c>
      <c r="AG310" s="9">
        <f t="shared" si="33"/>
        <v>20.496666666666666</v>
      </c>
      <c r="AH310" s="9">
        <f t="shared" si="34"/>
        <v>1.4345000600488413E-2</v>
      </c>
      <c r="AI310" s="9">
        <f t="shared" si="35"/>
        <v>2.0577904222801293E-4</v>
      </c>
      <c r="AJ310" s="9">
        <f t="shared" si="36"/>
        <v>2.0834081790369323E-2</v>
      </c>
      <c r="AK310" s="9">
        <f t="shared" si="37"/>
        <v>4.3405896404779859E-4</v>
      </c>
      <c r="AL310" s="9">
        <f t="shared" si="38"/>
        <v>2.6456101113695379E-2</v>
      </c>
      <c r="AM310" s="9">
        <f t="shared" si="39"/>
        <v>6.9992528613807385E-4</v>
      </c>
      <c r="AN310" s="9" t="s">
        <v>2430</v>
      </c>
    </row>
    <row r="311" spans="13:40" ht="23">
      <c r="M311" s="9" t="s">
        <v>3480</v>
      </c>
      <c r="N311" s="8" t="s">
        <v>2017</v>
      </c>
      <c r="O311" s="8"/>
      <c r="P311" s="8"/>
      <c r="Q311" s="8"/>
      <c r="R311" s="8"/>
      <c r="S311" s="8"/>
      <c r="T311" s="8"/>
      <c r="U311" s="8"/>
      <c r="V311" s="8"/>
      <c r="W311" s="9" t="s">
        <v>3480</v>
      </c>
      <c r="X311" s="8">
        <v>20.37</v>
      </c>
      <c r="Y311" s="8">
        <v>3.26</v>
      </c>
      <c r="Z311" s="9">
        <v>1.07</v>
      </c>
      <c r="AA311" s="8">
        <v>4.3</v>
      </c>
      <c r="AB311" s="8">
        <v>29064</v>
      </c>
      <c r="AC311" s="9" t="s">
        <v>3480</v>
      </c>
      <c r="AD311" s="8" t="s">
        <v>3725</v>
      </c>
      <c r="AE311" s="8" t="s">
        <v>4083</v>
      </c>
      <c r="AF311" s="9">
        <f t="shared" si="32"/>
        <v>14.017999999999999</v>
      </c>
      <c r="AG311" s="9">
        <f t="shared" si="33"/>
        <v>4.8016666666666667</v>
      </c>
      <c r="AH311" s="9">
        <f t="shared" si="34"/>
        <v>1.4345000600488413E-2</v>
      </c>
      <c r="AI311" s="9">
        <f t="shared" si="35"/>
        <v>2.0577904222801293E-4</v>
      </c>
      <c r="AJ311" s="9">
        <f t="shared" si="36"/>
        <v>1.4829499265634061E-2</v>
      </c>
      <c r="AK311" s="9">
        <f t="shared" si="37"/>
        <v>2.1991404846944117E-4</v>
      </c>
      <c r="AL311" s="9">
        <f t="shared" si="38"/>
        <v>6.1977579532083585E-3</v>
      </c>
      <c r="AM311" s="9">
        <f t="shared" si="39"/>
        <v>3.841220364655746E-5</v>
      </c>
      <c r="AN311" s="9" t="s">
        <v>3480</v>
      </c>
    </row>
    <row r="312" spans="13:40" ht="23">
      <c r="M312" s="9" t="s">
        <v>3615</v>
      </c>
      <c r="N312" s="8" t="s">
        <v>2084</v>
      </c>
      <c r="O312" s="8"/>
      <c r="P312" s="8"/>
      <c r="Q312" s="8"/>
      <c r="R312" s="8"/>
      <c r="S312" s="8"/>
      <c r="T312" s="8"/>
      <c r="U312" s="8"/>
      <c r="V312" s="8"/>
      <c r="W312" s="9" t="s">
        <v>3615</v>
      </c>
      <c r="X312" s="8">
        <v>24.47</v>
      </c>
      <c r="Y312" s="8">
        <v>4.0199999999999996</v>
      </c>
      <c r="Z312" s="9">
        <v>4.5</v>
      </c>
      <c r="AA312" s="8">
        <v>4.3</v>
      </c>
      <c r="AB312" s="8">
        <v>19213</v>
      </c>
      <c r="AC312" s="9" t="s">
        <v>3615</v>
      </c>
      <c r="AD312" s="8" t="s">
        <v>3725</v>
      </c>
      <c r="AE312" s="8" t="s">
        <v>4083</v>
      </c>
      <c r="AF312" s="9">
        <f t="shared" si="32"/>
        <v>17.285999999999998</v>
      </c>
      <c r="AG312" s="9">
        <f t="shared" si="33"/>
        <v>17.235833333333336</v>
      </c>
      <c r="AH312" s="9">
        <f t="shared" si="34"/>
        <v>1.4345000600488413E-2</v>
      </c>
      <c r="AI312" s="9">
        <f t="shared" si="35"/>
        <v>2.0577904222801293E-4</v>
      </c>
      <c r="AJ312" s="9">
        <f t="shared" si="36"/>
        <v>1.8286683143511936E-2</v>
      </c>
      <c r="AK312" s="9">
        <f t="shared" si="37"/>
        <v>3.3440278039120362E-4</v>
      </c>
      <c r="AL312" s="9">
        <f t="shared" si="38"/>
        <v>2.2247175936516574E-2</v>
      </c>
      <c r="AM312" s="9">
        <f t="shared" si="39"/>
        <v>4.9493683715032212E-4</v>
      </c>
      <c r="AN312" s="9" t="s">
        <v>3615</v>
      </c>
    </row>
    <row r="313" spans="13:40" ht="23">
      <c r="M313" s="8" t="s">
        <v>856</v>
      </c>
      <c r="N313" s="8" t="s">
        <v>150</v>
      </c>
      <c r="O313" s="8"/>
      <c r="P313" s="8"/>
      <c r="Q313" s="8"/>
      <c r="R313" s="8"/>
      <c r="S313" s="8"/>
      <c r="T313" s="8"/>
      <c r="U313" s="8"/>
      <c r="V313" s="8"/>
      <c r="W313" s="8" t="s">
        <v>856</v>
      </c>
      <c r="X313" s="8">
        <v>17.760000000000002</v>
      </c>
      <c r="Y313" s="8">
        <v>16.54</v>
      </c>
      <c r="Z313" s="9">
        <v>13.29</v>
      </c>
      <c r="AA313" s="8">
        <v>4.2</v>
      </c>
      <c r="AB313" s="8">
        <v>15518</v>
      </c>
      <c r="AC313" s="8" t="s">
        <v>856</v>
      </c>
      <c r="AD313" s="8" t="s">
        <v>3725</v>
      </c>
      <c r="AE313" s="8" t="s">
        <v>4083</v>
      </c>
      <c r="AF313" s="9">
        <f t="shared" si="32"/>
        <v>69.468000000000004</v>
      </c>
      <c r="AG313" s="9">
        <f t="shared" si="33"/>
        <v>56.629999999999995</v>
      </c>
      <c r="AH313" s="9">
        <f t="shared" si="34"/>
        <v>1.401139593536078E-2</v>
      </c>
      <c r="AI313" s="9">
        <f t="shared" si="35"/>
        <v>1.9631921605744459E-4</v>
      </c>
      <c r="AJ313" s="9">
        <f t="shared" si="36"/>
        <v>7.3489488870385714E-2</v>
      </c>
      <c r="AK313" s="9">
        <f t="shared" si="37"/>
        <v>5.4007049744305459E-3</v>
      </c>
      <c r="AL313" s="9">
        <f t="shared" si="38"/>
        <v>7.3095251556443461E-2</v>
      </c>
      <c r="AM313" s="9">
        <f t="shared" si="39"/>
        <v>5.3429158000997505E-3</v>
      </c>
      <c r="AN313" s="8" t="s">
        <v>856</v>
      </c>
    </row>
    <row r="314" spans="13:40" ht="23">
      <c r="M314" s="9" t="s">
        <v>2339</v>
      </c>
      <c r="N314" s="8" t="s">
        <v>150</v>
      </c>
      <c r="O314" s="8"/>
      <c r="P314" s="8"/>
      <c r="Q314" s="8"/>
      <c r="R314" s="8"/>
      <c r="S314" s="8"/>
      <c r="T314" s="8"/>
      <c r="U314" s="8"/>
      <c r="V314" s="8"/>
      <c r="W314" s="9" t="s">
        <v>2339</v>
      </c>
      <c r="X314" s="8">
        <v>29</v>
      </c>
      <c r="Y314" s="8">
        <v>4.04</v>
      </c>
      <c r="Z314" s="9">
        <v>4.5199999999999996</v>
      </c>
      <c r="AA314" s="8">
        <v>4.2</v>
      </c>
      <c r="AB314" s="8">
        <v>19484</v>
      </c>
      <c r="AC314" s="9" t="s">
        <v>2339</v>
      </c>
      <c r="AD314" s="8" t="s">
        <v>3725</v>
      </c>
      <c r="AE314" s="8" t="s">
        <v>4083</v>
      </c>
      <c r="AF314" s="9">
        <f t="shared" si="32"/>
        <v>16.968</v>
      </c>
      <c r="AG314" s="9">
        <f t="shared" si="33"/>
        <v>20.440000000000001</v>
      </c>
      <c r="AH314" s="9">
        <f t="shared" si="34"/>
        <v>1.401139593536078E-2</v>
      </c>
      <c r="AI314" s="9">
        <f t="shared" si="35"/>
        <v>1.9631921605744459E-4</v>
      </c>
      <c r="AJ314" s="9">
        <f t="shared" si="36"/>
        <v>1.7950274185995058E-2</v>
      </c>
      <c r="AK314" s="9">
        <f t="shared" si="37"/>
        <v>3.2221234335240055E-4</v>
      </c>
      <c r="AL314" s="9">
        <f t="shared" si="38"/>
        <v>2.6382958534587751E-2</v>
      </c>
      <c r="AM314" s="9">
        <f t="shared" si="39"/>
        <v>6.9606050103777667E-4</v>
      </c>
      <c r="AN314" s="9" t="s">
        <v>2339</v>
      </c>
    </row>
    <row r="315" spans="13:40" ht="23">
      <c r="M315" s="9" t="s">
        <v>5000</v>
      </c>
      <c r="N315" s="8" t="s">
        <v>1717</v>
      </c>
      <c r="O315" s="8"/>
      <c r="P315" s="8" t="s">
        <v>5001</v>
      </c>
      <c r="Q315" s="8"/>
      <c r="R315" s="8"/>
      <c r="S315" s="8"/>
      <c r="T315" s="8"/>
      <c r="U315" s="8"/>
      <c r="V315" s="8"/>
      <c r="W315" s="9" t="s">
        <v>5000</v>
      </c>
      <c r="X315" s="8">
        <v>27.69</v>
      </c>
      <c r="Y315" s="8">
        <v>16.12</v>
      </c>
      <c r="Z315" s="9">
        <v>24.57</v>
      </c>
      <c r="AA315" s="8">
        <v>4.2</v>
      </c>
      <c r="AB315" s="8">
        <v>10266</v>
      </c>
      <c r="AC315" s="9" t="s">
        <v>5000</v>
      </c>
      <c r="AD315" s="8" t="s">
        <v>3725</v>
      </c>
      <c r="AE315" s="8" t="s">
        <v>4083</v>
      </c>
      <c r="AF315" s="9">
        <f t="shared" si="32"/>
        <v>67.704000000000008</v>
      </c>
      <c r="AG315" s="9">
        <f t="shared" si="33"/>
        <v>104.79</v>
      </c>
      <c r="AH315" s="9">
        <f t="shared" si="34"/>
        <v>1.401139593536078E-2</v>
      </c>
      <c r="AI315" s="9">
        <f t="shared" si="35"/>
        <v>1.9631921605744459E-4</v>
      </c>
      <c r="AJ315" s="9">
        <f t="shared" si="36"/>
        <v>7.1623371256990184E-2</v>
      </c>
      <c r="AK315" s="9">
        <f t="shared" si="37"/>
        <v>5.1299073102166479E-3</v>
      </c>
      <c r="AL315" s="9">
        <f t="shared" si="38"/>
        <v>0.13525783878862283</v>
      </c>
      <c r="AM315" s="9">
        <f t="shared" si="39"/>
        <v>1.8294682953769081E-2</v>
      </c>
      <c r="AN315" s="9" t="s">
        <v>5000</v>
      </c>
    </row>
    <row r="316" spans="13:40" ht="23">
      <c r="M316" s="8" t="s">
        <v>4987</v>
      </c>
      <c r="N316" s="8" t="s">
        <v>150</v>
      </c>
      <c r="O316" s="8"/>
      <c r="P316" s="8" t="s">
        <v>3691</v>
      </c>
      <c r="Q316" s="8"/>
      <c r="R316" s="8"/>
      <c r="S316" s="8"/>
      <c r="T316" s="8"/>
      <c r="U316" s="8"/>
      <c r="V316" s="8"/>
      <c r="W316" s="8" t="s">
        <v>4987</v>
      </c>
      <c r="X316" s="8">
        <v>49.9</v>
      </c>
      <c r="Y316" s="8">
        <v>2.6</v>
      </c>
      <c r="Z316" s="9">
        <v>4.1100000000000003</v>
      </c>
      <c r="AA316" s="8">
        <v>4.0999999999999996</v>
      </c>
      <c r="AB316" s="8">
        <v>23496</v>
      </c>
      <c r="AC316" s="8" t="s">
        <v>4987</v>
      </c>
      <c r="AD316" s="8" t="s">
        <v>3725</v>
      </c>
      <c r="AE316" s="8" t="s">
        <v>4083</v>
      </c>
      <c r="AF316" s="9">
        <f t="shared" si="32"/>
        <v>10.66</v>
      </c>
      <c r="AG316" s="9">
        <f t="shared" si="33"/>
        <v>17.151666666666667</v>
      </c>
      <c r="AH316" s="9">
        <f t="shared" si="34"/>
        <v>1.367779127023314E-2</v>
      </c>
      <c r="AI316" s="9">
        <f t="shared" si="35"/>
        <v>1.8708197403206588E-4</v>
      </c>
      <c r="AJ316" s="9">
        <f t="shared" si="36"/>
        <v>1.1277105305440084E-2</v>
      </c>
      <c r="AK316" s="9">
        <f t="shared" si="37"/>
        <v>1.2717310406998487E-4</v>
      </c>
      <c r="AL316" s="9">
        <f t="shared" si="38"/>
        <v>2.2138537694018471E-2</v>
      </c>
      <c r="AM316" s="9">
        <f t="shared" si="39"/>
        <v>4.9011485122947671E-4</v>
      </c>
      <c r="AN316" s="8" t="s">
        <v>4987</v>
      </c>
    </row>
    <row r="317" spans="13:40" ht="23">
      <c r="M317" s="9" t="s">
        <v>5060</v>
      </c>
      <c r="N317" s="8" t="s">
        <v>150</v>
      </c>
      <c r="O317" s="8"/>
      <c r="P317" s="8"/>
      <c r="Q317" s="8"/>
      <c r="R317" s="8"/>
      <c r="S317" s="8"/>
      <c r="T317" s="8"/>
      <c r="U317" s="8"/>
      <c r="V317" s="8"/>
      <c r="W317" s="9" t="s">
        <v>5060</v>
      </c>
      <c r="X317" s="8">
        <v>23.34</v>
      </c>
      <c r="Y317" s="8">
        <v>4.3099999999999996</v>
      </c>
      <c r="Z317" s="9">
        <v>3.19</v>
      </c>
      <c r="AA317" s="8">
        <v>4.0999999999999996</v>
      </c>
      <c r="AB317" s="8">
        <v>18489</v>
      </c>
      <c r="AC317" s="9" t="s">
        <v>5060</v>
      </c>
      <c r="AD317" s="8" t="s">
        <v>3725</v>
      </c>
      <c r="AE317" s="8" t="s">
        <v>4083</v>
      </c>
      <c r="AF317" s="9">
        <f t="shared" si="32"/>
        <v>17.670999999999996</v>
      </c>
      <c r="AG317" s="9">
        <f t="shared" si="33"/>
        <v>13.598333333333331</v>
      </c>
      <c r="AH317" s="9">
        <f t="shared" si="34"/>
        <v>1.367779127023314E-2</v>
      </c>
      <c r="AI317" s="9">
        <f t="shared" si="35"/>
        <v>1.8708197403206588E-4</v>
      </c>
      <c r="AJ317" s="9">
        <f t="shared" si="36"/>
        <v>1.8693970717864133E-2</v>
      </c>
      <c r="AK317" s="9">
        <f t="shared" si="37"/>
        <v>3.4946454120036167E-4</v>
      </c>
      <c r="AL317" s="9">
        <f t="shared" si="38"/>
        <v>1.7552067733504682E-2</v>
      </c>
      <c r="AM317" s="9">
        <f t="shared" si="39"/>
        <v>3.0807508172153616E-4</v>
      </c>
      <c r="AN317" s="9" t="s">
        <v>5060</v>
      </c>
    </row>
    <row r="318" spans="13:40" ht="23">
      <c r="M318" s="9" t="s">
        <v>4992</v>
      </c>
      <c r="N318" s="8" t="s">
        <v>150</v>
      </c>
      <c r="O318" s="8"/>
      <c r="P318" s="8"/>
      <c r="Q318" s="8"/>
      <c r="R318" s="8"/>
      <c r="S318" s="8"/>
      <c r="T318" s="8"/>
      <c r="U318" s="8"/>
      <c r="V318" s="8"/>
      <c r="W318" s="9" t="s">
        <v>4992</v>
      </c>
      <c r="X318" s="8">
        <v>29.7</v>
      </c>
      <c r="Y318" s="8">
        <v>4.04</v>
      </c>
      <c r="Z318" s="9">
        <v>2.3199999999999998</v>
      </c>
      <c r="AA318" s="8">
        <v>4.0999999999999996</v>
      </c>
      <c r="AB318" s="8">
        <v>21107</v>
      </c>
      <c r="AC318" s="9" t="s">
        <v>4992</v>
      </c>
      <c r="AD318" s="8" t="s">
        <v>3725</v>
      </c>
      <c r="AE318" s="8" t="s">
        <v>4083</v>
      </c>
      <c r="AF318" s="9">
        <f t="shared" si="32"/>
        <v>16.564</v>
      </c>
      <c r="AG318" s="9">
        <f t="shared" si="33"/>
        <v>10.386666666666665</v>
      </c>
      <c r="AH318" s="9">
        <f t="shared" si="34"/>
        <v>1.367779127023314E-2</v>
      </c>
      <c r="AI318" s="9">
        <f t="shared" si="35"/>
        <v>1.8708197403206588E-4</v>
      </c>
      <c r="AJ318" s="9">
        <f t="shared" si="36"/>
        <v>1.752288670537613E-2</v>
      </c>
      <c r="AK318" s="9">
        <f t="shared" si="37"/>
        <v>3.0705155848944753E-4</v>
      </c>
      <c r="AL318" s="9">
        <f t="shared" si="38"/>
        <v>1.3406604499963375E-2</v>
      </c>
      <c r="AM318" s="9">
        <f t="shared" si="39"/>
        <v>1.7973704421843823E-4</v>
      </c>
      <c r="AN318" s="9" t="s">
        <v>4992</v>
      </c>
    </row>
    <row r="319" spans="13:40" ht="23">
      <c r="M319" s="8" t="s">
        <v>1346</v>
      </c>
      <c r="N319" s="8" t="s">
        <v>150</v>
      </c>
      <c r="O319" s="8"/>
      <c r="P319" s="8"/>
      <c r="Q319" s="8"/>
      <c r="R319" s="8"/>
      <c r="S319" s="8"/>
      <c r="T319" s="8"/>
      <c r="U319" s="8"/>
      <c r="V319" s="8"/>
      <c r="W319" s="8" t="s">
        <v>1346</v>
      </c>
      <c r="X319" s="8">
        <v>54.31</v>
      </c>
      <c r="Y319" s="8">
        <v>2.0699999999999998</v>
      </c>
      <c r="Z319" s="9">
        <v>1.44</v>
      </c>
      <c r="AA319" s="8">
        <v>4</v>
      </c>
      <c r="AB319" s="8">
        <v>32767</v>
      </c>
      <c r="AC319" s="8" t="s">
        <v>1346</v>
      </c>
      <c r="AD319" s="8" t="s">
        <v>3725</v>
      </c>
      <c r="AE319" s="8" t="s">
        <v>4083</v>
      </c>
      <c r="AF319" s="9">
        <f t="shared" si="32"/>
        <v>8.2799999999999994</v>
      </c>
      <c r="AG319" s="9">
        <f t="shared" si="33"/>
        <v>6.9333333333333336</v>
      </c>
      <c r="AH319" s="9">
        <f t="shared" si="34"/>
        <v>1.3344186605105501E-2</v>
      </c>
      <c r="AI319" s="9">
        <f t="shared" si="35"/>
        <v>1.780673161518771E-4</v>
      </c>
      <c r="AJ319" s="9">
        <f t="shared" si="36"/>
        <v>8.7593275730810383E-3</v>
      </c>
      <c r="AK319" s="9">
        <f t="shared" si="37"/>
        <v>7.6725819532537747E-5</v>
      </c>
      <c r="AL319" s="9">
        <f t="shared" si="38"/>
        <v>8.9492096790512923E-3</v>
      </c>
      <c r="AM319" s="9">
        <f t="shared" si="39"/>
        <v>8.0088353879625334E-5</v>
      </c>
      <c r="AN319" s="8" t="s">
        <v>1346</v>
      </c>
    </row>
    <row r="320" spans="13:40" ht="23">
      <c r="M320" s="9" t="s">
        <v>2347</v>
      </c>
      <c r="N320" s="8" t="s">
        <v>150</v>
      </c>
      <c r="O320" s="8"/>
      <c r="P320" s="8"/>
      <c r="Q320" s="8"/>
      <c r="R320" s="8"/>
      <c r="S320" s="8"/>
      <c r="T320" s="8"/>
      <c r="U320" s="8"/>
      <c r="V320" s="8"/>
      <c r="W320" s="9" t="s">
        <v>2347</v>
      </c>
      <c r="X320" s="8">
        <v>38.78</v>
      </c>
      <c r="Y320" s="8">
        <v>3.13</v>
      </c>
      <c r="Z320" s="9">
        <v>1.06</v>
      </c>
      <c r="AA320" s="8">
        <v>4</v>
      </c>
      <c r="AB320" s="8">
        <v>27089</v>
      </c>
      <c r="AC320" s="9" t="s">
        <v>2347</v>
      </c>
      <c r="AD320" s="8" t="s">
        <v>3725</v>
      </c>
      <c r="AE320" s="8" t="s">
        <v>4083</v>
      </c>
      <c r="AF320" s="9">
        <f t="shared" si="32"/>
        <v>12.52</v>
      </c>
      <c r="AG320" s="9">
        <f t="shared" si="33"/>
        <v>4.4000000000000004</v>
      </c>
      <c r="AH320" s="9">
        <f t="shared" si="34"/>
        <v>1.3344186605105501E-2</v>
      </c>
      <c r="AI320" s="9">
        <f t="shared" si="35"/>
        <v>1.780673161518771E-4</v>
      </c>
      <c r="AJ320" s="9">
        <f t="shared" si="36"/>
        <v>1.324478033997278E-2</v>
      </c>
      <c r="AK320" s="9">
        <f t="shared" si="37"/>
        <v>1.7542420625412948E-4</v>
      </c>
      <c r="AL320" s="9">
        <f t="shared" si="38"/>
        <v>5.6793061424748586E-3</v>
      </c>
      <c r="AM320" s="9">
        <f t="shared" si="39"/>
        <v>3.225451825995266E-5</v>
      </c>
      <c r="AN320" s="9" t="s">
        <v>2347</v>
      </c>
    </row>
    <row r="321" spans="13:40" ht="23">
      <c r="M321" s="8" t="s">
        <v>1780</v>
      </c>
      <c r="N321" s="8" t="s">
        <v>1717</v>
      </c>
      <c r="O321" s="8"/>
      <c r="P321" s="8"/>
      <c r="Q321" s="8"/>
      <c r="R321" s="8"/>
      <c r="S321" s="8"/>
      <c r="T321" s="8"/>
      <c r="U321" s="8"/>
      <c r="V321" s="8"/>
      <c r="W321" s="8" t="s">
        <v>1780</v>
      </c>
      <c r="X321" s="8">
        <v>12.35</v>
      </c>
      <c r="Y321" s="8">
        <v>7.6</v>
      </c>
      <c r="Z321" s="9">
        <v>9.15</v>
      </c>
      <c r="AA321" s="8">
        <v>4</v>
      </c>
      <c r="AB321" s="8">
        <v>23522</v>
      </c>
      <c r="AC321" s="8" t="s">
        <v>1780</v>
      </c>
      <c r="AD321" s="8" t="s">
        <v>3725</v>
      </c>
      <c r="AE321" s="8" t="s">
        <v>4083</v>
      </c>
      <c r="AF321" s="9">
        <f t="shared" si="32"/>
        <v>30.4</v>
      </c>
      <c r="AG321" s="9">
        <f t="shared" si="33"/>
        <v>37</v>
      </c>
      <c r="AH321" s="9">
        <f t="shared" si="34"/>
        <v>1.3344186605105501E-2</v>
      </c>
      <c r="AI321" s="9">
        <f t="shared" si="35"/>
        <v>1.780673161518771E-4</v>
      </c>
      <c r="AJ321" s="9">
        <f t="shared" si="36"/>
        <v>3.2159850026770964E-2</v>
      </c>
      <c r="AK321" s="9">
        <f t="shared" si="37"/>
        <v>1.0342559537444003E-3</v>
      </c>
      <c r="AL321" s="9">
        <f t="shared" si="38"/>
        <v>4.7757801652629488E-2</v>
      </c>
      <c r="AM321" s="9">
        <f t="shared" si="39"/>
        <v>2.2808076186918999E-3</v>
      </c>
      <c r="AN321" s="8" t="s">
        <v>1780</v>
      </c>
    </row>
    <row r="322" spans="13:40" ht="23">
      <c r="M322" s="8" t="s">
        <v>1555</v>
      </c>
      <c r="N322" s="8" t="s">
        <v>150</v>
      </c>
      <c r="O322" s="8"/>
      <c r="P322" s="8"/>
      <c r="Q322" s="8"/>
      <c r="R322" s="8"/>
      <c r="S322" s="8"/>
      <c r="T322" s="8"/>
      <c r="U322" s="8"/>
      <c r="V322" s="8"/>
      <c r="W322" s="8" t="s">
        <v>1555</v>
      </c>
      <c r="X322" s="8">
        <v>59.24</v>
      </c>
      <c r="Y322" s="8">
        <v>1.82</v>
      </c>
      <c r="Z322" s="9">
        <v>3.08</v>
      </c>
      <c r="AA322" s="8">
        <v>3.9</v>
      </c>
      <c r="AB322" s="8"/>
      <c r="AC322" s="8" t="s">
        <v>1555</v>
      </c>
      <c r="AD322" s="8" t="s">
        <v>3725</v>
      </c>
      <c r="AE322" s="8" t="s">
        <v>4083</v>
      </c>
      <c r="AF322" s="9">
        <f t="shared" ref="AF322:AF385" si="40">(AA322*Y322)</f>
        <v>7.0979999999999999</v>
      </c>
      <c r="AG322" s="9">
        <f t="shared" ref="AG322:AG385" si="41">((((RIGHT(Z322,2))/60)+(LEFT(Z322,2)))*AA322)</f>
        <v>12.219999999999999</v>
      </c>
      <c r="AH322" s="9">
        <f t="shared" ref="AH322:AH385" si="42">(AA322/$AA$448)*100</f>
        <v>1.3010581939977865E-2</v>
      </c>
      <c r="AI322" s="9">
        <f t="shared" ref="AI322:AI385" si="43">(AH322*AH322)</f>
        <v>1.6927524241687819E-4</v>
      </c>
      <c r="AJ322" s="9">
        <f t="shared" ref="AJ322:AJ385" si="44">(AF322/$AF$448)*100</f>
        <v>7.5089018253296155E-3</v>
      </c>
      <c r="AK322" s="9">
        <f t="shared" ref="AK322:AK385" si="45">(AJ322*AJ322)</f>
        <v>5.6383606622438431E-5</v>
      </c>
      <c r="AL322" s="9">
        <f t="shared" ref="AL322:AL385" si="46">(AG322/$AG$448)*100</f>
        <v>1.5772982059327898E-2</v>
      </c>
      <c r="AM322" s="9">
        <f t="shared" ref="AM322:AM385" si="47">(AL322*AL322)</f>
        <v>2.4878696304387975E-4</v>
      </c>
      <c r="AN322" s="8" t="s">
        <v>1555</v>
      </c>
    </row>
    <row r="323" spans="13:40" ht="23">
      <c r="M323" s="8" t="s">
        <v>1837</v>
      </c>
      <c r="N323" s="8" t="s">
        <v>1814</v>
      </c>
      <c r="O323" s="8"/>
      <c r="P323" s="8"/>
      <c r="Q323" s="8"/>
      <c r="R323" s="8"/>
      <c r="S323" s="8"/>
      <c r="T323" s="8"/>
      <c r="U323" s="8"/>
      <c r="V323" s="8"/>
      <c r="W323" s="8" t="s">
        <v>1837</v>
      </c>
      <c r="X323" s="8">
        <v>49.18</v>
      </c>
      <c r="Y323" s="8">
        <v>2.16</v>
      </c>
      <c r="Z323" s="9">
        <v>2.11</v>
      </c>
      <c r="AA323" s="8">
        <v>3.9</v>
      </c>
      <c r="AB323" s="8">
        <v>26423</v>
      </c>
      <c r="AC323" s="8" t="s">
        <v>1837</v>
      </c>
      <c r="AD323" s="8" t="s">
        <v>3725</v>
      </c>
      <c r="AE323" s="8" t="s">
        <v>4083</v>
      </c>
      <c r="AF323" s="9">
        <f t="shared" si="40"/>
        <v>8.4239999999999995</v>
      </c>
      <c r="AG323" s="9">
        <f t="shared" si="41"/>
        <v>8.5149999999999988</v>
      </c>
      <c r="AH323" s="9">
        <f t="shared" si="42"/>
        <v>1.3010581939977865E-2</v>
      </c>
      <c r="AI323" s="9">
        <f t="shared" si="43"/>
        <v>1.6927524241687819E-4</v>
      </c>
      <c r="AJ323" s="9">
        <f t="shared" si="44"/>
        <v>8.9116637047867969E-3</v>
      </c>
      <c r="AK323" s="9">
        <f t="shared" si="45"/>
        <v>7.9417749987214343E-5</v>
      </c>
      <c r="AL323" s="9">
        <f t="shared" si="46"/>
        <v>1.0990748137084866E-2</v>
      </c>
      <c r="AM323" s="9">
        <f t="shared" si="47"/>
        <v>1.2079654461283444E-4</v>
      </c>
      <c r="AN323" s="8" t="s">
        <v>1837</v>
      </c>
    </row>
    <row r="324" spans="13:40" ht="23">
      <c r="M324" s="8" t="s">
        <v>1044</v>
      </c>
      <c r="N324" s="8" t="s">
        <v>150</v>
      </c>
      <c r="O324" s="8"/>
      <c r="P324" s="8"/>
      <c r="Q324" s="8"/>
      <c r="R324" s="8"/>
      <c r="S324" s="8"/>
      <c r="T324" s="8"/>
      <c r="U324" s="8"/>
      <c r="V324" s="8"/>
      <c r="W324" s="8" t="s">
        <v>1044</v>
      </c>
      <c r="X324" s="8">
        <v>31.73</v>
      </c>
      <c r="Y324" s="8">
        <v>5.96</v>
      </c>
      <c r="Z324" s="9">
        <v>6.4</v>
      </c>
      <c r="AA324" s="8">
        <v>3.8</v>
      </c>
      <c r="AB324" s="8">
        <v>17607</v>
      </c>
      <c r="AC324" s="8" t="s">
        <v>1044</v>
      </c>
      <c r="AD324" s="8" t="s">
        <v>3725</v>
      </c>
      <c r="AE324" s="8" t="s">
        <v>4083</v>
      </c>
      <c r="AF324" s="9">
        <f t="shared" si="40"/>
        <v>22.648</v>
      </c>
      <c r="AG324" s="9">
        <f t="shared" si="41"/>
        <v>22.825333333333333</v>
      </c>
      <c r="AH324" s="9">
        <f t="shared" si="42"/>
        <v>1.2676977274850228E-2</v>
      </c>
      <c r="AI324" s="9">
        <f t="shared" si="43"/>
        <v>1.6070575282706913E-4</v>
      </c>
      <c r="AJ324" s="9">
        <f t="shared" si="44"/>
        <v>2.3959088269944369E-2</v>
      </c>
      <c r="AK324" s="9">
        <f t="shared" si="45"/>
        <v>5.740379107269858E-4</v>
      </c>
      <c r="AL324" s="9">
        <f t="shared" si="46"/>
        <v>2.9461830864553666E-2</v>
      </c>
      <c r="AM324" s="9">
        <f t="shared" si="47"/>
        <v>8.6799947789156697E-4</v>
      </c>
      <c r="AN324" s="8" t="s">
        <v>1044</v>
      </c>
    </row>
    <row r="325" spans="13:40" ht="23">
      <c r="M325" s="9" t="s">
        <v>5008</v>
      </c>
      <c r="N325" s="8" t="s">
        <v>150</v>
      </c>
      <c r="O325" s="8"/>
      <c r="P325" s="8"/>
      <c r="Q325" s="8"/>
      <c r="R325" s="8"/>
      <c r="S325" s="8"/>
      <c r="T325" s="8"/>
      <c r="U325" s="8"/>
      <c r="V325" s="8"/>
      <c r="W325" s="9" t="s">
        <v>5008</v>
      </c>
      <c r="X325" s="8">
        <v>24.17</v>
      </c>
      <c r="Y325" s="8">
        <v>6.19</v>
      </c>
      <c r="Z325" s="9">
        <v>5.33</v>
      </c>
      <c r="AA325" s="8">
        <v>3.8</v>
      </c>
      <c r="AB325" s="8">
        <v>17699</v>
      </c>
      <c r="AC325" s="9" t="s">
        <v>5008</v>
      </c>
      <c r="AD325" s="8" t="s">
        <v>3725</v>
      </c>
      <c r="AE325" s="8" t="s">
        <v>4083</v>
      </c>
      <c r="AF325" s="9">
        <f t="shared" si="40"/>
        <v>23.522000000000002</v>
      </c>
      <c r="AG325" s="9">
        <f t="shared" si="41"/>
        <v>21.09</v>
      </c>
      <c r="AH325" s="9">
        <f t="shared" si="42"/>
        <v>1.2676977274850228E-2</v>
      </c>
      <c r="AI325" s="9">
        <f t="shared" si="43"/>
        <v>1.6070575282706913E-4</v>
      </c>
      <c r="AJ325" s="9">
        <f t="shared" si="44"/>
        <v>2.488368395821404E-2</v>
      </c>
      <c r="AK325" s="9">
        <f t="shared" si="45"/>
        <v>6.1919772733227876E-4</v>
      </c>
      <c r="AL325" s="9">
        <f t="shared" si="46"/>
        <v>2.7221946941998809E-2</v>
      </c>
      <c r="AM325" s="9">
        <f t="shared" si="47"/>
        <v>7.4103439531299827E-4</v>
      </c>
      <c r="AN325" s="9" t="s">
        <v>5008</v>
      </c>
    </row>
    <row r="326" spans="13:40" ht="23">
      <c r="M326" s="8" t="s">
        <v>213</v>
      </c>
      <c r="N326" s="8" t="s">
        <v>150</v>
      </c>
      <c r="O326" s="8"/>
      <c r="P326" s="8"/>
      <c r="Q326" s="8"/>
      <c r="R326" s="8"/>
      <c r="S326" s="8"/>
      <c r="T326" s="8"/>
      <c r="U326" s="8"/>
      <c r="V326" s="8"/>
      <c r="W326" s="8" t="s">
        <v>213</v>
      </c>
      <c r="X326" s="8">
        <v>40.58</v>
      </c>
      <c r="Y326" s="8">
        <v>2.09</v>
      </c>
      <c r="Z326" s="9">
        <v>1.25</v>
      </c>
      <c r="AA326" s="8">
        <v>3.8</v>
      </c>
      <c r="AB326" s="8">
        <v>29583</v>
      </c>
      <c r="AC326" s="8" t="s">
        <v>213</v>
      </c>
      <c r="AD326" s="8" t="s">
        <v>3725</v>
      </c>
      <c r="AE326" s="8" t="s">
        <v>4083</v>
      </c>
      <c r="AF326" s="9">
        <f t="shared" si="40"/>
        <v>7.9419999999999993</v>
      </c>
      <c r="AG326" s="9">
        <f t="shared" si="41"/>
        <v>5.3833333333333337</v>
      </c>
      <c r="AH326" s="9">
        <f t="shared" si="42"/>
        <v>1.2676977274850228E-2</v>
      </c>
      <c r="AI326" s="9">
        <f t="shared" si="43"/>
        <v>1.6070575282706913E-4</v>
      </c>
      <c r="AJ326" s="9">
        <f t="shared" si="44"/>
        <v>8.4017608194939149E-3</v>
      </c>
      <c r="AK326" s="9">
        <f t="shared" si="45"/>
        <v>7.0589584867983063E-5</v>
      </c>
      <c r="AL326" s="9">
        <f t="shared" si="46"/>
        <v>6.9485450152249216E-3</v>
      </c>
      <c r="AM326" s="9">
        <f t="shared" si="47"/>
        <v>4.8282277828607108E-5</v>
      </c>
      <c r="AN326" s="8" t="s">
        <v>213</v>
      </c>
    </row>
    <row r="327" spans="13:40" ht="23">
      <c r="M327" s="8" t="s">
        <v>727</v>
      </c>
      <c r="N327" s="8" t="s">
        <v>150</v>
      </c>
      <c r="O327" s="8"/>
      <c r="P327" s="8"/>
      <c r="Q327" s="8"/>
      <c r="R327" s="8"/>
      <c r="S327" s="8"/>
      <c r="T327" s="8"/>
      <c r="U327" s="8"/>
      <c r="V327" s="8"/>
      <c r="W327" s="8" t="s">
        <v>727</v>
      </c>
      <c r="X327" s="8">
        <v>50.6</v>
      </c>
      <c r="Y327" s="8">
        <v>1.94</v>
      </c>
      <c r="Z327" s="9">
        <v>0.36</v>
      </c>
      <c r="AA327" s="8">
        <v>3.8</v>
      </c>
      <c r="AB327" s="8">
        <v>29369</v>
      </c>
      <c r="AC327" s="8" t="s">
        <v>727</v>
      </c>
      <c r="AD327" s="8" t="s">
        <v>3725</v>
      </c>
      <c r="AE327" s="8" t="s">
        <v>4083</v>
      </c>
      <c r="AF327" s="9">
        <f t="shared" si="40"/>
        <v>7.3719999999999999</v>
      </c>
      <c r="AG327" s="9">
        <f t="shared" si="41"/>
        <v>2.2799999999999998</v>
      </c>
      <c r="AH327" s="9">
        <f t="shared" si="42"/>
        <v>1.2676977274850228E-2</v>
      </c>
      <c r="AI327" s="9">
        <f t="shared" si="43"/>
        <v>1.6070575282706913E-4</v>
      </c>
      <c r="AJ327" s="9">
        <f t="shared" si="44"/>
        <v>7.7987636314919605E-3</v>
      </c>
      <c r="AK327" s="9">
        <f t="shared" si="45"/>
        <v>6.0820714179881673E-5</v>
      </c>
      <c r="AL327" s="9">
        <f t="shared" si="46"/>
        <v>2.9429131829187896E-3</v>
      </c>
      <c r="AM327" s="9">
        <f t="shared" si="47"/>
        <v>8.6607380021972006E-6</v>
      </c>
      <c r="AN327" s="8" t="s">
        <v>727</v>
      </c>
    </row>
    <row r="328" spans="13:40" ht="23">
      <c r="M328" s="24" t="s">
        <v>5134</v>
      </c>
      <c r="N328" s="8" t="s">
        <v>150</v>
      </c>
      <c r="O328" s="24"/>
      <c r="P328" s="24"/>
      <c r="Q328" s="24"/>
      <c r="R328" s="24"/>
      <c r="S328" s="24"/>
      <c r="T328" s="24"/>
      <c r="U328" s="24"/>
      <c r="V328" s="24"/>
      <c r="W328" s="24" t="s">
        <v>5134</v>
      </c>
      <c r="X328" s="24">
        <v>30.9</v>
      </c>
      <c r="Y328" s="24">
        <v>2</v>
      </c>
      <c r="Z328" s="25">
        <v>1.39</v>
      </c>
      <c r="AA328" s="24">
        <v>3.8</v>
      </c>
      <c r="AB328" s="24">
        <v>31708</v>
      </c>
      <c r="AC328" s="24" t="s">
        <v>5134</v>
      </c>
      <c r="AD328" s="8" t="s">
        <v>3725</v>
      </c>
      <c r="AE328" s="24"/>
      <c r="AF328" s="25">
        <f t="shared" si="40"/>
        <v>7.6</v>
      </c>
      <c r="AG328" s="25">
        <f t="shared" si="41"/>
        <v>6.27</v>
      </c>
      <c r="AH328" s="25">
        <f t="shared" si="42"/>
        <v>1.2676977274850228E-2</v>
      </c>
      <c r="AI328" s="25">
        <f t="shared" si="43"/>
        <v>1.6070575282706913E-4</v>
      </c>
      <c r="AJ328" s="25">
        <f t="shared" si="44"/>
        <v>8.039962506692741E-3</v>
      </c>
      <c r="AK328" s="25">
        <f t="shared" si="45"/>
        <v>6.4640997109025017E-5</v>
      </c>
      <c r="AL328" s="25">
        <f t="shared" si="46"/>
        <v>8.0930112530266714E-3</v>
      </c>
      <c r="AM328" s="25">
        <f t="shared" si="47"/>
        <v>6.549683114161633E-5</v>
      </c>
      <c r="AN328" s="24" t="s">
        <v>5134</v>
      </c>
    </row>
    <row r="329" spans="13:40" ht="23">
      <c r="M329" s="8" t="s">
        <v>1878</v>
      </c>
      <c r="N329" s="8" t="s">
        <v>1869</v>
      </c>
      <c r="O329" s="8"/>
      <c r="P329" s="8"/>
      <c r="Q329" s="8"/>
      <c r="R329" s="8"/>
      <c r="S329" s="8"/>
      <c r="T329" s="8"/>
      <c r="U329" s="8"/>
      <c r="V329" s="8"/>
      <c r="W329" s="8" t="s">
        <v>1878</v>
      </c>
      <c r="X329" s="8">
        <v>37.1</v>
      </c>
      <c r="Y329" s="8">
        <v>2.8</v>
      </c>
      <c r="Z329" s="9">
        <v>2.56</v>
      </c>
      <c r="AA329" s="8">
        <v>3.7</v>
      </c>
      <c r="AB329" s="8">
        <v>23788</v>
      </c>
      <c r="AC329" s="8" t="s">
        <v>1878</v>
      </c>
      <c r="AD329" s="8" t="s">
        <v>3725</v>
      </c>
      <c r="AE329" s="8" t="s">
        <v>4083</v>
      </c>
      <c r="AF329" s="9">
        <f t="shared" si="40"/>
        <v>10.36</v>
      </c>
      <c r="AG329" s="9">
        <f t="shared" si="41"/>
        <v>10.853333333333335</v>
      </c>
      <c r="AH329" s="9">
        <f t="shared" si="42"/>
        <v>1.234337260972259E-2</v>
      </c>
      <c r="AI329" s="9">
        <f t="shared" si="43"/>
        <v>1.5235884738244986E-4</v>
      </c>
      <c r="AJ329" s="9">
        <f t="shared" si="44"/>
        <v>1.095973836438642E-2</v>
      </c>
      <c r="AK329" s="9">
        <f t="shared" si="45"/>
        <v>1.2011586501580353E-4</v>
      </c>
      <c r="AL329" s="9">
        <f t="shared" si="46"/>
        <v>1.4008955151437985E-2</v>
      </c>
      <c r="AM329" s="9">
        <f t="shared" si="47"/>
        <v>1.9625082443500087E-4</v>
      </c>
      <c r="AN329" s="8" t="s">
        <v>1878</v>
      </c>
    </row>
    <row r="330" spans="13:40" ht="23">
      <c r="M330" s="8" t="s">
        <v>833</v>
      </c>
      <c r="N330" s="8" t="s">
        <v>150</v>
      </c>
      <c r="O330" s="8"/>
      <c r="P330" s="8"/>
      <c r="Q330" s="8"/>
      <c r="R330" s="8"/>
      <c r="S330" s="8"/>
      <c r="T330" s="8"/>
      <c r="U330" s="8"/>
      <c r="V330" s="8"/>
      <c r="W330" s="8" t="s">
        <v>833</v>
      </c>
      <c r="X330" s="8">
        <v>36.69</v>
      </c>
      <c r="Y330" s="8">
        <v>1.93</v>
      </c>
      <c r="Z330" s="9">
        <v>1.58</v>
      </c>
      <c r="AA330" s="8">
        <v>3.7</v>
      </c>
      <c r="AB330" s="8">
        <v>35086</v>
      </c>
      <c r="AC330" s="8" t="s">
        <v>833</v>
      </c>
      <c r="AD330" s="8" t="s">
        <v>3725</v>
      </c>
      <c r="AE330" s="8" t="s">
        <v>4083</v>
      </c>
      <c r="AF330" s="9">
        <f t="shared" si="40"/>
        <v>7.141</v>
      </c>
      <c r="AG330" s="9">
        <f t="shared" si="41"/>
        <v>7.2766666666666673</v>
      </c>
      <c r="AH330" s="9">
        <f t="shared" si="42"/>
        <v>1.234337260972259E-2</v>
      </c>
      <c r="AI330" s="9">
        <f t="shared" si="43"/>
        <v>1.5235884738244986E-4</v>
      </c>
      <c r="AJ330" s="9">
        <f t="shared" si="44"/>
        <v>7.5543910868806413E-3</v>
      </c>
      <c r="AK330" s="9">
        <f t="shared" si="45"/>
        <v>5.7068824693541677E-5</v>
      </c>
      <c r="AL330" s="9">
        <f t="shared" si="46"/>
        <v>9.3923676583504666E-3</v>
      </c>
      <c r="AM330" s="9">
        <f t="shared" si="47"/>
        <v>8.8216570229627823E-5</v>
      </c>
      <c r="AN330" s="8" t="s">
        <v>833</v>
      </c>
    </row>
    <row r="331" spans="13:40" ht="23">
      <c r="M331" s="8" t="s">
        <v>594</v>
      </c>
      <c r="N331" s="8" t="s">
        <v>150</v>
      </c>
      <c r="O331" s="8"/>
      <c r="P331" s="8"/>
      <c r="Q331" s="8"/>
      <c r="R331" s="8"/>
      <c r="S331" s="8"/>
      <c r="T331" s="8"/>
      <c r="U331" s="8"/>
      <c r="V331" s="8"/>
      <c r="W331" s="8" t="s">
        <v>594</v>
      </c>
      <c r="X331" s="8">
        <v>36.869999999999997</v>
      </c>
      <c r="Y331" s="8">
        <v>3.32</v>
      </c>
      <c r="Z331" s="9">
        <v>3.25</v>
      </c>
      <c r="AA331" s="8">
        <v>3.6</v>
      </c>
      <c r="AB331" s="8">
        <v>35925</v>
      </c>
      <c r="AC331" s="8" t="s">
        <v>594</v>
      </c>
      <c r="AD331" s="8" t="s">
        <v>3725</v>
      </c>
      <c r="AE331" s="8" t="s">
        <v>4083</v>
      </c>
      <c r="AF331" s="9">
        <f t="shared" si="40"/>
        <v>11.952</v>
      </c>
      <c r="AG331" s="9">
        <f t="shared" si="41"/>
        <v>12.299999999999999</v>
      </c>
      <c r="AH331" s="9">
        <f t="shared" si="42"/>
        <v>1.2009767944594952E-2</v>
      </c>
      <c r="AI331" s="9">
        <f t="shared" si="43"/>
        <v>1.4423452608302046E-4</v>
      </c>
      <c r="AJ331" s="9">
        <f t="shared" si="44"/>
        <v>1.2643898931577848E-2</v>
      </c>
      <c r="AK331" s="9">
        <f t="shared" si="45"/>
        <v>1.5986818019195545E-4</v>
      </c>
      <c r="AL331" s="9">
        <f t="shared" si="46"/>
        <v>1.5876242171009261E-2</v>
      </c>
      <c r="AM331" s="9">
        <f t="shared" si="47"/>
        <v>2.5205506547253283E-4</v>
      </c>
      <c r="AN331" s="8" t="s">
        <v>594</v>
      </c>
    </row>
    <row r="332" spans="13:40" ht="23">
      <c r="M332" s="9" t="s">
        <v>5058</v>
      </c>
      <c r="N332" s="8" t="s">
        <v>1717</v>
      </c>
      <c r="O332" s="8"/>
      <c r="P332" s="8"/>
      <c r="Q332" s="8"/>
      <c r="R332" s="8"/>
      <c r="S332" s="8"/>
      <c r="T332" s="8"/>
      <c r="U332" s="8"/>
      <c r="V332" s="8"/>
      <c r="W332" s="9" t="s">
        <v>5058</v>
      </c>
      <c r="X332" s="8">
        <v>57.58</v>
      </c>
      <c r="Y332" s="8">
        <v>2.2200000000000002</v>
      </c>
      <c r="Z332" s="9">
        <v>0.4</v>
      </c>
      <c r="AA332" s="8">
        <v>3.6</v>
      </c>
      <c r="AB332" s="8">
        <v>28953</v>
      </c>
      <c r="AC332" s="9" t="s">
        <v>5058</v>
      </c>
      <c r="AD332" s="8" t="s">
        <v>3725</v>
      </c>
      <c r="AE332" s="8" t="s">
        <v>4083</v>
      </c>
      <c r="AF332" s="9">
        <f t="shared" si="40"/>
        <v>7.9920000000000009</v>
      </c>
      <c r="AG332" s="9">
        <f t="shared" si="41"/>
        <v>2.4E-2</v>
      </c>
      <c r="AH332" s="9">
        <f t="shared" si="42"/>
        <v>1.2009767944594952E-2</v>
      </c>
      <c r="AI332" s="9">
        <f t="shared" si="43"/>
        <v>1.4423452608302046E-4</v>
      </c>
      <c r="AJ332" s="9">
        <f t="shared" si="44"/>
        <v>8.4546553096695263E-3</v>
      </c>
      <c r="AK332" s="9">
        <f t="shared" si="45"/>
        <v>7.1481196405323119E-5</v>
      </c>
      <c r="AL332" s="9">
        <f t="shared" si="46"/>
        <v>3.0978033504408314E-5</v>
      </c>
      <c r="AM332" s="9">
        <f t="shared" si="47"/>
        <v>9.5963855980024395E-10</v>
      </c>
      <c r="AN332" s="9" t="s">
        <v>5058</v>
      </c>
    </row>
    <row r="333" spans="13:40" ht="23">
      <c r="M333" s="8" t="s">
        <v>1950</v>
      </c>
      <c r="N333" s="8" t="s">
        <v>1939</v>
      </c>
      <c r="O333" s="8"/>
      <c r="P333" s="8" t="s">
        <v>3691</v>
      </c>
      <c r="Q333" s="8"/>
      <c r="R333" s="8"/>
      <c r="S333" s="8"/>
      <c r="T333" s="8"/>
      <c r="U333" s="8"/>
      <c r="V333" s="8"/>
      <c r="W333" s="8" t="s">
        <v>1950</v>
      </c>
      <c r="X333" s="8">
        <v>42.31</v>
      </c>
      <c r="Y333" s="8">
        <v>4.4000000000000004</v>
      </c>
      <c r="Z333" s="9">
        <v>2.1800000000000002</v>
      </c>
      <c r="AA333" s="8">
        <v>3.6</v>
      </c>
      <c r="AB333" s="8">
        <v>25286</v>
      </c>
      <c r="AC333" s="8" t="s">
        <v>1950</v>
      </c>
      <c r="AD333" s="8" t="s">
        <v>3725</v>
      </c>
      <c r="AE333" s="8" t="s">
        <v>4083</v>
      </c>
      <c r="AF333" s="9">
        <f t="shared" si="40"/>
        <v>15.840000000000002</v>
      </c>
      <c r="AG333" s="9">
        <f t="shared" si="41"/>
        <v>8.2799999999999994</v>
      </c>
      <c r="AH333" s="9">
        <f t="shared" si="42"/>
        <v>1.2009767944594952E-2</v>
      </c>
      <c r="AI333" s="9">
        <f t="shared" si="43"/>
        <v>1.4423452608302046E-4</v>
      </c>
      <c r="AJ333" s="9">
        <f t="shared" si="44"/>
        <v>1.6756974487633296E-2</v>
      </c>
      <c r="AK333" s="9">
        <f t="shared" si="45"/>
        <v>2.8079619397919315E-4</v>
      </c>
      <c r="AL333" s="9">
        <f t="shared" si="46"/>
        <v>1.0687421559020869E-2</v>
      </c>
      <c r="AM333" s="9">
        <f t="shared" si="47"/>
        <v>1.1422097958022405E-4</v>
      </c>
      <c r="AN333" s="8" t="s">
        <v>1950</v>
      </c>
    </row>
    <row r="334" spans="13:40" ht="23">
      <c r="M334" s="9" t="s">
        <v>2803</v>
      </c>
      <c r="N334" s="8" t="s">
        <v>1614</v>
      </c>
      <c r="O334" s="8"/>
      <c r="P334" s="8" t="s">
        <v>3691</v>
      </c>
      <c r="Q334" s="8"/>
      <c r="R334" s="8"/>
      <c r="S334" s="8"/>
      <c r="T334" s="8"/>
      <c r="U334" s="8"/>
      <c r="V334" s="8"/>
      <c r="W334" s="9" t="s">
        <v>2803</v>
      </c>
      <c r="X334" s="8">
        <v>35.950000000000003</v>
      </c>
      <c r="Y334" s="8">
        <v>4.0599999999999996</v>
      </c>
      <c r="Z334" s="9">
        <v>5.07</v>
      </c>
      <c r="AA334" s="8">
        <v>3.5</v>
      </c>
      <c r="AB334" s="8">
        <v>21406</v>
      </c>
      <c r="AC334" s="9" t="s">
        <v>2803</v>
      </c>
      <c r="AD334" s="8" t="s">
        <v>3725</v>
      </c>
      <c r="AE334" s="8" t="s">
        <v>4083</v>
      </c>
      <c r="AF334" s="9">
        <f t="shared" si="40"/>
        <v>14.209999999999999</v>
      </c>
      <c r="AG334" s="9">
        <f t="shared" si="41"/>
        <v>17.908333333333331</v>
      </c>
      <c r="AH334" s="9">
        <f t="shared" si="42"/>
        <v>1.1676163279467315E-2</v>
      </c>
      <c r="AI334" s="9">
        <f t="shared" si="43"/>
        <v>1.3633278892878094E-4</v>
      </c>
      <c r="AJ334" s="9">
        <f t="shared" si="44"/>
        <v>1.5032614107908401E-2</v>
      </c>
      <c r="AK334" s="9">
        <f t="shared" si="45"/>
        <v>2.2597948691728667E-4</v>
      </c>
      <c r="AL334" s="9">
        <f t="shared" si="46"/>
        <v>2.311520625033801E-2</v>
      </c>
      <c r="AM334" s="9">
        <f t="shared" si="47"/>
        <v>5.3431275999566536E-4</v>
      </c>
      <c r="AN334" s="9" t="s">
        <v>2803</v>
      </c>
    </row>
    <row r="335" spans="13:40" ht="23">
      <c r="M335" s="9" t="s">
        <v>3081</v>
      </c>
      <c r="N335" s="8" t="s">
        <v>1814</v>
      </c>
      <c r="O335" s="8"/>
      <c r="P335" s="8"/>
      <c r="Q335" s="8"/>
      <c r="R335" s="8"/>
      <c r="S335" s="8"/>
      <c r="T335" s="8"/>
      <c r="U335" s="8"/>
      <c r="V335" s="8"/>
      <c r="W335" s="9" t="s">
        <v>3081</v>
      </c>
      <c r="X335" s="8">
        <v>37.24</v>
      </c>
      <c r="Y335" s="8">
        <v>3.52</v>
      </c>
      <c r="Z335" s="9">
        <v>5.18</v>
      </c>
      <c r="AA335" s="8">
        <v>3.5</v>
      </c>
      <c r="AB335" s="8">
        <v>28735</v>
      </c>
      <c r="AC335" s="9" t="s">
        <v>3081</v>
      </c>
      <c r="AD335" s="8" t="s">
        <v>3725</v>
      </c>
      <c r="AE335" s="8" t="s">
        <v>4083</v>
      </c>
      <c r="AF335" s="9">
        <f t="shared" si="40"/>
        <v>12.32</v>
      </c>
      <c r="AG335" s="9">
        <f t="shared" si="41"/>
        <v>18.55</v>
      </c>
      <c r="AH335" s="9">
        <f t="shared" si="42"/>
        <v>1.1676163279467315E-2</v>
      </c>
      <c r="AI335" s="9">
        <f t="shared" si="43"/>
        <v>1.3633278892878094E-4</v>
      </c>
      <c r="AJ335" s="9">
        <f t="shared" si="44"/>
        <v>1.3033202379270338E-2</v>
      </c>
      <c r="AK335" s="9">
        <f t="shared" si="45"/>
        <v>1.6986436425901801E-4</v>
      </c>
      <c r="AL335" s="9">
        <f t="shared" si="46"/>
        <v>2.3943438396115596E-2</v>
      </c>
      <c r="AM335" s="9">
        <f t="shared" si="47"/>
        <v>5.732882422285826E-4</v>
      </c>
      <c r="AN335" s="9" t="s">
        <v>3081</v>
      </c>
    </row>
    <row r="336" spans="13:40" ht="23">
      <c r="M336" s="8" t="s">
        <v>2082</v>
      </c>
      <c r="N336" s="8" t="s">
        <v>2074</v>
      </c>
      <c r="O336" s="8"/>
      <c r="P336" s="8"/>
      <c r="Q336" s="8"/>
      <c r="R336" s="8"/>
      <c r="S336" s="8"/>
      <c r="T336" s="8"/>
      <c r="U336" s="8"/>
      <c r="V336" s="8"/>
      <c r="W336" s="8" t="s">
        <v>2082</v>
      </c>
      <c r="X336" s="8">
        <v>36.200000000000003</v>
      </c>
      <c r="Y336" s="8">
        <v>3.55</v>
      </c>
      <c r="Z336" s="9">
        <v>2.12</v>
      </c>
      <c r="AA336" s="8">
        <v>3.5</v>
      </c>
      <c r="AB336" s="8">
        <v>27740</v>
      </c>
      <c r="AC336" s="8" t="s">
        <v>2082</v>
      </c>
      <c r="AD336" s="8" t="s">
        <v>3725</v>
      </c>
      <c r="AE336" s="8" t="s">
        <v>4083</v>
      </c>
      <c r="AF336" s="9">
        <f t="shared" si="40"/>
        <v>12.424999999999999</v>
      </c>
      <c r="AG336" s="9">
        <f t="shared" si="41"/>
        <v>7.7000000000000011</v>
      </c>
      <c r="AH336" s="9">
        <f t="shared" si="42"/>
        <v>1.1676163279467315E-2</v>
      </c>
      <c r="AI336" s="9">
        <f t="shared" si="43"/>
        <v>1.3633278892878094E-4</v>
      </c>
      <c r="AJ336" s="9">
        <f t="shared" si="44"/>
        <v>1.314428080863912E-2</v>
      </c>
      <c r="AK336" s="9">
        <f t="shared" si="45"/>
        <v>1.7277211797635868E-4</v>
      </c>
      <c r="AL336" s="9">
        <f t="shared" si="46"/>
        <v>9.9387857493310038E-3</v>
      </c>
      <c r="AM336" s="9">
        <f t="shared" si="47"/>
        <v>9.8779462171105041E-5</v>
      </c>
      <c r="AN336" s="8" t="s">
        <v>2082</v>
      </c>
    </row>
    <row r="337" spans="13:40" ht="23">
      <c r="M337" s="8" t="s">
        <v>5073</v>
      </c>
      <c r="N337" s="8" t="s">
        <v>1869</v>
      </c>
      <c r="O337" s="8"/>
      <c r="P337" s="8"/>
      <c r="Q337" s="8"/>
      <c r="R337" s="8"/>
      <c r="S337" s="8"/>
      <c r="T337" s="8"/>
      <c r="U337" s="8"/>
      <c r="V337" s="8"/>
      <c r="W337" s="8" t="s">
        <v>5073</v>
      </c>
      <c r="X337" s="8">
        <v>46.91</v>
      </c>
      <c r="Y337" s="8">
        <v>3.26</v>
      </c>
      <c r="Z337" s="9">
        <v>3.11</v>
      </c>
      <c r="AA337" s="8">
        <v>3.4</v>
      </c>
      <c r="AB337" s="8">
        <v>26646</v>
      </c>
      <c r="AC337" s="8" t="s">
        <v>5073</v>
      </c>
      <c r="AD337" s="8" t="s">
        <v>3725</v>
      </c>
      <c r="AE337" s="8" t="s">
        <v>4083</v>
      </c>
      <c r="AF337" s="9">
        <f t="shared" si="40"/>
        <v>11.084</v>
      </c>
      <c r="AG337" s="9">
        <f t="shared" si="41"/>
        <v>10.823333333333332</v>
      </c>
      <c r="AH337" s="9">
        <f t="shared" si="42"/>
        <v>1.1342558614339677E-2</v>
      </c>
      <c r="AI337" s="9">
        <f t="shared" si="43"/>
        <v>1.2865363591973121E-4</v>
      </c>
      <c r="AJ337" s="9">
        <f t="shared" si="44"/>
        <v>1.1725650582129257E-2</v>
      </c>
      <c r="AK337" s="9">
        <f t="shared" si="45"/>
        <v>1.3749088157418817E-4</v>
      </c>
      <c r="AL337" s="9">
        <f t="shared" si="46"/>
        <v>1.3970232609557471E-2</v>
      </c>
      <c r="AM337" s="9">
        <f t="shared" si="47"/>
        <v>1.9516739916514297E-4</v>
      </c>
      <c r="AN337" s="8" t="s">
        <v>5073</v>
      </c>
    </row>
    <row r="338" spans="13:40" ht="23">
      <c r="M338" s="9" t="s">
        <v>2873</v>
      </c>
      <c r="N338" s="8" t="s">
        <v>1717</v>
      </c>
      <c r="O338" s="8"/>
      <c r="P338" s="8"/>
      <c r="Q338" s="8"/>
      <c r="R338" s="8"/>
      <c r="S338" s="8"/>
      <c r="T338" s="8"/>
      <c r="U338" s="8"/>
      <c r="V338" s="8"/>
      <c r="W338" s="9" t="s">
        <v>2873</v>
      </c>
      <c r="X338" s="8">
        <v>44.52</v>
      </c>
      <c r="Y338" s="8">
        <v>2.13</v>
      </c>
      <c r="Z338" s="9">
        <v>2.09</v>
      </c>
      <c r="AA338" s="8">
        <v>3.4</v>
      </c>
      <c r="AB338" s="8">
        <v>30554</v>
      </c>
      <c r="AC338" s="9" t="s">
        <v>2873</v>
      </c>
      <c r="AD338" s="8" t="s">
        <v>3725</v>
      </c>
      <c r="AE338" s="8" t="s">
        <v>4083</v>
      </c>
      <c r="AF338" s="9">
        <f t="shared" si="40"/>
        <v>7.2419999999999991</v>
      </c>
      <c r="AG338" s="9">
        <f t="shared" si="41"/>
        <v>7.31</v>
      </c>
      <c r="AH338" s="9">
        <f t="shared" si="42"/>
        <v>1.1342558614339677E-2</v>
      </c>
      <c r="AI338" s="9">
        <f t="shared" si="43"/>
        <v>1.2865363591973121E-4</v>
      </c>
      <c r="AJ338" s="9">
        <f t="shared" si="44"/>
        <v>7.6612379570353724E-3</v>
      </c>
      <c r="AK338" s="9">
        <f t="shared" si="45"/>
        <v>5.8694567034319527E-5</v>
      </c>
      <c r="AL338" s="9">
        <f t="shared" si="46"/>
        <v>9.4353927048843669E-3</v>
      </c>
      <c r="AM338" s="9">
        <f t="shared" si="47"/>
        <v>8.9026635495385127E-5</v>
      </c>
      <c r="AN338" s="9" t="s">
        <v>2873</v>
      </c>
    </row>
    <row r="339" spans="13:40" ht="23">
      <c r="M339" s="8" t="s">
        <v>1148</v>
      </c>
      <c r="N339" s="8" t="s">
        <v>150</v>
      </c>
      <c r="O339" s="8"/>
      <c r="P339" s="8"/>
      <c r="Q339" s="8"/>
      <c r="R339" s="8"/>
      <c r="S339" s="8"/>
      <c r="T339" s="8"/>
      <c r="U339" s="8"/>
      <c r="V339" s="8"/>
      <c r="W339" s="8" t="s">
        <v>1148</v>
      </c>
      <c r="X339" s="8">
        <v>30.23</v>
      </c>
      <c r="Y339" s="8">
        <v>3.78</v>
      </c>
      <c r="Z339" s="9">
        <v>2.12</v>
      </c>
      <c r="AA339" s="8">
        <v>3.3</v>
      </c>
      <c r="AB339" s="8">
        <v>24562</v>
      </c>
      <c r="AC339" s="8" t="s">
        <v>1148</v>
      </c>
      <c r="AD339" s="8" t="s">
        <v>3725</v>
      </c>
      <c r="AE339" s="8" t="s">
        <v>4083</v>
      </c>
      <c r="AF339" s="9">
        <f t="shared" si="40"/>
        <v>12.473999999999998</v>
      </c>
      <c r="AG339" s="9">
        <f t="shared" si="41"/>
        <v>7.26</v>
      </c>
      <c r="AH339" s="9">
        <f t="shared" si="42"/>
        <v>1.1008953949212039E-2</v>
      </c>
      <c r="AI339" s="9">
        <f t="shared" si="43"/>
        <v>1.2119706705587135E-4</v>
      </c>
      <c r="AJ339" s="9">
        <f t="shared" si="44"/>
        <v>1.3196117409011216E-2</v>
      </c>
      <c r="AK339" s="9">
        <f t="shared" si="45"/>
        <v>1.7413751467240887E-4</v>
      </c>
      <c r="AL339" s="9">
        <f t="shared" si="46"/>
        <v>9.3708551350835147E-3</v>
      </c>
      <c r="AM339" s="9">
        <f t="shared" si="47"/>
        <v>8.7812925962721082E-5</v>
      </c>
      <c r="AN339" s="8" t="s">
        <v>1148</v>
      </c>
    </row>
    <row r="340" spans="13:40" ht="23">
      <c r="M340" s="24" t="s">
        <v>5127</v>
      </c>
      <c r="N340" s="24" t="s">
        <v>150</v>
      </c>
      <c r="O340" s="24"/>
      <c r="P340" s="24"/>
      <c r="Q340" s="24"/>
      <c r="R340" s="24"/>
      <c r="S340" s="24"/>
      <c r="T340" s="24"/>
      <c r="U340" s="24"/>
      <c r="V340" s="24"/>
      <c r="W340" s="24" t="s">
        <v>5127</v>
      </c>
      <c r="X340" s="24">
        <v>48.84</v>
      </c>
      <c r="Y340" s="24">
        <v>2.4300000000000002</v>
      </c>
      <c r="Z340" s="25">
        <v>1.3</v>
      </c>
      <c r="AA340" s="24">
        <v>3.3</v>
      </c>
      <c r="AB340" s="24">
        <v>33460</v>
      </c>
      <c r="AC340" s="24" t="s">
        <v>5127</v>
      </c>
      <c r="AD340" s="8" t="s">
        <v>3725</v>
      </c>
      <c r="AE340" s="8" t="s">
        <v>4083</v>
      </c>
      <c r="AF340" s="25">
        <f t="shared" si="40"/>
        <v>8.0190000000000001</v>
      </c>
      <c r="AG340" s="25">
        <f t="shared" si="41"/>
        <v>3.3164999999999996</v>
      </c>
      <c r="AH340" s="25">
        <f t="shared" si="42"/>
        <v>1.1008953949212039E-2</v>
      </c>
      <c r="AI340" s="25">
        <f t="shared" si="43"/>
        <v>1.2119706705587135E-4</v>
      </c>
      <c r="AJ340" s="25">
        <f t="shared" si="44"/>
        <v>8.4832183343643546E-3</v>
      </c>
      <c r="AK340" s="25">
        <f t="shared" si="45"/>
        <v>7.1964993308495532E-5</v>
      </c>
      <c r="AL340" s="25">
        <f t="shared" si="46"/>
        <v>4.2807770048904235E-3</v>
      </c>
      <c r="AM340" s="25">
        <f t="shared" si="47"/>
        <v>1.8325051765598625E-5</v>
      </c>
      <c r="AN340" s="24" t="s">
        <v>5127</v>
      </c>
    </row>
    <row r="341" spans="13:40" ht="23">
      <c r="M341" s="8" t="s">
        <v>5091</v>
      </c>
      <c r="N341" s="8" t="s">
        <v>1814</v>
      </c>
      <c r="O341" s="8"/>
      <c r="P341" s="8"/>
      <c r="Q341" s="8"/>
      <c r="R341" s="8"/>
      <c r="S341" s="8"/>
      <c r="T341" s="8"/>
      <c r="U341" s="8"/>
      <c r="V341" s="8"/>
      <c r="W341" s="8" t="s">
        <v>5091</v>
      </c>
      <c r="X341" s="8">
        <v>6.51</v>
      </c>
      <c r="Y341" s="8">
        <v>1.43</v>
      </c>
      <c r="Z341" s="9">
        <v>0.33</v>
      </c>
      <c r="AA341" s="8">
        <v>3.3</v>
      </c>
      <c r="AB341" s="8">
        <v>63982</v>
      </c>
      <c r="AC341" s="8" t="s">
        <v>5091</v>
      </c>
      <c r="AD341" s="8" t="s">
        <v>3725</v>
      </c>
      <c r="AE341" s="8" t="s">
        <v>4083</v>
      </c>
      <c r="AF341" s="9">
        <f t="shared" si="40"/>
        <v>4.7189999999999994</v>
      </c>
      <c r="AG341" s="9">
        <f t="shared" si="41"/>
        <v>1.8149999999999999</v>
      </c>
      <c r="AH341" s="9">
        <f t="shared" si="42"/>
        <v>1.1008953949212039E-2</v>
      </c>
      <c r="AI341" s="9">
        <f t="shared" si="43"/>
        <v>1.2119706705587135E-4</v>
      </c>
      <c r="AJ341" s="9">
        <f t="shared" si="44"/>
        <v>4.9921819827740853E-3</v>
      </c>
      <c r="AK341" s="9">
        <f t="shared" si="45"/>
        <v>2.4921880949134198E-5</v>
      </c>
      <c r="AL341" s="9">
        <f t="shared" si="46"/>
        <v>2.3427137837708787E-3</v>
      </c>
      <c r="AM341" s="9">
        <f t="shared" si="47"/>
        <v>5.4883078726700677E-6</v>
      </c>
      <c r="AN341" s="8" t="s">
        <v>5091</v>
      </c>
    </row>
    <row r="342" spans="13:40" ht="23">
      <c r="M342" s="8" t="s">
        <v>1503</v>
      </c>
      <c r="N342" s="8" t="s">
        <v>150</v>
      </c>
      <c r="O342" s="8"/>
      <c r="P342" s="8"/>
      <c r="Q342" s="8"/>
      <c r="R342" s="8"/>
      <c r="S342" s="8"/>
      <c r="T342" s="8"/>
      <c r="U342" s="8"/>
      <c r="V342" s="8"/>
      <c r="W342" s="8" t="s">
        <v>1503</v>
      </c>
      <c r="X342" s="8">
        <v>31.23</v>
      </c>
      <c r="Y342" s="8">
        <v>3.72</v>
      </c>
      <c r="Z342" s="9">
        <v>3.46</v>
      </c>
      <c r="AA342" s="8">
        <v>3.2</v>
      </c>
      <c r="AB342" s="8">
        <v>27097</v>
      </c>
      <c r="AC342" s="8" t="s">
        <v>1503</v>
      </c>
      <c r="AD342" s="8" t="s">
        <v>3725</v>
      </c>
      <c r="AE342" s="8" t="s">
        <v>4083</v>
      </c>
      <c r="AF342" s="9">
        <f t="shared" si="40"/>
        <v>11.904000000000002</v>
      </c>
      <c r="AG342" s="9">
        <f t="shared" si="41"/>
        <v>12.053333333333335</v>
      </c>
      <c r="AH342" s="9">
        <f t="shared" si="42"/>
        <v>1.0675349284084402E-2</v>
      </c>
      <c r="AI342" s="9">
        <f t="shared" si="43"/>
        <v>1.1396308233720137E-4</v>
      </c>
      <c r="AJ342" s="9">
        <f t="shared" si="44"/>
        <v>1.2593120221009266E-2</v>
      </c>
      <c r="AK342" s="9">
        <f t="shared" si="45"/>
        <v>1.5858667690079245E-4</v>
      </c>
      <c r="AL342" s="9">
        <f t="shared" si="46"/>
        <v>1.5557856826658402E-2</v>
      </c>
      <c r="AM342" s="9">
        <f t="shared" si="47"/>
        <v>2.4204690903880142E-4</v>
      </c>
      <c r="AN342" s="8" t="s">
        <v>1503</v>
      </c>
    </row>
    <row r="343" spans="13:40" ht="23">
      <c r="M343" s="9" t="s">
        <v>2583</v>
      </c>
      <c r="N343" s="8" t="s">
        <v>150</v>
      </c>
      <c r="O343" s="8"/>
      <c r="P343" s="8"/>
      <c r="Q343" s="8"/>
      <c r="R343" s="8"/>
      <c r="S343" s="8"/>
      <c r="T343" s="8"/>
      <c r="U343" s="8"/>
      <c r="V343" s="8"/>
      <c r="W343" s="9" t="s">
        <v>2583</v>
      </c>
      <c r="X343" s="8">
        <v>24.03</v>
      </c>
      <c r="Y343" s="8">
        <v>5.27</v>
      </c>
      <c r="Z343" s="9">
        <v>3.38</v>
      </c>
      <c r="AA343" s="8">
        <v>3.2</v>
      </c>
      <c r="AB343" s="8">
        <v>26581</v>
      </c>
      <c r="AC343" s="9" t="s">
        <v>2583</v>
      </c>
      <c r="AD343" s="8" t="s">
        <v>3725</v>
      </c>
      <c r="AE343" s="8" t="s">
        <v>4083</v>
      </c>
      <c r="AF343" s="9">
        <f t="shared" si="40"/>
        <v>16.864000000000001</v>
      </c>
      <c r="AG343" s="9">
        <f t="shared" si="41"/>
        <v>11.626666666666667</v>
      </c>
      <c r="AH343" s="9">
        <f t="shared" si="42"/>
        <v>1.0675349284084402E-2</v>
      </c>
      <c r="AI343" s="9">
        <f t="shared" si="43"/>
        <v>1.1396308233720137E-4</v>
      </c>
      <c r="AJ343" s="9">
        <f t="shared" si="44"/>
        <v>1.7840253646429789E-2</v>
      </c>
      <c r="AK343" s="9">
        <f t="shared" si="45"/>
        <v>3.1827465016895135E-4</v>
      </c>
      <c r="AL343" s="9">
        <f t="shared" si="46"/>
        <v>1.5007136231024473E-2</v>
      </c>
      <c r="AM343" s="9">
        <f t="shared" si="47"/>
        <v>2.2521413785652741E-4</v>
      </c>
      <c r="AN343" s="9" t="s">
        <v>2583</v>
      </c>
    </row>
    <row r="344" spans="13:40" ht="23">
      <c r="M344" s="9" t="s">
        <v>2329</v>
      </c>
      <c r="N344" s="8" t="s">
        <v>150</v>
      </c>
      <c r="O344" s="8"/>
      <c r="P344" s="8"/>
      <c r="Q344" s="8"/>
      <c r="R344" s="8"/>
      <c r="S344" s="8"/>
      <c r="T344" s="8"/>
      <c r="U344" s="8"/>
      <c r="V344" s="8"/>
      <c r="W344" s="9" t="s">
        <v>2329</v>
      </c>
      <c r="X344" s="8">
        <v>23.02</v>
      </c>
      <c r="Y344" s="8">
        <v>2.98</v>
      </c>
      <c r="Z344" s="9">
        <v>3.32</v>
      </c>
      <c r="AA344" s="8">
        <v>3.2</v>
      </c>
      <c r="AB344" s="8">
        <v>28565</v>
      </c>
      <c r="AC344" s="9" t="s">
        <v>2329</v>
      </c>
      <c r="AD344" s="8" t="s">
        <v>3725</v>
      </c>
      <c r="AE344" s="8" t="s">
        <v>4083</v>
      </c>
      <c r="AF344" s="9">
        <f t="shared" si="40"/>
        <v>9.5359999999999996</v>
      </c>
      <c r="AG344" s="9">
        <f t="shared" si="41"/>
        <v>11.306666666666667</v>
      </c>
      <c r="AH344" s="9">
        <f t="shared" si="42"/>
        <v>1.0675349284084402E-2</v>
      </c>
      <c r="AI344" s="9">
        <f t="shared" si="43"/>
        <v>1.1396308233720137E-4</v>
      </c>
      <c r="AJ344" s="9">
        <f t="shared" si="44"/>
        <v>1.0088037166292366E-2</v>
      </c>
      <c r="AK344" s="9">
        <f t="shared" si="45"/>
        <v>1.0176849386849611E-4</v>
      </c>
      <c r="AL344" s="9">
        <f t="shared" si="46"/>
        <v>1.4594095784299028E-2</v>
      </c>
      <c r="AM344" s="9">
        <f t="shared" si="47"/>
        <v>2.1298763176129466E-4</v>
      </c>
      <c r="AN344" s="9" t="s">
        <v>2329</v>
      </c>
    </row>
    <row r="345" spans="13:40" ht="23">
      <c r="M345" s="8" t="s">
        <v>4982</v>
      </c>
      <c r="N345" s="8" t="s">
        <v>1717</v>
      </c>
      <c r="O345" s="8"/>
      <c r="P345" s="8"/>
      <c r="Q345" s="8"/>
      <c r="R345" s="8"/>
      <c r="S345" s="8"/>
      <c r="T345" s="8"/>
      <c r="U345" s="8"/>
      <c r="V345" s="8"/>
      <c r="W345" s="8" t="s">
        <v>4982</v>
      </c>
      <c r="X345" s="8">
        <v>31.93</v>
      </c>
      <c r="Y345" s="8">
        <v>3</v>
      </c>
      <c r="Z345" s="9">
        <v>3.53</v>
      </c>
      <c r="AA345" s="8">
        <v>3.2</v>
      </c>
      <c r="AB345" s="8">
        <v>28473</v>
      </c>
      <c r="AC345" s="8" t="s">
        <v>4982</v>
      </c>
      <c r="AD345" s="8" t="s">
        <v>3725</v>
      </c>
      <c r="AE345" s="8" t="s">
        <v>4083</v>
      </c>
      <c r="AF345" s="9">
        <f t="shared" si="40"/>
        <v>9.6000000000000014</v>
      </c>
      <c r="AG345" s="9">
        <f t="shared" si="41"/>
        <v>12.426666666666668</v>
      </c>
      <c r="AH345" s="9">
        <f t="shared" si="42"/>
        <v>1.0675349284084402E-2</v>
      </c>
      <c r="AI345" s="9">
        <f t="shared" si="43"/>
        <v>1.1396308233720137E-4</v>
      </c>
      <c r="AJ345" s="9">
        <f t="shared" si="44"/>
        <v>1.0155742113717149E-2</v>
      </c>
      <c r="AK345" s="9">
        <f t="shared" si="45"/>
        <v>1.0313909788032807E-4</v>
      </c>
      <c r="AL345" s="9">
        <f t="shared" si="46"/>
        <v>1.6039737347838083E-2</v>
      </c>
      <c r="AM345" s="9">
        <f t="shared" si="47"/>
        <v>2.5727317418763185E-4</v>
      </c>
      <c r="AN345" s="8" t="s">
        <v>4982</v>
      </c>
    </row>
    <row r="346" spans="13:40" ht="23">
      <c r="M346" s="9" t="s">
        <v>3512</v>
      </c>
      <c r="N346" s="8" t="s">
        <v>2041</v>
      </c>
      <c r="O346" s="8"/>
      <c r="P346" s="8"/>
      <c r="Q346" s="8"/>
      <c r="R346" s="8"/>
      <c r="S346" s="8"/>
      <c r="T346" s="8"/>
      <c r="U346" s="8"/>
      <c r="V346" s="8"/>
      <c r="W346" s="9" t="s">
        <v>3512</v>
      </c>
      <c r="X346" s="8">
        <v>44.78</v>
      </c>
      <c r="Y346" s="8">
        <v>2.2000000000000002</v>
      </c>
      <c r="Z346" s="9">
        <v>1.23</v>
      </c>
      <c r="AA346" s="8">
        <v>3.2</v>
      </c>
      <c r="AB346" s="8">
        <v>42688</v>
      </c>
      <c r="AC346" s="9" t="s">
        <v>3512</v>
      </c>
      <c r="AD346" s="8" t="s">
        <v>3725</v>
      </c>
      <c r="AE346" s="8" t="s">
        <v>4083</v>
      </c>
      <c r="AF346" s="9">
        <f t="shared" si="40"/>
        <v>7.0400000000000009</v>
      </c>
      <c r="AG346" s="9">
        <f t="shared" si="41"/>
        <v>4.4266666666666667</v>
      </c>
      <c r="AH346" s="9">
        <f t="shared" si="42"/>
        <v>1.0675349284084402E-2</v>
      </c>
      <c r="AI346" s="9">
        <f t="shared" si="43"/>
        <v>1.1396308233720137E-4</v>
      </c>
      <c r="AJ346" s="9">
        <f t="shared" si="44"/>
        <v>7.4475442167259102E-3</v>
      </c>
      <c r="AK346" s="9">
        <f t="shared" si="45"/>
        <v>5.5465914860087553E-5</v>
      </c>
      <c r="AL346" s="9">
        <f t="shared" si="46"/>
        <v>5.7137261797019787E-3</v>
      </c>
      <c r="AM346" s="9">
        <f t="shared" si="47"/>
        <v>3.2646666856611766E-5</v>
      </c>
      <c r="AN346" s="9" t="s">
        <v>3512</v>
      </c>
    </row>
    <row r="347" spans="13:40" ht="23">
      <c r="M347" s="9" t="s">
        <v>2522</v>
      </c>
      <c r="N347" s="8" t="s">
        <v>150</v>
      </c>
      <c r="O347" s="8"/>
      <c r="P347" s="8"/>
      <c r="Q347" s="8"/>
      <c r="R347" s="8"/>
      <c r="S347" s="8"/>
      <c r="T347" s="8"/>
      <c r="U347" s="8"/>
      <c r="V347" s="8"/>
      <c r="W347" s="9" t="s">
        <v>2522</v>
      </c>
      <c r="X347" s="8">
        <v>25.95</v>
      </c>
      <c r="Y347" s="8">
        <v>4.59</v>
      </c>
      <c r="Z347" s="9">
        <v>5.49</v>
      </c>
      <c r="AA347" s="8">
        <v>3.1</v>
      </c>
      <c r="AB347" s="8">
        <v>25008</v>
      </c>
      <c r="AC347" s="9" t="s">
        <v>2522</v>
      </c>
      <c r="AD347" s="8" t="s">
        <v>3725</v>
      </c>
      <c r="AE347" s="8" t="s">
        <v>4083</v>
      </c>
      <c r="AF347" s="9">
        <f t="shared" si="40"/>
        <v>14.228999999999999</v>
      </c>
      <c r="AG347" s="9">
        <f t="shared" si="41"/>
        <v>18.031666666666666</v>
      </c>
      <c r="AH347" s="9">
        <f t="shared" si="42"/>
        <v>1.0341744618956764E-2</v>
      </c>
      <c r="AI347" s="9">
        <f t="shared" si="43"/>
        <v>1.0695168176372119E-4</v>
      </c>
      <c r="AJ347" s="9">
        <f t="shared" si="44"/>
        <v>1.5052714014175133E-2</v>
      </c>
      <c r="AK347" s="9">
        <f t="shared" si="45"/>
        <v>2.2658419919254446E-4</v>
      </c>
      <c r="AL347" s="9">
        <f t="shared" si="46"/>
        <v>2.3274398922513442E-2</v>
      </c>
      <c r="AM347" s="9">
        <f t="shared" si="47"/>
        <v>5.4169764520429489E-4</v>
      </c>
      <c r="AN347" s="9" t="s">
        <v>2522</v>
      </c>
    </row>
    <row r="348" spans="13:40" ht="23">
      <c r="M348" s="24" t="s">
        <v>5123</v>
      </c>
      <c r="N348" s="24" t="s">
        <v>150</v>
      </c>
      <c r="O348" s="24"/>
      <c r="P348" s="24"/>
      <c r="Q348" s="24"/>
      <c r="R348" s="24"/>
      <c r="S348" s="24"/>
      <c r="T348" s="24"/>
      <c r="U348" s="24"/>
      <c r="V348" s="24"/>
      <c r="W348" s="24" t="s">
        <v>5123</v>
      </c>
      <c r="X348" s="24">
        <v>25.12</v>
      </c>
      <c r="Y348" s="24">
        <v>2.29</v>
      </c>
      <c r="Z348" s="25">
        <v>1.07</v>
      </c>
      <c r="AA348" s="24">
        <v>3.1</v>
      </c>
      <c r="AB348" s="24">
        <v>38786</v>
      </c>
      <c r="AC348" s="24" t="s">
        <v>5123</v>
      </c>
      <c r="AD348" s="8" t="s">
        <v>3725</v>
      </c>
      <c r="AE348" s="8" t="s">
        <v>4083</v>
      </c>
      <c r="AF348" s="25">
        <f t="shared" si="40"/>
        <v>7.0990000000000002</v>
      </c>
      <c r="AG348" s="25">
        <f t="shared" si="41"/>
        <v>3.4616666666666669</v>
      </c>
      <c r="AH348" s="25">
        <f t="shared" si="42"/>
        <v>1.0341744618956764E-2</v>
      </c>
      <c r="AI348" s="25">
        <f t="shared" si="43"/>
        <v>1.0695168176372119E-4</v>
      </c>
      <c r="AJ348" s="25">
        <f t="shared" si="44"/>
        <v>7.5099597151331281E-3</v>
      </c>
      <c r="AK348" s="25">
        <f t="shared" si="45"/>
        <v>5.6399494922922455E-5</v>
      </c>
      <c r="AL348" s="25">
        <f t="shared" si="46"/>
        <v>4.4681510825455607E-3</v>
      </c>
      <c r="AM348" s="25">
        <f t="shared" si="47"/>
        <v>1.9964374096453065E-5</v>
      </c>
      <c r="AN348" s="24" t="s">
        <v>5123</v>
      </c>
    </row>
    <row r="349" spans="13:40" ht="23">
      <c r="M349" s="9" t="s">
        <v>3036</v>
      </c>
      <c r="N349" s="8" t="s">
        <v>1814</v>
      </c>
      <c r="O349" s="8"/>
      <c r="P349" s="8" t="s">
        <v>3692</v>
      </c>
      <c r="Q349" s="8"/>
      <c r="R349" s="8"/>
      <c r="S349" s="8"/>
      <c r="T349" s="8"/>
      <c r="U349" s="8"/>
      <c r="V349" s="8"/>
      <c r="W349" s="9" t="s">
        <v>3036</v>
      </c>
      <c r="X349" s="8">
        <v>25.65</v>
      </c>
      <c r="Y349" s="8">
        <v>2.67</v>
      </c>
      <c r="Z349" s="9">
        <v>2.02</v>
      </c>
      <c r="AA349" s="8">
        <v>3.1</v>
      </c>
      <c r="AB349" s="8">
        <v>31869</v>
      </c>
      <c r="AC349" s="9" t="s">
        <v>3036</v>
      </c>
      <c r="AD349" s="8" t="s">
        <v>3725</v>
      </c>
      <c r="AE349" s="8" t="s">
        <v>4083</v>
      </c>
      <c r="AF349" s="9">
        <f t="shared" si="40"/>
        <v>8.2769999999999992</v>
      </c>
      <c r="AG349" s="9">
        <f t="shared" si="41"/>
        <v>6.3033333333333328</v>
      </c>
      <c r="AH349" s="9">
        <f t="shared" si="42"/>
        <v>1.0341744618956764E-2</v>
      </c>
      <c r="AI349" s="9">
        <f t="shared" si="43"/>
        <v>1.0695168176372119E-4</v>
      </c>
      <c r="AJ349" s="9">
        <f t="shared" si="44"/>
        <v>8.7561539036705022E-3</v>
      </c>
      <c r="AK349" s="9">
        <f t="shared" si="45"/>
        <v>7.6670231184764172E-5</v>
      </c>
      <c r="AL349" s="9">
        <f t="shared" si="46"/>
        <v>8.1360362995605718E-3</v>
      </c>
      <c r="AM349" s="9">
        <f t="shared" si="47"/>
        <v>6.6195086667767281E-5</v>
      </c>
      <c r="AN349" s="9" t="s">
        <v>3036</v>
      </c>
    </row>
    <row r="350" spans="13:40" ht="23">
      <c r="M350" s="9" t="s">
        <v>3591</v>
      </c>
      <c r="N350" s="8" t="s">
        <v>2084</v>
      </c>
      <c r="O350" s="8"/>
      <c r="P350" s="8"/>
      <c r="Q350" s="8"/>
      <c r="R350" s="8"/>
      <c r="S350" s="8"/>
      <c r="T350" s="8"/>
      <c r="U350" s="8"/>
      <c r="V350" s="8"/>
      <c r="W350" s="9" t="s">
        <v>3591</v>
      </c>
      <c r="X350" s="8">
        <v>57.97</v>
      </c>
      <c r="Y350" s="8">
        <v>1.63</v>
      </c>
      <c r="Z350" s="9">
        <v>1.38</v>
      </c>
      <c r="AA350" s="8">
        <v>3.1</v>
      </c>
      <c r="AB350" s="8">
        <v>42016</v>
      </c>
      <c r="AC350" s="9" t="s">
        <v>3591</v>
      </c>
      <c r="AD350" s="8" t="s">
        <v>3725</v>
      </c>
      <c r="AE350" s="8" t="s">
        <v>4083</v>
      </c>
      <c r="AF350" s="9">
        <f t="shared" si="40"/>
        <v>5.0529999999999999</v>
      </c>
      <c r="AG350" s="9">
        <f t="shared" si="41"/>
        <v>5.0633333333333335</v>
      </c>
      <c r="AH350" s="9">
        <f t="shared" si="42"/>
        <v>1.0341744618956764E-2</v>
      </c>
      <c r="AI350" s="9">
        <f t="shared" si="43"/>
        <v>1.0695168176372119E-4</v>
      </c>
      <c r="AJ350" s="9">
        <f t="shared" si="44"/>
        <v>5.3455171771471617E-3</v>
      </c>
      <c r="AK350" s="9">
        <f t="shared" si="45"/>
        <v>2.8574553891175358E-5</v>
      </c>
      <c r="AL350" s="9">
        <f t="shared" si="46"/>
        <v>6.5355045684994768E-3</v>
      </c>
      <c r="AM350" s="9">
        <f t="shared" si="47"/>
        <v>4.2712819964877532E-5</v>
      </c>
      <c r="AN350" s="9" t="s">
        <v>3591</v>
      </c>
    </row>
    <row r="351" spans="13:40" ht="23">
      <c r="M351" s="9" t="s">
        <v>3489</v>
      </c>
      <c r="N351" s="8" t="s">
        <v>2027</v>
      </c>
      <c r="O351" s="8"/>
      <c r="P351" s="8"/>
      <c r="Q351" s="8"/>
      <c r="R351" s="8"/>
      <c r="S351" s="8"/>
      <c r="T351" s="8"/>
      <c r="U351" s="8"/>
      <c r="V351" s="8"/>
      <c r="W351" s="9" t="s">
        <v>3489</v>
      </c>
      <c r="X351" s="8">
        <v>42.25</v>
      </c>
      <c r="Y351" s="8">
        <v>2.86</v>
      </c>
      <c r="Z351" s="9">
        <v>1.49</v>
      </c>
      <c r="AA351" s="8">
        <v>3</v>
      </c>
      <c r="AB351" s="8">
        <v>33662</v>
      </c>
      <c r="AC351" s="9" t="s">
        <v>3489</v>
      </c>
      <c r="AD351" s="8" t="s">
        <v>3725</v>
      </c>
      <c r="AE351" s="8" t="s">
        <v>4083</v>
      </c>
      <c r="AF351" s="9">
        <f t="shared" si="40"/>
        <v>8.58</v>
      </c>
      <c r="AG351" s="9">
        <f t="shared" si="41"/>
        <v>5.45</v>
      </c>
      <c r="AH351" s="9">
        <f t="shared" si="42"/>
        <v>1.0008139953829126E-2</v>
      </c>
      <c r="AI351" s="9">
        <f t="shared" si="43"/>
        <v>1.0016286533543085E-4</v>
      </c>
      <c r="AJ351" s="9">
        <f t="shared" si="44"/>
        <v>9.0766945141347016E-3</v>
      </c>
      <c r="AK351" s="9">
        <f t="shared" si="45"/>
        <v>8.2386383302922992E-5</v>
      </c>
      <c r="AL351" s="9">
        <f t="shared" si="46"/>
        <v>7.0345951082927223E-3</v>
      </c>
      <c r="AM351" s="9">
        <f t="shared" si="47"/>
        <v>4.9485528337615897E-5</v>
      </c>
      <c r="AN351" s="9" t="s">
        <v>3489</v>
      </c>
    </row>
    <row r="352" spans="13:40" ht="23">
      <c r="M352" s="9" t="s">
        <v>2579</v>
      </c>
      <c r="N352" s="8" t="s">
        <v>150</v>
      </c>
      <c r="O352" s="8"/>
      <c r="P352" s="8"/>
      <c r="Q352" s="8"/>
      <c r="R352" s="8"/>
      <c r="S352" s="8"/>
      <c r="T352" s="8"/>
      <c r="U352" s="8"/>
      <c r="V352" s="8"/>
      <c r="W352" s="9" t="s">
        <v>2579</v>
      </c>
      <c r="X352" s="8">
        <v>58.22</v>
      </c>
      <c r="Y352" s="8">
        <v>4.08</v>
      </c>
      <c r="Z352" s="9">
        <v>2.1800000000000002</v>
      </c>
      <c r="AA352" s="8">
        <v>3</v>
      </c>
      <c r="AB352" s="8">
        <v>26174</v>
      </c>
      <c r="AC352" s="9" t="s">
        <v>2579</v>
      </c>
      <c r="AD352" s="8" t="s">
        <v>3725</v>
      </c>
      <c r="AE352" s="8" t="s">
        <v>4083</v>
      </c>
      <c r="AF352" s="9">
        <f t="shared" si="40"/>
        <v>12.24</v>
      </c>
      <c r="AG352" s="9">
        <f t="shared" si="41"/>
        <v>6.8999999999999995</v>
      </c>
      <c r="AH352" s="9">
        <f t="shared" si="42"/>
        <v>1.0008139953829126E-2</v>
      </c>
      <c r="AI352" s="9">
        <f t="shared" si="43"/>
        <v>1.0016286533543085E-4</v>
      </c>
      <c r="AJ352" s="9">
        <f t="shared" si="44"/>
        <v>1.2948571194989364E-2</v>
      </c>
      <c r="AK352" s="9">
        <f t="shared" si="45"/>
        <v>1.6766549599170829E-4</v>
      </c>
      <c r="AL352" s="9">
        <f t="shared" si="46"/>
        <v>8.9061846325173902E-3</v>
      </c>
      <c r="AM352" s="9">
        <f t="shared" si="47"/>
        <v>7.9320124708488917E-5</v>
      </c>
      <c r="AN352" s="9" t="s">
        <v>2579</v>
      </c>
    </row>
    <row r="353" spans="13:40" ht="23">
      <c r="M353" s="8" t="s">
        <v>1370</v>
      </c>
      <c r="N353" s="8" t="s">
        <v>150</v>
      </c>
      <c r="O353" s="8"/>
      <c r="P353" s="8"/>
      <c r="Q353" s="8"/>
      <c r="R353" s="8"/>
      <c r="S353" s="8"/>
      <c r="T353" s="8"/>
      <c r="U353" s="8"/>
      <c r="V353" s="8"/>
      <c r="W353" s="8" t="s">
        <v>1370</v>
      </c>
      <c r="X353" s="8">
        <v>33.270000000000003</v>
      </c>
      <c r="Y353" s="8">
        <v>1.88</v>
      </c>
      <c r="Z353" s="9">
        <v>0.41</v>
      </c>
      <c r="AA353" s="8">
        <v>3</v>
      </c>
      <c r="AB353" s="8">
        <v>39000</v>
      </c>
      <c r="AC353" s="8" t="s">
        <v>1370</v>
      </c>
      <c r="AD353" s="8" t="s">
        <v>3725</v>
      </c>
      <c r="AE353" s="8" t="s">
        <v>4083</v>
      </c>
      <c r="AF353" s="9">
        <f t="shared" si="40"/>
        <v>5.64</v>
      </c>
      <c r="AG353" s="9">
        <f t="shared" si="41"/>
        <v>2.0499999999999998</v>
      </c>
      <c r="AH353" s="9">
        <f t="shared" si="42"/>
        <v>1.0008139953829126E-2</v>
      </c>
      <c r="AI353" s="9">
        <f t="shared" si="43"/>
        <v>1.0016286533543085E-4</v>
      </c>
      <c r="AJ353" s="9">
        <f t="shared" si="44"/>
        <v>5.9664984918088235E-3</v>
      </c>
      <c r="AK353" s="9">
        <f t="shared" si="45"/>
        <v>3.5599104252756963E-5</v>
      </c>
      <c r="AL353" s="9">
        <f t="shared" si="46"/>
        <v>2.6460403618348768E-3</v>
      </c>
      <c r="AM353" s="9">
        <f t="shared" si="47"/>
        <v>7.001529596459246E-6</v>
      </c>
      <c r="AN353" s="8" t="s">
        <v>1370</v>
      </c>
    </row>
    <row r="354" spans="13:40" ht="23">
      <c r="M354" s="9" t="s">
        <v>3524</v>
      </c>
      <c r="N354" s="8" t="s">
        <v>2041</v>
      </c>
      <c r="O354" s="8"/>
      <c r="P354" s="8"/>
      <c r="Q354" s="8"/>
      <c r="R354" s="8"/>
      <c r="S354" s="8"/>
      <c r="T354" s="8"/>
      <c r="U354" s="8"/>
      <c r="V354" s="8"/>
      <c r="W354" s="9" t="s">
        <v>3524</v>
      </c>
      <c r="X354" s="8">
        <v>60.06</v>
      </c>
      <c r="Y354" s="8">
        <v>1.93</v>
      </c>
      <c r="Z354" s="9">
        <v>0.49</v>
      </c>
      <c r="AA354" s="8">
        <v>3</v>
      </c>
      <c r="AB354" s="8">
        <v>40188</v>
      </c>
      <c r="AC354" s="9" t="s">
        <v>3524</v>
      </c>
      <c r="AD354" s="8" t="s">
        <v>3725</v>
      </c>
      <c r="AE354" s="8" t="s">
        <v>4083</v>
      </c>
      <c r="AF354" s="9">
        <f t="shared" si="40"/>
        <v>5.79</v>
      </c>
      <c r="AG354" s="9">
        <f t="shared" si="41"/>
        <v>2.4500000000000002</v>
      </c>
      <c r="AH354" s="9">
        <f t="shared" si="42"/>
        <v>1.0008139953829126E-2</v>
      </c>
      <c r="AI354" s="9">
        <f t="shared" si="43"/>
        <v>1.0016286533543085E-4</v>
      </c>
      <c r="AJ354" s="9">
        <f t="shared" si="44"/>
        <v>6.1251819623356542E-3</v>
      </c>
      <c r="AK354" s="9">
        <f t="shared" si="45"/>
        <v>3.7517854071722057E-5</v>
      </c>
      <c r="AL354" s="9">
        <f t="shared" si="46"/>
        <v>3.1623409202416824E-3</v>
      </c>
      <c r="AM354" s="9">
        <f t="shared" si="47"/>
        <v>1.000040009583501E-5</v>
      </c>
      <c r="AN354" s="9" t="s">
        <v>3524</v>
      </c>
    </row>
    <row r="355" spans="13:40" ht="23">
      <c r="M355" s="8" t="s">
        <v>1675</v>
      </c>
      <c r="N355" s="8" t="s">
        <v>1614</v>
      </c>
      <c r="O355" s="8"/>
      <c r="P355" s="8"/>
      <c r="Q355" s="8"/>
      <c r="R355" s="8"/>
      <c r="S355" s="8"/>
      <c r="T355" s="8"/>
      <c r="U355" s="8"/>
      <c r="V355" s="8"/>
      <c r="W355" s="8" t="s">
        <v>1675</v>
      </c>
      <c r="X355" s="8">
        <v>38.67</v>
      </c>
      <c r="Y355" s="8">
        <v>1.77</v>
      </c>
      <c r="Z355" s="9">
        <v>0.51</v>
      </c>
      <c r="AA355" s="8">
        <v>2.9</v>
      </c>
      <c r="AB355" s="8">
        <v>48041</v>
      </c>
      <c r="AC355" s="8" t="s">
        <v>1675</v>
      </c>
      <c r="AD355" s="8" t="s">
        <v>3725</v>
      </c>
      <c r="AE355" s="8" t="s">
        <v>4083</v>
      </c>
      <c r="AF355" s="9">
        <f t="shared" si="40"/>
        <v>5.133</v>
      </c>
      <c r="AG355" s="9">
        <f t="shared" si="41"/>
        <v>2.4649999999999999</v>
      </c>
      <c r="AH355" s="9">
        <f t="shared" si="42"/>
        <v>9.6745352887014895E-3</v>
      </c>
      <c r="AI355" s="9">
        <f t="shared" si="43"/>
        <v>9.3596633052330408E-5</v>
      </c>
      <c r="AJ355" s="9">
        <f t="shared" si="44"/>
        <v>5.4301483614281375E-3</v>
      </c>
      <c r="AK355" s="9">
        <f t="shared" si="45"/>
        <v>2.9486511227120687E-5</v>
      </c>
      <c r="AL355" s="9">
        <f t="shared" si="46"/>
        <v>3.1817021911819373E-3</v>
      </c>
      <c r="AM355" s="9">
        <f t="shared" si="47"/>
        <v>1.012322883337194E-5</v>
      </c>
      <c r="AN355" s="8" t="s">
        <v>1675</v>
      </c>
    </row>
    <row r="356" spans="13:40" ht="23">
      <c r="M356" s="8" t="s">
        <v>1065</v>
      </c>
      <c r="N356" s="8" t="s">
        <v>150</v>
      </c>
      <c r="O356" s="8"/>
      <c r="P356" s="8"/>
      <c r="Q356" s="8"/>
      <c r="R356" s="8"/>
      <c r="S356" s="8"/>
      <c r="T356" s="8"/>
      <c r="U356" s="8"/>
      <c r="V356" s="8"/>
      <c r="W356" s="8" t="s">
        <v>1065</v>
      </c>
      <c r="X356" s="8">
        <v>37.65</v>
      </c>
      <c r="Y356" s="8">
        <v>3.94</v>
      </c>
      <c r="Z356" s="9">
        <v>5.0599999999999996</v>
      </c>
      <c r="AA356" s="8">
        <v>2.9</v>
      </c>
      <c r="AB356" s="8">
        <v>24116</v>
      </c>
      <c r="AC356" s="8" t="s">
        <v>1065</v>
      </c>
      <c r="AD356" s="8" t="s">
        <v>3725</v>
      </c>
      <c r="AE356" s="8" t="s">
        <v>4083</v>
      </c>
      <c r="AF356" s="9">
        <f t="shared" si="40"/>
        <v>11.426</v>
      </c>
      <c r="AG356" s="9">
        <f t="shared" si="41"/>
        <v>14.79</v>
      </c>
      <c r="AH356" s="9">
        <f t="shared" si="42"/>
        <v>9.6745352887014895E-3</v>
      </c>
      <c r="AI356" s="9">
        <f t="shared" si="43"/>
        <v>9.3596633052330408E-5</v>
      </c>
      <c r="AJ356" s="9">
        <f t="shared" si="44"/>
        <v>1.2087448894930429E-2</v>
      </c>
      <c r="AK356" s="9">
        <f t="shared" si="45"/>
        <v>1.4610642078755485E-4</v>
      </c>
      <c r="AL356" s="9">
        <f t="shared" si="46"/>
        <v>1.9090213147091625E-2</v>
      </c>
      <c r="AM356" s="9">
        <f t="shared" si="47"/>
        <v>3.6443623800138996E-4</v>
      </c>
      <c r="AN356" s="8" t="s">
        <v>1065</v>
      </c>
    </row>
    <row r="357" spans="13:40" ht="23">
      <c r="M357" s="8" t="s">
        <v>1375</v>
      </c>
      <c r="N357" s="8" t="s">
        <v>150</v>
      </c>
      <c r="O357" s="8"/>
      <c r="P357" s="8"/>
      <c r="Q357" s="8"/>
      <c r="R357" s="8"/>
      <c r="S357" s="8"/>
      <c r="T357" s="8"/>
      <c r="U357" s="8"/>
      <c r="V357" s="8"/>
      <c r="W357" s="8" t="s">
        <v>1375</v>
      </c>
      <c r="X357" s="8">
        <v>21.02</v>
      </c>
      <c r="Y357" s="8">
        <v>3.88</v>
      </c>
      <c r="Z357" s="9">
        <v>4.13</v>
      </c>
      <c r="AA357" s="8">
        <v>2.9</v>
      </c>
      <c r="AB357" s="8">
        <v>32919</v>
      </c>
      <c r="AC357" s="8" t="s">
        <v>1375</v>
      </c>
      <c r="AD357" s="8" t="s">
        <v>3725</v>
      </c>
      <c r="AE357" s="8" t="s">
        <v>4083</v>
      </c>
      <c r="AF357" s="9">
        <f t="shared" si="40"/>
        <v>11.251999999999999</v>
      </c>
      <c r="AG357" s="9">
        <f t="shared" si="41"/>
        <v>12.228333333333333</v>
      </c>
      <c r="AH357" s="9">
        <f t="shared" si="42"/>
        <v>9.6745352887014895E-3</v>
      </c>
      <c r="AI357" s="9">
        <f t="shared" si="43"/>
        <v>9.3596633052330408E-5</v>
      </c>
      <c r="AJ357" s="9">
        <f t="shared" si="44"/>
        <v>1.1903376069119306E-2</v>
      </c>
      <c r="AK357" s="9">
        <f t="shared" si="45"/>
        <v>1.4169036184288219E-4</v>
      </c>
      <c r="AL357" s="9">
        <f t="shared" si="46"/>
        <v>1.5783738320961374E-2</v>
      </c>
      <c r="AM357" s="9">
        <f t="shared" si="47"/>
        <v>2.4912639538458457E-4</v>
      </c>
      <c r="AN357" s="8" t="s">
        <v>1375</v>
      </c>
    </row>
    <row r="358" spans="13:40" ht="23">
      <c r="M358" s="9" t="s">
        <v>4950</v>
      </c>
      <c r="N358" s="8" t="s">
        <v>150</v>
      </c>
      <c r="O358" s="8"/>
      <c r="P358" s="8"/>
      <c r="Q358" s="8"/>
      <c r="R358" s="8"/>
      <c r="S358" s="8"/>
      <c r="T358" s="8"/>
      <c r="U358" s="8"/>
      <c r="V358" s="8"/>
      <c r="W358" s="9" t="s">
        <v>4950</v>
      </c>
      <c r="X358" s="8">
        <v>21.1</v>
      </c>
      <c r="Y358" s="8">
        <v>2.95</v>
      </c>
      <c r="Z358" s="9">
        <v>1.59</v>
      </c>
      <c r="AA358" s="8">
        <v>2.9</v>
      </c>
      <c r="AB358" s="8">
        <v>5520</v>
      </c>
      <c r="AC358" s="9" t="s">
        <v>4950</v>
      </c>
      <c r="AD358" s="8" t="s">
        <v>3725</v>
      </c>
      <c r="AE358" s="8" t="s">
        <v>4083</v>
      </c>
      <c r="AF358" s="9">
        <f t="shared" si="40"/>
        <v>8.5549999999999997</v>
      </c>
      <c r="AG358" s="9">
        <f t="shared" si="41"/>
        <v>5.7516666666666669</v>
      </c>
      <c r="AH358" s="9">
        <f t="shared" si="42"/>
        <v>9.6745352887014895E-3</v>
      </c>
      <c r="AI358" s="9">
        <f t="shared" si="43"/>
        <v>9.3596633052330408E-5</v>
      </c>
      <c r="AJ358" s="9">
        <f t="shared" si="44"/>
        <v>9.050247269046895E-3</v>
      </c>
      <c r="AK358" s="9">
        <f t="shared" si="45"/>
        <v>8.1906975630890785E-5</v>
      </c>
      <c r="AL358" s="9">
        <f t="shared" si="46"/>
        <v>7.423971779424522E-3</v>
      </c>
      <c r="AM358" s="9">
        <f t="shared" si="47"/>
        <v>5.5115356981691701E-5</v>
      </c>
      <c r="AN358" s="9" t="s">
        <v>4950</v>
      </c>
    </row>
    <row r="359" spans="13:40" ht="23">
      <c r="M359" s="8" t="s">
        <v>484</v>
      </c>
      <c r="N359" s="8" t="s">
        <v>150</v>
      </c>
      <c r="O359" s="8"/>
      <c r="P359" s="8"/>
      <c r="Q359" s="8"/>
      <c r="R359" s="8"/>
      <c r="S359" s="8"/>
      <c r="T359" s="8"/>
      <c r="U359" s="8"/>
      <c r="V359" s="8"/>
      <c r="W359" s="8" t="s">
        <v>484</v>
      </c>
      <c r="X359" s="8">
        <v>14.98</v>
      </c>
      <c r="Y359" s="8">
        <v>4.34</v>
      </c>
      <c r="Z359" s="9">
        <v>5.18</v>
      </c>
      <c r="AA359" s="8">
        <v>2.8</v>
      </c>
      <c r="AB359" s="8">
        <v>30277</v>
      </c>
      <c r="AC359" s="8" t="s">
        <v>484</v>
      </c>
      <c r="AD359" s="8" t="s">
        <v>3725</v>
      </c>
      <c r="AE359" s="8" t="s">
        <v>4083</v>
      </c>
      <c r="AF359" s="9">
        <f t="shared" si="40"/>
        <v>12.151999999999999</v>
      </c>
      <c r="AG359" s="9">
        <f t="shared" si="41"/>
        <v>14.839999999999998</v>
      </c>
      <c r="AH359" s="9">
        <f t="shared" si="42"/>
        <v>9.3409306235738513E-3</v>
      </c>
      <c r="AI359" s="9">
        <f t="shared" si="43"/>
        <v>8.7252984914419781E-5</v>
      </c>
      <c r="AJ359" s="9">
        <f t="shared" si="44"/>
        <v>1.2855476892280289E-2</v>
      </c>
      <c r="AK359" s="9">
        <f t="shared" si="45"/>
        <v>1.6526328612795249E-4</v>
      </c>
      <c r="AL359" s="9">
        <f t="shared" si="46"/>
        <v>1.9154750716892474E-2</v>
      </c>
      <c r="AM359" s="9">
        <f t="shared" si="47"/>
        <v>3.6690447502629275E-4</v>
      </c>
      <c r="AN359" s="8" t="s">
        <v>484</v>
      </c>
    </row>
    <row r="360" spans="13:40" ht="23">
      <c r="M360" s="24" t="s">
        <v>5125</v>
      </c>
      <c r="N360" s="24" t="s">
        <v>150</v>
      </c>
      <c r="O360" s="24"/>
      <c r="P360" s="24"/>
      <c r="Q360" s="24"/>
      <c r="R360" s="24"/>
      <c r="S360" s="24"/>
      <c r="T360" s="24"/>
      <c r="U360" s="24"/>
      <c r="V360" s="24"/>
      <c r="W360" s="24" t="s">
        <v>5125</v>
      </c>
      <c r="X360" s="24">
        <v>49.03</v>
      </c>
      <c r="Y360" s="24">
        <v>3.09</v>
      </c>
      <c r="Z360" s="25">
        <v>4.47</v>
      </c>
      <c r="AA360" s="24">
        <v>2.8</v>
      </c>
      <c r="AB360" s="24">
        <v>31722</v>
      </c>
      <c r="AC360" s="24" t="s">
        <v>5125</v>
      </c>
      <c r="AD360" s="8" t="s">
        <v>3725</v>
      </c>
      <c r="AE360" s="8" t="s">
        <v>4083</v>
      </c>
      <c r="AF360" s="25">
        <f t="shared" si="40"/>
        <v>8.6519999999999992</v>
      </c>
      <c r="AG360" s="25">
        <f t="shared" si="41"/>
        <v>13.393333333333333</v>
      </c>
      <c r="AH360" s="25">
        <f t="shared" si="42"/>
        <v>9.3409306235738513E-3</v>
      </c>
      <c r="AI360" s="25">
        <f t="shared" si="43"/>
        <v>8.7252984914419781E-5</v>
      </c>
      <c r="AJ360" s="25">
        <f t="shared" si="44"/>
        <v>9.1528625799875783E-3</v>
      </c>
      <c r="AK360" s="25">
        <f t="shared" si="45"/>
        <v>8.3774893408136873E-5</v>
      </c>
      <c r="AL360" s="25">
        <f t="shared" si="46"/>
        <v>1.7287463697321197E-2</v>
      </c>
      <c r="AM360" s="25">
        <f t="shared" si="47"/>
        <v>2.9885640108619828E-4</v>
      </c>
      <c r="AN360" s="24" t="s">
        <v>5125</v>
      </c>
    </row>
    <row r="361" spans="13:40" ht="23">
      <c r="M361" s="8" t="s">
        <v>1565</v>
      </c>
      <c r="N361" s="8" t="s">
        <v>150</v>
      </c>
      <c r="O361" s="8"/>
      <c r="P361" s="8"/>
      <c r="Q361" s="8"/>
      <c r="R361" s="8"/>
      <c r="S361" s="8"/>
      <c r="T361" s="8"/>
      <c r="U361" s="8"/>
      <c r="V361" s="8"/>
      <c r="W361" s="8" t="s">
        <v>1565</v>
      </c>
      <c r="X361" s="8">
        <v>59.69</v>
      </c>
      <c r="Y361" s="8">
        <v>1.54</v>
      </c>
      <c r="Z361" s="9">
        <v>1.01</v>
      </c>
      <c r="AA361" s="8">
        <v>2.8</v>
      </c>
      <c r="AB361" s="8">
        <v>37931</v>
      </c>
      <c r="AC361" s="8" t="s">
        <v>1565</v>
      </c>
      <c r="AD361" s="8" t="s">
        <v>3725</v>
      </c>
      <c r="AE361" s="8" t="s">
        <v>4083</v>
      </c>
      <c r="AF361" s="9">
        <f t="shared" si="40"/>
        <v>4.3119999999999994</v>
      </c>
      <c r="AG361" s="9">
        <f t="shared" si="41"/>
        <v>2.8466666666666662</v>
      </c>
      <c r="AH361" s="9">
        <f t="shared" si="42"/>
        <v>9.3409306235738513E-3</v>
      </c>
      <c r="AI361" s="9">
        <f t="shared" si="43"/>
        <v>8.7252984914419781E-5</v>
      </c>
      <c r="AJ361" s="9">
        <f t="shared" si="44"/>
        <v>4.5616208327446178E-3</v>
      </c>
      <c r="AK361" s="9">
        <f t="shared" si="45"/>
        <v>2.08083846217297E-5</v>
      </c>
      <c r="AL361" s="9">
        <f t="shared" si="46"/>
        <v>3.6743389739950969E-3</v>
      </c>
      <c r="AM361" s="9">
        <f t="shared" si="47"/>
        <v>1.3500766895819341E-5</v>
      </c>
      <c r="AN361" s="8" t="s">
        <v>1565</v>
      </c>
    </row>
    <row r="362" spans="13:40" ht="23">
      <c r="M362" s="9" t="s">
        <v>3309</v>
      </c>
      <c r="N362" s="8" t="s">
        <v>1939</v>
      </c>
      <c r="O362" s="8"/>
      <c r="P362" s="8"/>
      <c r="Q362" s="8"/>
      <c r="R362" s="8"/>
      <c r="S362" s="8"/>
      <c r="T362" s="8"/>
      <c r="U362" s="8"/>
      <c r="V362" s="8"/>
      <c r="W362" s="9" t="s">
        <v>3309</v>
      </c>
      <c r="X362" s="8">
        <v>16.73</v>
      </c>
      <c r="Y362" s="8">
        <v>2.57</v>
      </c>
      <c r="Z362" s="9">
        <v>1.0900000000000001</v>
      </c>
      <c r="AA362" s="8">
        <v>2.8</v>
      </c>
      <c r="AB362" s="8">
        <v>45574</v>
      </c>
      <c r="AC362" s="9" t="s">
        <v>3309</v>
      </c>
      <c r="AD362" s="8" t="s">
        <v>3725</v>
      </c>
      <c r="AE362" s="8" t="s">
        <v>4083</v>
      </c>
      <c r="AF362" s="9">
        <f t="shared" si="40"/>
        <v>7.1959999999999988</v>
      </c>
      <c r="AG362" s="9">
        <f t="shared" si="41"/>
        <v>3.2199999999999998</v>
      </c>
      <c r="AH362" s="9">
        <f t="shared" si="42"/>
        <v>9.3409306235738513E-3</v>
      </c>
      <c r="AI362" s="9">
        <f t="shared" si="43"/>
        <v>8.7252984914419781E-5</v>
      </c>
      <c r="AJ362" s="9">
        <f t="shared" si="44"/>
        <v>7.6125750260738105E-3</v>
      </c>
      <c r="AK362" s="9">
        <f t="shared" si="45"/>
        <v>5.7951298527602677E-5</v>
      </c>
      <c r="AL362" s="9">
        <f t="shared" si="46"/>
        <v>4.1562194951747823E-3</v>
      </c>
      <c r="AM362" s="9">
        <f t="shared" si="47"/>
        <v>1.7274160492070921E-5</v>
      </c>
      <c r="AN362" s="9" t="s">
        <v>3309</v>
      </c>
    </row>
    <row r="363" spans="13:40" ht="23">
      <c r="M363" s="24" t="s">
        <v>5108</v>
      </c>
      <c r="N363" s="8" t="s">
        <v>150</v>
      </c>
      <c r="O363" s="24"/>
      <c r="P363" s="24"/>
      <c r="Q363" s="24"/>
      <c r="R363" s="24"/>
      <c r="S363" s="24"/>
      <c r="T363" s="24"/>
      <c r="U363" s="24"/>
      <c r="V363" s="24"/>
      <c r="W363" s="24" t="s">
        <v>5108</v>
      </c>
      <c r="X363" s="24">
        <v>43.25</v>
      </c>
      <c r="Y363" s="24">
        <v>2.52</v>
      </c>
      <c r="Z363" s="25">
        <v>2.4</v>
      </c>
      <c r="AA363" s="24">
        <v>2.7</v>
      </c>
      <c r="AB363" s="24">
        <v>32235</v>
      </c>
      <c r="AC363" s="24" t="s">
        <v>5108</v>
      </c>
      <c r="AD363" s="8" t="s">
        <v>3725</v>
      </c>
      <c r="AE363" s="8" t="s">
        <v>4083</v>
      </c>
      <c r="AF363" s="25">
        <f t="shared" si="40"/>
        <v>6.8040000000000003</v>
      </c>
      <c r="AG363" s="25">
        <f t="shared" si="41"/>
        <v>5.418000000000001</v>
      </c>
      <c r="AH363" s="25">
        <f t="shared" si="42"/>
        <v>9.0073259584462148E-3</v>
      </c>
      <c r="AI363" s="25">
        <f t="shared" si="43"/>
        <v>8.1131920921699027E-5</v>
      </c>
      <c r="AJ363" s="25">
        <f t="shared" si="44"/>
        <v>7.1978822230970288E-3</v>
      </c>
      <c r="AK363" s="25">
        <f t="shared" si="45"/>
        <v>5.1809508497576225E-5</v>
      </c>
      <c r="AL363" s="25">
        <f t="shared" si="46"/>
        <v>6.993291063620179E-3</v>
      </c>
      <c r="AM363" s="25">
        <f t="shared" si="47"/>
        <v>4.8906119900509852E-5</v>
      </c>
      <c r="AN363" s="24" t="s">
        <v>5108</v>
      </c>
    </row>
    <row r="364" spans="13:40" ht="23">
      <c r="M364" s="8" t="s">
        <v>5004</v>
      </c>
      <c r="N364" s="8" t="s">
        <v>2017</v>
      </c>
      <c r="O364" s="8"/>
      <c r="P364" s="8" t="s">
        <v>3691</v>
      </c>
      <c r="Q364" s="8"/>
      <c r="R364" s="8"/>
      <c r="S364" s="8"/>
      <c r="T364" s="8"/>
      <c r="U364" s="8"/>
      <c r="V364" s="8"/>
      <c r="W364" s="8" t="s">
        <v>5004</v>
      </c>
      <c r="X364" s="8">
        <v>28.22</v>
      </c>
      <c r="Y364" s="8">
        <v>13.6</v>
      </c>
      <c r="Z364" s="9">
        <v>13.46</v>
      </c>
      <c r="AA364" s="8">
        <v>2.7</v>
      </c>
      <c r="AB364" s="8">
        <v>19151</v>
      </c>
      <c r="AC364" s="8" t="s">
        <v>5004</v>
      </c>
      <c r="AD364" s="8" t="s">
        <v>3725</v>
      </c>
      <c r="AE364" s="8" t="s">
        <v>4083</v>
      </c>
      <c r="AF364" s="9">
        <f t="shared" si="40"/>
        <v>36.72</v>
      </c>
      <c r="AG364" s="9">
        <f t="shared" si="41"/>
        <v>37.17</v>
      </c>
      <c r="AH364" s="9">
        <f t="shared" si="42"/>
        <v>9.0073259584462148E-3</v>
      </c>
      <c r="AI364" s="9">
        <f t="shared" si="43"/>
        <v>8.1131920921699027E-5</v>
      </c>
      <c r="AJ364" s="9">
        <f t="shared" si="44"/>
        <v>3.8845713584968085E-2</v>
      </c>
      <c r="AK364" s="9">
        <f t="shared" si="45"/>
        <v>1.5089894639253741E-3</v>
      </c>
      <c r="AL364" s="9">
        <f t="shared" si="46"/>
        <v>4.7977229389952379E-2</v>
      </c>
      <c r="AM364" s="9">
        <f t="shared" si="47"/>
        <v>2.3018145399361103E-3</v>
      </c>
      <c r="AN364" s="8" t="s">
        <v>5004</v>
      </c>
    </row>
    <row r="365" spans="13:40" ht="23">
      <c r="M365" s="8" t="s">
        <v>5061</v>
      </c>
      <c r="N365" s="8" t="s">
        <v>150</v>
      </c>
      <c r="O365" s="8"/>
      <c r="P365" s="8"/>
      <c r="Q365" s="8"/>
      <c r="R365" s="8"/>
      <c r="S365" s="8"/>
      <c r="T365" s="8"/>
      <c r="U365" s="8"/>
      <c r="V365" s="8"/>
      <c r="W365" s="8" t="s">
        <v>5061</v>
      </c>
      <c r="X365" s="8">
        <v>46.66</v>
      </c>
      <c r="Y365" s="8">
        <v>5.01</v>
      </c>
      <c r="Z365" s="9">
        <v>8.43</v>
      </c>
      <c r="AA365" s="8">
        <v>2.6</v>
      </c>
      <c r="AB365" s="8">
        <v>25576</v>
      </c>
      <c r="AC365" s="8" t="s">
        <v>5061</v>
      </c>
      <c r="AD365" s="8" t="s">
        <v>3725</v>
      </c>
      <c r="AE365" s="8" t="s">
        <v>4083</v>
      </c>
      <c r="AF365" s="9">
        <f t="shared" si="40"/>
        <v>13.026</v>
      </c>
      <c r="AG365" s="9">
        <f t="shared" si="41"/>
        <v>22.663333333333334</v>
      </c>
      <c r="AH365" s="9">
        <f t="shared" si="42"/>
        <v>8.6737212933185766E-3</v>
      </c>
      <c r="AI365" s="9">
        <f t="shared" si="43"/>
        <v>7.5233441074168078E-5</v>
      </c>
      <c r="AJ365" s="9">
        <f t="shared" si="44"/>
        <v>1.3780072580549954E-2</v>
      </c>
      <c r="AK365" s="9">
        <f t="shared" si="45"/>
        <v>1.8989040032522467E-4</v>
      </c>
      <c r="AL365" s="9">
        <f t="shared" si="46"/>
        <v>2.9252729138398909E-2</v>
      </c>
      <c r="AM365" s="9">
        <f t="shared" si="47"/>
        <v>8.5572216204453258E-4</v>
      </c>
      <c r="AN365" s="8" t="s">
        <v>5061</v>
      </c>
    </row>
    <row r="366" spans="13:40" ht="23">
      <c r="M366" s="8" t="s">
        <v>1427</v>
      </c>
      <c r="N366" s="8" t="s">
        <v>150</v>
      </c>
      <c r="O366" s="8"/>
      <c r="P366" s="8"/>
      <c r="Q366" s="8"/>
      <c r="R366" s="8"/>
      <c r="S366" s="8"/>
      <c r="T366" s="8"/>
      <c r="U366" s="8"/>
      <c r="V366" s="8"/>
      <c r="W366" s="8" t="s">
        <v>1427</v>
      </c>
      <c r="X366" s="8">
        <v>59.27</v>
      </c>
      <c r="Y366" s="8">
        <v>1.73</v>
      </c>
      <c r="Z366" s="9">
        <v>7.34</v>
      </c>
      <c r="AA366" s="8">
        <v>2.6</v>
      </c>
      <c r="AB366" s="8">
        <v>88189</v>
      </c>
      <c r="AC366" s="8" t="s">
        <v>1427</v>
      </c>
      <c r="AD366" s="8" t="s">
        <v>3725</v>
      </c>
      <c r="AE366" s="8" t="s">
        <v>4083</v>
      </c>
      <c r="AF366" s="9">
        <f t="shared" si="40"/>
        <v>4.4980000000000002</v>
      </c>
      <c r="AG366" s="9">
        <f t="shared" si="41"/>
        <v>19.673333333333332</v>
      </c>
      <c r="AH366" s="9">
        <f t="shared" si="42"/>
        <v>8.6737212933185766E-3</v>
      </c>
      <c r="AI366" s="9">
        <f t="shared" si="43"/>
        <v>7.5233441074168078E-5</v>
      </c>
      <c r="AJ366" s="9">
        <f t="shared" si="44"/>
        <v>4.7583883361978887E-3</v>
      </c>
      <c r="AK366" s="9">
        <f t="shared" si="45"/>
        <v>2.2642259558064109E-5</v>
      </c>
      <c r="AL366" s="9">
        <f t="shared" si="46"/>
        <v>2.5393382464308036E-2</v>
      </c>
      <c r="AM366" s="9">
        <f t="shared" si="47"/>
        <v>6.4482387297862688E-4</v>
      </c>
      <c r="AN366" s="8" t="s">
        <v>1427</v>
      </c>
    </row>
    <row r="367" spans="13:40" ht="23">
      <c r="M367" s="24" t="s">
        <v>2958</v>
      </c>
      <c r="N367" s="24" t="s">
        <v>1717</v>
      </c>
      <c r="O367" s="24"/>
      <c r="P367" s="24"/>
      <c r="Q367" s="24"/>
      <c r="R367" s="24"/>
      <c r="S367" s="24"/>
      <c r="T367" s="24"/>
      <c r="U367" s="24"/>
      <c r="V367" s="24"/>
      <c r="W367" s="24" t="s">
        <v>2958</v>
      </c>
      <c r="X367" s="24">
        <v>55.16</v>
      </c>
      <c r="Y367" s="24">
        <v>1.56</v>
      </c>
      <c r="Z367" s="25">
        <v>1.37</v>
      </c>
      <c r="AA367" s="24">
        <v>2.6</v>
      </c>
      <c r="AB367" s="24">
        <v>46600</v>
      </c>
      <c r="AC367" s="24" t="s">
        <v>2958</v>
      </c>
      <c r="AD367" s="8" t="s">
        <v>3725</v>
      </c>
      <c r="AE367" s="24"/>
      <c r="AF367" s="25">
        <f t="shared" si="40"/>
        <v>4.056</v>
      </c>
      <c r="AG367" s="25">
        <f t="shared" si="41"/>
        <v>4.2033333333333331</v>
      </c>
      <c r="AH367" s="25">
        <f t="shared" si="42"/>
        <v>8.6737212933185766E-3</v>
      </c>
      <c r="AI367" s="25">
        <f t="shared" si="43"/>
        <v>7.5233441074168078E-5</v>
      </c>
      <c r="AJ367" s="25">
        <f t="shared" si="44"/>
        <v>4.2908010430454955E-3</v>
      </c>
      <c r="AK367" s="25">
        <f t="shared" si="45"/>
        <v>1.8410973591000312E-5</v>
      </c>
      <c r="AL367" s="25">
        <f t="shared" si="46"/>
        <v>5.4254583679248453E-3</v>
      </c>
      <c r="AM367" s="25">
        <f t="shared" si="47"/>
        <v>2.9435598502085726E-5</v>
      </c>
      <c r="AN367" s="24" t="s">
        <v>2958</v>
      </c>
    </row>
    <row r="368" spans="13:40" ht="23">
      <c r="M368" s="8" t="s">
        <v>1800</v>
      </c>
      <c r="N368" s="8" t="s">
        <v>1717</v>
      </c>
      <c r="O368" s="8"/>
      <c r="P368" s="8"/>
      <c r="Q368" s="8"/>
      <c r="R368" s="8"/>
      <c r="S368" s="8"/>
      <c r="T368" s="8"/>
      <c r="U368" s="8"/>
      <c r="V368" s="8"/>
      <c r="W368" s="8" t="s">
        <v>1800</v>
      </c>
      <c r="X368" s="8">
        <v>76.930000000000007</v>
      </c>
      <c r="Y368" s="8">
        <v>1.68</v>
      </c>
      <c r="Z368" s="9">
        <v>1.0900000000000001</v>
      </c>
      <c r="AA368" s="8">
        <v>2.6</v>
      </c>
      <c r="AB368" s="8">
        <v>27971</v>
      </c>
      <c r="AC368" s="8" t="s">
        <v>1800</v>
      </c>
      <c r="AD368" s="8" t="s">
        <v>3725</v>
      </c>
      <c r="AE368" s="8" t="s">
        <v>4083</v>
      </c>
      <c r="AF368" s="9">
        <f t="shared" si="40"/>
        <v>4.3680000000000003</v>
      </c>
      <c r="AG368" s="9">
        <f t="shared" si="41"/>
        <v>2.9899999999999998</v>
      </c>
      <c r="AH368" s="9">
        <f t="shared" si="42"/>
        <v>8.6737212933185766E-3</v>
      </c>
      <c r="AI368" s="9">
        <f t="shared" si="43"/>
        <v>7.5233441074168078E-5</v>
      </c>
      <c r="AJ368" s="9">
        <f t="shared" si="44"/>
        <v>4.6208626617413023E-3</v>
      </c>
      <c r="AK368" s="9">
        <f t="shared" si="45"/>
        <v>2.1352371738674912E-5</v>
      </c>
      <c r="AL368" s="9">
        <f t="shared" si="46"/>
        <v>3.8593466740908695E-3</v>
      </c>
      <c r="AM368" s="9">
        <f t="shared" si="47"/>
        <v>1.4894556750816257E-5</v>
      </c>
      <c r="AN368" s="8" t="s">
        <v>1800</v>
      </c>
    </row>
    <row r="369" spans="13:40" ht="23">
      <c r="M369" s="9" t="s">
        <v>2759</v>
      </c>
      <c r="N369" s="8" t="s">
        <v>1614</v>
      </c>
      <c r="O369" s="8"/>
      <c r="P369" s="8"/>
      <c r="Q369" s="8"/>
      <c r="R369" s="8"/>
      <c r="S369" s="8"/>
      <c r="T369" s="8"/>
      <c r="U369" s="8"/>
      <c r="V369" s="8"/>
      <c r="W369" s="9" t="s">
        <v>2759</v>
      </c>
      <c r="X369" s="8">
        <v>34.42</v>
      </c>
      <c r="Y369" s="8">
        <v>2.4</v>
      </c>
      <c r="Z369" s="9">
        <v>3.59</v>
      </c>
      <c r="AA369" s="8">
        <v>2.5</v>
      </c>
      <c r="AB369" s="8">
        <v>38767</v>
      </c>
      <c r="AC369" s="9" t="s">
        <v>2759</v>
      </c>
      <c r="AD369" s="8" t="s">
        <v>3725</v>
      </c>
      <c r="AE369" s="8" t="s">
        <v>4083</v>
      </c>
      <c r="AF369" s="9">
        <f t="shared" si="40"/>
        <v>6</v>
      </c>
      <c r="AG369" s="9">
        <f t="shared" si="41"/>
        <v>9.9583333333333339</v>
      </c>
      <c r="AH369" s="9">
        <f t="shared" si="42"/>
        <v>8.3401166281909401E-3</v>
      </c>
      <c r="AI369" s="9">
        <f t="shared" si="43"/>
        <v>6.9557545371827016E-5</v>
      </c>
      <c r="AJ369" s="9">
        <f t="shared" si="44"/>
        <v>6.3473388210732173E-3</v>
      </c>
      <c r="AK369" s="9">
        <f t="shared" si="45"/>
        <v>4.0288710109503139E-5</v>
      </c>
      <c r="AL369" s="9">
        <f t="shared" si="46"/>
        <v>1.2853732652002757E-2</v>
      </c>
      <c r="AM369" s="9">
        <f t="shared" si="47"/>
        <v>1.6521844308916184E-4</v>
      </c>
      <c r="AN369" s="9" t="s">
        <v>2759</v>
      </c>
    </row>
    <row r="370" spans="13:40" ht="23">
      <c r="M370" s="8" t="s">
        <v>1193</v>
      </c>
      <c r="N370" s="8" t="s">
        <v>150</v>
      </c>
      <c r="O370" s="8"/>
      <c r="P370" s="8"/>
      <c r="Q370" s="8"/>
      <c r="R370" s="8"/>
      <c r="S370" s="8"/>
      <c r="T370" s="8"/>
      <c r="U370" s="8"/>
      <c r="V370" s="8"/>
      <c r="W370" s="8" t="s">
        <v>1193</v>
      </c>
      <c r="X370" s="8">
        <v>28.05</v>
      </c>
      <c r="Y370" s="8">
        <v>2.23</v>
      </c>
      <c r="Z370" s="9">
        <v>1.52</v>
      </c>
      <c r="AA370" s="8">
        <v>2.5</v>
      </c>
      <c r="AB370" s="8">
        <v>39815</v>
      </c>
      <c r="AC370" s="8" t="s">
        <v>1193</v>
      </c>
      <c r="AD370" s="8" t="s">
        <v>3725</v>
      </c>
      <c r="AE370" s="8" t="s">
        <v>4083</v>
      </c>
      <c r="AF370" s="9">
        <f t="shared" si="40"/>
        <v>5.5750000000000002</v>
      </c>
      <c r="AG370" s="9">
        <f t="shared" si="41"/>
        <v>4.666666666666667</v>
      </c>
      <c r="AH370" s="9">
        <f t="shared" si="42"/>
        <v>8.3401166281909401E-3</v>
      </c>
      <c r="AI370" s="9">
        <f t="shared" si="43"/>
        <v>6.9557545371827016E-5</v>
      </c>
      <c r="AJ370" s="9">
        <f t="shared" si="44"/>
        <v>5.8977356545805316E-3</v>
      </c>
      <c r="AK370" s="9">
        <f t="shared" si="45"/>
        <v>3.4783285851310452E-5</v>
      </c>
      <c r="AL370" s="9">
        <f t="shared" si="46"/>
        <v>6.0235065147460614E-3</v>
      </c>
      <c r="AM370" s="9">
        <f t="shared" si="47"/>
        <v>3.6282630733188242E-5</v>
      </c>
      <c r="AN370" s="8" t="s">
        <v>1193</v>
      </c>
    </row>
    <row r="371" spans="13:40" ht="23">
      <c r="M371" s="8" t="s">
        <v>1422</v>
      </c>
      <c r="N371" s="8" t="s">
        <v>150</v>
      </c>
      <c r="O371" s="8"/>
      <c r="P371" s="8"/>
      <c r="Q371" s="8"/>
      <c r="R371" s="8"/>
      <c r="S371" s="8"/>
      <c r="T371" s="8"/>
      <c r="U371" s="8"/>
      <c r="V371" s="8"/>
      <c r="W371" s="8" t="s">
        <v>1422</v>
      </c>
      <c r="X371" s="8">
        <v>34.31</v>
      </c>
      <c r="Y371" s="8">
        <v>1.71</v>
      </c>
      <c r="Z371" s="9">
        <v>0.14000000000000001</v>
      </c>
      <c r="AA371" s="8">
        <v>2.5</v>
      </c>
      <c r="AB371" s="8">
        <v>60316</v>
      </c>
      <c r="AC371" s="8" t="s">
        <v>1422</v>
      </c>
      <c r="AD371" s="8" t="s">
        <v>3725</v>
      </c>
      <c r="AE371" s="8" t="s">
        <v>4083</v>
      </c>
      <c r="AF371" s="9">
        <f t="shared" si="40"/>
        <v>4.2750000000000004</v>
      </c>
      <c r="AG371" s="9">
        <f t="shared" si="41"/>
        <v>0.58333333333333337</v>
      </c>
      <c r="AH371" s="9">
        <f t="shared" si="42"/>
        <v>8.3401166281909401E-3</v>
      </c>
      <c r="AI371" s="9">
        <f t="shared" si="43"/>
        <v>6.9557545371827016E-5</v>
      </c>
      <c r="AJ371" s="9">
        <f t="shared" si="44"/>
        <v>4.5224789100146677E-3</v>
      </c>
      <c r="AK371" s="9">
        <f t="shared" si="45"/>
        <v>2.0452815491527456E-5</v>
      </c>
      <c r="AL371" s="9">
        <f t="shared" si="46"/>
        <v>7.5293831434325767E-4</v>
      </c>
      <c r="AM371" s="9">
        <f t="shared" si="47"/>
        <v>5.6691610520606628E-7</v>
      </c>
      <c r="AN371" s="8" t="s">
        <v>1422</v>
      </c>
    </row>
    <row r="372" spans="13:40" ht="23">
      <c r="M372" s="9" t="s">
        <v>3059</v>
      </c>
      <c r="N372" s="8" t="s">
        <v>1814</v>
      </c>
      <c r="O372" s="8"/>
      <c r="P372" s="8" t="s">
        <v>3693</v>
      </c>
      <c r="Q372" s="8"/>
      <c r="R372" s="8"/>
      <c r="S372" s="8"/>
      <c r="T372" s="8"/>
      <c r="U372" s="8"/>
      <c r="V372" s="8"/>
      <c r="W372" s="9" t="s">
        <v>3059</v>
      </c>
      <c r="X372" s="8">
        <v>18.239999999999998</v>
      </c>
      <c r="Y372" s="8">
        <v>5.84</v>
      </c>
      <c r="Z372" s="9">
        <v>5.43</v>
      </c>
      <c r="AA372" s="8">
        <v>2.5</v>
      </c>
      <c r="AB372" s="8">
        <v>25600</v>
      </c>
      <c r="AC372" s="9" t="s">
        <v>3059</v>
      </c>
      <c r="AD372" s="8" t="s">
        <v>3725</v>
      </c>
      <c r="AE372" s="8" t="s">
        <v>4083</v>
      </c>
      <c r="AF372" s="9">
        <f t="shared" si="40"/>
        <v>14.6</v>
      </c>
      <c r="AG372" s="9">
        <f t="shared" si="41"/>
        <v>14.291666666666668</v>
      </c>
      <c r="AH372" s="9">
        <f t="shared" si="42"/>
        <v>8.3401166281909401E-3</v>
      </c>
      <c r="AI372" s="9">
        <f t="shared" si="43"/>
        <v>6.9557545371827016E-5</v>
      </c>
      <c r="AJ372" s="9">
        <f t="shared" si="44"/>
        <v>1.5445191131278161E-2</v>
      </c>
      <c r="AK372" s="9">
        <f t="shared" si="45"/>
        <v>2.3855392908171355E-4</v>
      </c>
      <c r="AL372" s="9">
        <f t="shared" si="46"/>
        <v>1.8446988701409813E-2</v>
      </c>
      <c r="AM372" s="9">
        <f t="shared" si="47"/>
        <v>3.4029139214994132E-4</v>
      </c>
      <c r="AN372" s="9" t="s">
        <v>3059</v>
      </c>
    </row>
    <row r="373" spans="13:40" ht="23">
      <c r="M373" s="9" t="s">
        <v>3424</v>
      </c>
      <c r="N373" s="8" t="s">
        <v>2003</v>
      </c>
      <c r="O373" s="8"/>
      <c r="P373" s="8"/>
      <c r="Q373" s="8"/>
      <c r="R373" s="8"/>
      <c r="S373" s="8"/>
      <c r="T373" s="8"/>
      <c r="U373" s="8"/>
      <c r="V373" s="8"/>
      <c r="W373" s="9" t="s">
        <v>3424</v>
      </c>
      <c r="X373" s="8">
        <v>28.8</v>
      </c>
      <c r="Y373" s="8">
        <v>2.4700000000000002</v>
      </c>
      <c r="Z373" s="9">
        <v>2.17</v>
      </c>
      <c r="AA373" s="8">
        <v>2.4</v>
      </c>
      <c r="AB373" s="8">
        <v>44143</v>
      </c>
      <c r="AC373" s="9" t="s">
        <v>3424</v>
      </c>
      <c r="AD373" s="8" t="s">
        <v>3725</v>
      </c>
      <c r="AE373" s="8" t="s">
        <v>4083</v>
      </c>
      <c r="AF373" s="9">
        <f t="shared" si="40"/>
        <v>5.9279999999999999</v>
      </c>
      <c r="AG373" s="9">
        <f t="shared" si="41"/>
        <v>5.4799999999999995</v>
      </c>
      <c r="AH373" s="9">
        <f t="shared" si="42"/>
        <v>8.0065119630633001E-3</v>
      </c>
      <c r="AI373" s="9">
        <f t="shared" si="43"/>
        <v>6.4104233814675745E-5</v>
      </c>
      <c r="AJ373" s="9">
        <f t="shared" si="44"/>
        <v>6.271170755220338E-3</v>
      </c>
      <c r="AK373" s="9">
        <f t="shared" si="45"/>
        <v>3.9327582641130822E-5</v>
      </c>
      <c r="AL373" s="9">
        <f t="shared" si="46"/>
        <v>7.0733176501732312E-3</v>
      </c>
      <c r="AM373" s="9">
        <f t="shared" si="47"/>
        <v>5.0031822580252159E-5</v>
      </c>
      <c r="AN373" s="9" t="s">
        <v>3424</v>
      </c>
    </row>
    <row r="374" spans="13:40" ht="23">
      <c r="M374" s="8" t="s">
        <v>1342</v>
      </c>
      <c r="N374" s="8" t="s">
        <v>150</v>
      </c>
      <c r="O374" s="8"/>
      <c r="P374" s="8"/>
      <c r="Q374" s="8"/>
      <c r="R374" s="8"/>
      <c r="S374" s="8"/>
      <c r="T374" s="8"/>
      <c r="U374" s="8"/>
      <c r="V374" s="8"/>
      <c r="W374" s="8" t="s">
        <v>1342</v>
      </c>
      <c r="X374" s="8">
        <v>23.24</v>
      </c>
      <c r="Y374" s="8">
        <v>9.11</v>
      </c>
      <c r="Z374" s="9">
        <v>9.2899999999999991</v>
      </c>
      <c r="AA374" s="8">
        <v>2.4</v>
      </c>
      <c r="AB374" s="8">
        <v>23410</v>
      </c>
      <c r="AC374" s="8" t="s">
        <v>1342</v>
      </c>
      <c r="AD374" s="8" t="s">
        <v>3725</v>
      </c>
      <c r="AE374" s="8" t="s">
        <v>4083</v>
      </c>
      <c r="AF374" s="9">
        <f t="shared" si="40"/>
        <v>21.863999999999997</v>
      </c>
      <c r="AG374" s="9">
        <f t="shared" si="41"/>
        <v>22.759999999999998</v>
      </c>
      <c r="AH374" s="9">
        <f t="shared" si="42"/>
        <v>8.0065119630633001E-3</v>
      </c>
      <c r="AI374" s="9">
        <f t="shared" si="43"/>
        <v>6.4104233814675745E-5</v>
      </c>
      <c r="AJ374" s="9">
        <f t="shared" si="44"/>
        <v>2.3129702663990802E-2</v>
      </c>
      <c r="AK374" s="9">
        <f t="shared" si="45"/>
        <v>5.3498314532462315E-4</v>
      </c>
      <c r="AL374" s="9">
        <f t="shared" si="46"/>
        <v>2.9377501773347216E-2</v>
      </c>
      <c r="AM374" s="9">
        <f t="shared" si="47"/>
        <v>8.6303761044301882E-4</v>
      </c>
      <c r="AN374" s="8" t="s">
        <v>1342</v>
      </c>
    </row>
    <row r="375" spans="13:40" ht="23">
      <c r="M375" s="9" t="s">
        <v>2257</v>
      </c>
      <c r="N375" s="8" t="s">
        <v>150</v>
      </c>
      <c r="O375" s="8"/>
      <c r="P375" s="8"/>
      <c r="Q375" s="8"/>
      <c r="R375" s="8"/>
      <c r="S375" s="8"/>
      <c r="T375" s="8"/>
      <c r="U375" s="8"/>
      <c r="V375" s="8"/>
      <c r="W375" s="9" t="s">
        <v>2257</v>
      </c>
      <c r="X375" s="8">
        <v>54.71</v>
      </c>
      <c r="Y375" s="8">
        <v>2.73</v>
      </c>
      <c r="Z375" s="9">
        <v>2.59</v>
      </c>
      <c r="AA375" s="8">
        <v>2.4</v>
      </c>
      <c r="AB375" s="8">
        <v>43814</v>
      </c>
      <c r="AC375" s="9" t="s">
        <v>2257</v>
      </c>
      <c r="AD375" s="8" t="s">
        <v>3725</v>
      </c>
      <c r="AE375" s="8" t="s">
        <v>4083</v>
      </c>
      <c r="AF375" s="9">
        <f t="shared" si="40"/>
        <v>6.5519999999999996</v>
      </c>
      <c r="AG375" s="9">
        <f t="shared" si="41"/>
        <v>7.16</v>
      </c>
      <c r="AH375" s="9">
        <f t="shared" si="42"/>
        <v>8.0065119630633001E-3</v>
      </c>
      <c r="AI375" s="9">
        <f t="shared" si="43"/>
        <v>6.4104233814675745E-5</v>
      </c>
      <c r="AJ375" s="9">
        <f t="shared" si="44"/>
        <v>6.9312939926119525E-3</v>
      </c>
      <c r="AK375" s="9">
        <f t="shared" si="45"/>
        <v>4.8042836412018542E-5</v>
      </c>
      <c r="AL375" s="9">
        <f t="shared" si="46"/>
        <v>9.2417799954818153E-3</v>
      </c>
      <c r="AM375" s="9">
        <f t="shared" si="47"/>
        <v>8.5410497484887863E-5</v>
      </c>
      <c r="AN375" s="9" t="s">
        <v>2257</v>
      </c>
    </row>
    <row r="376" spans="13:40" ht="23">
      <c r="M376" s="8" t="s">
        <v>820</v>
      </c>
      <c r="N376" s="8" t="s">
        <v>150</v>
      </c>
      <c r="O376" s="8"/>
      <c r="P376" s="8"/>
      <c r="Q376" s="8"/>
      <c r="R376" s="8"/>
      <c r="S376" s="8"/>
      <c r="T376" s="8"/>
      <c r="U376" s="8"/>
      <c r="V376" s="8"/>
      <c r="W376" s="8" t="s">
        <v>820</v>
      </c>
      <c r="X376" s="8">
        <v>15.04</v>
      </c>
      <c r="Y376" s="8">
        <v>3.72</v>
      </c>
      <c r="Z376" s="9">
        <v>2.48</v>
      </c>
      <c r="AA376" s="8">
        <v>2.4</v>
      </c>
      <c r="AB376" s="8">
        <v>30963</v>
      </c>
      <c r="AC376" s="8" t="s">
        <v>820</v>
      </c>
      <c r="AD376" s="8" t="s">
        <v>3725</v>
      </c>
      <c r="AE376" s="8" t="s">
        <v>4083</v>
      </c>
      <c r="AF376" s="9">
        <f t="shared" si="40"/>
        <v>8.9280000000000008</v>
      </c>
      <c r="AG376" s="9">
        <f t="shared" si="41"/>
        <v>6.72</v>
      </c>
      <c r="AH376" s="9">
        <f t="shared" si="42"/>
        <v>8.0065119630633001E-3</v>
      </c>
      <c r="AI376" s="9">
        <f t="shared" si="43"/>
        <v>6.4104233814675745E-5</v>
      </c>
      <c r="AJ376" s="9">
        <f t="shared" si="44"/>
        <v>9.4448401657569476E-3</v>
      </c>
      <c r="AK376" s="9">
        <f t="shared" si="45"/>
        <v>8.9205005756695722E-5</v>
      </c>
      <c r="AL376" s="9">
        <f t="shared" si="46"/>
        <v>8.6738493812343279E-3</v>
      </c>
      <c r="AM376" s="9">
        <f t="shared" si="47"/>
        <v>7.5235663088339127E-5</v>
      </c>
      <c r="AN376" s="8" t="s">
        <v>820</v>
      </c>
    </row>
    <row r="377" spans="13:40" ht="23">
      <c r="M377" s="9" t="s">
        <v>2476</v>
      </c>
      <c r="N377" s="8" t="s">
        <v>150</v>
      </c>
      <c r="O377" s="8"/>
      <c r="P377" s="8"/>
      <c r="Q377" s="8"/>
      <c r="R377" s="8"/>
      <c r="S377" s="8"/>
      <c r="T377" s="8"/>
      <c r="U377" s="8"/>
      <c r="V377" s="8"/>
      <c r="W377" s="9" t="s">
        <v>2476</v>
      </c>
      <c r="X377" s="8">
        <v>38.81</v>
      </c>
      <c r="Y377" s="8">
        <v>1.83</v>
      </c>
      <c r="Z377" s="9">
        <v>1.1100000000000001</v>
      </c>
      <c r="AA377" s="8">
        <v>2.4</v>
      </c>
      <c r="AB377" s="8">
        <v>38685</v>
      </c>
      <c r="AC377" s="9" t="s">
        <v>2476</v>
      </c>
      <c r="AD377" s="8" t="s">
        <v>3725</v>
      </c>
      <c r="AE377" s="8" t="s">
        <v>4083</v>
      </c>
      <c r="AF377" s="9">
        <f t="shared" si="40"/>
        <v>4.3920000000000003</v>
      </c>
      <c r="AG377" s="9">
        <f t="shared" si="41"/>
        <v>2.84</v>
      </c>
      <c r="AH377" s="9">
        <f t="shared" si="42"/>
        <v>8.0065119630633001E-3</v>
      </c>
      <c r="AI377" s="9">
        <f t="shared" si="43"/>
        <v>6.4104233814675745E-5</v>
      </c>
      <c r="AJ377" s="9">
        <f t="shared" si="44"/>
        <v>4.6462520170255954E-3</v>
      </c>
      <c r="AK377" s="9">
        <f t="shared" si="45"/>
        <v>2.1587657805714415E-5</v>
      </c>
      <c r="AL377" s="9">
        <f t="shared" si="46"/>
        <v>3.6657339646883175E-3</v>
      </c>
      <c r="AM377" s="9">
        <f t="shared" si="47"/>
        <v>1.3437605499869531E-5</v>
      </c>
      <c r="AN377" s="9" t="s">
        <v>2476</v>
      </c>
    </row>
    <row r="378" spans="13:40" ht="23">
      <c r="M378" s="9" t="s">
        <v>3531</v>
      </c>
      <c r="N378" s="8" t="s">
        <v>2041</v>
      </c>
      <c r="O378" s="8"/>
      <c r="P378" s="8"/>
      <c r="Q378" s="8"/>
      <c r="R378" s="8"/>
      <c r="S378" s="8"/>
      <c r="T378" s="8"/>
      <c r="U378" s="8"/>
      <c r="V378" s="8"/>
      <c r="W378" s="9" t="s">
        <v>3531</v>
      </c>
      <c r="X378" s="8">
        <v>44.87</v>
      </c>
      <c r="Y378" s="8">
        <v>3.32</v>
      </c>
      <c r="Z378" s="9">
        <v>3.23</v>
      </c>
      <c r="AA378" s="8">
        <v>2.4</v>
      </c>
      <c r="AB378" s="8">
        <v>34814</v>
      </c>
      <c r="AC378" s="9" t="s">
        <v>3531</v>
      </c>
      <c r="AD378" s="8" t="s">
        <v>3725</v>
      </c>
      <c r="AE378" s="8" t="s">
        <v>4083</v>
      </c>
      <c r="AF378" s="9">
        <f t="shared" si="40"/>
        <v>7.9679999999999991</v>
      </c>
      <c r="AG378" s="9">
        <f t="shared" si="41"/>
        <v>8.1199999999999992</v>
      </c>
      <c r="AH378" s="9">
        <f t="shared" si="42"/>
        <v>8.0065119630633001E-3</v>
      </c>
      <c r="AI378" s="9">
        <f t="shared" si="43"/>
        <v>6.4104233814675745E-5</v>
      </c>
      <c r="AJ378" s="9">
        <f t="shared" si="44"/>
        <v>8.4292659543852306E-3</v>
      </c>
      <c r="AK378" s="9">
        <f t="shared" si="45"/>
        <v>7.1052524529757949E-5</v>
      </c>
      <c r="AL378" s="9">
        <f t="shared" si="46"/>
        <v>1.0480901335658146E-2</v>
      </c>
      <c r="AM378" s="9">
        <f t="shared" si="47"/>
        <v>1.0984929280780071E-4</v>
      </c>
      <c r="AN378" s="9" t="s">
        <v>3531</v>
      </c>
    </row>
    <row r="379" spans="13:40" ht="23">
      <c r="M379" s="8" t="s">
        <v>5052</v>
      </c>
      <c r="N379" s="8" t="s">
        <v>150</v>
      </c>
      <c r="O379" s="8"/>
      <c r="P379" s="8"/>
      <c r="Q379" s="8"/>
      <c r="R379" s="8"/>
      <c r="S379" s="8"/>
      <c r="T379" s="8"/>
      <c r="U379" s="8"/>
      <c r="V379" s="8"/>
      <c r="W379" s="8" t="s">
        <v>5052</v>
      </c>
      <c r="X379" s="8">
        <v>61.39</v>
      </c>
      <c r="Y379" s="8">
        <v>1.6</v>
      </c>
      <c r="Z379" s="9">
        <v>0.14000000000000001</v>
      </c>
      <c r="AA379" s="8">
        <v>2.2999999999999998</v>
      </c>
      <c r="AB379" s="8">
        <v>54154</v>
      </c>
      <c r="AC379" s="8" t="s">
        <v>5052</v>
      </c>
      <c r="AD379" s="8" t="s">
        <v>3725</v>
      </c>
      <c r="AE379" s="8" t="s">
        <v>4083</v>
      </c>
      <c r="AF379" s="9">
        <f t="shared" si="40"/>
        <v>3.6799999999999997</v>
      </c>
      <c r="AG379" s="9">
        <f t="shared" si="41"/>
        <v>0.53666666666666663</v>
      </c>
      <c r="AH379" s="9">
        <f t="shared" si="42"/>
        <v>7.6729072979356636E-3</v>
      </c>
      <c r="AI379" s="9">
        <f t="shared" si="43"/>
        <v>5.8873506402714369E-5</v>
      </c>
      <c r="AJ379" s="9">
        <f t="shared" si="44"/>
        <v>3.8930344769249059E-3</v>
      </c>
      <c r="AK379" s="9">
        <f t="shared" si="45"/>
        <v>1.5155717438525976E-5</v>
      </c>
      <c r="AL379" s="9">
        <f t="shared" si="46"/>
        <v>6.9270324919579694E-4</v>
      </c>
      <c r="AM379" s="9">
        <f t="shared" si="47"/>
        <v>4.7983779144641434E-7</v>
      </c>
      <c r="AN379" s="8" t="s">
        <v>5052</v>
      </c>
    </row>
    <row r="380" spans="13:40" ht="23">
      <c r="M380" s="24" t="s">
        <v>5133</v>
      </c>
      <c r="N380" s="24" t="s">
        <v>1814</v>
      </c>
      <c r="O380" s="24"/>
      <c r="P380" s="24"/>
      <c r="Q380" s="24"/>
      <c r="R380" s="24"/>
      <c r="S380" s="24"/>
      <c r="T380" s="24"/>
      <c r="U380" s="24"/>
      <c r="V380" s="24"/>
      <c r="W380" s="24" t="s">
        <v>5133</v>
      </c>
      <c r="X380" s="24">
        <v>40.58</v>
      </c>
      <c r="Y380" s="24">
        <v>4.28</v>
      </c>
      <c r="Z380" s="25">
        <v>5.05</v>
      </c>
      <c r="AA380" s="24">
        <v>2.2999999999999998</v>
      </c>
      <c r="AB380" s="24">
        <v>32300</v>
      </c>
      <c r="AC380" s="24" t="s">
        <v>5133</v>
      </c>
      <c r="AD380" s="8" t="s">
        <v>3725</v>
      </c>
      <c r="AE380" s="24"/>
      <c r="AF380" s="25">
        <f t="shared" si="40"/>
        <v>9.8439999999999994</v>
      </c>
      <c r="AG380" s="25">
        <f t="shared" si="41"/>
        <v>11.691666666666665</v>
      </c>
      <c r="AH380" s="25">
        <f t="shared" si="42"/>
        <v>7.6729072979356636E-3</v>
      </c>
      <c r="AI380" s="25">
        <f t="shared" si="43"/>
        <v>5.8873506402714369E-5</v>
      </c>
      <c r="AJ380" s="25">
        <f t="shared" si="44"/>
        <v>1.0413867225774125E-2</v>
      </c>
      <c r="AK380" s="25">
        <f t="shared" si="45"/>
        <v>1.0844863059605248E-4</v>
      </c>
      <c r="AL380" s="25">
        <f t="shared" si="46"/>
        <v>1.5091035071765577E-2</v>
      </c>
      <c r="AM380" s="25">
        <f t="shared" si="47"/>
        <v>2.2773933953725868E-4</v>
      </c>
      <c r="AN380" s="24" t="s">
        <v>5133</v>
      </c>
    </row>
    <row r="381" spans="13:40" ht="23">
      <c r="M381" s="9" t="s">
        <v>3596</v>
      </c>
      <c r="N381" s="8" t="s">
        <v>2084</v>
      </c>
      <c r="O381" s="8"/>
      <c r="P381" s="8"/>
      <c r="Q381" s="8"/>
      <c r="R381" s="8"/>
      <c r="S381" s="8"/>
      <c r="T381" s="8"/>
      <c r="U381" s="8"/>
      <c r="V381" s="8"/>
      <c r="W381" s="9" t="s">
        <v>3596</v>
      </c>
      <c r="X381" s="8">
        <v>8.65</v>
      </c>
      <c r="Y381" s="8">
        <v>4.34</v>
      </c>
      <c r="Z381" s="9">
        <v>4.2699999999999996</v>
      </c>
      <c r="AA381" s="8">
        <v>2.2999999999999998</v>
      </c>
      <c r="AB381" s="8">
        <v>33847</v>
      </c>
      <c r="AC381" s="9" t="s">
        <v>3596</v>
      </c>
      <c r="AD381" s="8" t="s">
        <v>3725</v>
      </c>
      <c r="AE381" s="8" t="s">
        <v>4083</v>
      </c>
      <c r="AF381" s="9">
        <f t="shared" si="40"/>
        <v>9.9819999999999993</v>
      </c>
      <c r="AG381" s="9">
        <f t="shared" si="41"/>
        <v>10.234999999999999</v>
      </c>
      <c r="AH381" s="9">
        <f t="shared" si="42"/>
        <v>7.6729072979356636E-3</v>
      </c>
      <c r="AI381" s="9">
        <f t="shared" si="43"/>
        <v>5.8873506402714369E-5</v>
      </c>
      <c r="AJ381" s="9">
        <f t="shared" si="44"/>
        <v>1.0559856018658808E-2</v>
      </c>
      <c r="AK381" s="9">
        <f t="shared" si="45"/>
        <v>1.1151055913480465E-4</v>
      </c>
      <c r="AL381" s="9">
        <f t="shared" si="46"/>
        <v>1.3210840538234131E-2</v>
      </c>
      <c r="AM381" s="9">
        <f t="shared" si="47"/>
        <v>1.7452630772665025E-4</v>
      </c>
      <c r="AN381" s="9" t="s">
        <v>3596</v>
      </c>
    </row>
    <row r="382" spans="13:40" ht="23">
      <c r="M382" s="8" t="s">
        <v>1174</v>
      </c>
      <c r="N382" s="8" t="s">
        <v>150</v>
      </c>
      <c r="O382" s="8"/>
      <c r="P382" s="8"/>
      <c r="Q382" s="8"/>
      <c r="R382" s="8"/>
      <c r="S382" s="8"/>
      <c r="T382" s="8"/>
      <c r="U382" s="8"/>
      <c r="V382" s="8"/>
      <c r="W382" s="8" t="s">
        <v>1174</v>
      </c>
      <c r="X382" s="8">
        <v>16.559999999999999</v>
      </c>
      <c r="Y382" s="8">
        <v>3.35</v>
      </c>
      <c r="Z382" s="9">
        <v>7.12</v>
      </c>
      <c r="AA382" s="8">
        <v>2.2000000000000002</v>
      </c>
      <c r="AB382" s="8">
        <v>38949</v>
      </c>
      <c r="AC382" s="8" t="s">
        <v>1174</v>
      </c>
      <c r="AD382" s="8" t="s">
        <v>3725</v>
      </c>
      <c r="AE382" s="8" t="s">
        <v>4083</v>
      </c>
      <c r="AF382" s="9">
        <f t="shared" si="40"/>
        <v>7.370000000000001</v>
      </c>
      <c r="AG382" s="9">
        <f t="shared" si="41"/>
        <v>15.840000000000002</v>
      </c>
      <c r="AH382" s="9">
        <f t="shared" si="42"/>
        <v>7.3393026328080263E-3</v>
      </c>
      <c r="AI382" s="9">
        <f t="shared" si="43"/>
        <v>5.3865363135942825E-5</v>
      </c>
      <c r="AJ382" s="9">
        <f t="shared" si="44"/>
        <v>7.7966478518849362E-3</v>
      </c>
      <c r="AK382" s="9">
        <f t="shared" si="45"/>
        <v>6.0787717726301988E-5</v>
      </c>
      <c r="AL382" s="9">
        <f t="shared" si="46"/>
        <v>2.0445502112909492E-2</v>
      </c>
      <c r="AM382" s="9">
        <f t="shared" si="47"/>
        <v>4.1801855664898649E-4</v>
      </c>
      <c r="AN382" s="8" t="s">
        <v>1174</v>
      </c>
    </row>
    <row r="383" spans="13:40" ht="23">
      <c r="M383" s="8" t="s">
        <v>1042</v>
      </c>
      <c r="N383" s="8" t="s">
        <v>150</v>
      </c>
      <c r="O383" s="8"/>
      <c r="P383" s="8"/>
      <c r="Q383" s="8"/>
      <c r="R383" s="8"/>
      <c r="S383" s="8"/>
      <c r="T383" s="8"/>
      <c r="U383" s="8"/>
      <c r="V383" s="8"/>
      <c r="W383" s="8" t="s">
        <v>1042</v>
      </c>
      <c r="X383" s="8">
        <v>42.17</v>
      </c>
      <c r="Y383" s="8">
        <v>2.13</v>
      </c>
      <c r="Z383" s="9">
        <v>2.04</v>
      </c>
      <c r="AA383" s="8">
        <v>2.2000000000000002</v>
      </c>
      <c r="AB383" s="8">
        <v>42038</v>
      </c>
      <c r="AC383" s="8" t="s">
        <v>1042</v>
      </c>
      <c r="AD383" s="8" t="s">
        <v>3725</v>
      </c>
      <c r="AE383" s="8" t="s">
        <v>4083</v>
      </c>
      <c r="AF383" s="9">
        <f t="shared" si="40"/>
        <v>4.6859999999999999</v>
      </c>
      <c r="AG383" s="9">
        <f t="shared" si="41"/>
        <v>4.5466666666666677</v>
      </c>
      <c r="AH383" s="9">
        <f t="shared" si="42"/>
        <v>7.3393026328080263E-3</v>
      </c>
      <c r="AI383" s="9">
        <f t="shared" si="43"/>
        <v>5.3865363135942825E-5</v>
      </c>
      <c r="AJ383" s="9">
        <f t="shared" si="44"/>
        <v>4.957271619258183E-3</v>
      </c>
      <c r="AK383" s="9">
        <f t="shared" si="45"/>
        <v>2.4574541907102649E-5</v>
      </c>
      <c r="AL383" s="9">
        <f t="shared" si="46"/>
        <v>5.8686163472240213E-3</v>
      </c>
      <c r="AM383" s="9">
        <f t="shared" si="47"/>
        <v>3.4440657830905013E-5</v>
      </c>
      <c r="AN383" s="8" t="s">
        <v>1042</v>
      </c>
    </row>
    <row r="384" spans="13:40" ht="23">
      <c r="M384" s="8" t="s">
        <v>1559</v>
      </c>
      <c r="N384" s="8" t="s">
        <v>150</v>
      </c>
      <c r="O384" s="8"/>
      <c r="P384" s="8"/>
      <c r="Q384" s="8"/>
      <c r="R384" s="8"/>
      <c r="S384" s="8"/>
      <c r="T384" s="8"/>
      <c r="U384" s="8"/>
      <c r="V384" s="8"/>
      <c r="W384" s="8" t="s">
        <v>1559</v>
      </c>
      <c r="X384" s="8">
        <v>25.99</v>
      </c>
      <c r="Y384" s="8">
        <v>1.78</v>
      </c>
      <c r="Z384" s="9">
        <v>1.18</v>
      </c>
      <c r="AA384" s="8">
        <v>2.2000000000000002</v>
      </c>
      <c r="AB384" s="8">
        <v>46301</v>
      </c>
      <c r="AC384" s="8" t="s">
        <v>1559</v>
      </c>
      <c r="AD384" s="8" t="s">
        <v>3725</v>
      </c>
      <c r="AE384" s="8" t="s">
        <v>4083</v>
      </c>
      <c r="AF384" s="9">
        <f t="shared" si="40"/>
        <v>3.9160000000000004</v>
      </c>
      <c r="AG384" s="9">
        <f t="shared" si="41"/>
        <v>2.8600000000000003</v>
      </c>
      <c r="AH384" s="9">
        <f t="shared" si="42"/>
        <v>7.3393026328080263E-3</v>
      </c>
      <c r="AI384" s="9">
        <f t="shared" si="43"/>
        <v>5.3865363135942825E-5</v>
      </c>
      <c r="AJ384" s="9">
        <f t="shared" si="44"/>
        <v>4.1426964705537873E-3</v>
      </c>
      <c r="AK384" s="9">
        <f t="shared" si="45"/>
        <v>1.7161934047138805E-5</v>
      </c>
      <c r="AL384" s="9">
        <f t="shared" si="46"/>
        <v>3.6915489926086578E-3</v>
      </c>
      <c r="AM384" s="9">
        <f t="shared" si="47"/>
        <v>1.3627533964829997E-5</v>
      </c>
      <c r="AN384" s="8" t="s">
        <v>1559</v>
      </c>
    </row>
    <row r="385" spans="13:40" ht="23">
      <c r="M385" s="8" t="s">
        <v>1867</v>
      </c>
      <c r="N385" s="8" t="s">
        <v>1862</v>
      </c>
      <c r="O385" s="8"/>
      <c r="P385" s="8"/>
      <c r="Q385" s="8"/>
      <c r="R385" s="8"/>
      <c r="S385" s="8"/>
      <c r="T385" s="8"/>
      <c r="U385" s="8"/>
      <c r="V385" s="8"/>
      <c r="W385" s="8" t="s">
        <v>1867</v>
      </c>
      <c r="X385" s="8">
        <v>48.07</v>
      </c>
      <c r="Y385" s="8">
        <v>1.92</v>
      </c>
      <c r="Z385" s="9">
        <v>1.32</v>
      </c>
      <c r="AA385" s="8">
        <v>2.2000000000000002</v>
      </c>
      <c r="AB385" s="8">
        <v>58688</v>
      </c>
      <c r="AC385" s="8" t="s">
        <v>1867</v>
      </c>
      <c r="AD385" s="8" t="s">
        <v>3725</v>
      </c>
      <c r="AE385" s="8" t="s">
        <v>4083</v>
      </c>
      <c r="AF385" s="9">
        <f t="shared" si="40"/>
        <v>4.2240000000000002</v>
      </c>
      <c r="AG385" s="9">
        <f t="shared" si="41"/>
        <v>3.3733333333333335</v>
      </c>
      <c r="AH385" s="9">
        <f t="shared" si="42"/>
        <v>7.3393026328080263E-3</v>
      </c>
      <c r="AI385" s="9">
        <f t="shared" si="43"/>
        <v>5.3865363135942825E-5</v>
      </c>
      <c r="AJ385" s="9">
        <f t="shared" si="44"/>
        <v>4.4685265300355454E-3</v>
      </c>
      <c r="AK385" s="9">
        <f t="shared" si="45"/>
        <v>1.9967729349631512E-5</v>
      </c>
      <c r="AL385" s="9">
        <f t="shared" si="46"/>
        <v>4.3541347092307253E-3</v>
      </c>
      <c r="AM385" s="9">
        <f t="shared" si="47"/>
        <v>1.8958489066127731E-5</v>
      </c>
      <c r="AN385" s="8" t="s">
        <v>1867</v>
      </c>
    </row>
    <row r="386" spans="13:40" ht="23">
      <c r="M386" s="9" t="s">
        <v>2526</v>
      </c>
      <c r="N386" s="8" t="s">
        <v>150</v>
      </c>
      <c r="O386" s="8"/>
      <c r="P386" s="8"/>
      <c r="Q386" s="8"/>
      <c r="R386" s="8"/>
      <c r="S386" s="8"/>
      <c r="T386" s="8"/>
      <c r="U386" s="8"/>
      <c r="V386" s="8"/>
      <c r="W386" s="9" t="s">
        <v>2526</v>
      </c>
      <c r="X386" s="8">
        <v>29.81</v>
      </c>
      <c r="Y386" s="8">
        <v>4.3499999999999996</v>
      </c>
      <c r="Z386" s="9">
        <v>5.2</v>
      </c>
      <c r="AA386" s="8">
        <v>2.1</v>
      </c>
      <c r="AB386" s="8">
        <v>36204</v>
      </c>
      <c r="AC386" s="9" t="s">
        <v>2526</v>
      </c>
      <c r="AD386" s="8" t="s">
        <v>3725</v>
      </c>
      <c r="AE386" s="8" t="s">
        <v>4083</v>
      </c>
      <c r="AF386" s="9">
        <f t="shared" ref="AF386:AF447" si="48">(AA386*Y386)</f>
        <v>9.1349999999999998</v>
      </c>
      <c r="AG386" s="9">
        <f t="shared" ref="AG386:AG447" si="49">((((RIGHT(Z386,2))/60)+(LEFT(Z386,2)))*AA386)</f>
        <v>10.507</v>
      </c>
      <c r="AH386" s="9">
        <f t="shared" ref="AH386:AH447" si="50">(AA386/$AA$448)*100</f>
        <v>7.0056979676803898E-3</v>
      </c>
      <c r="AI386" s="9">
        <f t="shared" ref="AI386:AI447" si="51">(AH386*AH386)</f>
        <v>4.9079804014361147E-5</v>
      </c>
      <c r="AJ386" s="9">
        <f t="shared" ref="AJ386:AJ447" si="52">(AF386/$AF$448)*100</f>
        <v>9.6638233550839746E-3</v>
      </c>
      <c r="AK386" s="9">
        <f t="shared" ref="AK386:AK447" si="53">(AJ386*AJ386)</f>
        <v>9.338948183826648E-5</v>
      </c>
      <c r="AL386" s="9">
        <f t="shared" ref="AL386:AL447" si="54">(AG386/$AG$448)*100</f>
        <v>1.3561924917950758E-2</v>
      </c>
      <c r="AM386" s="9">
        <f t="shared" ref="AM386:AM447" si="55">(AL386*AL386)</f>
        <v>1.8392580748013369E-4</v>
      </c>
      <c r="AN386" s="9" t="s">
        <v>2526</v>
      </c>
    </row>
    <row r="387" spans="13:40" ht="23">
      <c r="M387" s="8" t="s">
        <v>651</v>
      </c>
      <c r="N387" s="8" t="s">
        <v>150</v>
      </c>
      <c r="O387" s="8"/>
      <c r="P387" s="8"/>
      <c r="Q387" s="8"/>
      <c r="R387" s="8"/>
      <c r="S387" s="8"/>
      <c r="T387" s="8"/>
      <c r="U387" s="8"/>
      <c r="V387" s="8"/>
      <c r="W387" s="8" t="s">
        <v>651</v>
      </c>
      <c r="X387" s="8">
        <v>13</v>
      </c>
      <c r="Y387" s="8">
        <v>3.07</v>
      </c>
      <c r="Z387" s="9">
        <v>3.15</v>
      </c>
      <c r="AA387" s="8">
        <v>2.1</v>
      </c>
      <c r="AB387" s="8">
        <v>41029</v>
      </c>
      <c r="AC387" s="8" t="s">
        <v>651</v>
      </c>
      <c r="AD387" s="8" t="s">
        <v>3725</v>
      </c>
      <c r="AE387" s="8" t="s">
        <v>4083</v>
      </c>
      <c r="AF387" s="9">
        <f t="shared" si="48"/>
        <v>6.4470000000000001</v>
      </c>
      <c r="AG387" s="9">
        <f t="shared" si="49"/>
        <v>6.8250000000000002</v>
      </c>
      <c r="AH387" s="9">
        <f t="shared" si="50"/>
        <v>7.0056979676803898E-3</v>
      </c>
      <c r="AI387" s="9">
        <f t="shared" si="51"/>
        <v>4.9079804014361147E-5</v>
      </c>
      <c r="AJ387" s="9">
        <f t="shared" si="52"/>
        <v>6.8202155632431719E-3</v>
      </c>
      <c r="AK387" s="9">
        <f t="shared" si="53"/>
        <v>4.6515340329104373E-5</v>
      </c>
      <c r="AL387" s="9">
        <f t="shared" si="54"/>
        <v>8.8093782778161153E-3</v>
      </c>
      <c r="AM387" s="9">
        <f t="shared" si="55"/>
        <v>7.7605145641658428E-5</v>
      </c>
      <c r="AN387" s="8" t="s">
        <v>651</v>
      </c>
    </row>
    <row r="388" spans="13:40" ht="23">
      <c r="M388" s="9" t="s">
        <v>2640</v>
      </c>
      <c r="N388" s="8" t="s">
        <v>150</v>
      </c>
      <c r="O388" s="8"/>
      <c r="P388" s="8"/>
      <c r="Q388" s="8"/>
      <c r="R388" s="8"/>
      <c r="S388" s="8"/>
      <c r="T388" s="8"/>
      <c r="U388" s="8"/>
      <c r="V388" s="8"/>
      <c r="W388" s="9" t="s">
        <v>2640</v>
      </c>
      <c r="X388" s="8">
        <v>30.7</v>
      </c>
      <c r="Y388" s="8">
        <v>2.5499999999999998</v>
      </c>
      <c r="Z388" s="9">
        <v>1.37</v>
      </c>
      <c r="AA388" s="8">
        <v>2.1</v>
      </c>
      <c r="AB388" s="8">
        <v>37830</v>
      </c>
      <c r="AC388" s="9" t="s">
        <v>2640</v>
      </c>
      <c r="AD388" s="8" t="s">
        <v>3725</v>
      </c>
      <c r="AE388" s="8" t="s">
        <v>4083</v>
      </c>
      <c r="AF388" s="9">
        <f t="shared" si="48"/>
        <v>5.3549999999999995</v>
      </c>
      <c r="AG388" s="9">
        <f t="shared" si="49"/>
        <v>3.395</v>
      </c>
      <c r="AH388" s="9">
        <f t="shared" si="50"/>
        <v>7.0056979676803898E-3</v>
      </c>
      <c r="AI388" s="9">
        <f t="shared" si="51"/>
        <v>4.9079804014361147E-5</v>
      </c>
      <c r="AJ388" s="9">
        <f t="shared" si="52"/>
        <v>5.6649998978078459E-3</v>
      </c>
      <c r="AK388" s="9">
        <f t="shared" si="53"/>
        <v>3.2092223842162901E-5</v>
      </c>
      <c r="AL388" s="9">
        <f t="shared" si="54"/>
        <v>4.38210098947776E-3</v>
      </c>
      <c r="AM388" s="9">
        <f t="shared" si="55"/>
        <v>1.9202809081981964E-5</v>
      </c>
      <c r="AN388" s="9" t="s">
        <v>2640</v>
      </c>
    </row>
    <row r="389" spans="13:40" ht="23">
      <c r="M389" s="8" t="s">
        <v>108</v>
      </c>
      <c r="N389" s="8" t="s">
        <v>90</v>
      </c>
      <c r="O389" s="8"/>
      <c r="P389" s="8"/>
      <c r="Q389" s="8"/>
      <c r="R389" s="8"/>
      <c r="S389" s="8"/>
      <c r="T389" s="8"/>
      <c r="U389" s="8"/>
      <c r="V389" s="8"/>
      <c r="W389" s="8" t="s">
        <v>108</v>
      </c>
      <c r="X389" s="8">
        <v>37.75</v>
      </c>
      <c r="Y389" s="8">
        <v>2.39</v>
      </c>
      <c r="Z389" s="9">
        <v>2.2999999999999998</v>
      </c>
      <c r="AA389" s="8">
        <v>2.1</v>
      </c>
      <c r="AB389" s="8">
        <v>40124</v>
      </c>
      <c r="AC389" s="8" t="s">
        <v>108</v>
      </c>
      <c r="AD389" s="8" t="s">
        <v>3725</v>
      </c>
      <c r="AE389" s="8" t="s">
        <v>4083</v>
      </c>
      <c r="AF389" s="9">
        <f t="shared" si="48"/>
        <v>5.0190000000000001</v>
      </c>
      <c r="AG389" s="9">
        <f t="shared" si="49"/>
        <v>4.2104999999999997</v>
      </c>
      <c r="AH389" s="9">
        <f t="shared" si="50"/>
        <v>7.0056979676803898E-3</v>
      </c>
      <c r="AI389" s="9">
        <f t="shared" si="51"/>
        <v>4.9079804014361147E-5</v>
      </c>
      <c r="AJ389" s="9">
        <f t="shared" si="52"/>
        <v>5.3095489238277468E-3</v>
      </c>
      <c r="AK389" s="9">
        <f t="shared" si="53"/>
        <v>2.8191309774520385E-5</v>
      </c>
      <c r="AL389" s="9">
        <f t="shared" si="54"/>
        <v>5.4347087529296335E-3</v>
      </c>
      <c r="AM389" s="9">
        <f t="shared" si="55"/>
        <v>2.9536059229169973E-5</v>
      </c>
      <c r="AN389" s="8" t="s">
        <v>108</v>
      </c>
    </row>
    <row r="390" spans="13:40" ht="23">
      <c r="M390" s="9" t="s">
        <v>4983</v>
      </c>
      <c r="N390" s="8" t="s">
        <v>1814</v>
      </c>
      <c r="O390" s="8"/>
      <c r="P390" s="8"/>
      <c r="Q390" s="8"/>
      <c r="R390" s="8"/>
      <c r="S390" s="8"/>
      <c r="T390" s="8"/>
      <c r="U390" s="8"/>
      <c r="V390" s="8"/>
      <c r="W390" s="9" t="s">
        <v>4983</v>
      </c>
      <c r="X390" s="8">
        <v>65.03</v>
      </c>
      <c r="Y390" s="8">
        <v>2.5099999999999998</v>
      </c>
      <c r="Z390" s="9">
        <v>3.03</v>
      </c>
      <c r="AA390" s="8">
        <v>2.1</v>
      </c>
      <c r="AB390" s="8">
        <v>57028</v>
      </c>
      <c r="AC390" s="9" t="s">
        <v>4983</v>
      </c>
      <c r="AD390" s="8" t="s">
        <v>3725</v>
      </c>
      <c r="AE390" s="8" t="s">
        <v>4083</v>
      </c>
      <c r="AF390" s="9">
        <f t="shared" si="48"/>
        <v>5.2709999999999999</v>
      </c>
      <c r="AG390" s="9">
        <f t="shared" si="49"/>
        <v>6.4050000000000002</v>
      </c>
      <c r="AH390" s="9">
        <f t="shared" si="50"/>
        <v>7.0056979676803898E-3</v>
      </c>
      <c r="AI390" s="9">
        <f t="shared" si="51"/>
        <v>4.9079804014361147E-5</v>
      </c>
      <c r="AJ390" s="9">
        <f t="shared" si="52"/>
        <v>5.5761371543128213E-3</v>
      </c>
      <c r="AK390" s="9">
        <f t="shared" si="53"/>
        <v>3.109330556370789E-5</v>
      </c>
      <c r="AL390" s="9">
        <f t="shared" si="54"/>
        <v>8.2672626914889694E-3</v>
      </c>
      <c r="AM390" s="9">
        <f t="shared" si="55"/>
        <v>6.8347632410085442E-5</v>
      </c>
      <c r="AN390" s="9" t="s">
        <v>4983</v>
      </c>
    </row>
    <row r="391" spans="13:40" ht="23">
      <c r="M391" s="24" t="s">
        <v>5119</v>
      </c>
      <c r="N391" s="24" t="s">
        <v>125</v>
      </c>
      <c r="O391" s="24"/>
      <c r="P391" s="24"/>
      <c r="Q391" s="24"/>
      <c r="R391" s="24"/>
      <c r="S391" s="24"/>
      <c r="T391" s="24"/>
      <c r="U391" s="24"/>
      <c r="V391" s="24"/>
      <c r="W391" s="24" t="s">
        <v>5119</v>
      </c>
      <c r="X391" s="24">
        <v>36.020000000000003</v>
      </c>
      <c r="Y391" s="24">
        <v>2.78</v>
      </c>
      <c r="Z391" s="25">
        <v>3.19</v>
      </c>
      <c r="AA391" s="24">
        <v>2.1</v>
      </c>
      <c r="AB391" s="24">
        <v>39246</v>
      </c>
      <c r="AC391" s="24" t="s">
        <v>5119</v>
      </c>
      <c r="AD391" s="8" t="s">
        <v>3725</v>
      </c>
      <c r="AE391" s="8" t="s">
        <v>4083</v>
      </c>
      <c r="AF391" s="25">
        <f t="shared" si="48"/>
        <v>5.8380000000000001</v>
      </c>
      <c r="AG391" s="25">
        <f t="shared" si="49"/>
        <v>6.9649999999999999</v>
      </c>
      <c r="AH391" s="25">
        <f t="shared" si="50"/>
        <v>7.0056979676803898E-3</v>
      </c>
      <c r="AI391" s="25">
        <f t="shared" si="51"/>
        <v>4.9079804014361147E-5</v>
      </c>
      <c r="AJ391" s="25">
        <f t="shared" si="52"/>
        <v>6.1759606729042404E-3</v>
      </c>
      <c r="AK391" s="25">
        <f t="shared" si="53"/>
        <v>3.8142490233259798E-5</v>
      </c>
      <c r="AL391" s="25">
        <f t="shared" si="54"/>
        <v>8.990083473258496E-3</v>
      </c>
      <c r="AM391" s="25">
        <f t="shared" si="55"/>
        <v>8.0821600856155538E-5</v>
      </c>
      <c r="AN391" s="24" t="s">
        <v>5119</v>
      </c>
    </row>
    <row r="392" spans="13:40" ht="23">
      <c r="M392" s="9" t="s">
        <v>2409</v>
      </c>
      <c r="N392" s="8" t="s">
        <v>150</v>
      </c>
      <c r="O392" s="8"/>
      <c r="P392" s="8"/>
      <c r="Q392" s="8"/>
      <c r="R392" s="8"/>
      <c r="S392" s="8"/>
      <c r="T392" s="8"/>
      <c r="U392" s="8"/>
      <c r="V392" s="8"/>
      <c r="W392" s="9" t="s">
        <v>2409</v>
      </c>
      <c r="X392" s="8">
        <v>31.55</v>
      </c>
      <c r="Y392" s="8">
        <v>3.64</v>
      </c>
      <c r="Z392" s="9">
        <v>4.26</v>
      </c>
      <c r="AA392" s="8">
        <v>2</v>
      </c>
      <c r="AB392" s="8">
        <v>36335</v>
      </c>
      <c r="AC392" s="9" t="s">
        <v>2409</v>
      </c>
      <c r="AD392" s="8" t="s">
        <v>3725</v>
      </c>
      <c r="AE392" s="8" t="s">
        <v>4083</v>
      </c>
      <c r="AF392" s="9">
        <f t="shared" si="48"/>
        <v>7.28</v>
      </c>
      <c r="AG392" s="9">
        <f t="shared" si="49"/>
        <v>8.8666666666666671</v>
      </c>
      <c r="AH392" s="9">
        <f t="shared" si="50"/>
        <v>6.6720933025527507E-3</v>
      </c>
      <c r="AI392" s="9">
        <f t="shared" si="51"/>
        <v>4.4516829037969275E-5</v>
      </c>
      <c r="AJ392" s="9">
        <f t="shared" si="52"/>
        <v>7.7014377695688368E-3</v>
      </c>
      <c r="AK392" s="9">
        <f t="shared" si="53"/>
        <v>5.9312143718541419E-5</v>
      </c>
      <c r="AL392" s="9">
        <f t="shared" si="54"/>
        <v>1.1444662378017518E-2</v>
      </c>
      <c r="AM392" s="9">
        <f t="shared" si="55"/>
        <v>1.3098029694680959E-4</v>
      </c>
      <c r="AN392" s="9" t="s">
        <v>2409</v>
      </c>
    </row>
    <row r="393" spans="13:40" ht="23">
      <c r="M393" s="8" t="s">
        <v>1116</v>
      </c>
      <c r="N393" s="8" t="s">
        <v>150</v>
      </c>
      <c r="O393" s="8"/>
      <c r="P393" s="8"/>
      <c r="Q393" s="8"/>
      <c r="R393" s="8"/>
      <c r="S393" s="8"/>
      <c r="T393" s="8"/>
      <c r="U393" s="8"/>
      <c r="V393" s="8"/>
      <c r="W393" s="8" t="s">
        <v>1116</v>
      </c>
      <c r="X393" s="8">
        <v>34.71</v>
      </c>
      <c r="Y393" s="8">
        <v>2.58</v>
      </c>
      <c r="Z393" s="9">
        <v>3.28</v>
      </c>
      <c r="AA393" s="8">
        <v>2</v>
      </c>
      <c r="AB393" s="8">
        <v>46069</v>
      </c>
      <c r="AC393" s="8" t="s">
        <v>1116</v>
      </c>
      <c r="AD393" s="8" t="s">
        <v>3725</v>
      </c>
      <c r="AE393" s="8" t="s">
        <v>4083</v>
      </c>
      <c r="AF393" s="9">
        <f t="shared" si="48"/>
        <v>5.16</v>
      </c>
      <c r="AG393" s="9">
        <f t="shared" si="49"/>
        <v>6.9333333333333336</v>
      </c>
      <c r="AH393" s="9">
        <f t="shared" si="50"/>
        <v>6.6720933025527507E-3</v>
      </c>
      <c r="AI393" s="9">
        <f t="shared" si="51"/>
        <v>4.4516829037969275E-5</v>
      </c>
      <c r="AJ393" s="9">
        <f t="shared" si="52"/>
        <v>5.4587113861229676E-3</v>
      </c>
      <c r="AK393" s="9">
        <f t="shared" si="53"/>
        <v>2.979752999698853E-5</v>
      </c>
      <c r="AL393" s="9">
        <f t="shared" si="54"/>
        <v>8.9492096790512923E-3</v>
      </c>
      <c r="AM393" s="9">
        <f t="shared" si="55"/>
        <v>8.0088353879625334E-5</v>
      </c>
      <c r="AN393" s="8" t="s">
        <v>1116</v>
      </c>
    </row>
    <row r="394" spans="13:40" ht="23">
      <c r="M394" s="8" t="s">
        <v>5023</v>
      </c>
      <c r="N394" s="8" t="s">
        <v>150</v>
      </c>
      <c r="O394" s="8"/>
      <c r="P394" s="8"/>
      <c r="Q394" s="8"/>
      <c r="R394" s="8"/>
      <c r="S394" s="8"/>
      <c r="T394" s="8"/>
      <c r="U394" s="8"/>
      <c r="V394" s="8"/>
      <c r="W394" s="8" t="s">
        <v>5023</v>
      </c>
      <c r="X394" s="8">
        <v>37.159999999999997</v>
      </c>
      <c r="Y394" s="8">
        <v>2.83</v>
      </c>
      <c r="Z394" s="9">
        <v>3.06</v>
      </c>
      <c r="AA394" s="8">
        <v>2</v>
      </c>
      <c r="AB394" s="8">
        <v>54268</v>
      </c>
      <c r="AC394" s="8" t="s">
        <v>5023</v>
      </c>
      <c r="AD394" s="8" t="s">
        <v>3725</v>
      </c>
      <c r="AE394" s="8" t="s">
        <v>4083</v>
      </c>
      <c r="AF394" s="9">
        <f t="shared" si="48"/>
        <v>5.66</v>
      </c>
      <c r="AG394" s="9">
        <f t="shared" si="49"/>
        <v>6.2</v>
      </c>
      <c r="AH394" s="9">
        <f t="shared" si="50"/>
        <v>6.6720933025527507E-3</v>
      </c>
      <c r="AI394" s="9">
        <f t="shared" si="51"/>
        <v>4.4516829037969275E-5</v>
      </c>
      <c r="AJ394" s="9">
        <f t="shared" si="52"/>
        <v>5.9876562878790687E-3</v>
      </c>
      <c r="AK394" s="9">
        <f t="shared" si="53"/>
        <v>3.5852027821777747E-5</v>
      </c>
      <c r="AL394" s="9">
        <f t="shared" si="54"/>
        <v>8.0026586553054828E-3</v>
      </c>
      <c r="AM394" s="9">
        <f t="shared" si="55"/>
        <v>6.4042545553335764E-5</v>
      </c>
      <c r="AN394" s="8" t="s">
        <v>5023</v>
      </c>
    </row>
    <row r="395" spans="13:40" ht="23">
      <c r="M395" s="9" t="s">
        <v>2558</v>
      </c>
      <c r="N395" s="8" t="s">
        <v>150</v>
      </c>
      <c r="O395" s="8"/>
      <c r="P395" s="8"/>
      <c r="Q395" s="8"/>
      <c r="R395" s="8"/>
      <c r="S395" s="8"/>
      <c r="T395" s="8"/>
      <c r="U395" s="8"/>
      <c r="V395" s="8"/>
      <c r="W395" s="9" t="s">
        <v>2558</v>
      </c>
      <c r="X395" s="8">
        <v>23.68</v>
      </c>
      <c r="Y395" s="8">
        <v>2.0099999999999998</v>
      </c>
      <c r="Z395" s="9">
        <v>1.37</v>
      </c>
      <c r="AA395" s="8">
        <v>2</v>
      </c>
      <c r="AB395" s="8">
        <v>50757</v>
      </c>
      <c r="AC395" s="9" t="s">
        <v>2558</v>
      </c>
      <c r="AD395" s="8" t="s">
        <v>3725</v>
      </c>
      <c r="AE395" s="8" t="s">
        <v>4083</v>
      </c>
      <c r="AF395" s="9">
        <f t="shared" si="48"/>
        <v>4.0199999999999996</v>
      </c>
      <c r="AG395" s="9">
        <f t="shared" si="49"/>
        <v>3.2333333333333334</v>
      </c>
      <c r="AH395" s="9">
        <f t="shared" si="50"/>
        <v>6.6720933025527507E-3</v>
      </c>
      <c r="AI395" s="9">
        <f t="shared" si="51"/>
        <v>4.4516829037969275E-5</v>
      </c>
      <c r="AJ395" s="9">
        <f t="shared" si="52"/>
        <v>4.2527170101190554E-3</v>
      </c>
      <c r="AK395" s="9">
        <f t="shared" si="53"/>
        <v>1.8085601968155956E-5</v>
      </c>
      <c r="AL395" s="9">
        <f t="shared" si="54"/>
        <v>4.1734295137883428E-3</v>
      </c>
      <c r="AM395" s="9">
        <f t="shared" si="55"/>
        <v>1.7417513906559603E-5</v>
      </c>
      <c r="AN395" s="9" t="s">
        <v>2558</v>
      </c>
    </row>
    <row r="396" spans="13:40" ht="23">
      <c r="M396" s="9" t="s">
        <v>2468</v>
      </c>
      <c r="N396" s="8" t="s">
        <v>150</v>
      </c>
      <c r="O396" s="8"/>
      <c r="P396" s="8"/>
      <c r="Q396" s="8"/>
      <c r="R396" s="8"/>
      <c r="S396" s="8"/>
      <c r="T396" s="8"/>
      <c r="U396" s="8"/>
      <c r="V396" s="8"/>
      <c r="W396" s="9" t="s">
        <v>2468</v>
      </c>
      <c r="X396" s="8">
        <v>40.07</v>
      </c>
      <c r="Y396" s="8">
        <v>1.71</v>
      </c>
      <c r="Z396" s="9">
        <v>1.23</v>
      </c>
      <c r="AA396" s="8">
        <v>2</v>
      </c>
      <c r="AB396" s="8">
        <v>75307</v>
      </c>
      <c r="AC396" s="9" t="s">
        <v>2468</v>
      </c>
      <c r="AD396" s="8" t="s">
        <v>3725</v>
      </c>
      <c r="AE396" s="8" t="s">
        <v>4083</v>
      </c>
      <c r="AF396" s="9">
        <f t="shared" si="48"/>
        <v>3.42</v>
      </c>
      <c r="AG396" s="9">
        <f t="shared" si="49"/>
        <v>2.7666666666666666</v>
      </c>
      <c r="AH396" s="9">
        <f t="shared" si="50"/>
        <v>6.6720933025527507E-3</v>
      </c>
      <c r="AI396" s="9">
        <f t="shared" si="51"/>
        <v>4.4516829037969275E-5</v>
      </c>
      <c r="AJ396" s="9">
        <f t="shared" si="52"/>
        <v>3.617983128011734E-3</v>
      </c>
      <c r="AK396" s="9">
        <f t="shared" si="53"/>
        <v>1.3089801914577571E-5</v>
      </c>
      <c r="AL396" s="9">
        <f t="shared" si="54"/>
        <v>3.5710788623137361E-3</v>
      </c>
      <c r="AM396" s="9">
        <f t="shared" si="55"/>
        <v>1.2752604240863967E-5</v>
      </c>
      <c r="AN396" s="9" t="s">
        <v>2468</v>
      </c>
    </row>
    <row r="397" spans="13:40" ht="23">
      <c r="M397" s="8" t="s">
        <v>149</v>
      </c>
      <c r="N397" s="8" t="s">
        <v>150</v>
      </c>
      <c r="O397" s="8"/>
      <c r="P397" s="8"/>
      <c r="Q397" s="8"/>
      <c r="R397" s="8"/>
      <c r="S397" s="8"/>
      <c r="T397" s="8"/>
      <c r="U397" s="8"/>
      <c r="V397" s="8"/>
      <c r="W397" s="8" t="s">
        <v>149</v>
      </c>
      <c r="X397" s="8">
        <v>34.619999999999997</v>
      </c>
      <c r="Y397" s="8">
        <v>2.04</v>
      </c>
      <c r="Z397" s="9">
        <v>0.53</v>
      </c>
      <c r="AA397" s="8">
        <v>2</v>
      </c>
      <c r="AB397" s="8">
        <v>45464</v>
      </c>
      <c r="AC397" s="8" t="s">
        <v>149</v>
      </c>
      <c r="AD397" s="8" t="s">
        <v>3725</v>
      </c>
      <c r="AE397" s="8" t="s">
        <v>4083</v>
      </c>
      <c r="AF397" s="9">
        <f t="shared" si="48"/>
        <v>4.08</v>
      </c>
      <c r="AG397" s="9">
        <f t="shared" si="49"/>
        <v>1.7666666666666666</v>
      </c>
      <c r="AH397" s="9">
        <f t="shared" si="50"/>
        <v>6.6720933025527507E-3</v>
      </c>
      <c r="AI397" s="9">
        <f t="shared" si="51"/>
        <v>4.4516829037969275E-5</v>
      </c>
      <c r="AJ397" s="9">
        <f t="shared" si="52"/>
        <v>4.3161903983297877E-3</v>
      </c>
      <c r="AK397" s="9">
        <f t="shared" si="53"/>
        <v>1.8629499554634252E-5</v>
      </c>
      <c r="AL397" s="9">
        <f t="shared" si="54"/>
        <v>2.280327466296723E-3</v>
      </c>
      <c r="AM397" s="9">
        <f t="shared" si="55"/>
        <v>5.1998933535472323E-6</v>
      </c>
      <c r="AN397" s="8" t="s">
        <v>149</v>
      </c>
    </row>
    <row r="398" spans="13:40" ht="23">
      <c r="M398" s="8" t="s">
        <v>1873</v>
      </c>
      <c r="N398" s="8" t="s">
        <v>1869</v>
      </c>
      <c r="O398" s="8"/>
      <c r="P398" s="8"/>
      <c r="Q398" s="8"/>
      <c r="R398" s="8"/>
      <c r="S398" s="8"/>
      <c r="T398" s="8"/>
      <c r="U398" s="8"/>
      <c r="V398" s="8"/>
      <c r="W398" s="8" t="s">
        <v>1873</v>
      </c>
      <c r="X398" s="8">
        <v>45.45</v>
      </c>
      <c r="Y398" s="8">
        <v>2.3199999999999998</v>
      </c>
      <c r="Z398" s="9">
        <v>1.32</v>
      </c>
      <c r="AA398" s="8">
        <v>1.9</v>
      </c>
      <c r="AB398" s="8">
        <v>42439</v>
      </c>
      <c r="AC398" s="8" t="s">
        <v>1873</v>
      </c>
      <c r="AD398" s="8" t="s">
        <v>3725</v>
      </c>
      <c r="AE398" s="8" t="s">
        <v>4083</v>
      </c>
      <c r="AF398" s="9">
        <f t="shared" si="48"/>
        <v>4.4079999999999995</v>
      </c>
      <c r="AG398" s="9">
        <f t="shared" si="49"/>
        <v>2.9133333333333331</v>
      </c>
      <c r="AH398" s="9">
        <f t="shared" si="50"/>
        <v>6.3384886374251142E-3</v>
      </c>
      <c r="AI398" s="9">
        <f t="shared" si="51"/>
        <v>4.0176438206767283E-5</v>
      </c>
      <c r="AJ398" s="9">
        <f t="shared" si="52"/>
        <v>4.6631782538817902E-3</v>
      </c>
      <c r="AK398" s="9">
        <f t="shared" si="53"/>
        <v>2.1745231427476022E-5</v>
      </c>
      <c r="AL398" s="9">
        <f t="shared" si="54"/>
        <v>3.760389067062898E-3</v>
      </c>
      <c r="AM398" s="9">
        <f t="shared" si="55"/>
        <v>1.4140525935686173E-5</v>
      </c>
      <c r="AN398" s="8" t="s">
        <v>1873</v>
      </c>
    </row>
    <row r="399" spans="13:40" ht="23">
      <c r="M399" s="9" t="s">
        <v>3621</v>
      </c>
      <c r="N399" s="8" t="s">
        <v>2093</v>
      </c>
      <c r="O399" s="8"/>
      <c r="P399" s="8" t="s">
        <v>3704</v>
      </c>
      <c r="Q399" s="8"/>
      <c r="R399" s="8"/>
      <c r="S399" s="8"/>
      <c r="T399" s="8"/>
      <c r="U399" s="8"/>
      <c r="V399" s="8"/>
      <c r="W399" s="9" t="s">
        <v>3621</v>
      </c>
      <c r="X399" s="8">
        <v>52.3</v>
      </c>
      <c r="Y399" s="8">
        <v>5.0599999999999996</v>
      </c>
      <c r="Z399" s="9">
        <v>5.01</v>
      </c>
      <c r="AA399" s="8">
        <v>1.9</v>
      </c>
      <c r="AB399" s="8">
        <v>39872</v>
      </c>
      <c r="AC399" s="9" t="s">
        <v>3621</v>
      </c>
      <c r="AD399" s="8" t="s">
        <v>3725</v>
      </c>
      <c r="AE399" s="8" t="s">
        <v>4083</v>
      </c>
      <c r="AF399" s="9">
        <f t="shared" si="48"/>
        <v>9.613999999999999</v>
      </c>
      <c r="AG399" s="9">
        <f t="shared" si="49"/>
        <v>9.5316666666666663</v>
      </c>
      <c r="AH399" s="9">
        <f t="shared" si="50"/>
        <v>6.3384886374251142E-3</v>
      </c>
      <c r="AI399" s="9">
        <f t="shared" si="51"/>
        <v>4.0176438206767283E-5</v>
      </c>
      <c r="AJ399" s="9">
        <f t="shared" si="52"/>
        <v>1.0170552570966317E-2</v>
      </c>
      <c r="AK399" s="9">
        <f t="shared" si="53"/>
        <v>1.0344013959878956E-4</v>
      </c>
      <c r="AL399" s="9">
        <f t="shared" si="54"/>
        <v>1.2303012056368832E-2</v>
      </c>
      <c r="AM399" s="9">
        <f t="shared" si="55"/>
        <v>1.5136410565915682E-4</v>
      </c>
      <c r="AN399" s="9" t="s">
        <v>3621</v>
      </c>
    </row>
    <row r="400" spans="13:40" ht="23">
      <c r="M400" s="8" t="s">
        <v>4954</v>
      </c>
      <c r="N400" s="8" t="s">
        <v>150</v>
      </c>
      <c r="O400" s="8"/>
      <c r="P400" s="8"/>
      <c r="Q400" s="8"/>
      <c r="R400" s="8"/>
      <c r="S400" s="8"/>
      <c r="T400" s="8"/>
      <c r="U400" s="8"/>
      <c r="V400" s="8"/>
      <c r="W400" s="8" t="s">
        <v>4954</v>
      </c>
      <c r="X400" s="8">
        <v>15.83</v>
      </c>
      <c r="Y400" s="8">
        <v>2.59</v>
      </c>
      <c r="Z400" s="9">
        <v>6.34</v>
      </c>
      <c r="AA400" s="8">
        <v>1.9</v>
      </c>
      <c r="AB400" s="8">
        <v>53113</v>
      </c>
      <c r="AC400" s="8" t="s">
        <v>4954</v>
      </c>
      <c r="AD400" s="8" t="s">
        <v>3725</v>
      </c>
      <c r="AE400" s="8" t="s">
        <v>4083</v>
      </c>
      <c r="AF400" s="9">
        <f t="shared" si="48"/>
        <v>4.9209999999999994</v>
      </c>
      <c r="AG400" s="9">
        <f t="shared" si="49"/>
        <v>12.476666666666665</v>
      </c>
      <c r="AH400" s="9">
        <f t="shared" si="50"/>
        <v>6.3384886374251142E-3</v>
      </c>
      <c r="AI400" s="9">
        <f t="shared" si="51"/>
        <v>4.0176438206767283E-5</v>
      </c>
      <c r="AJ400" s="9">
        <f t="shared" si="52"/>
        <v>5.2058757230835501E-3</v>
      </c>
      <c r="AK400" s="9">
        <f t="shared" si="53"/>
        <v>2.7101142044190677E-5</v>
      </c>
      <c r="AL400" s="9">
        <f t="shared" si="54"/>
        <v>1.6104274917638932E-2</v>
      </c>
      <c r="AM400" s="9">
        <f t="shared" si="55"/>
        <v>2.5934767062289445E-4</v>
      </c>
      <c r="AN400" s="8" t="s">
        <v>4954</v>
      </c>
    </row>
    <row r="401" spans="13:40" ht="23">
      <c r="M401" s="9" t="s">
        <v>2185</v>
      </c>
      <c r="N401" s="8" t="s">
        <v>150</v>
      </c>
      <c r="O401" s="8"/>
      <c r="P401" s="8"/>
      <c r="Q401" s="8"/>
      <c r="R401" s="8"/>
      <c r="S401" s="8"/>
      <c r="T401" s="8"/>
      <c r="U401" s="8"/>
      <c r="V401" s="8"/>
      <c r="W401" s="9" t="s">
        <v>2185</v>
      </c>
      <c r="X401" s="8">
        <v>16.21</v>
      </c>
      <c r="Y401" s="8">
        <v>3.03</v>
      </c>
      <c r="Z401" s="9">
        <v>2.02</v>
      </c>
      <c r="AA401" s="8">
        <v>1.9</v>
      </c>
      <c r="AB401" s="8">
        <v>39280</v>
      </c>
      <c r="AC401" s="9" t="s">
        <v>2185</v>
      </c>
      <c r="AD401" s="8" t="s">
        <v>3725</v>
      </c>
      <c r="AE401" s="8" t="s">
        <v>4083</v>
      </c>
      <c r="AF401" s="9">
        <f t="shared" si="48"/>
        <v>5.7569999999999997</v>
      </c>
      <c r="AG401" s="9">
        <f t="shared" si="49"/>
        <v>3.8633333333333328</v>
      </c>
      <c r="AH401" s="9">
        <f t="shared" si="50"/>
        <v>6.3384886374251142E-3</v>
      </c>
      <c r="AI401" s="9">
        <f t="shared" si="51"/>
        <v>4.0176438206767283E-5</v>
      </c>
      <c r="AJ401" s="9">
        <f t="shared" si="52"/>
        <v>6.090271598819752E-3</v>
      </c>
      <c r="AK401" s="9">
        <f t="shared" si="53"/>
        <v>3.7091408147390499E-5</v>
      </c>
      <c r="AL401" s="9">
        <f t="shared" si="54"/>
        <v>4.9866028932790607E-3</v>
      </c>
      <c r="AM401" s="9">
        <f t="shared" si="55"/>
        <v>2.48662084152591E-5</v>
      </c>
      <c r="AN401" s="9" t="s">
        <v>2185</v>
      </c>
    </row>
    <row r="402" spans="13:40" ht="23">
      <c r="M402" s="9" t="s">
        <v>3306</v>
      </c>
      <c r="N402" s="8" t="s">
        <v>1939</v>
      </c>
      <c r="O402" s="8"/>
      <c r="P402" s="8" t="s">
        <v>3691</v>
      </c>
      <c r="Q402" s="8"/>
      <c r="R402" s="8"/>
      <c r="S402" s="8"/>
      <c r="T402" s="8"/>
      <c r="U402" s="8"/>
      <c r="V402" s="8"/>
      <c r="W402" s="9" t="s">
        <v>3306</v>
      </c>
      <c r="X402" s="8">
        <v>59.19</v>
      </c>
      <c r="Y402" s="8">
        <v>2.35</v>
      </c>
      <c r="Z402" s="9">
        <v>0.57999999999999996</v>
      </c>
      <c r="AA402" s="8">
        <v>1.9</v>
      </c>
      <c r="AB402" s="8">
        <v>69356</v>
      </c>
      <c r="AC402" s="9" t="s">
        <v>3306</v>
      </c>
      <c r="AD402" s="8" t="s">
        <v>3725</v>
      </c>
      <c r="AE402" s="8" t="s">
        <v>4083</v>
      </c>
      <c r="AF402" s="9">
        <f t="shared" si="48"/>
        <v>4.4649999999999999</v>
      </c>
      <c r="AG402" s="9">
        <f t="shared" si="49"/>
        <v>1.8366666666666667</v>
      </c>
      <c r="AH402" s="9">
        <f t="shared" si="50"/>
        <v>6.3384886374251142E-3</v>
      </c>
      <c r="AI402" s="9">
        <f t="shared" si="51"/>
        <v>4.0176438206767283E-5</v>
      </c>
      <c r="AJ402" s="9">
        <f t="shared" si="52"/>
        <v>4.7234779726819855E-3</v>
      </c>
      <c r="AK402" s="9">
        <f t="shared" si="53"/>
        <v>2.231124415841192E-5</v>
      </c>
      <c r="AL402" s="9">
        <f t="shared" si="54"/>
        <v>2.3706800640179142E-3</v>
      </c>
      <c r="AM402" s="9">
        <f t="shared" si="55"/>
        <v>5.6201239659319821E-6</v>
      </c>
      <c r="AN402" s="9" t="s">
        <v>3306</v>
      </c>
    </row>
    <row r="403" spans="13:40" ht="23">
      <c r="M403" s="9" t="s">
        <v>5097</v>
      </c>
      <c r="N403" s="8" t="s">
        <v>2100</v>
      </c>
      <c r="O403" s="8"/>
      <c r="P403" s="8"/>
      <c r="Q403" s="8"/>
      <c r="R403" s="8"/>
      <c r="S403" s="8"/>
      <c r="T403" s="8"/>
      <c r="U403" s="8"/>
      <c r="V403" s="8"/>
      <c r="W403" s="9" t="s">
        <v>5097</v>
      </c>
      <c r="X403" s="8">
        <v>25.67</v>
      </c>
      <c r="Y403" s="8">
        <v>4.2</v>
      </c>
      <c r="Z403" s="9">
        <v>1.03</v>
      </c>
      <c r="AA403" s="8">
        <v>1.9</v>
      </c>
      <c r="AB403" s="8">
        <v>33831</v>
      </c>
      <c r="AC403" s="9" t="s">
        <v>5097</v>
      </c>
      <c r="AD403" s="8" t="s">
        <v>3725</v>
      </c>
      <c r="AE403" s="8" t="s">
        <v>4083</v>
      </c>
      <c r="AF403" s="9">
        <f t="shared" si="48"/>
        <v>7.9799999999999995</v>
      </c>
      <c r="AG403" s="9">
        <f t="shared" si="49"/>
        <v>1.9949999999999999</v>
      </c>
      <c r="AH403" s="9">
        <f t="shared" si="50"/>
        <v>6.3384886374251142E-3</v>
      </c>
      <c r="AI403" s="9">
        <f t="shared" si="51"/>
        <v>4.0176438206767283E-5</v>
      </c>
      <c r="AJ403" s="9">
        <f t="shared" si="52"/>
        <v>8.4419606320273784E-3</v>
      </c>
      <c r="AK403" s="9">
        <f t="shared" si="53"/>
        <v>7.1266699312700092E-5</v>
      </c>
      <c r="AL403" s="9">
        <f t="shared" si="54"/>
        <v>2.5750490350539409E-3</v>
      </c>
      <c r="AM403" s="9">
        <f t="shared" si="55"/>
        <v>6.6308775329322323E-6</v>
      </c>
      <c r="AN403" s="9" t="s">
        <v>5097</v>
      </c>
    </row>
    <row r="404" spans="13:40" ht="23">
      <c r="M404" s="9" t="s">
        <v>2360</v>
      </c>
      <c r="N404" s="8" t="s">
        <v>150</v>
      </c>
      <c r="O404" s="8"/>
      <c r="P404" s="8"/>
      <c r="Q404" s="8"/>
      <c r="R404" s="8"/>
      <c r="S404" s="8"/>
      <c r="T404" s="8"/>
      <c r="U404" s="8"/>
      <c r="V404" s="8"/>
      <c r="W404" s="9" t="s">
        <v>2360</v>
      </c>
      <c r="X404" s="8">
        <v>17.809999999999999</v>
      </c>
      <c r="Y404" s="8">
        <v>3.51</v>
      </c>
      <c r="Z404" s="9">
        <v>4.1399999999999997</v>
      </c>
      <c r="AA404" s="8">
        <v>1.8</v>
      </c>
      <c r="AB404" s="8">
        <v>41575</v>
      </c>
      <c r="AC404" s="9" t="s">
        <v>2360</v>
      </c>
      <c r="AD404" s="8" t="s">
        <v>3725</v>
      </c>
      <c r="AE404" s="8" t="s">
        <v>4083</v>
      </c>
      <c r="AF404" s="9">
        <f t="shared" si="48"/>
        <v>6.3179999999999996</v>
      </c>
      <c r="AG404" s="9">
        <f t="shared" si="49"/>
        <v>7.62</v>
      </c>
      <c r="AH404" s="9">
        <f t="shared" si="50"/>
        <v>6.004883972297476E-3</v>
      </c>
      <c r="AI404" s="9">
        <f t="shared" si="51"/>
        <v>3.6058631520755116E-5</v>
      </c>
      <c r="AJ404" s="9">
        <f t="shared" si="52"/>
        <v>6.6837477785900972E-3</v>
      </c>
      <c r="AK404" s="9">
        <f t="shared" si="53"/>
        <v>4.4672484367808058E-5</v>
      </c>
      <c r="AL404" s="9">
        <f t="shared" si="54"/>
        <v>9.8355256376496409E-3</v>
      </c>
      <c r="AM404" s="9">
        <f t="shared" si="55"/>
        <v>9.6737564568863372E-5</v>
      </c>
      <c r="AN404" s="9" t="s">
        <v>2360</v>
      </c>
    </row>
    <row r="405" spans="13:40" ht="23">
      <c r="M405" s="9" t="s">
        <v>3522</v>
      </c>
      <c r="N405" s="8" t="s">
        <v>2041</v>
      </c>
      <c r="O405" s="8"/>
      <c r="P405" s="8"/>
      <c r="Q405" s="8"/>
      <c r="R405" s="8"/>
      <c r="S405" s="8"/>
      <c r="T405" s="8"/>
      <c r="U405" s="8"/>
      <c r="V405" s="8"/>
      <c r="W405" s="9" t="s">
        <v>3522</v>
      </c>
      <c r="X405" s="8">
        <v>47.49</v>
      </c>
      <c r="Y405" s="8">
        <v>2.2200000000000002</v>
      </c>
      <c r="Z405" s="9">
        <v>2.1800000000000002</v>
      </c>
      <c r="AA405" s="8">
        <v>1.8</v>
      </c>
      <c r="AB405" s="8">
        <v>72093</v>
      </c>
      <c r="AC405" s="9" t="s">
        <v>3522</v>
      </c>
      <c r="AD405" s="8" t="s">
        <v>3725</v>
      </c>
      <c r="AE405" s="8" t="s">
        <v>4083</v>
      </c>
      <c r="AF405" s="9">
        <f t="shared" si="48"/>
        <v>3.9960000000000004</v>
      </c>
      <c r="AG405" s="9">
        <f t="shared" si="49"/>
        <v>4.1399999999999997</v>
      </c>
      <c r="AH405" s="9">
        <f t="shared" si="50"/>
        <v>6.004883972297476E-3</v>
      </c>
      <c r="AI405" s="9">
        <f t="shared" si="51"/>
        <v>3.6058631520755116E-5</v>
      </c>
      <c r="AJ405" s="9">
        <f t="shared" si="52"/>
        <v>4.2273276548347631E-3</v>
      </c>
      <c r="AK405" s="9">
        <f t="shared" si="53"/>
        <v>1.787029910133078E-5</v>
      </c>
      <c r="AL405" s="9">
        <f t="shared" si="54"/>
        <v>5.3437107795104343E-3</v>
      </c>
      <c r="AM405" s="9">
        <f t="shared" si="55"/>
        <v>2.8555244895056013E-5</v>
      </c>
      <c r="AN405" s="9" t="s">
        <v>3522</v>
      </c>
    </row>
    <row r="406" spans="13:40" ht="23">
      <c r="M406" s="9" t="s">
        <v>3664</v>
      </c>
      <c r="N406" s="8" t="s">
        <v>2107</v>
      </c>
      <c r="O406" s="8"/>
      <c r="P406" s="8"/>
      <c r="Q406" s="8"/>
      <c r="R406" s="8"/>
      <c r="S406" s="8"/>
      <c r="T406" s="8"/>
      <c r="U406" s="8"/>
      <c r="V406" s="8"/>
      <c r="W406" s="9" t="s">
        <v>3664</v>
      </c>
      <c r="X406" s="8">
        <v>16.100000000000001</v>
      </c>
      <c r="Y406" s="8">
        <v>2.99</v>
      </c>
      <c r="Z406" s="9">
        <v>1.48</v>
      </c>
      <c r="AA406" s="8">
        <v>1.8</v>
      </c>
      <c r="AB406" s="8">
        <v>39971</v>
      </c>
      <c r="AC406" s="9" t="s">
        <v>3664</v>
      </c>
      <c r="AD406" s="8" t="s">
        <v>3725</v>
      </c>
      <c r="AE406" s="8" t="s">
        <v>4083</v>
      </c>
      <c r="AF406" s="9">
        <f t="shared" si="48"/>
        <v>5.3820000000000006</v>
      </c>
      <c r="AG406" s="9">
        <f t="shared" si="49"/>
        <v>3.24</v>
      </c>
      <c r="AH406" s="9">
        <f t="shared" si="50"/>
        <v>6.004883972297476E-3</v>
      </c>
      <c r="AI406" s="9">
        <f t="shared" si="51"/>
        <v>3.6058631520755116E-5</v>
      </c>
      <c r="AJ406" s="9">
        <f t="shared" si="52"/>
        <v>5.6935629225026768E-3</v>
      </c>
      <c r="AK406" s="9">
        <f t="shared" si="53"/>
        <v>3.2416658752497222E-5</v>
      </c>
      <c r="AL406" s="9">
        <f t="shared" si="54"/>
        <v>4.182034523095123E-3</v>
      </c>
      <c r="AM406" s="9">
        <f t="shared" si="55"/>
        <v>1.7489412752359453E-5</v>
      </c>
      <c r="AN406" s="9" t="s">
        <v>3664</v>
      </c>
    </row>
    <row r="407" spans="13:40" ht="23">
      <c r="M407" s="9" t="s">
        <v>2697</v>
      </c>
      <c r="N407" s="8" t="s">
        <v>1614</v>
      </c>
      <c r="O407" s="8"/>
      <c r="P407" s="8"/>
      <c r="Q407" s="8"/>
      <c r="R407" s="8"/>
      <c r="S407" s="8"/>
      <c r="T407" s="8"/>
      <c r="U407" s="8"/>
      <c r="V407" s="8"/>
      <c r="W407" s="9" t="s">
        <v>2697</v>
      </c>
      <c r="X407" s="8">
        <v>12.43</v>
      </c>
      <c r="Y407" s="8">
        <v>6.22</v>
      </c>
      <c r="Z407" s="9">
        <v>4.2699999999999996</v>
      </c>
      <c r="AA407" s="8">
        <v>1.7</v>
      </c>
      <c r="AB407" s="8">
        <v>34677</v>
      </c>
      <c r="AC407" s="9" t="s">
        <v>2697</v>
      </c>
      <c r="AD407" s="8" t="s">
        <v>3725</v>
      </c>
      <c r="AE407" s="8" t="s">
        <v>4083</v>
      </c>
      <c r="AF407" s="9">
        <f t="shared" si="48"/>
        <v>10.574</v>
      </c>
      <c r="AG407" s="9">
        <f t="shared" si="49"/>
        <v>7.5650000000000004</v>
      </c>
      <c r="AH407" s="9">
        <f t="shared" si="50"/>
        <v>5.6712793071698386E-3</v>
      </c>
      <c r="AI407" s="9">
        <f t="shared" si="51"/>
        <v>3.2163408979932803E-5</v>
      </c>
      <c r="AJ407" s="9">
        <f t="shared" si="52"/>
        <v>1.1186126782338032E-2</v>
      </c>
      <c r="AK407" s="9">
        <f t="shared" si="53"/>
        <v>1.2512943239054023E-4</v>
      </c>
      <c r="AL407" s="9">
        <f t="shared" si="54"/>
        <v>9.7645343108687058E-3</v>
      </c>
      <c r="AM407" s="9">
        <f t="shared" si="55"/>
        <v>9.5346130308132196E-5</v>
      </c>
      <c r="AN407" s="9" t="s">
        <v>2697</v>
      </c>
    </row>
    <row r="408" spans="13:40" ht="23">
      <c r="M408" s="9" t="s">
        <v>2749</v>
      </c>
      <c r="N408" s="8" t="s">
        <v>1614</v>
      </c>
      <c r="O408" s="8"/>
      <c r="P408" s="8"/>
      <c r="Q408" s="8"/>
      <c r="R408" s="8"/>
      <c r="S408" s="8"/>
      <c r="T408" s="8"/>
      <c r="U408" s="8"/>
      <c r="V408" s="8"/>
      <c r="W408" s="9" t="s">
        <v>2749</v>
      </c>
      <c r="X408" s="8">
        <v>65.930000000000007</v>
      </c>
      <c r="Y408" s="8">
        <v>2.37</v>
      </c>
      <c r="Z408" s="9">
        <v>2.48</v>
      </c>
      <c r="AA408" s="8">
        <v>1.7</v>
      </c>
      <c r="AB408" s="8">
        <v>55242</v>
      </c>
      <c r="AC408" s="9" t="s">
        <v>2749</v>
      </c>
      <c r="AD408" s="8" t="s">
        <v>3725</v>
      </c>
      <c r="AE408" s="8" t="s">
        <v>4083</v>
      </c>
      <c r="AF408" s="9">
        <f t="shared" si="48"/>
        <v>4.0289999999999999</v>
      </c>
      <c r="AG408" s="9">
        <f t="shared" si="49"/>
        <v>4.76</v>
      </c>
      <c r="AH408" s="9">
        <f t="shared" si="50"/>
        <v>5.6712793071698386E-3</v>
      </c>
      <c r="AI408" s="9">
        <f t="shared" si="51"/>
        <v>3.2163408979932803E-5</v>
      </c>
      <c r="AJ408" s="9">
        <f t="shared" si="52"/>
        <v>4.2622380183506654E-3</v>
      </c>
      <c r="AK408" s="9">
        <f t="shared" si="53"/>
        <v>1.8166672925073806E-5</v>
      </c>
      <c r="AL408" s="9">
        <f t="shared" si="54"/>
        <v>6.1439766450409822E-3</v>
      </c>
      <c r="AM408" s="9">
        <f t="shared" si="55"/>
        <v>3.7748449014809043E-5</v>
      </c>
      <c r="AN408" s="9" t="s">
        <v>2749</v>
      </c>
    </row>
    <row r="409" spans="13:40" ht="23">
      <c r="M409" s="8" t="s">
        <v>995</v>
      </c>
      <c r="N409" s="8" t="s">
        <v>150</v>
      </c>
      <c r="O409" s="8"/>
      <c r="P409" s="8"/>
      <c r="Q409" s="8"/>
      <c r="R409" s="8"/>
      <c r="S409" s="8"/>
      <c r="T409" s="8"/>
      <c r="U409" s="8"/>
      <c r="V409" s="8"/>
      <c r="W409" s="8" t="s">
        <v>995</v>
      </c>
      <c r="X409" s="8">
        <v>36.39</v>
      </c>
      <c r="Y409" s="8">
        <v>1.86</v>
      </c>
      <c r="Z409" s="9">
        <v>2.06</v>
      </c>
      <c r="AA409" s="8">
        <v>1.7</v>
      </c>
      <c r="AB409" s="8">
        <v>49335</v>
      </c>
      <c r="AC409" s="8" t="s">
        <v>995</v>
      </c>
      <c r="AD409" s="8" t="s">
        <v>3725</v>
      </c>
      <c r="AE409" s="8" t="s">
        <v>4083</v>
      </c>
      <c r="AF409" s="9">
        <f t="shared" si="48"/>
        <v>3.1619999999999999</v>
      </c>
      <c r="AG409" s="9">
        <f t="shared" si="49"/>
        <v>3.57</v>
      </c>
      <c r="AH409" s="9">
        <f t="shared" si="50"/>
        <v>5.6712793071698386E-3</v>
      </c>
      <c r="AI409" s="9">
        <f t="shared" si="51"/>
        <v>3.2163408979932803E-5</v>
      </c>
      <c r="AJ409" s="9">
        <f t="shared" si="52"/>
        <v>3.3450475587055856E-3</v>
      </c>
      <c r="AK409" s="9">
        <f t="shared" si="53"/>
        <v>1.1189343170002198E-5</v>
      </c>
      <c r="AL409" s="9">
        <f t="shared" si="54"/>
        <v>4.6079824837807369E-3</v>
      </c>
      <c r="AM409" s="9">
        <f t="shared" si="55"/>
        <v>2.123350257083009E-5</v>
      </c>
      <c r="AN409" s="8" t="s">
        <v>995</v>
      </c>
    </row>
    <row r="410" spans="13:40" ht="23">
      <c r="M410" s="9" t="s">
        <v>5068</v>
      </c>
      <c r="N410" s="8" t="s">
        <v>150</v>
      </c>
      <c r="O410" s="8"/>
      <c r="P410" s="8"/>
      <c r="Q410" s="8"/>
      <c r="R410" s="8"/>
      <c r="S410" s="8"/>
      <c r="T410" s="8"/>
      <c r="U410" s="8"/>
      <c r="V410" s="8"/>
      <c r="W410" s="9" t="s">
        <v>5068</v>
      </c>
      <c r="X410" s="8">
        <v>42.76</v>
      </c>
      <c r="Y410" s="8">
        <v>1.94</v>
      </c>
      <c r="Z410" s="9">
        <v>0.28000000000000003</v>
      </c>
      <c r="AA410" s="8">
        <v>1.7</v>
      </c>
      <c r="AB410" s="8">
        <v>56908</v>
      </c>
      <c r="AC410" s="9" t="s">
        <v>5068</v>
      </c>
      <c r="AD410" s="8" t="s">
        <v>3725</v>
      </c>
      <c r="AE410" s="8" t="s">
        <v>4083</v>
      </c>
      <c r="AF410" s="9">
        <f t="shared" si="48"/>
        <v>3.298</v>
      </c>
      <c r="AG410" s="9">
        <f t="shared" si="49"/>
        <v>0.79333333333333333</v>
      </c>
      <c r="AH410" s="9">
        <f t="shared" si="50"/>
        <v>5.6712793071698386E-3</v>
      </c>
      <c r="AI410" s="9">
        <f t="shared" si="51"/>
        <v>3.2163408979932803E-5</v>
      </c>
      <c r="AJ410" s="9">
        <f t="shared" si="52"/>
        <v>3.488920571983245E-3</v>
      </c>
      <c r="AK410" s="9">
        <f t="shared" si="53"/>
        <v>1.2172566757607894E-5</v>
      </c>
      <c r="AL410" s="9">
        <f t="shared" si="54"/>
        <v>1.0239961075068306E-3</v>
      </c>
      <c r="AM410" s="9">
        <f t="shared" si="55"/>
        <v>1.0485680281891406E-6</v>
      </c>
      <c r="AN410" s="9" t="s">
        <v>5068</v>
      </c>
    </row>
    <row r="411" spans="13:40" ht="23">
      <c r="M411" s="9" t="s">
        <v>5041</v>
      </c>
      <c r="N411" s="8" t="s">
        <v>150</v>
      </c>
      <c r="O411" s="8"/>
      <c r="P411" s="8"/>
      <c r="Q411" s="8"/>
      <c r="R411" s="8"/>
      <c r="S411" s="8"/>
      <c r="T411" s="8"/>
      <c r="U411" s="8"/>
      <c r="V411" s="8"/>
      <c r="W411" s="9" t="s">
        <v>5041</v>
      </c>
      <c r="X411" s="8">
        <v>33.97</v>
      </c>
      <c r="Y411" s="8">
        <v>2.75</v>
      </c>
      <c r="Z411" s="9">
        <v>2.38</v>
      </c>
      <c r="AA411" s="8">
        <v>1.6</v>
      </c>
      <c r="AB411" s="8">
        <v>46469</v>
      </c>
      <c r="AC411" s="9" t="s">
        <v>5041</v>
      </c>
      <c r="AD411" s="8" t="s">
        <v>3725</v>
      </c>
      <c r="AE411" s="8" t="s">
        <v>4083</v>
      </c>
      <c r="AF411" s="9">
        <f t="shared" si="48"/>
        <v>4.4000000000000004</v>
      </c>
      <c r="AG411" s="9">
        <f t="shared" si="49"/>
        <v>4.2133333333333338</v>
      </c>
      <c r="AH411" s="9">
        <f t="shared" si="50"/>
        <v>5.3376746420422012E-3</v>
      </c>
      <c r="AI411" s="9">
        <f t="shared" si="51"/>
        <v>2.8490770584300342E-5</v>
      </c>
      <c r="AJ411" s="9">
        <f t="shared" si="52"/>
        <v>4.6547151354536928E-3</v>
      </c>
      <c r="AK411" s="9">
        <f t="shared" si="53"/>
        <v>2.1666372992221689E-5</v>
      </c>
      <c r="AL411" s="9">
        <f t="shared" si="54"/>
        <v>5.4383658818850161E-3</v>
      </c>
      <c r="AM411" s="9">
        <f t="shared" si="55"/>
        <v>2.9575823465250988E-5</v>
      </c>
      <c r="AN411" s="9" t="s">
        <v>5041</v>
      </c>
    </row>
    <row r="412" spans="13:40" ht="23">
      <c r="M412" s="8" t="s">
        <v>4997</v>
      </c>
      <c r="N412" s="8" t="s">
        <v>150</v>
      </c>
      <c r="O412" s="8"/>
      <c r="P412" s="8"/>
      <c r="Q412" s="8"/>
      <c r="R412" s="8"/>
      <c r="S412" s="8"/>
      <c r="T412" s="8"/>
      <c r="U412" s="8"/>
      <c r="V412" s="8"/>
      <c r="W412" s="8" t="s">
        <v>4997</v>
      </c>
      <c r="X412" s="8">
        <v>29.16</v>
      </c>
      <c r="Y412" s="8">
        <v>2.67</v>
      </c>
      <c r="Z412" s="9">
        <v>2.17</v>
      </c>
      <c r="AA412" s="8">
        <v>1.6</v>
      </c>
      <c r="AB412" s="8">
        <v>51405</v>
      </c>
      <c r="AC412" s="8" t="s">
        <v>4997</v>
      </c>
      <c r="AD412" s="8" t="s">
        <v>3725</v>
      </c>
      <c r="AE412" s="8" t="s">
        <v>4083</v>
      </c>
      <c r="AF412" s="9">
        <f t="shared" si="48"/>
        <v>4.2720000000000002</v>
      </c>
      <c r="AG412" s="9">
        <f t="shared" si="49"/>
        <v>3.6533333333333333</v>
      </c>
      <c r="AH412" s="9">
        <f t="shared" si="50"/>
        <v>5.3376746420422012E-3</v>
      </c>
      <c r="AI412" s="9">
        <f t="shared" si="51"/>
        <v>2.8490770584300342E-5</v>
      </c>
      <c r="AJ412" s="9">
        <f t="shared" si="52"/>
        <v>4.5193052406041307E-3</v>
      </c>
      <c r="AK412" s="9">
        <f t="shared" si="53"/>
        <v>2.0424119857751961E-5</v>
      </c>
      <c r="AL412" s="9">
        <f t="shared" si="54"/>
        <v>4.7155451001154886E-3</v>
      </c>
      <c r="AM412" s="9">
        <f t="shared" si="55"/>
        <v>2.2236365591223194E-5</v>
      </c>
      <c r="AN412" s="8" t="s">
        <v>4997</v>
      </c>
    </row>
    <row r="413" spans="13:40" ht="23">
      <c r="M413" s="9" t="s">
        <v>3348</v>
      </c>
      <c r="N413" s="8" t="s">
        <v>1964</v>
      </c>
      <c r="O413" s="8"/>
      <c r="P413" s="8"/>
      <c r="Q413" s="8"/>
      <c r="R413" s="8"/>
      <c r="S413" s="8"/>
      <c r="T413" s="8"/>
      <c r="U413" s="8"/>
      <c r="V413" s="8"/>
      <c r="W413" s="9" t="s">
        <v>3348</v>
      </c>
      <c r="X413" s="8">
        <v>10.74</v>
      </c>
      <c r="Y413" s="8">
        <v>2.21</v>
      </c>
      <c r="Z413" s="9">
        <v>1.49</v>
      </c>
      <c r="AA413" s="8">
        <v>1.6</v>
      </c>
      <c r="AB413" s="8">
        <v>49108</v>
      </c>
      <c r="AC413" s="9" t="s">
        <v>3348</v>
      </c>
      <c r="AD413" s="8" t="s">
        <v>3725</v>
      </c>
      <c r="AE413" s="8" t="s">
        <v>4083</v>
      </c>
      <c r="AF413" s="9">
        <f t="shared" si="48"/>
        <v>3.536</v>
      </c>
      <c r="AG413" s="9">
        <f t="shared" si="49"/>
        <v>2.9066666666666667</v>
      </c>
      <c r="AH413" s="9">
        <f t="shared" si="50"/>
        <v>5.3376746420422012E-3</v>
      </c>
      <c r="AI413" s="9">
        <f t="shared" si="51"/>
        <v>2.8490770584300342E-5</v>
      </c>
      <c r="AJ413" s="9">
        <f t="shared" si="52"/>
        <v>3.7406983452191495E-3</v>
      </c>
      <c r="AK413" s="9">
        <f t="shared" si="53"/>
        <v>1.3992824109925283E-5</v>
      </c>
      <c r="AL413" s="9">
        <f t="shared" si="54"/>
        <v>3.7517840577561182E-3</v>
      </c>
      <c r="AM413" s="9">
        <f t="shared" si="55"/>
        <v>1.4075883616032963E-5</v>
      </c>
      <c r="AN413" s="9" t="s">
        <v>3348</v>
      </c>
    </row>
    <row r="414" spans="13:40" ht="23">
      <c r="M414" s="8" t="s">
        <v>1064</v>
      </c>
      <c r="N414" s="8" t="s">
        <v>150</v>
      </c>
      <c r="O414" s="8"/>
      <c r="P414" s="8"/>
      <c r="Q414" s="8"/>
      <c r="R414" s="8"/>
      <c r="S414" s="8"/>
      <c r="T414" s="8"/>
      <c r="U414" s="8"/>
      <c r="V414" s="8"/>
      <c r="W414" s="8" t="s">
        <v>1064</v>
      </c>
      <c r="X414" s="8">
        <v>40.26</v>
      </c>
      <c r="Y414" s="8">
        <v>1.89</v>
      </c>
      <c r="Z414" s="9">
        <v>1.07</v>
      </c>
      <c r="AA414" s="8">
        <v>1.5</v>
      </c>
      <c r="AB414" s="8">
        <v>54073</v>
      </c>
      <c r="AC414" s="8" t="s">
        <v>1064</v>
      </c>
      <c r="AD414" s="8" t="s">
        <v>3725</v>
      </c>
      <c r="AE414" s="8" t="s">
        <v>4083</v>
      </c>
      <c r="AF414" s="9">
        <f t="shared" si="48"/>
        <v>2.835</v>
      </c>
      <c r="AG414" s="9">
        <f t="shared" si="49"/>
        <v>1.675</v>
      </c>
      <c r="AH414" s="9">
        <f t="shared" si="50"/>
        <v>5.004069976914563E-3</v>
      </c>
      <c r="AI414" s="9">
        <f t="shared" si="51"/>
        <v>2.5040716333857714E-5</v>
      </c>
      <c r="AJ414" s="9">
        <f t="shared" si="52"/>
        <v>2.9991175929570952E-3</v>
      </c>
      <c r="AK414" s="9">
        <f t="shared" si="53"/>
        <v>8.9947063363847611E-6</v>
      </c>
      <c r="AL414" s="9">
        <f t="shared" si="54"/>
        <v>2.162008588328497E-3</v>
      </c>
      <c r="AM414" s="9">
        <f t="shared" si="55"/>
        <v>4.6742811360061804E-6</v>
      </c>
      <c r="AN414" s="8" t="s">
        <v>1064</v>
      </c>
    </row>
    <row r="415" spans="13:40" ht="23">
      <c r="M415" s="8" t="s">
        <v>894</v>
      </c>
      <c r="N415" s="8" t="s">
        <v>150</v>
      </c>
      <c r="O415" s="8"/>
      <c r="P415" s="8"/>
      <c r="Q415" s="8"/>
      <c r="R415" s="8"/>
      <c r="S415" s="8"/>
      <c r="T415" s="8"/>
      <c r="U415" s="8"/>
      <c r="V415" s="8"/>
      <c r="W415" s="8" t="s">
        <v>894</v>
      </c>
      <c r="X415" s="8">
        <v>79.45</v>
      </c>
      <c r="Y415" s="8">
        <v>1.49</v>
      </c>
      <c r="Z415" s="9">
        <v>0.01</v>
      </c>
      <c r="AA415" s="8">
        <v>1.5</v>
      </c>
      <c r="AB415" s="8">
        <v>113322</v>
      </c>
      <c r="AC415" s="8" t="s">
        <v>894</v>
      </c>
      <c r="AD415" s="8" t="s">
        <v>3725</v>
      </c>
      <c r="AE415" s="8" t="s">
        <v>4083</v>
      </c>
      <c r="AF415" s="9">
        <f t="shared" si="48"/>
        <v>2.2349999999999999</v>
      </c>
      <c r="AG415" s="9">
        <f t="shared" si="49"/>
        <v>2.5000000000000001E-2</v>
      </c>
      <c r="AH415" s="9">
        <f t="shared" si="50"/>
        <v>5.004069976914563E-3</v>
      </c>
      <c r="AI415" s="9">
        <f t="shared" si="51"/>
        <v>2.5040716333857714E-5</v>
      </c>
      <c r="AJ415" s="9">
        <f t="shared" si="52"/>
        <v>2.3643837108497734E-3</v>
      </c>
      <c r="AK415" s="9">
        <f t="shared" si="53"/>
        <v>5.5903103321317452E-6</v>
      </c>
      <c r="AL415" s="9">
        <f t="shared" si="54"/>
        <v>3.2268784900425332E-5</v>
      </c>
      <c r="AM415" s="9">
        <f t="shared" si="55"/>
        <v>1.041274478949918E-9</v>
      </c>
      <c r="AN415" s="8" t="s">
        <v>894</v>
      </c>
    </row>
    <row r="416" spans="13:40" ht="23">
      <c r="M416" s="8" t="s">
        <v>114</v>
      </c>
      <c r="N416" s="8" t="s">
        <v>90</v>
      </c>
      <c r="O416" s="8"/>
      <c r="P416" s="8"/>
      <c r="Q416" s="8"/>
      <c r="R416" s="8"/>
      <c r="S416" s="8"/>
      <c r="T416" s="8"/>
      <c r="U416" s="8"/>
      <c r="V416" s="8"/>
      <c r="W416" s="8" t="s">
        <v>114</v>
      </c>
      <c r="X416" s="8">
        <v>16.84</v>
      </c>
      <c r="Y416" s="8">
        <v>5.0599999999999996</v>
      </c>
      <c r="Z416" s="9">
        <v>4.2</v>
      </c>
      <c r="AA416" s="8">
        <v>1.5</v>
      </c>
      <c r="AB416" s="8">
        <v>46206</v>
      </c>
      <c r="AC416" s="8" t="s">
        <v>114</v>
      </c>
      <c r="AD416" s="8" t="s">
        <v>3725</v>
      </c>
      <c r="AE416" s="8" t="s">
        <v>4083</v>
      </c>
      <c r="AF416" s="9">
        <f t="shared" si="48"/>
        <v>7.59</v>
      </c>
      <c r="AG416" s="9">
        <f t="shared" si="49"/>
        <v>6.004999999999999</v>
      </c>
      <c r="AH416" s="9">
        <f t="shared" si="50"/>
        <v>5.004069976914563E-3</v>
      </c>
      <c r="AI416" s="9">
        <f t="shared" si="51"/>
        <v>2.5040716333857714E-5</v>
      </c>
      <c r="AJ416" s="9">
        <f t="shared" si="52"/>
        <v>8.0293836086576184E-3</v>
      </c>
      <c r="AK416" s="9">
        <f t="shared" si="53"/>
        <v>6.4471001134979643E-5</v>
      </c>
      <c r="AL416" s="9">
        <f t="shared" si="54"/>
        <v>7.7509621330821626E-3</v>
      </c>
      <c r="AM416" s="9">
        <f t="shared" si="55"/>
        <v>6.0077413988473589E-5</v>
      </c>
      <c r="AN416" s="8" t="s">
        <v>114</v>
      </c>
    </row>
    <row r="417" spans="13:40" ht="23">
      <c r="M417" s="9" t="s">
        <v>3108</v>
      </c>
      <c r="N417" s="8" t="s">
        <v>1814</v>
      </c>
      <c r="O417" s="8"/>
      <c r="P417" s="8"/>
      <c r="Q417" s="8"/>
      <c r="R417" s="8"/>
      <c r="S417" s="8"/>
      <c r="T417" s="8"/>
      <c r="U417" s="8"/>
      <c r="V417" s="8"/>
      <c r="W417" s="9" t="s">
        <v>3108</v>
      </c>
      <c r="X417" s="8">
        <v>48.73</v>
      </c>
      <c r="Y417" s="8">
        <v>2.1</v>
      </c>
      <c r="Z417" s="9">
        <v>2.15</v>
      </c>
      <c r="AA417" s="8">
        <v>1.5</v>
      </c>
      <c r="AB417" s="8">
        <v>65336</v>
      </c>
      <c r="AC417" s="9" t="s">
        <v>3108</v>
      </c>
      <c r="AD417" s="8" t="s">
        <v>3725</v>
      </c>
      <c r="AE417" s="8" t="s">
        <v>4083</v>
      </c>
      <c r="AF417" s="9">
        <f t="shared" si="48"/>
        <v>3.1500000000000004</v>
      </c>
      <c r="AG417" s="9">
        <f t="shared" si="49"/>
        <v>3.375</v>
      </c>
      <c r="AH417" s="9">
        <f t="shared" si="50"/>
        <v>5.004069976914563E-3</v>
      </c>
      <c r="AI417" s="9">
        <f t="shared" si="51"/>
        <v>2.5040716333857714E-5</v>
      </c>
      <c r="AJ417" s="9">
        <f t="shared" si="52"/>
        <v>3.3323528810634395E-3</v>
      </c>
      <c r="AK417" s="9">
        <f t="shared" si="53"/>
        <v>1.1104575723931806E-5</v>
      </c>
      <c r="AL417" s="9">
        <f t="shared" si="54"/>
        <v>4.3562859615574202E-3</v>
      </c>
      <c r="AM417" s="9">
        <f t="shared" si="55"/>
        <v>1.8977227378862258E-5</v>
      </c>
      <c r="AN417" s="9" t="s">
        <v>3108</v>
      </c>
    </row>
    <row r="418" spans="13:40" ht="23">
      <c r="M418" s="9" t="s">
        <v>3124</v>
      </c>
      <c r="N418" s="8" t="s">
        <v>1862</v>
      </c>
      <c r="O418" s="8"/>
      <c r="P418" s="8"/>
      <c r="Q418" s="8"/>
      <c r="R418" s="8"/>
      <c r="S418" s="8"/>
      <c r="T418" s="8"/>
      <c r="U418" s="8"/>
      <c r="V418" s="8"/>
      <c r="W418" s="9" t="s">
        <v>3124</v>
      </c>
      <c r="X418" s="8">
        <v>5.78</v>
      </c>
      <c r="Y418" s="8">
        <v>1.57</v>
      </c>
      <c r="Z418" s="9">
        <v>1.44</v>
      </c>
      <c r="AA418" s="8">
        <v>1.5</v>
      </c>
      <c r="AB418" s="8">
        <v>104450</v>
      </c>
      <c r="AC418" s="9" t="s">
        <v>3124</v>
      </c>
      <c r="AD418" s="8" t="s">
        <v>3725</v>
      </c>
      <c r="AE418" s="8" t="s">
        <v>4083</v>
      </c>
      <c r="AF418" s="9">
        <f t="shared" si="48"/>
        <v>2.355</v>
      </c>
      <c r="AG418" s="9">
        <f t="shared" si="49"/>
        <v>2.6</v>
      </c>
      <c r="AH418" s="9">
        <f t="shared" si="50"/>
        <v>5.004069976914563E-3</v>
      </c>
      <c r="AI418" s="9">
        <f t="shared" si="51"/>
        <v>2.5040716333857714E-5</v>
      </c>
      <c r="AJ418" s="9">
        <f t="shared" si="52"/>
        <v>2.491330487271238E-3</v>
      </c>
      <c r="AK418" s="9">
        <f t="shared" si="53"/>
        <v>6.2067275968071444E-6</v>
      </c>
      <c r="AL418" s="9">
        <f t="shared" si="54"/>
        <v>3.3559536296442344E-3</v>
      </c>
      <c r="AM418" s="9">
        <f t="shared" si="55"/>
        <v>1.1262424764322311E-5</v>
      </c>
      <c r="AN418" s="9" t="s">
        <v>3124</v>
      </c>
    </row>
    <row r="419" spans="13:40" ht="23">
      <c r="M419" s="9" t="s">
        <v>2320</v>
      </c>
      <c r="N419" s="8" t="s">
        <v>150</v>
      </c>
      <c r="O419" s="8"/>
      <c r="P419" s="8"/>
      <c r="Q419" s="8"/>
      <c r="R419" s="8"/>
      <c r="S419" s="8"/>
      <c r="T419" s="8"/>
      <c r="U419" s="8"/>
      <c r="V419" s="8"/>
      <c r="W419" s="9" t="s">
        <v>2320</v>
      </c>
      <c r="X419" s="8">
        <v>47.62</v>
      </c>
      <c r="Y419" s="8">
        <v>2.95</v>
      </c>
      <c r="Z419" s="9">
        <v>3.11</v>
      </c>
      <c r="AA419" s="8">
        <v>1.4</v>
      </c>
      <c r="AB419" s="8">
        <v>47697</v>
      </c>
      <c r="AC419" s="9" t="s">
        <v>2320</v>
      </c>
      <c r="AD419" s="8" t="s">
        <v>3725</v>
      </c>
      <c r="AE419" s="8" t="s">
        <v>4083</v>
      </c>
      <c r="AF419" s="9">
        <f t="shared" si="48"/>
        <v>4.13</v>
      </c>
      <c r="AG419" s="9">
        <f t="shared" si="49"/>
        <v>4.4566666666666661</v>
      </c>
      <c r="AH419" s="9">
        <f t="shared" si="50"/>
        <v>4.6704653117869257E-3</v>
      </c>
      <c r="AI419" s="9">
        <f t="shared" si="51"/>
        <v>2.1813246228604945E-5</v>
      </c>
      <c r="AJ419" s="9">
        <f t="shared" si="52"/>
        <v>4.3690848885053974E-3</v>
      </c>
      <c r="AK419" s="9">
        <f t="shared" si="53"/>
        <v>1.908890276296622E-5</v>
      </c>
      <c r="AL419" s="9">
        <f t="shared" si="54"/>
        <v>5.7524487215824885E-3</v>
      </c>
      <c r="AM419" s="9">
        <f t="shared" si="55"/>
        <v>3.3090666294436003E-5</v>
      </c>
      <c r="AN419" s="9" t="s">
        <v>2320</v>
      </c>
    </row>
    <row r="420" spans="13:40" ht="23">
      <c r="M420" s="9" t="s">
        <v>4988</v>
      </c>
      <c r="N420" s="8" t="s">
        <v>150</v>
      </c>
      <c r="O420" s="8"/>
      <c r="P420" s="8"/>
      <c r="Q420" s="8"/>
      <c r="R420" s="8"/>
      <c r="S420" s="8"/>
      <c r="T420" s="8"/>
      <c r="U420" s="8"/>
      <c r="V420" s="8"/>
      <c r="W420" s="9" t="s">
        <v>4988</v>
      </c>
      <c r="X420" s="8">
        <v>56.26</v>
      </c>
      <c r="Y420" s="8">
        <v>3.02</v>
      </c>
      <c r="Z420" s="9">
        <v>3.08</v>
      </c>
      <c r="AA420" s="8">
        <v>1.4</v>
      </c>
      <c r="AB420" s="8">
        <v>67765</v>
      </c>
      <c r="AC420" s="9" t="s">
        <v>4988</v>
      </c>
      <c r="AD420" s="8" t="s">
        <v>3725</v>
      </c>
      <c r="AE420" s="8" t="s">
        <v>4083</v>
      </c>
      <c r="AF420" s="9">
        <f t="shared" si="48"/>
        <v>4.2279999999999998</v>
      </c>
      <c r="AG420" s="9">
        <f t="shared" si="49"/>
        <v>4.3866666666666667</v>
      </c>
      <c r="AH420" s="9">
        <f t="shared" si="50"/>
        <v>4.6704653117869257E-3</v>
      </c>
      <c r="AI420" s="9">
        <f t="shared" si="51"/>
        <v>2.1813246228604945E-5</v>
      </c>
      <c r="AJ420" s="9">
        <f t="shared" si="52"/>
        <v>4.4727580892495941E-3</v>
      </c>
      <c r="AK420" s="9">
        <f t="shared" si="53"/>
        <v>2.0005564924947681E-5</v>
      </c>
      <c r="AL420" s="9">
        <f t="shared" si="54"/>
        <v>5.6620961238612981E-3</v>
      </c>
      <c r="AM420" s="9">
        <f t="shared" si="55"/>
        <v>3.2059332515845139E-5</v>
      </c>
      <c r="AN420" s="9" t="s">
        <v>4988</v>
      </c>
    </row>
    <row r="421" spans="13:40" ht="23">
      <c r="M421" s="8" t="s">
        <v>1331</v>
      </c>
      <c r="N421" s="8" t="s">
        <v>150</v>
      </c>
      <c r="O421" s="8"/>
      <c r="P421" s="8"/>
      <c r="Q421" s="8"/>
      <c r="R421" s="8"/>
      <c r="S421" s="8"/>
      <c r="T421" s="8"/>
      <c r="U421" s="8"/>
      <c r="V421" s="8"/>
      <c r="W421" s="8" t="s">
        <v>1331</v>
      </c>
      <c r="X421" s="8">
        <v>47.1</v>
      </c>
      <c r="Y421" s="8">
        <v>1.98</v>
      </c>
      <c r="Z421" s="9">
        <v>0.15</v>
      </c>
      <c r="AA421" s="8">
        <v>1.4</v>
      </c>
      <c r="AB421" s="8">
        <v>66884</v>
      </c>
      <c r="AC421" s="8" t="s">
        <v>1331</v>
      </c>
      <c r="AD421" s="8" t="s">
        <v>3725</v>
      </c>
      <c r="AE421" s="8" t="s">
        <v>4083</v>
      </c>
      <c r="AF421" s="9">
        <f t="shared" si="48"/>
        <v>2.7719999999999998</v>
      </c>
      <c r="AG421" s="9">
        <f t="shared" si="49"/>
        <v>0.35</v>
      </c>
      <c r="AH421" s="9">
        <f t="shared" si="50"/>
        <v>4.6704653117869257E-3</v>
      </c>
      <c r="AI421" s="9">
        <f t="shared" si="51"/>
        <v>2.1813246228604945E-5</v>
      </c>
      <c r="AJ421" s="9">
        <f t="shared" si="52"/>
        <v>2.9324705353358264E-3</v>
      </c>
      <c r="AK421" s="9">
        <f t="shared" si="53"/>
        <v>8.5993834406127879E-6</v>
      </c>
      <c r="AL421" s="9">
        <f t="shared" si="54"/>
        <v>4.5176298860595456E-4</v>
      </c>
      <c r="AM421" s="9">
        <f t="shared" si="55"/>
        <v>2.0408979787418382E-7</v>
      </c>
      <c r="AN421" s="8" t="s">
        <v>1331</v>
      </c>
    </row>
    <row r="422" spans="13:40" ht="23">
      <c r="M422" s="8" t="s">
        <v>1773</v>
      </c>
      <c r="N422" s="8" t="s">
        <v>1717</v>
      </c>
      <c r="O422" s="8"/>
      <c r="P422" s="8"/>
      <c r="Q422" s="8"/>
      <c r="R422" s="8"/>
      <c r="S422" s="8"/>
      <c r="T422" s="8"/>
      <c r="U422" s="8"/>
      <c r="V422" s="8"/>
      <c r="W422" s="8" t="s">
        <v>1773</v>
      </c>
      <c r="X422" s="8">
        <v>32.46</v>
      </c>
      <c r="Y422" s="8">
        <v>2.21</v>
      </c>
      <c r="Z422" s="9">
        <v>2</v>
      </c>
      <c r="AA422" s="8">
        <v>1.4</v>
      </c>
      <c r="AB422" s="8">
        <v>57158</v>
      </c>
      <c r="AC422" s="8" t="s">
        <v>1773</v>
      </c>
      <c r="AD422" s="8" t="s">
        <v>3725</v>
      </c>
      <c r="AE422" s="8" t="s">
        <v>4083</v>
      </c>
      <c r="AF422" s="9">
        <f t="shared" si="48"/>
        <v>3.0939999999999999</v>
      </c>
      <c r="AG422" s="9">
        <f t="shared" si="49"/>
        <v>2.8466666666666662</v>
      </c>
      <c r="AH422" s="9">
        <f t="shared" si="50"/>
        <v>4.6704653117869257E-3</v>
      </c>
      <c r="AI422" s="9">
        <f t="shared" si="51"/>
        <v>2.1813246228604945E-5</v>
      </c>
      <c r="AJ422" s="9">
        <f t="shared" si="52"/>
        <v>3.2731110520667558E-3</v>
      </c>
      <c r="AK422" s="9">
        <f t="shared" si="53"/>
        <v>1.0713255959161546E-5</v>
      </c>
      <c r="AL422" s="9">
        <f t="shared" si="54"/>
        <v>3.6743389739950969E-3</v>
      </c>
      <c r="AM422" s="9">
        <f t="shared" si="55"/>
        <v>1.3500766895819341E-5</v>
      </c>
      <c r="AN422" s="8" t="s">
        <v>1773</v>
      </c>
    </row>
    <row r="423" spans="13:40" ht="23">
      <c r="M423" s="8" t="s">
        <v>1844</v>
      </c>
      <c r="N423" s="8" t="s">
        <v>1814</v>
      </c>
      <c r="O423" s="8"/>
      <c r="P423" s="8"/>
      <c r="Q423" s="8"/>
      <c r="R423" s="8"/>
      <c r="S423" s="8"/>
      <c r="T423" s="8"/>
      <c r="U423" s="8"/>
      <c r="V423" s="8"/>
      <c r="W423" s="8" t="s">
        <v>1844</v>
      </c>
      <c r="X423" s="8">
        <v>20.48</v>
      </c>
      <c r="Y423" s="8">
        <v>1.78</v>
      </c>
      <c r="Z423" s="9">
        <v>1.36</v>
      </c>
      <c r="AA423" s="8">
        <v>1.4</v>
      </c>
      <c r="AB423" s="8">
        <v>70550</v>
      </c>
      <c r="AC423" s="8" t="s">
        <v>1844</v>
      </c>
      <c r="AD423" s="8" t="s">
        <v>3725</v>
      </c>
      <c r="AE423" s="8" t="s">
        <v>4083</v>
      </c>
      <c r="AF423" s="9">
        <f t="shared" si="48"/>
        <v>2.492</v>
      </c>
      <c r="AG423" s="9">
        <f t="shared" si="49"/>
        <v>2.2399999999999998</v>
      </c>
      <c r="AH423" s="9">
        <f t="shared" si="50"/>
        <v>4.6704653117869257E-3</v>
      </c>
      <c r="AI423" s="9">
        <f t="shared" si="51"/>
        <v>2.1813246228604945E-5</v>
      </c>
      <c r="AJ423" s="9">
        <f t="shared" si="52"/>
        <v>2.6362613903524097E-3</v>
      </c>
      <c r="AK423" s="9">
        <f t="shared" si="53"/>
        <v>6.9498741182628204E-6</v>
      </c>
      <c r="AL423" s="9">
        <f t="shared" si="54"/>
        <v>2.891283127078109E-3</v>
      </c>
      <c r="AM423" s="9">
        <f t="shared" si="55"/>
        <v>8.3595181209265683E-6</v>
      </c>
      <c r="AN423" s="8" t="s">
        <v>1844</v>
      </c>
    </row>
    <row r="424" spans="13:40" ht="23">
      <c r="M424" s="9" t="s">
        <v>3075</v>
      </c>
      <c r="N424" s="8" t="s">
        <v>1814</v>
      </c>
      <c r="O424" s="8"/>
      <c r="P424" s="8"/>
      <c r="Q424" s="8"/>
      <c r="R424" s="8"/>
      <c r="S424" s="8"/>
      <c r="T424" s="8"/>
      <c r="U424" s="8"/>
      <c r="V424" s="8"/>
      <c r="W424" s="9" t="s">
        <v>3075</v>
      </c>
      <c r="X424" s="8">
        <v>45.49</v>
      </c>
      <c r="Y424" s="8">
        <v>1.77</v>
      </c>
      <c r="Z424" s="9">
        <v>0.19</v>
      </c>
      <c r="AA424" s="8">
        <v>1.4</v>
      </c>
      <c r="AB424" s="8">
        <v>63423</v>
      </c>
      <c r="AC424" s="9" t="s">
        <v>3075</v>
      </c>
      <c r="AD424" s="8" t="s">
        <v>3725</v>
      </c>
      <c r="AE424" s="8" t="s">
        <v>4083</v>
      </c>
      <c r="AF424" s="9">
        <f t="shared" si="48"/>
        <v>2.4779999999999998</v>
      </c>
      <c r="AG424" s="9">
        <f t="shared" si="49"/>
        <v>0.4433333333333333</v>
      </c>
      <c r="AH424" s="9">
        <f t="shared" si="50"/>
        <v>4.6704653117869257E-3</v>
      </c>
      <c r="AI424" s="9">
        <f t="shared" si="51"/>
        <v>2.1813246228604945E-5</v>
      </c>
      <c r="AJ424" s="9">
        <f t="shared" si="52"/>
        <v>2.6214509331032383E-3</v>
      </c>
      <c r="AK424" s="9">
        <f t="shared" si="53"/>
        <v>6.8720049946678386E-6</v>
      </c>
      <c r="AL424" s="9">
        <f t="shared" si="54"/>
        <v>5.7223311890087581E-4</v>
      </c>
      <c r="AM424" s="9">
        <f t="shared" si="55"/>
        <v>3.2745074236702385E-7</v>
      </c>
      <c r="AN424" s="9" t="s">
        <v>3075</v>
      </c>
    </row>
    <row r="425" spans="13:40" ht="23">
      <c r="M425" s="9" t="s">
        <v>3477</v>
      </c>
      <c r="N425" s="8" t="s">
        <v>2017</v>
      </c>
      <c r="O425" s="8"/>
      <c r="P425" s="8"/>
      <c r="Q425" s="8"/>
      <c r="R425" s="8"/>
      <c r="S425" s="8"/>
      <c r="T425" s="8"/>
      <c r="U425" s="8"/>
      <c r="V425" s="8"/>
      <c r="W425" s="9" t="s">
        <v>3477</v>
      </c>
      <c r="X425" s="8">
        <v>65.61</v>
      </c>
      <c r="Y425" s="8">
        <v>1.53</v>
      </c>
      <c r="Z425" s="9">
        <v>1.5</v>
      </c>
      <c r="AA425" s="8">
        <v>1.4</v>
      </c>
      <c r="AB425" s="8">
        <v>139236</v>
      </c>
      <c r="AC425" s="9" t="s">
        <v>3477</v>
      </c>
      <c r="AD425" s="8" t="s">
        <v>3725</v>
      </c>
      <c r="AE425" s="8" t="s">
        <v>4083</v>
      </c>
      <c r="AF425" s="9">
        <f t="shared" si="48"/>
        <v>2.1419999999999999</v>
      </c>
      <c r="AG425" s="9">
        <f t="shared" si="49"/>
        <v>1.4116666666666666</v>
      </c>
      <c r="AH425" s="9">
        <f t="shared" si="50"/>
        <v>4.6704653117869257E-3</v>
      </c>
      <c r="AI425" s="9">
        <f t="shared" si="51"/>
        <v>2.1813246228604945E-5</v>
      </c>
      <c r="AJ425" s="9">
        <f t="shared" si="52"/>
        <v>2.2659999591231384E-3</v>
      </c>
      <c r="AK425" s="9">
        <f t="shared" si="53"/>
        <v>5.1347558147460653E-6</v>
      </c>
      <c r="AL425" s="9">
        <f t="shared" si="54"/>
        <v>1.8221107207106837E-3</v>
      </c>
      <c r="AM425" s="9">
        <f t="shared" si="55"/>
        <v>3.3200874785288072E-6</v>
      </c>
      <c r="AN425" s="9" t="s">
        <v>3477</v>
      </c>
    </row>
    <row r="426" spans="13:40" ht="23">
      <c r="M426" s="9" t="s">
        <v>3649</v>
      </c>
      <c r="N426" s="8" t="s">
        <v>2100</v>
      </c>
      <c r="O426" s="8"/>
      <c r="P426" s="8"/>
      <c r="Q426" s="8"/>
      <c r="R426" s="8"/>
      <c r="S426" s="8"/>
      <c r="T426" s="8"/>
      <c r="U426" s="8"/>
      <c r="V426" s="8"/>
      <c r="W426" s="9" t="s">
        <v>3649</v>
      </c>
      <c r="X426" s="8">
        <v>65.239999999999995</v>
      </c>
      <c r="Y426" s="8">
        <v>1.56</v>
      </c>
      <c r="Z426" s="9">
        <v>1.26</v>
      </c>
      <c r="AA426" s="8">
        <v>1.4</v>
      </c>
      <c r="AB426" s="8">
        <v>68260</v>
      </c>
      <c r="AC426" s="9" t="s">
        <v>3649</v>
      </c>
      <c r="AD426" s="8" t="s">
        <v>3725</v>
      </c>
      <c r="AE426" s="8" t="s">
        <v>4083</v>
      </c>
      <c r="AF426" s="9">
        <f t="shared" si="48"/>
        <v>2.1839999999999997</v>
      </c>
      <c r="AG426" s="9">
        <f t="shared" si="49"/>
        <v>2.0066666666666664</v>
      </c>
      <c r="AH426" s="9">
        <f t="shared" si="50"/>
        <v>4.6704653117869257E-3</v>
      </c>
      <c r="AI426" s="9">
        <f t="shared" si="51"/>
        <v>2.1813246228604945E-5</v>
      </c>
      <c r="AJ426" s="9">
        <f t="shared" si="52"/>
        <v>2.3104313308706507E-3</v>
      </c>
      <c r="AK426" s="9">
        <f t="shared" si="53"/>
        <v>5.3380929346687263E-6</v>
      </c>
      <c r="AL426" s="9">
        <f t="shared" si="54"/>
        <v>2.5901078013408061E-3</v>
      </c>
      <c r="AM426" s="9">
        <f t="shared" si="55"/>
        <v>6.7086584225665049E-6</v>
      </c>
      <c r="AN426" s="9" t="s">
        <v>3649</v>
      </c>
    </row>
    <row r="427" spans="13:40" ht="23">
      <c r="M427" s="9" t="s">
        <v>2751</v>
      </c>
      <c r="N427" s="8" t="s">
        <v>1614</v>
      </c>
      <c r="O427" s="8"/>
      <c r="P427" s="8"/>
      <c r="Q427" s="8"/>
      <c r="R427" s="8"/>
      <c r="S427" s="8"/>
      <c r="T427" s="8"/>
      <c r="U427" s="8"/>
      <c r="V427" s="8"/>
      <c r="W427" s="9" t="s">
        <v>2751</v>
      </c>
      <c r="X427" s="8">
        <v>45.42</v>
      </c>
      <c r="Y427" s="8">
        <v>2.14</v>
      </c>
      <c r="Z427" s="9">
        <v>3.04</v>
      </c>
      <c r="AA427" s="8">
        <v>1.3</v>
      </c>
      <c r="AB427" s="8">
        <v>55102</v>
      </c>
      <c r="AC427" s="9" t="s">
        <v>2751</v>
      </c>
      <c r="AD427" s="8" t="s">
        <v>3725</v>
      </c>
      <c r="AE427" s="8" t="s">
        <v>4083</v>
      </c>
      <c r="AF427" s="9">
        <f t="shared" si="48"/>
        <v>2.7820000000000005</v>
      </c>
      <c r="AG427" s="9">
        <f t="shared" si="49"/>
        <v>3.9866666666666672</v>
      </c>
      <c r="AH427" s="9">
        <f t="shared" si="50"/>
        <v>4.3368606466592883E-3</v>
      </c>
      <c r="AI427" s="9">
        <f t="shared" si="51"/>
        <v>1.8808360268542019E-5</v>
      </c>
      <c r="AJ427" s="9">
        <f t="shared" si="52"/>
        <v>2.943049433370949E-3</v>
      </c>
      <c r="AK427" s="9">
        <f t="shared" si="53"/>
        <v>8.6615399672650644E-6</v>
      </c>
      <c r="AL427" s="9">
        <f t="shared" si="54"/>
        <v>5.145795565454493E-3</v>
      </c>
      <c r="AM427" s="9">
        <f t="shared" si="55"/>
        <v>2.6479212001451125E-5</v>
      </c>
      <c r="AN427" s="9" t="s">
        <v>2751</v>
      </c>
    </row>
    <row r="428" spans="13:40" ht="23">
      <c r="M428" s="9" t="s">
        <v>2389</v>
      </c>
      <c r="N428" s="8" t="s">
        <v>150</v>
      </c>
      <c r="O428" s="8"/>
      <c r="P428" s="8"/>
      <c r="Q428" s="8"/>
      <c r="R428" s="8"/>
      <c r="S428" s="8"/>
      <c r="T428" s="8"/>
      <c r="U428" s="8"/>
      <c r="V428" s="8"/>
      <c r="W428" s="9" t="s">
        <v>2389</v>
      </c>
      <c r="X428" s="8">
        <v>28.07</v>
      </c>
      <c r="Y428" s="8">
        <v>2.8</v>
      </c>
      <c r="Z428" s="9">
        <v>4.33</v>
      </c>
      <c r="AA428" s="8">
        <v>1.3</v>
      </c>
      <c r="AB428" s="8">
        <v>71014</v>
      </c>
      <c r="AC428" s="9" t="s">
        <v>2389</v>
      </c>
      <c r="AD428" s="8" t="s">
        <v>3725</v>
      </c>
      <c r="AE428" s="8" t="s">
        <v>4083</v>
      </c>
      <c r="AF428" s="9">
        <f t="shared" si="48"/>
        <v>3.6399999999999997</v>
      </c>
      <c r="AG428" s="9">
        <f t="shared" si="49"/>
        <v>5.915</v>
      </c>
      <c r="AH428" s="9">
        <f t="shared" si="50"/>
        <v>4.3368606466592883E-3</v>
      </c>
      <c r="AI428" s="9">
        <f t="shared" si="51"/>
        <v>1.8808360268542019E-5</v>
      </c>
      <c r="AJ428" s="9">
        <f t="shared" si="52"/>
        <v>3.8507188847844184E-3</v>
      </c>
      <c r="AK428" s="9">
        <f t="shared" si="53"/>
        <v>1.4828035929635355E-5</v>
      </c>
      <c r="AL428" s="9">
        <f t="shared" si="54"/>
        <v>7.6347945074406324E-3</v>
      </c>
      <c r="AM428" s="9">
        <f t="shared" si="55"/>
        <v>5.8290087170845648E-5</v>
      </c>
      <c r="AN428" s="9" t="s">
        <v>2389</v>
      </c>
    </row>
    <row r="429" spans="13:40" ht="23">
      <c r="M429" s="8" t="s">
        <v>358</v>
      </c>
      <c r="N429" s="8" t="s">
        <v>150</v>
      </c>
      <c r="O429" s="8"/>
      <c r="P429" s="8"/>
      <c r="Q429" s="8"/>
      <c r="R429" s="8"/>
      <c r="S429" s="8"/>
      <c r="T429" s="8"/>
      <c r="U429" s="8"/>
      <c r="V429" s="8"/>
      <c r="W429" s="8" t="s">
        <v>358</v>
      </c>
      <c r="X429" s="8">
        <v>16.86</v>
      </c>
      <c r="Y429" s="8">
        <v>3.44</v>
      </c>
      <c r="Z429" s="9">
        <v>4.18</v>
      </c>
      <c r="AA429" s="8">
        <v>1.3</v>
      </c>
      <c r="AB429" s="8">
        <v>48678</v>
      </c>
      <c r="AC429" s="8" t="s">
        <v>358</v>
      </c>
      <c r="AD429" s="8" t="s">
        <v>3725</v>
      </c>
      <c r="AE429" s="8" t="s">
        <v>4083</v>
      </c>
      <c r="AF429" s="9">
        <f t="shared" si="48"/>
        <v>4.4720000000000004</v>
      </c>
      <c r="AG429" s="9">
        <f t="shared" si="49"/>
        <v>5.59</v>
      </c>
      <c r="AH429" s="9">
        <f t="shared" si="50"/>
        <v>4.3368606466592883E-3</v>
      </c>
      <c r="AI429" s="9">
        <f t="shared" si="51"/>
        <v>1.8808360268542019E-5</v>
      </c>
      <c r="AJ429" s="9">
        <f t="shared" si="52"/>
        <v>4.7308832013065721E-3</v>
      </c>
      <c r="AK429" s="9">
        <f t="shared" si="53"/>
        <v>2.2381255864404721E-5</v>
      </c>
      <c r="AL429" s="9">
        <f t="shared" si="54"/>
        <v>7.2153003037351039E-3</v>
      </c>
      <c r="AM429" s="9">
        <f t="shared" si="55"/>
        <v>5.2060558473079881E-5</v>
      </c>
      <c r="AN429" s="8" t="s">
        <v>358</v>
      </c>
    </row>
    <row r="430" spans="13:40" ht="23">
      <c r="M430" s="8" t="s">
        <v>1340</v>
      </c>
      <c r="N430" s="8" t="s">
        <v>150</v>
      </c>
      <c r="O430" s="8"/>
      <c r="P430" s="8"/>
      <c r="Q430" s="8"/>
      <c r="R430" s="8"/>
      <c r="S430" s="8"/>
      <c r="T430" s="8"/>
      <c r="U430" s="8"/>
      <c r="V430" s="8"/>
      <c r="W430" s="8" t="s">
        <v>1340</v>
      </c>
      <c r="X430" s="8">
        <v>53.82</v>
      </c>
      <c r="Y430" s="8">
        <v>2.14</v>
      </c>
      <c r="Z430" s="9">
        <v>1.28</v>
      </c>
      <c r="AA430" s="8">
        <v>1.3</v>
      </c>
      <c r="AB430" s="8">
        <v>70919</v>
      </c>
      <c r="AC430" s="8" t="s">
        <v>1340</v>
      </c>
      <c r="AD430" s="8" t="s">
        <v>3725</v>
      </c>
      <c r="AE430" s="8" t="s">
        <v>4083</v>
      </c>
      <c r="AF430" s="9">
        <f t="shared" si="48"/>
        <v>2.7820000000000005</v>
      </c>
      <c r="AG430" s="9">
        <f t="shared" si="49"/>
        <v>1.906666666666667</v>
      </c>
      <c r="AH430" s="9">
        <f t="shared" si="50"/>
        <v>4.3368606466592883E-3</v>
      </c>
      <c r="AI430" s="9">
        <f t="shared" si="51"/>
        <v>1.8808360268542019E-5</v>
      </c>
      <c r="AJ430" s="9">
        <f t="shared" si="52"/>
        <v>2.943049433370949E-3</v>
      </c>
      <c r="AK430" s="9">
        <f t="shared" si="53"/>
        <v>8.6615399672650644E-6</v>
      </c>
      <c r="AL430" s="9">
        <f t="shared" si="54"/>
        <v>2.4610326617391055E-3</v>
      </c>
      <c r="AM430" s="9">
        <f t="shared" si="55"/>
        <v>6.0566817621466668E-6</v>
      </c>
      <c r="AN430" s="8" t="s">
        <v>1340</v>
      </c>
    </row>
    <row r="431" spans="13:40" ht="23">
      <c r="M431" s="9" t="s">
        <v>5081</v>
      </c>
      <c r="N431" s="8" t="s">
        <v>150</v>
      </c>
      <c r="O431" s="8"/>
      <c r="P431" s="8"/>
      <c r="Q431" s="8"/>
      <c r="R431" s="8"/>
      <c r="S431" s="8"/>
      <c r="T431" s="8"/>
      <c r="U431" s="8"/>
      <c r="V431" s="8"/>
      <c r="W431" s="9" t="s">
        <v>5081</v>
      </c>
      <c r="X431" s="8">
        <v>45.87</v>
      </c>
      <c r="Y431" s="8">
        <v>3.24</v>
      </c>
      <c r="Z431" s="9">
        <v>1.25</v>
      </c>
      <c r="AA431" s="8">
        <v>1.3</v>
      </c>
      <c r="AB431" s="8">
        <v>49309</v>
      </c>
      <c r="AC431" s="9" t="s">
        <v>5081</v>
      </c>
      <c r="AD431" s="8" t="s">
        <v>3725</v>
      </c>
      <c r="AE431" s="8" t="s">
        <v>4083</v>
      </c>
      <c r="AF431" s="9">
        <f t="shared" si="48"/>
        <v>4.2120000000000006</v>
      </c>
      <c r="AG431" s="9">
        <f t="shared" si="49"/>
        <v>1.8416666666666668</v>
      </c>
      <c r="AH431" s="9">
        <f t="shared" si="50"/>
        <v>4.3368606466592883E-3</v>
      </c>
      <c r="AI431" s="9">
        <f t="shared" si="51"/>
        <v>1.8808360268542019E-5</v>
      </c>
      <c r="AJ431" s="9">
        <f t="shared" si="52"/>
        <v>4.4558318523933993E-3</v>
      </c>
      <c r="AK431" s="9">
        <f t="shared" si="53"/>
        <v>1.9854437496803593E-5</v>
      </c>
      <c r="AL431" s="9">
        <f t="shared" si="54"/>
        <v>2.3771338209979992E-3</v>
      </c>
      <c r="AM431" s="9">
        <f t="shared" si="55"/>
        <v>5.6507652029325476E-6</v>
      </c>
      <c r="AN431" s="9" t="s">
        <v>5081</v>
      </c>
    </row>
    <row r="432" spans="13:40" ht="23">
      <c r="M432" s="9" t="s">
        <v>2623</v>
      </c>
      <c r="N432" s="8" t="s">
        <v>150</v>
      </c>
      <c r="O432" s="8"/>
      <c r="P432" s="8"/>
      <c r="Q432" s="8"/>
      <c r="R432" s="8"/>
      <c r="S432" s="8"/>
      <c r="T432" s="8"/>
      <c r="U432" s="8"/>
      <c r="V432" s="8"/>
      <c r="W432" s="9" t="s">
        <v>2623</v>
      </c>
      <c r="X432" s="8">
        <v>34.68</v>
      </c>
      <c r="Y432" s="8">
        <v>2.2200000000000002</v>
      </c>
      <c r="Z432" s="9">
        <v>1.18</v>
      </c>
      <c r="AA432" s="8">
        <v>1.3</v>
      </c>
      <c r="AB432" s="8">
        <v>64333</v>
      </c>
      <c r="AC432" s="9" t="s">
        <v>2623</v>
      </c>
      <c r="AD432" s="8" t="s">
        <v>3725</v>
      </c>
      <c r="AE432" s="8" t="s">
        <v>4083</v>
      </c>
      <c r="AF432" s="9">
        <f t="shared" si="48"/>
        <v>2.8860000000000006</v>
      </c>
      <c r="AG432" s="9">
        <f t="shared" si="49"/>
        <v>1.6900000000000002</v>
      </c>
      <c r="AH432" s="9">
        <f t="shared" si="50"/>
        <v>4.3368606466592883E-3</v>
      </c>
      <c r="AI432" s="9">
        <f t="shared" si="51"/>
        <v>1.8808360268542019E-5</v>
      </c>
      <c r="AJ432" s="9">
        <f t="shared" si="52"/>
        <v>3.053069972936218E-3</v>
      </c>
      <c r="AK432" s="9">
        <f t="shared" si="53"/>
        <v>9.3212362596447582E-6</v>
      </c>
      <c r="AL432" s="9">
        <f t="shared" si="54"/>
        <v>2.1813698592687523E-3</v>
      </c>
      <c r="AM432" s="9">
        <f t="shared" si="55"/>
        <v>4.7583744629261763E-6</v>
      </c>
      <c r="AN432" s="9" t="s">
        <v>2623</v>
      </c>
    </row>
    <row r="433" spans="13:40" ht="23">
      <c r="M433" s="8" t="s">
        <v>229</v>
      </c>
      <c r="N433" s="8" t="s">
        <v>150</v>
      </c>
      <c r="O433" s="8"/>
      <c r="P433" s="8"/>
      <c r="Q433" s="8"/>
      <c r="R433" s="8"/>
      <c r="S433" s="8"/>
      <c r="T433" s="8"/>
      <c r="U433" s="8"/>
      <c r="V433" s="8"/>
      <c r="W433" s="8" t="s">
        <v>229</v>
      </c>
      <c r="X433" s="8">
        <v>32.43</v>
      </c>
      <c r="Y433" s="8">
        <v>2.54</v>
      </c>
      <c r="Z433" s="9">
        <v>0.39</v>
      </c>
      <c r="AA433" s="8">
        <v>1.3</v>
      </c>
      <c r="AB433" s="8">
        <v>71182</v>
      </c>
      <c r="AC433" s="8" t="s">
        <v>229</v>
      </c>
      <c r="AD433" s="8" t="s">
        <v>3725</v>
      </c>
      <c r="AE433" s="8" t="s">
        <v>4083</v>
      </c>
      <c r="AF433" s="9">
        <f t="shared" si="48"/>
        <v>3.302</v>
      </c>
      <c r="AG433" s="9">
        <f t="shared" si="49"/>
        <v>0.84500000000000008</v>
      </c>
      <c r="AH433" s="9">
        <f t="shared" si="50"/>
        <v>4.3368606466592883E-3</v>
      </c>
      <c r="AI433" s="9">
        <f t="shared" si="51"/>
        <v>1.8808360268542019E-5</v>
      </c>
      <c r="AJ433" s="9">
        <f t="shared" si="52"/>
        <v>3.4931521311972942E-3</v>
      </c>
      <c r="AK433" s="9">
        <f t="shared" si="53"/>
        <v>1.2202111811688198E-5</v>
      </c>
      <c r="AL433" s="9">
        <f t="shared" si="54"/>
        <v>1.0906849296343762E-3</v>
      </c>
      <c r="AM433" s="9">
        <f t="shared" si="55"/>
        <v>1.1895936157315441E-6</v>
      </c>
      <c r="AN433" s="8" t="s">
        <v>229</v>
      </c>
    </row>
    <row r="434" spans="13:40" ht="23">
      <c r="M434" s="9" t="s">
        <v>3552</v>
      </c>
      <c r="N434" s="8" t="s">
        <v>2066</v>
      </c>
      <c r="O434" s="8"/>
      <c r="P434" s="8"/>
      <c r="Q434" s="8"/>
      <c r="R434" s="8"/>
      <c r="S434" s="8"/>
      <c r="T434" s="8"/>
      <c r="U434" s="8"/>
      <c r="V434" s="8"/>
      <c r="W434" s="9" t="s">
        <v>3552</v>
      </c>
      <c r="X434" s="8">
        <v>28.96</v>
      </c>
      <c r="Y434" s="8">
        <v>4.21</v>
      </c>
      <c r="Z434" s="9">
        <v>4.3</v>
      </c>
      <c r="AA434" s="8">
        <v>1.3</v>
      </c>
      <c r="AB434" s="8">
        <v>64431</v>
      </c>
      <c r="AC434" s="9" t="s">
        <v>3552</v>
      </c>
      <c r="AD434" s="8" t="s">
        <v>3725</v>
      </c>
      <c r="AE434" s="8" t="s">
        <v>4083</v>
      </c>
      <c r="AF434" s="9">
        <f t="shared" si="48"/>
        <v>5.4729999999999999</v>
      </c>
      <c r="AG434" s="9">
        <f t="shared" si="49"/>
        <v>5.2065000000000001</v>
      </c>
      <c r="AH434" s="9">
        <f t="shared" si="50"/>
        <v>4.3368606466592883E-3</v>
      </c>
      <c r="AI434" s="9">
        <f t="shared" si="51"/>
        <v>1.8808360268542019E-5</v>
      </c>
      <c r="AJ434" s="9">
        <f t="shared" si="52"/>
        <v>5.789830894622287E-3</v>
      </c>
      <c r="AK434" s="9">
        <f t="shared" si="53"/>
        <v>3.3522141788322709E-5</v>
      </c>
      <c r="AL434" s="9">
        <f t="shared" si="54"/>
        <v>6.7202971433625797E-3</v>
      </c>
      <c r="AM434" s="9">
        <f t="shared" si="55"/>
        <v>4.5162393695087251E-5</v>
      </c>
      <c r="AN434" s="9" t="s">
        <v>3552</v>
      </c>
    </row>
    <row r="435" spans="13:40" ht="23">
      <c r="M435" s="9" t="s">
        <v>3490</v>
      </c>
      <c r="N435" s="8" t="s">
        <v>2027</v>
      </c>
      <c r="O435" s="8"/>
      <c r="P435" s="8"/>
      <c r="Q435" s="8"/>
      <c r="R435" s="8"/>
      <c r="S435" s="8"/>
      <c r="T435" s="8"/>
      <c r="U435" s="8"/>
      <c r="V435" s="8"/>
      <c r="W435" s="9" t="s">
        <v>3490</v>
      </c>
      <c r="X435" s="8">
        <v>31.85</v>
      </c>
      <c r="Y435" s="8">
        <v>1.85</v>
      </c>
      <c r="Z435" s="9">
        <v>0.18</v>
      </c>
      <c r="AA435" s="8">
        <v>1.2</v>
      </c>
      <c r="AB435" s="8">
        <v>62257</v>
      </c>
      <c r="AC435" s="9" t="s">
        <v>3490</v>
      </c>
      <c r="AD435" s="8" t="s">
        <v>3725</v>
      </c>
      <c r="AE435" s="8" t="s">
        <v>4083</v>
      </c>
      <c r="AF435" s="9">
        <f t="shared" si="48"/>
        <v>2.2200000000000002</v>
      </c>
      <c r="AG435" s="9">
        <f t="shared" si="49"/>
        <v>0.36</v>
      </c>
      <c r="AH435" s="9">
        <f t="shared" si="50"/>
        <v>4.0032559815316501E-3</v>
      </c>
      <c r="AI435" s="9">
        <f t="shared" si="51"/>
        <v>1.6026058453668936E-5</v>
      </c>
      <c r="AJ435" s="9">
        <f t="shared" si="52"/>
        <v>2.3485153637970908E-3</v>
      </c>
      <c r="AK435" s="9">
        <f t="shared" si="53"/>
        <v>5.5155244139909814E-6</v>
      </c>
      <c r="AL435" s="9">
        <f t="shared" si="54"/>
        <v>4.6467050256612471E-4</v>
      </c>
      <c r="AM435" s="9">
        <f t="shared" si="55"/>
        <v>2.159186759550549E-7</v>
      </c>
      <c r="AN435" s="9" t="s">
        <v>3490</v>
      </c>
    </row>
    <row r="436" spans="13:40" ht="23">
      <c r="M436" s="9" t="s">
        <v>2772</v>
      </c>
      <c r="N436" s="8" t="s">
        <v>1614</v>
      </c>
      <c r="O436" s="8"/>
      <c r="P436" s="8"/>
      <c r="Q436" s="8"/>
      <c r="R436" s="8"/>
      <c r="S436" s="8"/>
      <c r="T436" s="8"/>
      <c r="U436" s="8"/>
      <c r="V436" s="8"/>
      <c r="W436" s="9" t="s">
        <v>2772</v>
      </c>
      <c r="X436" s="8">
        <v>7.58</v>
      </c>
      <c r="Y436" s="8">
        <v>3.19</v>
      </c>
      <c r="Z436" s="9">
        <v>1.53</v>
      </c>
      <c r="AA436" s="8">
        <v>1.2</v>
      </c>
      <c r="AB436" s="8">
        <v>52647</v>
      </c>
      <c r="AC436" s="9" t="s">
        <v>2772</v>
      </c>
      <c r="AD436" s="8" t="s">
        <v>3725</v>
      </c>
      <c r="AE436" s="8" t="s">
        <v>4083</v>
      </c>
      <c r="AF436" s="9">
        <f t="shared" si="48"/>
        <v>3.8279999999999998</v>
      </c>
      <c r="AG436" s="9">
        <f t="shared" si="49"/>
        <v>2.2599999999999998</v>
      </c>
      <c r="AH436" s="9">
        <f t="shared" si="50"/>
        <v>4.0032559815316501E-3</v>
      </c>
      <c r="AI436" s="9">
        <f t="shared" si="51"/>
        <v>1.6026058453668936E-5</v>
      </c>
      <c r="AJ436" s="9">
        <f t="shared" si="52"/>
        <v>4.0496021678447123E-3</v>
      </c>
      <c r="AK436" s="9">
        <f t="shared" si="53"/>
        <v>1.6399277717812594E-5</v>
      </c>
      <c r="AL436" s="9">
        <f t="shared" si="54"/>
        <v>2.9170981549984498E-3</v>
      </c>
      <c r="AM436" s="9">
        <f t="shared" si="55"/>
        <v>8.5094616458953588E-6</v>
      </c>
      <c r="AN436" s="9" t="s">
        <v>2772</v>
      </c>
    </row>
    <row r="437" spans="13:40" ht="23">
      <c r="M437" s="8" t="s">
        <v>6</v>
      </c>
      <c r="N437" s="8" t="s">
        <v>0</v>
      </c>
      <c r="O437" s="8"/>
      <c r="P437" s="8"/>
      <c r="Q437" s="8"/>
      <c r="R437" s="8"/>
      <c r="S437" s="8"/>
      <c r="T437" s="8"/>
      <c r="U437" s="8"/>
      <c r="V437" s="8"/>
      <c r="W437" s="8" t="s">
        <v>6</v>
      </c>
      <c r="X437" s="8">
        <v>54.58</v>
      </c>
      <c r="Y437" s="8">
        <v>4.17</v>
      </c>
      <c r="Z437" s="9">
        <v>5.5</v>
      </c>
      <c r="AA437" s="8">
        <v>1.2</v>
      </c>
      <c r="AB437" s="8">
        <v>87953</v>
      </c>
      <c r="AC437" s="8" t="s">
        <v>6</v>
      </c>
      <c r="AD437" s="8" t="s">
        <v>3725</v>
      </c>
      <c r="AE437" s="8" t="s">
        <v>4083</v>
      </c>
      <c r="AF437" s="9">
        <f t="shared" si="48"/>
        <v>5.0039999999999996</v>
      </c>
      <c r="AG437" s="9">
        <f t="shared" si="49"/>
        <v>6.0100000000000007</v>
      </c>
      <c r="AH437" s="9">
        <f t="shared" si="50"/>
        <v>4.0032559815316501E-3</v>
      </c>
      <c r="AI437" s="9">
        <f t="shared" si="51"/>
        <v>1.6026058453668936E-5</v>
      </c>
      <c r="AJ437" s="9">
        <f t="shared" si="52"/>
        <v>5.2936805767750629E-3</v>
      </c>
      <c r="AK437" s="9">
        <f t="shared" si="53"/>
        <v>2.8023054048925562E-5</v>
      </c>
      <c r="AL437" s="9">
        <f t="shared" si="54"/>
        <v>7.7574158900622506E-3</v>
      </c>
      <c r="AM437" s="9">
        <f t="shared" si="55"/>
        <v>6.0177501291390298E-5</v>
      </c>
      <c r="AN437" s="8" t="s">
        <v>6</v>
      </c>
    </row>
    <row r="438" spans="13:40" ht="23">
      <c r="M438" s="8" t="s">
        <v>1900</v>
      </c>
      <c r="N438" s="8" t="s">
        <v>1869</v>
      </c>
      <c r="O438" s="8"/>
      <c r="P438" s="8"/>
      <c r="Q438" s="8"/>
      <c r="R438" s="8"/>
      <c r="S438" s="8"/>
      <c r="T438" s="8"/>
      <c r="U438" s="8"/>
      <c r="V438" s="8"/>
      <c r="W438" s="8" t="s">
        <v>1900</v>
      </c>
      <c r="X438" s="8">
        <v>38.15</v>
      </c>
      <c r="Y438" s="8">
        <v>2.68</v>
      </c>
      <c r="Z438" s="9">
        <v>0.27</v>
      </c>
      <c r="AA438" s="8">
        <v>1.2</v>
      </c>
      <c r="AB438" s="8">
        <v>70207</v>
      </c>
      <c r="AC438" s="8" t="s">
        <v>1900</v>
      </c>
      <c r="AD438" s="8" t="s">
        <v>3725</v>
      </c>
      <c r="AE438" s="8" t="s">
        <v>4083</v>
      </c>
      <c r="AF438" s="9">
        <f t="shared" si="48"/>
        <v>3.2160000000000002</v>
      </c>
      <c r="AG438" s="9">
        <f t="shared" si="49"/>
        <v>0.54</v>
      </c>
      <c r="AH438" s="9">
        <f t="shared" si="50"/>
        <v>4.0032559815316501E-3</v>
      </c>
      <c r="AI438" s="9">
        <f t="shared" si="51"/>
        <v>1.6026058453668936E-5</v>
      </c>
      <c r="AJ438" s="9">
        <f t="shared" si="52"/>
        <v>3.4021736080952448E-3</v>
      </c>
      <c r="AK438" s="9">
        <f t="shared" si="53"/>
        <v>1.1574785259619817E-5</v>
      </c>
      <c r="AL438" s="9">
        <f t="shared" si="54"/>
        <v>6.9700575384918717E-4</v>
      </c>
      <c r="AM438" s="9">
        <f t="shared" si="55"/>
        <v>4.8581702089887367E-7</v>
      </c>
      <c r="AN438" s="8" t="s">
        <v>1900</v>
      </c>
    </row>
    <row r="439" spans="13:40" ht="23">
      <c r="M439" s="8" t="s">
        <v>933</v>
      </c>
      <c r="N439" s="8" t="s">
        <v>150</v>
      </c>
      <c r="O439" s="8"/>
      <c r="P439" s="8"/>
      <c r="Q439" s="8"/>
      <c r="R439" s="8"/>
      <c r="S439" s="8"/>
      <c r="T439" s="8"/>
      <c r="U439" s="8"/>
      <c r="V439" s="8"/>
      <c r="W439" s="8" t="s">
        <v>933</v>
      </c>
      <c r="X439" s="8">
        <v>40.5</v>
      </c>
      <c r="Y439" s="8">
        <v>1.69</v>
      </c>
      <c r="Z439" s="9">
        <v>2.16</v>
      </c>
      <c r="AA439" s="8">
        <v>1.2</v>
      </c>
      <c r="AB439" s="8">
        <v>63408</v>
      </c>
      <c r="AC439" s="8" t="s">
        <v>933</v>
      </c>
      <c r="AD439" s="8" t="s">
        <v>3725</v>
      </c>
      <c r="AE439" s="8" t="s">
        <v>4083</v>
      </c>
      <c r="AF439" s="9">
        <f t="shared" si="48"/>
        <v>2.028</v>
      </c>
      <c r="AG439" s="9">
        <f t="shared" si="49"/>
        <v>2.7199999999999998</v>
      </c>
      <c r="AH439" s="9">
        <f t="shared" si="50"/>
        <v>4.0032559815316501E-3</v>
      </c>
      <c r="AI439" s="9">
        <f t="shared" si="51"/>
        <v>1.6026058453668936E-5</v>
      </c>
      <c r="AJ439" s="9">
        <f t="shared" si="52"/>
        <v>2.1454005215227477E-3</v>
      </c>
      <c r="AK439" s="9">
        <f t="shared" si="53"/>
        <v>4.6027433977500779E-6</v>
      </c>
      <c r="AL439" s="9">
        <f t="shared" si="54"/>
        <v>3.5108437971662757E-3</v>
      </c>
      <c r="AM439" s="9">
        <f t="shared" si="55"/>
        <v>1.2326024168100913E-5</v>
      </c>
      <c r="AN439" s="8" t="s">
        <v>933</v>
      </c>
    </row>
    <row r="440" spans="13:40" ht="23">
      <c r="M440" s="8" t="s">
        <v>5007</v>
      </c>
      <c r="N440" s="8" t="s">
        <v>150</v>
      </c>
      <c r="O440" s="8"/>
      <c r="P440" s="8"/>
      <c r="Q440" s="8"/>
      <c r="R440" s="8"/>
      <c r="S440" s="8"/>
      <c r="T440" s="8"/>
      <c r="U440" s="8"/>
      <c r="V440" s="8"/>
      <c r="W440" s="8" t="s">
        <v>5007</v>
      </c>
      <c r="X440" s="8">
        <v>58.11</v>
      </c>
      <c r="Y440" s="8">
        <v>2.0299999999999998</v>
      </c>
      <c r="Z440" s="9">
        <v>1.03</v>
      </c>
      <c r="AA440" s="8">
        <v>1.2</v>
      </c>
      <c r="AB440" s="8">
        <v>73681</v>
      </c>
      <c r="AC440" s="8" t="s">
        <v>5007</v>
      </c>
      <c r="AD440" s="8" t="s">
        <v>3725</v>
      </c>
      <c r="AE440" s="8" t="s">
        <v>4083</v>
      </c>
      <c r="AF440" s="9">
        <f t="shared" si="48"/>
        <v>2.4359999999999995</v>
      </c>
      <c r="AG440" s="9">
        <f t="shared" si="49"/>
        <v>1.26</v>
      </c>
      <c r="AH440" s="9">
        <f t="shared" si="50"/>
        <v>4.0032559815316501E-3</v>
      </c>
      <c r="AI440" s="9">
        <f t="shared" si="51"/>
        <v>1.6026058453668936E-5</v>
      </c>
      <c r="AJ440" s="9">
        <f t="shared" si="52"/>
        <v>2.5770195613557256E-3</v>
      </c>
      <c r="AK440" s="9">
        <f t="shared" si="53"/>
        <v>6.6410298196100563E-6</v>
      </c>
      <c r="AL440" s="9">
        <f t="shared" si="54"/>
        <v>1.6263467589814366E-3</v>
      </c>
      <c r="AM440" s="9">
        <f t="shared" si="55"/>
        <v>2.6450037804494232E-6</v>
      </c>
      <c r="AN440" s="8" t="s">
        <v>5007</v>
      </c>
    </row>
    <row r="441" spans="13:40" ht="23">
      <c r="M441" s="8" t="s">
        <v>1521</v>
      </c>
      <c r="N441" s="8" t="s">
        <v>150</v>
      </c>
      <c r="O441" s="8"/>
      <c r="P441" s="8"/>
      <c r="Q441" s="8"/>
      <c r="R441" s="8"/>
      <c r="S441" s="8"/>
      <c r="T441" s="8"/>
      <c r="U441" s="8"/>
      <c r="V441" s="8"/>
      <c r="W441" s="8" t="s">
        <v>1521</v>
      </c>
      <c r="X441" s="8">
        <v>29.74</v>
      </c>
      <c r="Y441" s="8">
        <v>2.12</v>
      </c>
      <c r="Z441" s="9">
        <v>0.47</v>
      </c>
      <c r="AA441" s="8">
        <v>1.2</v>
      </c>
      <c r="AB441" s="8">
        <v>59758</v>
      </c>
      <c r="AC441" s="8" t="s">
        <v>1521</v>
      </c>
      <c r="AD441" s="8" t="s">
        <v>3725</v>
      </c>
      <c r="AE441" s="8" t="s">
        <v>4083</v>
      </c>
      <c r="AF441" s="9">
        <f t="shared" si="48"/>
        <v>2.544</v>
      </c>
      <c r="AG441" s="9">
        <f t="shared" si="49"/>
        <v>0.94</v>
      </c>
      <c r="AH441" s="9">
        <f t="shared" si="50"/>
        <v>4.0032559815316501E-3</v>
      </c>
      <c r="AI441" s="9">
        <f t="shared" si="51"/>
        <v>1.6026058453668936E-5</v>
      </c>
      <c r="AJ441" s="9">
        <f t="shared" si="52"/>
        <v>2.6912716601350441E-3</v>
      </c>
      <c r="AK441" s="9">
        <f t="shared" si="53"/>
        <v>7.2429431486460362E-6</v>
      </c>
      <c r="AL441" s="9">
        <f t="shared" si="54"/>
        <v>1.2133063122559923E-3</v>
      </c>
      <c r="AM441" s="9">
        <f t="shared" si="55"/>
        <v>1.4721122073602355E-6</v>
      </c>
      <c r="AN441" s="8" t="s">
        <v>1521</v>
      </c>
    </row>
    <row r="442" spans="13:40" ht="23">
      <c r="M442" s="8" t="s">
        <v>1683</v>
      </c>
      <c r="N442" s="8" t="s">
        <v>1614</v>
      </c>
      <c r="O442" s="8"/>
      <c r="P442" s="8"/>
      <c r="Q442" s="8"/>
      <c r="R442" s="8"/>
      <c r="S442" s="8"/>
      <c r="T442" s="8"/>
      <c r="U442" s="8"/>
      <c r="V442" s="8"/>
      <c r="W442" s="8" t="s">
        <v>1683</v>
      </c>
      <c r="X442" s="8">
        <v>23.16</v>
      </c>
      <c r="Y442" s="8">
        <v>1.95</v>
      </c>
      <c r="Z442" s="9">
        <v>1.26</v>
      </c>
      <c r="AA442" s="8">
        <v>1.1000000000000001</v>
      </c>
      <c r="AB442" s="8">
        <v>81433</v>
      </c>
      <c r="AC442" s="8" t="s">
        <v>1683</v>
      </c>
      <c r="AD442" s="8" t="s">
        <v>3725</v>
      </c>
      <c r="AE442" s="8" t="s">
        <v>4083</v>
      </c>
      <c r="AF442" s="9">
        <f t="shared" si="48"/>
        <v>2.145</v>
      </c>
      <c r="AG442" s="9">
        <f t="shared" si="49"/>
        <v>1.5766666666666669</v>
      </c>
      <c r="AH442" s="9">
        <f t="shared" si="50"/>
        <v>3.6696513164040131E-3</v>
      </c>
      <c r="AI442" s="9">
        <f t="shared" si="51"/>
        <v>1.3466340783985706E-5</v>
      </c>
      <c r="AJ442" s="9">
        <f t="shared" si="52"/>
        <v>2.2691736285336754E-3</v>
      </c>
      <c r="AK442" s="9">
        <f t="shared" si="53"/>
        <v>5.149148956432687E-6</v>
      </c>
      <c r="AL442" s="9">
        <f t="shared" si="54"/>
        <v>2.0350847010534912E-3</v>
      </c>
      <c r="AM442" s="9">
        <f t="shared" si="55"/>
        <v>4.1415697404619779E-6</v>
      </c>
      <c r="AN442" s="8" t="s">
        <v>1683</v>
      </c>
    </row>
    <row r="443" spans="13:40" ht="23">
      <c r="M443" s="9" t="s">
        <v>2332</v>
      </c>
      <c r="N443" s="8" t="s">
        <v>150</v>
      </c>
      <c r="O443" s="8"/>
      <c r="P443" s="8"/>
      <c r="Q443" s="8"/>
      <c r="R443" s="8"/>
      <c r="S443" s="8"/>
      <c r="T443" s="8"/>
      <c r="U443" s="8"/>
      <c r="V443" s="8"/>
      <c r="W443" s="9" t="s">
        <v>2332</v>
      </c>
      <c r="X443" s="8">
        <v>8.15</v>
      </c>
      <c r="Y443" s="8">
        <v>2.38</v>
      </c>
      <c r="Z443" s="9">
        <v>4.1399999999999997</v>
      </c>
      <c r="AA443" s="8">
        <v>1.1000000000000001</v>
      </c>
      <c r="AB443" s="8">
        <v>58932</v>
      </c>
      <c r="AC443" s="9" t="s">
        <v>2332</v>
      </c>
      <c r="AD443" s="8" t="s">
        <v>3725</v>
      </c>
      <c r="AE443" s="8" t="s">
        <v>4083</v>
      </c>
      <c r="AF443" s="9">
        <f t="shared" si="48"/>
        <v>2.6179999999999999</v>
      </c>
      <c r="AG443" s="9">
        <f t="shared" si="49"/>
        <v>4.6566666666666672</v>
      </c>
      <c r="AH443" s="9">
        <f t="shared" si="50"/>
        <v>3.6696513164040131E-3</v>
      </c>
      <c r="AI443" s="9">
        <f t="shared" si="51"/>
        <v>1.3466340783985706E-5</v>
      </c>
      <c r="AJ443" s="9">
        <f t="shared" si="52"/>
        <v>2.7695555055949469E-3</v>
      </c>
      <c r="AK443" s="9">
        <f t="shared" si="53"/>
        <v>7.6704376985712818E-6</v>
      </c>
      <c r="AL443" s="9">
        <f t="shared" si="54"/>
        <v>6.0105990007858923E-3</v>
      </c>
      <c r="AM443" s="9">
        <f t="shared" si="55"/>
        <v>3.6127300348248369E-5</v>
      </c>
      <c r="AN443" s="9" t="s">
        <v>2332</v>
      </c>
    </row>
    <row r="444" spans="13:40" ht="23">
      <c r="M444" s="9" t="s">
        <v>5095</v>
      </c>
      <c r="N444" s="8" t="s">
        <v>150</v>
      </c>
      <c r="O444" s="8"/>
      <c r="P444" s="8"/>
      <c r="Q444" s="8"/>
      <c r="R444" s="8"/>
      <c r="S444" s="8"/>
      <c r="T444" s="8"/>
      <c r="U444" s="8"/>
      <c r="V444" s="8"/>
      <c r="W444" s="9" t="s">
        <v>5095</v>
      </c>
      <c r="X444" s="8">
        <v>44</v>
      </c>
      <c r="Y444" s="8">
        <v>2.68</v>
      </c>
      <c r="Z444" s="9">
        <v>2.37</v>
      </c>
      <c r="AA444" s="8">
        <v>1.1000000000000001</v>
      </c>
      <c r="AB444" s="8">
        <v>55507</v>
      </c>
      <c r="AC444" s="9" t="s">
        <v>5095</v>
      </c>
      <c r="AD444" s="8" t="s">
        <v>3725</v>
      </c>
      <c r="AE444" s="8" t="s">
        <v>4083</v>
      </c>
      <c r="AF444" s="9">
        <f t="shared" si="48"/>
        <v>2.9480000000000004</v>
      </c>
      <c r="AG444" s="9">
        <f t="shared" si="49"/>
        <v>2.8783333333333334</v>
      </c>
      <c r="AH444" s="9">
        <f t="shared" si="50"/>
        <v>3.6696513164040131E-3</v>
      </c>
      <c r="AI444" s="9">
        <f t="shared" si="51"/>
        <v>1.3466340783985706E-5</v>
      </c>
      <c r="AJ444" s="9">
        <f t="shared" si="52"/>
        <v>3.1186591407539746E-3</v>
      </c>
      <c r="AK444" s="9">
        <f t="shared" si="53"/>
        <v>9.7260348362083196E-6</v>
      </c>
      <c r="AL444" s="9">
        <f t="shared" si="54"/>
        <v>3.7152127682023028E-3</v>
      </c>
      <c r="AM444" s="9">
        <f t="shared" si="55"/>
        <v>1.3802805913013419E-5</v>
      </c>
      <c r="AN444" s="9" t="s">
        <v>5095</v>
      </c>
    </row>
    <row r="445" spans="13:40" ht="23">
      <c r="M445" s="9" t="s">
        <v>2218</v>
      </c>
      <c r="N445" s="8" t="s">
        <v>150</v>
      </c>
      <c r="O445" s="8"/>
      <c r="P445" s="8"/>
      <c r="Q445" s="8"/>
      <c r="R445" s="8"/>
      <c r="S445" s="8"/>
      <c r="T445" s="8"/>
      <c r="U445" s="8"/>
      <c r="V445" s="8"/>
      <c r="W445" s="9" t="s">
        <v>2218</v>
      </c>
      <c r="X445" s="8">
        <v>46.69</v>
      </c>
      <c r="Y445" s="8">
        <v>2.06</v>
      </c>
      <c r="Z445" s="9">
        <v>1.35</v>
      </c>
      <c r="AA445" s="8">
        <v>1.1000000000000001</v>
      </c>
      <c r="AB445" s="8">
        <v>65689</v>
      </c>
      <c r="AC445" s="9" t="s">
        <v>2218</v>
      </c>
      <c r="AD445" s="8" t="s">
        <v>3725</v>
      </c>
      <c r="AE445" s="8" t="s">
        <v>4083</v>
      </c>
      <c r="AF445" s="9">
        <f t="shared" si="48"/>
        <v>2.2660000000000005</v>
      </c>
      <c r="AG445" s="9">
        <f t="shared" si="49"/>
        <v>1.7416666666666669</v>
      </c>
      <c r="AH445" s="9">
        <f t="shared" si="50"/>
        <v>3.6696513164040131E-3</v>
      </c>
      <c r="AI445" s="9">
        <f t="shared" si="51"/>
        <v>1.3466340783985706E-5</v>
      </c>
      <c r="AJ445" s="9">
        <f t="shared" si="52"/>
        <v>2.3971782947586522E-3</v>
      </c>
      <c r="AK445" s="9">
        <f t="shared" si="53"/>
        <v>5.7464637768619999E-6</v>
      </c>
      <c r="AL445" s="9">
        <f t="shared" si="54"/>
        <v>2.2480586813962982E-3</v>
      </c>
      <c r="AM445" s="9">
        <f t="shared" si="55"/>
        <v>5.053767835001263E-6</v>
      </c>
      <c r="AN445" s="9" t="s">
        <v>2218</v>
      </c>
    </row>
    <row r="446" spans="13:40" ht="23">
      <c r="M446" s="9" t="s">
        <v>2253</v>
      </c>
      <c r="N446" s="8" t="s">
        <v>150</v>
      </c>
      <c r="O446" s="8"/>
      <c r="P446" s="8"/>
      <c r="Q446" s="8"/>
      <c r="R446" s="8"/>
      <c r="S446" s="8"/>
      <c r="T446" s="8"/>
      <c r="U446" s="8"/>
      <c r="V446" s="8"/>
      <c r="W446" s="9" t="s">
        <v>2253</v>
      </c>
      <c r="X446" s="8">
        <v>43.66</v>
      </c>
      <c r="Y446" s="8">
        <v>2.2200000000000002</v>
      </c>
      <c r="Z446" s="9">
        <v>0.26</v>
      </c>
      <c r="AA446" s="8">
        <v>1.1000000000000001</v>
      </c>
      <c r="AB446" s="8">
        <v>65222</v>
      </c>
      <c r="AC446" s="9" t="s">
        <v>2253</v>
      </c>
      <c r="AD446" s="8" t="s">
        <v>3725</v>
      </c>
      <c r="AE446" s="8" t="s">
        <v>4083</v>
      </c>
      <c r="AF446" s="9">
        <f t="shared" si="48"/>
        <v>2.4420000000000006</v>
      </c>
      <c r="AG446" s="9">
        <f t="shared" si="49"/>
        <v>0.47666666666666674</v>
      </c>
      <c r="AH446" s="9">
        <f t="shared" si="50"/>
        <v>3.6696513164040131E-3</v>
      </c>
      <c r="AI446" s="9">
        <f t="shared" si="51"/>
        <v>1.3466340783985706E-5</v>
      </c>
      <c r="AJ446" s="9">
        <f t="shared" si="52"/>
        <v>2.5833669001768E-3</v>
      </c>
      <c r="AK446" s="9">
        <f t="shared" si="53"/>
        <v>6.6737845409290882E-6</v>
      </c>
      <c r="AL446" s="9">
        <f t="shared" si="54"/>
        <v>6.1525816543477638E-4</v>
      </c>
      <c r="AM446" s="9">
        <f t="shared" si="55"/>
        <v>3.7854261013416668E-7</v>
      </c>
      <c r="AN446" s="9" t="s">
        <v>2253</v>
      </c>
    </row>
    <row r="447" spans="13:40" ht="23">
      <c r="M447" s="9" t="s">
        <v>2438</v>
      </c>
      <c r="N447" s="8" t="s">
        <v>150</v>
      </c>
      <c r="O447" s="8"/>
      <c r="P447" s="8"/>
      <c r="Q447" s="8"/>
      <c r="R447" s="8"/>
      <c r="S447" s="8"/>
      <c r="T447" s="8"/>
      <c r="U447" s="8"/>
      <c r="V447" s="8"/>
      <c r="W447" s="9" t="s">
        <v>2438</v>
      </c>
      <c r="X447" s="8">
        <v>12.68</v>
      </c>
      <c r="Y447" s="8">
        <v>3.29</v>
      </c>
      <c r="Z447" s="9">
        <v>3.58</v>
      </c>
      <c r="AA447" s="8">
        <v>1</v>
      </c>
      <c r="AB447" s="8">
        <v>69565</v>
      </c>
      <c r="AC447" s="9" t="s">
        <v>2438</v>
      </c>
      <c r="AD447" s="8" t="s">
        <v>3725</v>
      </c>
      <c r="AE447" s="8" t="s">
        <v>4083</v>
      </c>
      <c r="AF447" s="9">
        <f t="shared" si="48"/>
        <v>3.29</v>
      </c>
      <c r="AG447" s="9">
        <f t="shared" si="49"/>
        <v>3.9666666666666668</v>
      </c>
      <c r="AH447" s="9">
        <f t="shared" si="50"/>
        <v>3.3360466512763753E-3</v>
      </c>
      <c r="AI447" s="9">
        <f t="shared" si="51"/>
        <v>1.1129207259492319E-5</v>
      </c>
      <c r="AJ447" s="9">
        <f t="shared" si="52"/>
        <v>3.4804574535551472E-3</v>
      </c>
      <c r="AK447" s="9">
        <f t="shared" si="53"/>
        <v>1.211358408600758E-5</v>
      </c>
      <c r="AL447" s="9">
        <f t="shared" si="54"/>
        <v>5.1199805375341523E-3</v>
      </c>
      <c r="AM447" s="9">
        <f t="shared" si="55"/>
        <v>2.6214200704728506E-5</v>
      </c>
      <c r="AN447" s="9" t="s">
        <v>2438</v>
      </c>
    </row>
    <row r="448" spans="13:40" ht="23"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9"/>
      <c r="AA448" s="8">
        <f>SUBTOTAL(109,Table13617[ترافیک کل])</f>
        <v>29975.599999999962</v>
      </c>
      <c r="AB448" s="8"/>
      <c r="AC448" s="8"/>
      <c r="AD448" s="8"/>
      <c r="AE448" s="8"/>
      <c r="AF448" s="9">
        <f>SUBTOTAL(109,Table13617[[مجموع صفحات  مشاهده شده   ]])</f>
        <v>94527.803999999975</v>
      </c>
      <c r="AG448" s="9">
        <f>SUBTOTAL(109,Table13617[[مجموع زمان حضور در سایت ]])</f>
        <v>77474.252833333303</v>
      </c>
      <c r="AH448" s="9">
        <f>SUBTOTAL(109,Table13617[سهم سایت از کل ترافیک طبقه بندی])</f>
        <v>100.0000000000001</v>
      </c>
      <c r="AI448" s="9">
        <f>SUBTOTAL(109,Table13617[شاخص هرفیندال هیرشمن (ترافیک)])</f>
        <v>173.55508167980659</v>
      </c>
      <c r="AJ448" s="9">
        <f>SUBTOTAL(109,Table13617[سهم سایت از کل صفحات مشاهده شده در طبقه بندی])</f>
        <v>99.999999999999986</v>
      </c>
      <c r="AK448" s="9">
        <f>SUBTOTAL(109,Table13617[شاخص هرفیندال -هیرشمن (صفحات مشاهده شده )])</f>
        <v>241.58814706084985</v>
      </c>
      <c r="AL448" s="9">
        <f>SUBTOTAL(109,Table13617[سهم سایت از کل زمان حضور در طبقه بندی])</f>
        <v>100.00000000000007</v>
      </c>
      <c r="AM448" s="9">
        <f>SUBTOTAL(109,Table13617[شاخص هرفیندال هیرشمن (زمان حضور)])</f>
        <v>416.0318852872806</v>
      </c>
      <c r="AN448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{9B343227-1CB2-4EF8-AB9B-ED8260A9F8B4}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{1D07438B-3E9D-4206-BC95-BA95BB07E596}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{9FABA2AA-6652-4F78-85BC-26CD7262813B}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{5E14D731-285F-44DA-9879-578F3681F924}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{73862832-586B-4C47-82CB-C6165CCFC987}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{37BF4D47-D05E-44D9-9166-1EE8ED911A4E}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B343227-1CB2-4EF8-AB9B-ED8260A9F8B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D07438B-3E9D-4206-BC95-BA95BB07E59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9FABA2AA-6652-4F78-85BC-26CD7262813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E14D731-285F-44DA-9879-578F3681F92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3862832-586B-4C47-82CB-C6165CCFC98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37BF4D47-D05E-44D9-9166-1EE8ED911A4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07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2677</v>
      </c>
      <c r="N2" s="8" t="s">
        <v>150</v>
      </c>
      <c r="O2" s="8"/>
      <c r="P2" s="8" t="s">
        <v>4034</v>
      </c>
      <c r="Q2" s="8"/>
      <c r="R2" s="8"/>
      <c r="S2" s="8"/>
      <c r="T2" s="8"/>
      <c r="U2" s="8"/>
      <c r="V2" s="8"/>
      <c r="W2" s="9" t="s">
        <v>2677</v>
      </c>
      <c r="X2" s="8">
        <v>49.87</v>
      </c>
      <c r="Y2" s="8">
        <v>9.65</v>
      </c>
      <c r="Z2" s="9">
        <v>5</v>
      </c>
      <c r="AA2" s="8">
        <v>3189.4</v>
      </c>
      <c r="AB2" s="8">
        <v>94</v>
      </c>
      <c r="AC2" s="22" t="s">
        <v>2677</v>
      </c>
      <c r="AD2" s="8" t="s">
        <v>3723</v>
      </c>
      <c r="AE2" s="8" t="s">
        <v>4083</v>
      </c>
      <c r="AF2" s="9">
        <f t="shared" ref="AF2:AF33" si="0">(AA2*Y2)</f>
        <v>30777.710000000003</v>
      </c>
      <c r="AG2" s="9">
        <f t="shared" ref="AG2:AG33" si="1">((((RIGHT(Z2,2))/60)+(LEFT(Z2,2)))*AA2)</f>
        <v>16212.783333333333</v>
      </c>
      <c r="AH2" s="9">
        <f t="shared" ref="AH2:AH33" si="2">(AA2/$AA$107)*100</f>
        <v>24.453150756350205</v>
      </c>
      <c r="AI2" s="9">
        <f t="shared" ref="AI2:AI33" si="3">(AH2*AH2)</f>
        <v>597.95658191279063</v>
      </c>
      <c r="AJ2" s="9">
        <f t="shared" ref="AJ2:AJ33" si="4">(AF2/$AF$107)*100</f>
        <v>40.732413762217149</v>
      </c>
      <c r="AK2" s="9">
        <f t="shared" ref="AK2:AK33" si="5">(AJ2*AJ2)</f>
        <v>1659.129530896457</v>
      </c>
      <c r="AL2" s="9">
        <f t="shared" ref="AL2:AL33" si="6">(AG2/$AG$107)*100</f>
        <v>36.69928695559647</v>
      </c>
      <c r="AM2" s="9">
        <f t="shared" ref="AM2:AM33" si="7">(AL2*AL2)</f>
        <v>1346.8376630492132</v>
      </c>
      <c r="AN2" s="9" t="s">
        <v>2677</v>
      </c>
    </row>
    <row r="3" spans="8:40" ht="23">
      <c r="M3" s="8" t="s">
        <v>1336</v>
      </c>
      <c r="N3" s="8" t="s">
        <v>150</v>
      </c>
      <c r="O3" s="8"/>
      <c r="P3" s="8" t="s">
        <v>3696</v>
      </c>
      <c r="Q3" s="8"/>
      <c r="R3" s="8"/>
      <c r="S3" s="8"/>
      <c r="T3" s="8"/>
      <c r="U3" s="8"/>
      <c r="V3" s="8"/>
      <c r="W3" s="8" t="s">
        <v>1336</v>
      </c>
      <c r="X3" s="8">
        <v>47.29</v>
      </c>
      <c r="Y3" s="8">
        <v>5.69</v>
      </c>
      <c r="Z3" s="9">
        <v>4.49</v>
      </c>
      <c r="AA3" s="8">
        <v>1759.5</v>
      </c>
      <c r="AB3" s="8">
        <v>319</v>
      </c>
      <c r="AC3" s="21" t="s">
        <v>1336</v>
      </c>
      <c r="AD3" s="8" t="s">
        <v>3723</v>
      </c>
      <c r="AE3" s="8" t="s">
        <v>4083</v>
      </c>
      <c r="AF3" s="9">
        <f t="shared" si="0"/>
        <v>10011.555</v>
      </c>
      <c r="AG3" s="9">
        <f t="shared" si="1"/>
        <v>8474.9249999999993</v>
      </c>
      <c r="AH3" s="9">
        <f t="shared" si="2"/>
        <v>13.490098061014042</v>
      </c>
      <c r="AI3" s="9">
        <f t="shared" si="3"/>
        <v>181.98274569577481</v>
      </c>
      <c r="AJ3" s="9">
        <f t="shared" si="4"/>
        <v>13.249679741059159</v>
      </c>
      <c r="AK3" s="9">
        <f t="shared" si="5"/>
        <v>175.55401324063351</v>
      </c>
      <c r="AL3" s="9">
        <f t="shared" si="6"/>
        <v>19.183856226752656</v>
      </c>
      <c r="AM3" s="9">
        <f t="shared" si="7"/>
        <v>368.02033972871664</v>
      </c>
      <c r="AN3" s="8" t="s">
        <v>1336</v>
      </c>
    </row>
    <row r="4" spans="8:40" ht="23">
      <c r="M4" s="8" t="s">
        <v>1730</v>
      </c>
      <c r="N4" s="8" t="s">
        <v>1717</v>
      </c>
      <c r="O4" s="8"/>
      <c r="P4" s="8"/>
      <c r="Q4" s="8"/>
      <c r="R4" s="8"/>
      <c r="S4" s="8"/>
      <c r="T4" s="8"/>
      <c r="U4" s="8"/>
      <c r="V4" s="8"/>
      <c r="W4" s="8" t="s">
        <v>1730</v>
      </c>
      <c r="X4" s="8">
        <v>25.98</v>
      </c>
      <c r="Y4" s="8">
        <v>6.33</v>
      </c>
      <c r="Z4" s="9">
        <v>5.33</v>
      </c>
      <c r="AA4" s="8">
        <v>817.6</v>
      </c>
      <c r="AB4" s="8">
        <v>268</v>
      </c>
      <c r="AC4" s="21" t="s">
        <v>1730</v>
      </c>
      <c r="AD4" s="8" t="s">
        <v>3723</v>
      </c>
      <c r="AE4" s="8" t="s">
        <v>4083</v>
      </c>
      <c r="AF4" s="9">
        <f t="shared" si="0"/>
        <v>5175.4080000000004</v>
      </c>
      <c r="AG4" s="9">
        <f t="shared" si="1"/>
        <v>4537.68</v>
      </c>
      <c r="AH4" s="9">
        <f t="shared" si="2"/>
        <v>6.2685445721426998</v>
      </c>
      <c r="AI4" s="9">
        <f t="shared" si="3"/>
        <v>39.294651052939706</v>
      </c>
      <c r="AJ4" s="9">
        <f t="shared" si="4"/>
        <v>6.8493354458239004</v>
      </c>
      <c r="AK4" s="9">
        <f t="shared" si="5"/>
        <v>46.913396049419688</v>
      </c>
      <c r="AL4" s="9">
        <f t="shared" si="6"/>
        <v>10.271501013048614</v>
      </c>
      <c r="AM4" s="9">
        <f t="shared" si="7"/>
        <v>105.5037330610587</v>
      </c>
      <c r="AN4" s="8" t="s">
        <v>1730</v>
      </c>
    </row>
    <row r="5" spans="8:40" ht="23">
      <c r="M5" s="9" t="s">
        <v>3425</v>
      </c>
      <c r="N5" s="8" t="s">
        <v>2003</v>
      </c>
      <c r="O5" s="8"/>
      <c r="P5" s="8" t="s">
        <v>3693</v>
      </c>
      <c r="Q5" s="8"/>
      <c r="R5" s="8"/>
      <c r="S5" s="8"/>
      <c r="T5" s="8"/>
      <c r="U5" s="8"/>
      <c r="V5" s="8"/>
      <c r="W5" s="9" t="s">
        <v>3425</v>
      </c>
      <c r="X5" s="8">
        <v>70.849999999999994</v>
      </c>
      <c r="Y5" s="8">
        <v>1.82</v>
      </c>
      <c r="Z5" s="9">
        <v>0.35</v>
      </c>
      <c r="AA5" s="8">
        <v>807.8</v>
      </c>
      <c r="AB5" s="8">
        <v>1479</v>
      </c>
      <c r="AC5" s="22" t="s">
        <v>3425</v>
      </c>
      <c r="AD5" s="8" t="s">
        <v>3723</v>
      </c>
      <c r="AE5" s="8" t="s">
        <v>4083</v>
      </c>
      <c r="AF5" s="9">
        <f t="shared" si="0"/>
        <v>1470.1959999999999</v>
      </c>
      <c r="AG5" s="9">
        <f t="shared" si="1"/>
        <v>471.2166666666667</v>
      </c>
      <c r="AH5" s="9">
        <f t="shared" si="2"/>
        <v>6.1934079077505775</v>
      </c>
      <c r="AI5" s="9">
        <f t="shared" si="3"/>
        <v>38.358301511787388</v>
      </c>
      <c r="AJ5" s="9">
        <f t="shared" si="4"/>
        <v>1.9457143427355901</v>
      </c>
      <c r="AK5" s="9">
        <f t="shared" si="5"/>
        <v>3.7858043035269895</v>
      </c>
      <c r="AL5" s="9">
        <f t="shared" si="6"/>
        <v>1.0666469361065694</v>
      </c>
      <c r="AM5" s="9">
        <f t="shared" si="7"/>
        <v>1.1377356863055319</v>
      </c>
      <c r="AN5" s="9" t="s">
        <v>3425</v>
      </c>
    </row>
    <row r="6" spans="8:40" ht="23">
      <c r="M6" s="8" t="s">
        <v>411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411</v>
      </c>
      <c r="X6" s="8">
        <v>21.88</v>
      </c>
      <c r="Y6" s="8">
        <v>2.77</v>
      </c>
      <c r="Z6" s="9">
        <v>1.3</v>
      </c>
      <c r="AA6" s="8">
        <v>568.29999999999995</v>
      </c>
      <c r="AB6" s="8">
        <v>1551</v>
      </c>
      <c r="AC6" s="21" t="s">
        <v>411</v>
      </c>
      <c r="AD6" s="8" t="s">
        <v>4410</v>
      </c>
      <c r="AE6" s="8" t="s">
        <v>4083</v>
      </c>
      <c r="AF6" s="9">
        <f t="shared" si="0"/>
        <v>1574.1909999999998</v>
      </c>
      <c r="AG6" s="9">
        <f t="shared" si="1"/>
        <v>571.14149999999984</v>
      </c>
      <c r="AH6" s="9">
        <f t="shared" si="2"/>
        <v>4.3571598340859783</v>
      </c>
      <c r="AI6" s="9">
        <f t="shared" si="3"/>
        <v>18.98484181977215</v>
      </c>
      <c r="AJ6" s="9">
        <f t="shared" si="4"/>
        <v>2.0833453545685616</v>
      </c>
      <c r="AK6" s="9">
        <f t="shared" si="5"/>
        <v>4.3403278664024061</v>
      </c>
      <c r="AL6" s="9">
        <f t="shared" si="6"/>
        <v>1.2928369774519364</v>
      </c>
      <c r="AM6" s="9">
        <f t="shared" si="7"/>
        <v>1.6714274502670587</v>
      </c>
      <c r="AN6" s="8" t="s">
        <v>411</v>
      </c>
    </row>
    <row r="7" spans="8:40" ht="23">
      <c r="M7" s="8" t="s">
        <v>546</v>
      </c>
      <c r="N7" s="8" t="s">
        <v>150</v>
      </c>
      <c r="O7" s="8"/>
      <c r="P7" s="8" t="s">
        <v>4661</v>
      </c>
      <c r="Q7" s="8"/>
      <c r="R7" s="8"/>
      <c r="S7" s="8"/>
      <c r="T7" s="8"/>
      <c r="U7" s="8"/>
      <c r="V7" s="8"/>
      <c r="W7" s="8" t="s">
        <v>546</v>
      </c>
      <c r="X7" s="8">
        <v>26.91</v>
      </c>
      <c r="Y7" s="8">
        <v>10.7</v>
      </c>
      <c r="Z7" s="9">
        <v>4.3099999999999996</v>
      </c>
      <c r="AA7" s="8">
        <v>544.20000000000005</v>
      </c>
      <c r="AB7" s="8">
        <v>714</v>
      </c>
      <c r="AC7" s="21" t="s">
        <v>546</v>
      </c>
      <c r="AD7" s="8" t="s">
        <v>3723</v>
      </c>
      <c r="AE7" s="8" t="s">
        <v>4083</v>
      </c>
      <c r="AF7" s="9">
        <f t="shared" si="0"/>
        <v>5822.9400000000005</v>
      </c>
      <c r="AG7" s="9">
        <f t="shared" si="1"/>
        <v>2457.9700000000003</v>
      </c>
      <c r="AH7" s="9">
        <f t="shared" si="2"/>
        <v>4.1723849757339257</v>
      </c>
      <c r="AI7" s="9">
        <f t="shared" si="3"/>
        <v>17.408796385730192</v>
      </c>
      <c r="AJ7" s="9">
        <f t="shared" si="4"/>
        <v>7.7063043804287172</v>
      </c>
      <c r="AK7" s="9">
        <f t="shared" si="5"/>
        <v>59.387127203814835</v>
      </c>
      <c r="AL7" s="9">
        <f t="shared" si="6"/>
        <v>5.5638655315145851</v>
      </c>
      <c r="AM7" s="9">
        <f t="shared" si="7"/>
        <v>30.956599652776077</v>
      </c>
      <c r="AN7" s="8" t="s">
        <v>546</v>
      </c>
    </row>
    <row r="8" spans="8:40" ht="23">
      <c r="M8" s="8" t="s">
        <v>1214</v>
      </c>
      <c r="N8" s="8" t="s">
        <v>150</v>
      </c>
      <c r="O8" s="8"/>
      <c r="P8" s="8" t="s">
        <v>4662</v>
      </c>
      <c r="Q8" s="8"/>
      <c r="R8" s="8"/>
      <c r="S8" s="8"/>
      <c r="T8" s="8"/>
      <c r="U8" s="8"/>
      <c r="V8" s="8"/>
      <c r="W8" s="8" t="s">
        <v>1214</v>
      </c>
      <c r="X8" s="8">
        <v>22.05</v>
      </c>
      <c r="Y8" s="8">
        <v>2.56</v>
      </c>
      <c r="Z8" s="9">
        <v>2.09</v>
      </c>
      <c r="AA8" s="8">
        <v>517.4</v>
      </c>
      <c r="AB8" s="8">
        <v>2132</v>
      </c>
      <c r="AC8" s="21" t="s">
        <v>1214</v>
      </c>
      <c r="AD8" s="8" t="s">
        <v>3723</v>
      </c>
      <c r="AE8" s="8" t="s">
        <v>4083</v>
      </c>
      <c r="AF8" s="9">
        <f t="shared" si="0"/>
        <v>1324.5439999999999</v>
      </c>
      <c r="AG8" s="9">
        <f t="shared" si="1"/>
        <v>1112.4099999999999</v>
      </c>
      <c r="AH8" s="9">
        <f t="shared" si="2"/>
        <v>3.9669091996411847</v>
      </c>
      <c r="AI8" s="9">
        <f t="shared" si="3"/>
        <v>15.736368598197865</v>
      </c>
      <c r="AJ8" s="9">
        <f t="shared" si="4"/>
        <v>1.7529528432837318</v>
      </c>
      <c r="AK8" s="9">
        <f t="shared" si="5"/>
        <v>3.0728436707765194</v>
      </c>
      <c r="AL8" s="9">
        <f t="shared" si="6"/>
        <v>2.5180533757174164</v>
      </c>
      <c r="AM8" s="9">
        <f t="shared" si="7"/>
        <v>6.3405928029618766</v>
      </c>
      <c r="AN8" s="8" t="s">
        <v>1214</v>
      </c>
    </row>
    <row r="9" spans="8:40" ht="23">
      <c r="M9" s="8" t="s">
        <v>2666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2666</v>
      </c>
      <c r="X9" s="8">
        <v>25.81</v>
      </c>
      <c r="Y9" s="8">
        <v>3.67</v>
      </c>
      <c r="Z9" s="9">
        <v>1.32</v>
      </c>
      <c r="AA9" s="8">
        <v>369.9</v>
      </c>
      <c r="AB9" s="8">
        <v>1734</v>
      </c>
      <c r="AC9" s="21" t="s">
        <v>2666</v>
      </c>
      <c r="AD9" s="8" t="s">
        <v>3723</v>
      </c>
      <c r="AE9" s="8" t="s">
        <v>4083</v>
      </c>
      <c r="AF9" s="9">
        <f t="shared" si="0"/>
        <v>1357.5329999999999</v>
      </c>
      <c r="AG9" s="9">
        <f t="shared" si="1"/>
        <v>567.17999999999995</v>
      </c>
      <c r="AH9" s="9">
        <f t="shared" si="2"/>
        <v>2.8360257304740513</v>
      </c>
      <c r="AI9" s="9">
        <f t="shared" si="3"/>
        <v>8.0430419439108753</v>
      </c>
      <c r="AJ9" s="9">
        <f t="shared" si="4"/>
        <v>1.7966117638987411</v>
      </c>
      <c r="AK9" s="9">
        <f t="shared" si="5"/>
        <v>3.227813830179346</v>
      </c>
      <c r="AL9" s="9">
        <f t="shared" si="6"/>
        <v>1.2838697185744503</v>
      </c>
      <c r="AM9" s="9">
        <f t="shared" si="7"/>
        <v>1.6483214542724383</v>
      </c>
      <c r="AN9" s="8" t="s">
        <v>2666</v>
      </c>
    </row>
    <row r="10" spans="8:40" ht="23">
      <c r="M10" s="8" t="s">
        <v>1197</v>
      </c>
      <c r="N10" s="8" t="s">
        <v>150</v>
      </c>
      <c r="O10" s="8"/>
      <c r="P10" s="8" t="s">
        <v>3691</v>
      </c>
      <c r="Q10" s="8"/>
      <c r="R10" s="8"/>
      <c r="S10" s="8"/>
      <c r="T10" s="8"/>
      <c r="U10" s="8"/>
      <c r="V10" s="8"/>
      <c r="W10" s="8" t="s">
        <v>1197</v>
      </c>
      <c r="X10" s="8">
        <v>19.07</v>
      </c>
      <c r="Y10" s="8">
        <v>3.96</v>
      </c>
      <c r="Z10" s="9">
        <v>3.26</v>
      </c>
      <c r="AA10" s="8">
        <v>325.60000000000002</v>
      </c>
      <c r="AB10" s="8">
        <v>1564</v>
      </c>
      <c r="AC10" s="21" t="s">
        <v>1197</v>
      </c>
      <c r="AD10" s="8" t="s">
        <v>3723</v>
      </c>
      <c r="AE10" s="8" t="s">
        <v>4083</v>
      </c>
      <c r="AF10" s="9">
        <f t="shared" si="0"/>
        <v>1289.376</v>
      </c>
      <c r="AG10" s="9">
        <f t="shared" si="1"/>
        <v>1117.8933333333334</v>
      </c>
      <c r="AH10" s="9">
        <f t="shared" si="2"/>
        <v>2.4963773393953805</v>
      </c>
      <c r="AI10" s="9">
        <f t="shared" si="3"/>
        <v>6.2318998206467588</v>
      </c>
      <c r="AJ10" s="9">
        <f t="shared" si="4"/>
        <v>1.7064101496528656</v>
      </c>
      <c r="AK10" s="9">
        <f t="shared" si="5"/>
        <v>2.9118355988383153</v>
      </c>
      <c r="AL10" s="9">
        <f t="shared" si="6"/>
        <v>2.5304654594007565</v>
      </c>
      <c r="AM10" s="9">
        <f t="shared" si="7"/>
        <v>6.4032554412202813</v>
      </c>
      <c r="AN10" s="8" t="s">
        <v>1197</v>
      </c>
    </row>
    <row r="11" spans="8:40" ht="23">
      <c r="M11" s="9" t="s">
        <v>3451</v>
      </c>
      <c r="N11" s="8" t="s">
        <v>2003</v>
      </c>
      <c r="O11" s="8"/>
      <c r="P11" s="8"/>
      <c r="Q11" s="8"/>
      <c r="R11" s="8"/>
      <c r="S11" s="8"/>
      <c r="T11" s="8"/>
      <c r="U11" s="8"/>
      <c r="V11" s="8"/>
      <c r="W11" s="9" t="s">
        <v>3451</v>
      </c>
      <c r="X11" s="8">
        <v>18.16</v>
      </c>
      <c r="Y11" s="8">
        <v>4.78</v>
      </c>
      <c r="Z11" s="9">
        <v>5.38</v>
      </c>
      <c r="AA11" s="8">
        <v>267.10000000000002</v>
      </c>
      <c r="AB11" s="8">
        <v>67364</v>
      </c>
      <c r="AC11" s="22" t="s">
        <v>3451</v>
      </c>
      <c r="AD11" s="8" t="s">
        <v>3723</v>
      </c>
      <c r="AE11" s="8" t="s">
        <v>4083</v>
      </c>
      <c r="AF11" s="9">
        <f t="shared" si="0"/>
        <v>1276.7380000000003</v>
      </c>
      <c r="AG11" s="9">
        <f t="shared" si="1"/>
        <v>1504.6633333333334</v>
      </c>
      <c r="AH11" s="9">
        <f t="shared" si="2"/>
        <v>2.0478574550138395</v>
      </c>
      <c r="AI11" s="9">
        <f t="shared" si="3"/>
        <v>4.1937201560557602</v>
      </c>
      <c r="AJ11" s="9">
        <f t="shared" si="4"/>
        <v>1.6896845308486435</v>
      </c>
      <c r="AK11" s="9">
        <f t="shared" si="5"/>
        <v>2.8550338137892002</v>
      </c>
      <c r="AL11" s="9">
        <f t="shared" si="6"/>
        <v>3.4059587614442699</v>
      </c>
      <c r="AM11" s="9">
        <f t="shared" si="7"/>
        <v>11.600555084658986</v>
      </c>
      <c r="AN11" s="9" t="s">
        <v>3451</v>
      </c>
    </row>
    <row r="12" spans="8:40" ht="23">
      <c r="M12" s="8" t="s">
        <v>1737</v>
      </c>
      <c r="N12" s="8" t="s">
        <v>1717</v>
      </c>
      <c r="O12" s="8"/>
      <c r="P12" s="8"/>
      <c r="Q12" s="8"/>
      <c r="R12" s="8"/>
      <c r="S12" s="8"/>
      <c r="T12" s="8"/>
      <c r="U12" s="8"/>
      <c r="V12" s="8"/>
      <c r="W12" s="8" t="s">
        <v>1737</v>
      </c>
      <c r="X12" s="8">
        <v>31.49</v>
      </c>
      <c r="Y12" s="8">
        <v>1.81</v>
      </c>
      <c r="Z12" s="9">
        <v>0.2</v>
      </c>
      <c r="AA12" s="8">
        <v>227.4</v>
      </c>
      <c r="AB12" s="8">
        <v>5803</v>
      </c>
      <c r="AC12" s="21" t="s">
        <v>1737</v>
      </c>
      <c r="AD12" s="8" t="s">
        <v>3723</v>
      </c>
      <c r="AE12" s="8" t="s">
        <v>4083</v>
      </c>
      <c r="AF12" s="9">
        <f t="shared" si="0"/>
        <v>411.59399999999999</v>
      </c>
      <c r="AG12" s="9">
        <f t="shared" si="1"/>
        <v>0.75800000000000012</v>
      </c>
      <c r="AH12" s="9">
        <f t="shared" si="2"/>
        <v>1.7434772941600414</v>
      </c>
      <c r="AI12" s="9">
        <f t="shared" si="3"/>
        <v>3.0397130752516195</v>
      </c>
      <c r="AJ12" s="9">
        <f t="shared" si="4"/>
        <v>0.54471944501543501</v>
      </c>
      <c r="AK12" s="9">
        <f t="shared" si="5"/>
        <v>0.29671927377792351</v>
      </c>
      <c r="AL12" s="9">
        <f t="shared" si="6"/>
        <v>1.7158102307546696E-3</v>
      </c>
      <c r="AM12" s="9">
        <f t="shared" si="7"/>
        <v>2.9440047479623925E-6</v>
      </c>
      <c r="AN12" s="8" t="s">
        <v>1737</v>
      </c>
    </row>
    <row r="13" spans="8:40" ht="23">
      <c r="M13" s="9" t="s">
        <v>2658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9" t="s">
        <v>2658</v>
      </c>
      <c r="X13" s="8">
        <v>45.45</v>
      </c>
      <c r="Y13" s="8">
        <v>1.41</v>
      </c>
      <c r="Z13" s="9">
        <v>0.26</v>
      </c>
      <c r="AA13" s="8">
        <v>225.9</v>
      </c>
      <c r="AB13" s="8">
        <v>4841</v>
      </c>
      <c r="AC13" s="22" t="s">
        <v>2658</v>
      </c>
      <c r="AD13" s="8" t="s">
        <v>4409</v>
      </c>
      <c r="AE13" s="8" t="s">
        <v>4083</v>
      </c>
      <c r="AF13" s="9">
        <f t="shared" si="0"/>
        <v>318.51900000000001</v>
      </c>
      <c r="AG13" s="9">
        <f t="shared" si="1"/>
        <v>97.89</v>
      </c>
      <c r="AH13" s="9">
        <f t="shared" si="2"/>
        <v>1.7319767843041047</v>
      </c>
      <c r="AI13" s="9">
        <f t="shared" si="3"/>
        <v>2.9997435813683873</v>
      </c>
      <c r="AJ13" s="9">
        <f t="shared" si="4"/>
        <v>0.42154038423026419</v>
      </c>
      <c r="AK13" s="9">
        <f t="shared" si="5"/>
        <v>0.17769629553699876</v>
      </c>
      <c r="AL13" s="9">
        <f t="shared" si="6"/>
        <v>0.22158398877120661</v>
      </c>
      <c r="AM13" s="9">
        <f t="shared" si="7"/>
        <v>4.9099464079758216E-2</v>
      </c>
      <c r="AN13" s="9" t="s">
        <v>2658</v>
      </c>
    </row>
    <row r="14" spans="8:40" ht="23">
      <c r="M14" s="9" t="s">
        <v>4968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9" t="s">
        <v>4968</v>
      </c>
      <c r="X14" s="8">
        <v>25.59</v>
      </c>
      <c r="Y14" s="8">
        <v>2.83</v>
      </c>
      <c r="Z14" s="9">
        <v>0.23</v>
      </c>
      <c r="AA14" s="8">
        <v>171.4</v>
      </c>
      <c r="AB14" s="8">
        <v>5226</v>
      </c>
      <c r="AC14" s="22" t="s">
        <v>4968</v>
      </c>
      <c r="AD14" s="8" t="s">
        <v>4369</v>
      </c>
      <c r="AE14" s="8" t="s">
        <v>4083</v>
      </c>
      <c r="AF14" s="9">
        <f t="shared" si="0"/>
        <v>485.06200000000001</v>
      </c>
      <c r="AG14" s="9">
        <f t="shared" si="1"/>
        <v>65.703333333333333</v>
      </c>
      <c r="AH14" s="9">
        <f t="shared" si="2"/>
        <v>1.314124926205062</v>
      </c>
      <c r="AI14" s="9">
        <f t="shared" si="3"/>
        <v>1.7269243216734598</v>
      </c>
      <c r="AJ14" s="9">
        <f t="shared" si="4"/>
        <v>0.6419498424128558</v>
      </c>
      <c r="AK14" s="9">
        <f t="shared" si="5"/>
        <v>0.41209960017389041</v>
      </c>
      <c r="AL14" s="9">
        <f t="shared" si="6"/>
        <v>0.14872618935094672</v>
      </c>
      <c r="AM14" s="9">
        <f t="shared" si="7"/>
        <v>2.2119479398853659E-2</v>
      </c>
      <c r="AN14" s="9" t="s">
        <v>4968</v>
      </c>
    </row>
    <row r="15" spans="8:40" ht="23">
      <c r="M15" s="8" t="s">
        <v>794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794</v>
      </c>
      <c r="X15" s="8">
        <v>7.97</v>
      </c>
      <c r="Y15" s="8">
        <v>5.23</v>
      </c>
      <c r="Z15" s="9">
        <v>3.06</v>
      </c>
      <c r="AA15" s="8">
        <v>155.5</v>
      </c>
      <c r="AB15" s="8">
        <v>5802</v>
      </c>
      <c r="AC15" s="21" t="s">
        <v>794</v>
      </c>
      <c r="AD15" s="8" t="s">
        <v>3723</v>
      </c>
      <c r="AE15" s="8" t="s">
        <v>4083</v>
      </c>
      <c r="AF15" s="9">
        <f t="shared" si="0"/>
        <v>813.2650000000001</v>
      </c>
      <c r="AG15" s="9">
        <f t="shared" si="1"/>
        <v>482.05</v>
      </c>
      <c r="AH15" s="9">
        <f t="shared" si="2"/>
        <v>1.1922195217321303</v>
      </c>
      <c r="AI15" s="9">
        <f t="shared" si="3"/>
        <v>1.4213873879991896</v>
      </c>
      <c r="AJ15" s="9">
        <f t="shared" si="4"/>
        <v>1.0763064074074884</v>
      </c>
      <c r="AK15" s="9">
        <f t="shared" si="5"/>
        <v>1.1584354826264145</v>
      </c>
      <c r="AL15" s="9">
        <f t="shared" si="6"/>
        <v>1.0911692898882432</v>
      </c>
      <c r="AM15" s="9">
        <f t="shared" si="7"/>
        <v>1.190650419195213</v>
      </c>
      <c r="AN15" s="8" t="s">
        <v>794</v>
      </c>
    </row>
    <row r="16" spans="8:40" ht="23">
      <c r="M16" s="9" t="s">
        <v>2451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9" t="s">
        <v>2451</v>
      </c>
      <c r="X16" s="8">
        <v>31.61</v>
      </c>
      <c r="Y16" s="8">
        <v>1.5</v>
      </c>
      <c r="Z16" s="9">
        <v>0.39</v>
      </c>
      <c r="AA16" s="8">
        <v>147.80000000000001</v>
      </c>
      <c r="AB16" s="8">
        <v>6556</v>
      </c>
      <c r="AC16" s="22" t="s">
        <v>2451</v>
      </c>
      <c r="AD16" s="8" t="s">
        <v>3723</v>
      </c>
      <c r="AE16" s="8" t="s">
        <v>4083</v>
      </c>
      <c r="AF16" s="9">
        <f t="shared" si="0"/>
        <v>221.70000000000002</v>
      </c>
      <c r="AG16" s="9">
        <f t="shared" si="1"/>
        <v>96.070000000000007</v>
      </c>
      <c r="AH16" s="9">
        <f t="shared" si="2"/>
        <v>1.1331835711383207</v>
      </c>
      <c r="AI16" s="9">
        <f t="shared" si="3"/>
        <v>1.2841050058977974</v>
      </c>
      <c r="AJ16" s="9">
        <f t="shared" si="4"/>
        <v>0.29340636880013304</v>
      </c>
      <c r="AK16" s="9">
        <f t="shared" si="5"/>
        <v>8.6087297252479683E-2</v>
      </c>
      <c r="AL16" s="9">
        <f t="shared" si="6"/>
        <v>0.21746423333588535</v>
      </c>
      <c r="AM16" s="9">
        <f t="shared" si="7"/>
        <v>4.7290692780364393E-2</v>
      </c>
      <c r="AN16" s="9" t="s">
        <v>2451</v>
      </c>
    </row>
    <row r="17" spans="13:40" ht="23">
      <c r="M17" s="8" t="s">
        <v>1209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1209</v>
      </c>
      <c r="X17" s="8">
        <v>16.850000000000001</v>
      </c>
      <c r="Y17" s="8">
        <v>2.98</v>
      </c>
      <c r="Z17" s="9">
        <v>0.45</v>
      </c>
      <c r="AA17" s="8">
        <v>145.19999999999999</v>
      </c>
      <c r="AB17" s="8">
        <v>4995</v>
      </c>
      <c r="AC17" s="21" t="s">
        <v>1209</v>
      </c>
      <c r="AD17" s="8" t="s">
        <v>4410</v>
      </c>
      <c r="AE17" s="8" t="s">
        <v>4083</v>
      </c>
      <c r="AF17" s="9">
        <f t="shared" si="0"/>
        <v>432.69599999999997</v>
      </c>
      <c r="AG17" s="9">
        <f t="shared" si="1"/>
        <v>108.89999999999999</v>
      </c>
      <c r="AH17" s="9">
        <f t="shared" si="2"/>
        <v>1.1132493540546966</v>
      </c>
      <c r="AI17" s="9">
        <f t="shared" si="3"/>
        <v>1.2393241243031992</v>
      </c>
      <c r="AJ17" s="9">
        <f t="shared" si="4"/>
        <v>0.57264664932044362</v>
      </c>
      <c r="AK17" s="9">
        <f t="shared" si="5"/>
        <v>0.32792418497793113</v>
      </c>
      <c r="AL17" s="9">
        <f t="shared" si="6"/>
        <v>0.24650624555301251</v>
      </c>
      <c r="AM17" s="9">
        <f t="shared" si="7"/>
        <v>6.0765329096642097E-2</v>
      </c>
      <c r="AN17" s="8" t="s">
        <v>1209</v>
      </c>
    </row>
    <row r="18" spans="13:40" ht="23">
      <c r="M18" s="8" t="s">
        <v>1213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1213</v>
      </c>
      <c r="X18" s="8">
        <v>30.52</v>
      </c>
      <c r="Y18" s="8">
        <v>1.91</v>
      </c>
      <c r="Z18" s="9">
        <v>0.15</v>
      </c>
      <c r="AA18" s="8">
        <v>142.6</v>
      </c>
      <c r="AB18" s="8">
        <v>7899</v>
      </c>
      <c r="AC18" s="21" t="s">
        <v>1213</v>
      </c>
      <c r="AD18" s="8" t="s">
        <v>3723</v>
      </c>
      <c r="AE18" s="8" t="s">
        <v>4083</v>
      </c>
      <c r="AF18" s="9">
        <f t="shared" si="0"/>
        <v>272.36599999999999</v>
      </c>
      <c r="AG18" s="9">
        <f t="shared" si="1"/>
        <v>35.65</v>
      </c>
      <c r="AH18" s="9">
        <f t="shared" si="2"/>
        <v>1.0933151369710725</v>
      </c>
      <c r="AI18" s="9">
        <f t="shared" si="3"/>
        <v>1.195337988730075</v>
      </c>
      <c r="AJ18" s="9">
        <f t="shared" si="4"/>
        <v>0.36045971603345522</v>
      </c>
      <c r="AK18" s="9">
        <f t="shared" si="5"/>
        <v>0.12993120688291918</v>
      </c>
      <c r="AL18" s="9">
        <f t="shared" si="6"/>
        <v>8.0697407290770393E-2</v>
      </c>
      <c r="AM18" s="9">
        <f t="shared" si="7"/>
        <v>6.5120715434524822E-3</v>
      </c>
      <c r="AN18" s="8" t="s">
        <v>1213</v>
      </c>
    </row>
    <row r="19" spans="13:40" ht="23">
      <c r="M19" s="8" t="s">
        <v>1834</v>
      </c>
      <c r="N19" s="8" t="s">
        <v>1814</v>
      </c>
      <c r="O19" s="8"/>
      <c r="P19" s="8" t="s">
        <v>3693</v>
      </c>
      <c r="Q19" s="8"/>
      <c r="R19" s="8"/>
      <c r="S19" s="8"/>
      <c r="T19" s="8"/>
      <c r="U19" s="8"/>
      <c r="V19" s="8"/>
      <c r="W19" s="8" t="s">
        <v>1834</v>
      </c>
      <c r="X19" s="8">
        <v>4.54</v>
      </c>
      <c r="Y19" s="8">
        <v>12.94</v>
      </c>
      <c r="Z19" s="9">
        <v>6.26</v>
      </c>
      <c r="AA19" s="8">
        <v>141.5</v>
      </c>
      <c r="AB19" s="8">
        <v>3647</v>
      </c>
      <c r="AC19" s="21" t="s">
        <v>1834</v>
      </c>
      <c r="AD19" s="8" t="s">
        <v>3723</v>
      </c>
      <c r="AE19" s="8" t="s">
        <v>4083</v>
      </c>
      <c r="AF19" s="9">
        <f t="shared" si="0"/>
        <v>1831.01</v>
      </c>
      <c r="AG19" s="9">
        <f t="shared" si="1"/>
        <v>910.31666666666672</v>
      </c>
      <c r="AH19" s="9">
        <f t="shared" si="2"/>
        <v>1.0848814297433855</v>
      </c>
      <c r="AI19" s="9">
        <f t="shared" si="3"/>
        <v>1.1769677166020522</v>
      </c>
      <c r="AJ19" s="9">
        <f t="shared" si="4"/>
        <v>2.4232295685012701</v>
      </c>
      <c r="AK19" s="9">
        <f t="shared" si="5"/>
        <v>5.8720415416588523</v>
      </c>
      <c r="AL19" s="9">
        <f t="shared" si="6"/>
        <v>2.0605945249250066</v>
      </c>
      <c r="AM19" s="9">
        <f t="shared" si="7"/>
        <v>4.2460497961509134</v>
      </c>
      <c r="AN19" s="8" t="s">
        <v>1834</v>
      </c>
    </row>
    <row r="20" spans="13:40" ht="23">
      <c r="M20" s="9" t="s">
        <v>2524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9" t="s">
        <v>2524</v>
      </c>
      <c r="X20" s="8">
        <v>5.32</v>
      </c>
      <c r="Y20" s="8">
        <v>3.11</v>
      </c>
      <c r="Z20" s="9">
        <v>0.16</v>
      </c>
      <c r="AA20" s="8">
        <v>137.4</v>
      </c>
      <c r="AB20" s="8">
        <v>10930</v>
      </c>
      <c r="AC20" s="22" t="s">
        <v>2524</v>
      </c>
      <c r="AD20" s="8" t="s">
        <v>3723</v>
      </c>
      <c r="AE20" s="8" t="s">
        <v>4083</v>
      </c>
      <c r="AF20" s="9">
        <f t="shared" si="0"/>
        <v>427.31400000000002</v>
      </c>
      <c r="AG20" s="9">
        <f t="shared" si="1"/>
        <v>36.64</v>
      </c>
      <c r="AH20" s="9">
        <f t="shared" si="2"/>
        <v>1.0534467028038246</v>
      </c>
      <c r="AI20" s="9">
        <f t="shared" si="3"/>
        <v>1.1097499556482495</v>
      </c>
      <c r="AJ20" s="9">
        <f t="shared" si="4"/>
        <v>0.56552390201831326</v>
      </c>
      <c r="AK20" s="9">
        <f t="shared" si="5"/>
        <v>0.3198172837540188</v>
      </c>
      <c r="AL20" s="9">
        <f t="shared" si="6"/>
        <v>8.2938373159434156E-2</v>
      </c>
      <c r="AM20" s="9">
        <f t="shared" si="7"/>
        <v>6.8787737423335483E-3</v>
      </c>
      <c r="AN20" s="9" t="s">
        <v>2524</v>
      </c>
    </row>
    <row r="21" spans="13:40" ht="23">
      <c r="M21" s="9" t="s">
        <v>2371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9" t="s">
        <v>2371</v>
      </c>
      <c r="X21" s="8">
        <v>9.11</v>
      </c>
      <c r="Y21" s="8">
        <v>3.84</v>
      </c>
      <c r="Z21" s="9">
        <v>5.07</v>
      </c>
      <c r="AA21" s="8">
        <v>135.1</v>
      </c>
      <c r="AB21" s="8">
        <v>10711</v>
      </c>
      <c r="AC21" s="22" t="s">
        <v>2371</v>
      </c>
      <c r="AD21" s="8" t="s">
        <v>3723</v>
      </c>
      <c r="AE21" s="8" t="s">
        <v>4083</v>
      </c>
      <c r="AF21" s="9">
        <f t="shared" si="0"/>
        <v>518.78399999999999</v>
      </c>
      <c r="AG21" s="9">
        <f t="shared" si="1"/>
        <v>691.26166666666654</v>
      </c>
      <c r="AH21" s="9">
        <f t="shared" si="2"/>
        <v>1.0358125876913877</v>
      </c>
      <c r="AI21" s="9">
        <f t="shared" si="3"/>
        <v>1.0729077168199288</v>
      </c>
      <c r="AJ21" s="9">
        <f t="shared" si="4"/>
        <v>0.68657884362475508</v>
      </c>
      <c r="AK21" s="9">
        <f t="shared" si="5"/>
        <v>0.47139050851310588</v>
      </c>
      <c r="AL21" s="9">
        <f t="shared" si="6"/>
        <v>1.5647412134501195</v>
      </c>
      <c r="AM21" s="9">
        <f t="shared" si="7"/>
        <v>2.4484150650693524</v>
      </c>
      <c r="AN21" s="9" t="s">
        <v>2371</v>
      </c>
    </row>
    <row r="22" spans="13:40" ht="23">
      <c r="M22" s="8" t="s">
        <v>831</v>
      </c>
      <c r="N22" s="8" t="s">
        <v>150</v>
      </c>
      <c r="O22" s="8"/>
      <c r="P22" s="8" t="s">
        <v>3693</v>
      </c>
      <c r="Q22" s="8"/>
      <c r="R22" s="8"/>
      <c r="S22" s="8"/>
      <c r="T22" s="8"/>
      <c r="U22" s="8"/>
      <c r="V22" s="8"/>
      <c r="W22" s="8" t="s">
        <v>831</v>
      </c>
      <c r="X22" s="8">
        <v>9.34</v>
      </c>
      <c r="Y22" s="8">
        <v>5.39</v>
      </c>
      <c r="Z22" s="9">
        <v>1.41</v>
      </c>
      <c r="AA22" s="8">
        <v>130.9</v>
      </c>
      <c r="AB22" s="8">
        <v>4354</v>
      </c>
      <c r="AC22" s="21" t="s">
        <v>831</v>
      </c>
      <c r="AD22" s="8" t="s">
        <v>3723</v>
      </c>
      <c r="AE22" s="8" t="s">
        <v>4083</v>
      </c>
      <c r="AF22" s="9">
        <f t="shared" si="0"/>
        <v>705.55100000000004</v>
      </c>
      <c r="AG22" s="9">
        <f t="shared" si="1"/>
        <v>220.34833333333336</v>
      </c>
      <c r="AH22" s="9">
        <f t="shared" si="2"/>
        <v>1.0036111600947644</v>
      </c>
      <c r="AI22" s="9">
        <f t="shared" si="3"/>
        <v>1.0072353606667588</v>
      </c>
      <c r="AJ22" s="9">
        <f t="shared" si="4"/>
        <v>0.93375352689807245</v>
      </c>
      <c r="AK22" s="9">
        <f t="shared" si="5"/>
        <v>0.87189564899458927</v>
      </c>
      <c r="AL22" s="9">
        <f t="shared" si="6"/>
        <v>0.49878090324943736</v>
      </c>
      <c r="AM22" s="9">
        <f t="shared" si="7"/>
        <v>0.24878238944632458</v>
      </c>
      <c r="AN22" s="8" t="s">
        <v>831</v>
      </c>
    </row>
    <row r="23" spans="13:40" ht="23">
      <c r="M23" s="9" t="s">
        <v>3182</v>
      </c>
      <c r="N23" s="8" t="s">
        <v>1869</v>
      </c>
      <c r="O23" s="8"/>
      <c r="P23" s="8"/>
      <c r="Q23" s="8"/>
      <c r="R23" s="8"/>
      <c r="S23" s="8"/>
      <c r="T23" s="8"/>
      <c r="U23" s="8"/>
      <c r="V23" s="8"/>
      <c r="W23" s="9" t="s">
        <v>3182</v>
      </c>
      <c r="X23" s="8">
        <v>29.7</v>
      </c>
      <c r="Y23" s="8">
        <v>1.3</v>
      </c>
      <c r="Z23" s="9">
        <v>2.16</v>
      </c>
      <c r="AA23" s="8">
        <v>124.8</v>
      </c>
      <c r="AB23" s="8">
        <v>35138</v>
      </c>
      <c r="AC23" s="22" t="s">
        <v>3182</v>
      </c>
      <c r="AD23" s="8" t="s">
        <v>4410</v>
      </c>
      <c r="AE23" s="8" t="s">
        <v>4083</v>
      </c>
      <c r="AF23" s="9">
        <f t="shared" si="0"/>
        <v>162.24</v>
      </c>
      <c r="AG23" s="9">
        <f t="shared" si="1"/>
        <v>282.88</v>
      </c>
      <c r="AH23" s="9">
        <f t="shared" si="2"/>
        <v>0.95684242001395414</v>
      </c>
      <c r="AI23" s="9">
        <f t="shared" si="3"/>
        <v>0.9155474167381602</v>
      </c>
      <c r="AJ23" s="9">
        <f t="shared" si="4"/>
        <v>0.21471470128161291</v>
      </c>
      <c r="AK23" s="9">
        <f t="shared" si="5"/>
        <v>4.6102402946452264E-2</v>
      </c>
      <c r="AL23" s="9">
        <f t="shared" si="6"/>
        <v>0.64032770194707245</v>
      </c>
      <c r="AM23" s="9">
        <f t="shared" si="7"/>
        <v>0.41001956588081884</v>
      </c>
      <c r="AN23" s="9" t="s">
        <v>3182</v>
      </c>
    </row>
    <row r="24" spans="13:40" ht="23">
      <c r="M24" s="9" t="s">
        <v>3253</v>
      </c>
      <c r="N24" s="8" t="s">
        <v>1902</v>
      </c>
      <c r="O24" s="8"/>
      <c r="P24" s="8" t="s">
        <v>3691</v>
      </c>
      <c r="Q24" s="8"/>
      <c r="R24" s="8"/>
      <c r="S24" s="8"/>
      <c r="T24" s="8"/>
      <c r="U24" s="8"/>
      <c r="V24" s="8"/>
      <c r="W24" s="9" t="s">
        <v>3253</v>
      </c>
      <c r="X24" s="8">
        <v>15.28</v>
      </c>
      <c r="Y24" s="8">
        <v>2.27</v>
      </c>
      <c r="Z24" s="9">
        <v>0.38</v>
      </c>
      <c r="AA24" s="8">
        <v>121.2</v>
      </c>
      <c r="AB24" s="8">
        <v>6732</v>
      </c>
      <c r="AC24" s="22" t="s">
        <v>3253</v>
      </c>
      <c r="AD24" s="8" t="s">
        <v>3723</v>
      </c>
      <c r="AE24" s="8" t="s">
        <v>4083</v>
      </c>
      <c r="AF24" s="9">
        <f t="shared" si="0"/>
        <v>275.12400000000002</v>
      </c>
      <c r="AG24" s="9">
        <f t="shared" si="1"/>
        <v>76.760000000000005</v>
      </c>
      <c r="AH24" s="9">
        <f t="shared" si="2"/>
        <v>0.92924119635970548</v>
      </c>
      <c r="AI24" s="9">
        <f t="shared" si="3"/>
        <v>0.86348920101201676</v>
      </c>
      <c r="AJ24" s="9">
        <f t="shared" si="4"/>
        <v>0.36410976008014345</v>
      </c>
      <c r="AK24" s="9">
        <f t="shared" si="5"/>
        <v>0.13257591738561963</v>
      </c>
      <c r="AL24" s="9">
        <f t="shared" si="6"/>
        <v>0.17375408088750455</v>
      </c>
      <c r="AM24" s="9">
        <f t="shared" si="7"/>
        <v>3.0190480625061474E-2</v>
      </c>
      <c r="AN24" s="9" t="s">
        <v>3253</v>
      </c>
    </row>
    <row r="25" spans="13:40" ht="23">
      <c r="M25" s="9" t="s">
        <v>2321</v>
      </c>
      <c r="N25" s="8" t="s">
        <v>150</v>
      </c>
      <c r="O25" s="8"/>
      <c r="P25" s="8" t="s">
        <v>3693</v>
      </c>
      <c r="Q25" s="8"/>
      <c r="R25" s="8"/>
      <c r="S25" s="8"/>
      <c r="T25" s="8"/>
      <c r="U25" s="8"/>
      <c r="V25" s="8"/>
      <c r="W25" s="9" t="s">
        <v>2321</v>
      </c>
      <c r="X25" s="8">
        <v>26.68</v>
      </c>
      <c r="Y25" s="8">
        <v>1.69</v>
      </c>
      <c r="Z25" s="9">
        <v>1.4</v>
      </c>
      <c r="AA25" s="8">
        <v>120.6</v>
      </c>
      <c r="AB25" s="8">
        <v>6236</v>
      </c>
      <c r="AC25" s="22" t="s">
        <v>2321</v>
      </c>
      <c r="AD25" s="8" t="s">
        <v>3723</v>
      </c>
      <c r="AE25" s="8" t="s">
        <v>4083</v>
      </c>
      <c r="AF25" s="9">
        <f t="shared" si="0"/>
        <v>203.81399999999999</v>
      </c>
      <c r="AG25" s="9">
        <f t="shared" si="1"/>
        <v>121.40399999999998</v>
      </c>
      <c r="AH25" s="9">
        <f t="shared" si="2"/>
        <v>0.92464099241733066</v>
      </c>
      <c r="AI25" s="9">
        <f t="shared" si="3"/>
        <v>0.85496096485850614</v>
      </c>
      <c r="AJ25" s="9">
        <f t="shared" si="4"/>
        <v>0.2697353434850262</v>
      </c>
      <c r="AK25" s="9">
        <f t="shared" si="5"/>
        <v>7.2757155524985073E-2</v>
      </c>
      <c r="AL25" s="9">
        <f t="shared" si="6"/>
        <v>0.27481032355480189</v>
      </c>
      <c r="AM25" s="9">
        <f t="shared" si="7"/>
        <v>7.5520713932294911E-2</v>
      </c>
      <c r="AN25" s="9" t="s">
        <v>2321</v>
      </c>
    </row>
    <row r="26" spans="13:40" ht="23">
      <c r="M26" s="9" t="s">
        <v>2169</v>
      </c>
      <c r="N26" s="8" t="s">
        <v>150</v>
      </c>
      <c r="O26" s="8"/>
      <c r="P26" s="8" t="s">
        <v>3691</v>
      </c>
      <c r="Q26" s="8"/>
      <c r="R26" s="8"/>
      <c r="S26" s="8"/>
      <c r="T26" s="8"/>
      <c r="U26" s="8"/>
      <c r="V26" s="8"/>
      <c r="W26" s="9" t="s">
        <v>2169</v>
      </c>
      <c r="X26" s="8">
        <v>11.39</v>
      </c>
      <c r="Y26" s="8">
        <v>3.06</v>
      </c>
      <c r="Z26" s="9">
        <v>0.26</v>
      </c>
      <c r="AA26" s="8">
        <v>119</v>
      </c>
      <c r="AB26" s="8">
        <v>6952</v>
      </c>
      <c r="AC26" s="22" t="s">
        <v>2169</v>
      </c>
      <c r="AD26" s="8" t="s">
        <v>4410</v>
      </c>
      <c r="AE26" s="8" t="s">
        <v>4083</v>
      </c>
      <c r="AF26" s="9">
        <f t="shared" si="0"/>
        <v>364.14</v>
      </c>
      <c r="AG26" s="9">
        <f t="shared" si="1"/>
        <v>51.56666666666667</v>
      </c>
      <c r="AH26" s="9">
        <f t="shared" si="2"/>
        <v>0.91237378190433116</v>
      </c>
      <c r="AI26" s="9">
        <f t="shared" si="3"/>
        <v>0.83242591790641207</v>
      </c>
      <c r="AJ26" s="9">
        <f t="shared" si="4"/>
        <v>0.48191698301705199</v>
      </c>
      <c r="AK26" s="9">
        <f t="shared" si="5"/>
        <v>0.23224397852025758</v>
      </c>
      <c r="AL26" s="9">
        <f t="shared" si="6"/>
        <v>0.11672640400076842</v>
      </c>
      <c r="AM26" s="9">
        <f t="shared" si="7"/>
        <v>1.3625053390950605E-2</v>
      </c>
      <c r="AN26" s="9" t="s">
        <v>2169</v>
      </c>
    </row>
    <row r="27" spans="13:40" ht="23">
      <c r="M27" s="8" t="s">
        <v>1269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1269</v>
      </c>
      <c r="X27" s="8">
        <v>14.75</v>
      </c>
      <c r="Y27" s="8">
        <v>2.2999999999999998</v>
      </c>
      <c r="Z27" s="9">
        <v>0.17</v>
      </c>
      <c r="AA27" s="8">
        <v>115.5</v>
      </c>
      <c r="AB27" s="8">
        <v>15196</v>
      </c>
      <c r="AC27" s="21" t="s">
        <v>1269</v>
      </c>
      <c r="AD27" s="8" t="s">
        <v>4410</v>
      </c>
      <c r="AE27" s="8" t="s">
        <v>4083</v>
      </c>
      <c r="AF27" s="9">
        <f t="shared" si="0"/>
        <v>265.64999999999998</v>
      </c>
      <c r="AG27" s="9">
        <f t="shared" si="1"/>
        <v>32.725000000000001</v>
      </c>
      <c r="AH27" s="9">
        <f t="shared" si="2"/>
        <v>0.88553925890714502</v>
      </c>
      <c r="AI27" s="9">
        <f t="shared" si="3"/>
        <v>0.7841797790658156</v>
      </c>
      <c r="AJ27" s="9">
        <f t="shared" si="4"/>
        <v>0.35157150145130955</v>
      </c>
      <c r="AK27" s="9">
        <f t="shared" si="5"/>
        <v>0.12360252063272816</v>
      </c>
      <c r="AL27" s="9">
        <f t="shared" si="6"/>
        <v>7.4076371769718416E-2</v>
      </c>
      <c r="AM27" s="9">
        <f t="shared" si="7"/>
        <v>5.4873088545655353E-3</v>
      </c>
      <c r="AN27" s="8" t="s">
        <v>1269</v>
      </c>
    </row>
    <row r="28" spans="13:40" ht="23">
      <c r="M28" s="8" t="s">
        <v>725</v>
      </c>
      <c r="N28" s="8" t="s">
        <v>150</v>
      </c>
      <c r="O28" s="8"/>
      <c r="P28" s="8" t="s">
        <v>3692</v>
      </c>
      <c r="Q28" s="8"/>
      <c r="R28" s="8"/>
      <c r="S28" s="8"/>
      <c r="T28" s="8"/>
      <c r="U28" s="8"/>
      <c r="V28" s="8"/>
      <c r="W28" s="8" t="s">
        <v>725</v>
      </c>
      <c r="X28" s="8">
        <v>14.84</v>
      </c>
      <c r="Y28" s="8">
        <v>3.24</v>
      </c>
      <c r="Z28" s="9">
        <v>2.2000000000000002</v>
      </c>
      <c r="AA28" s="8">
        <v>99</v>
      </c>
      <c r="AB28" s="8">
        <v>5155</v>
      </c>
      <c r="AC28" s="21" t="s">
        <v>725</v>
      </c>
      <c r="AD28" s="8" t="s">
        <v>4369</v>
      </c>
      <c r="AE28" s="8" t="s">
        <v>4083</v>
      </c>
      <c r="AF28" s="9">
        <f t="shared" si="0"/>
        <v>320.76000000000005</v>
      </c>
      <c r="AG28" s="9">
        <f t="shared" si="1"/>
        <v>198.33</v>
      </c>
      <c r="AH28" s="9">
        <f t="shared" si="2"/>
        <v>0.75903365049183857</v>
      </c>
      <c r="AI28" s="9">
        <f t="shared" si="3"/>
        <v>0.57613208257896653</v>
      </c>
      <c r="AJ28" s="9">
        <f t="shared" si="4"/>
        <v>0.42450621044804093</v>
      </c>
      <c r="AK28" s="9">
        <f t="shared" si="5"/>
        <v>0.18020552270895643</v>
      </c>
      <c r="AL28" s="9">
        <f t="shared" si="6"/>
        <v>0.44894016235563799</v>
      </c>
      <c r="AM28" s="9">
        <f t="shared" si="7"/>
        <v>0.20154726937590661</v>
      </c>
      <c r="AN28" s="8" t="s">
        <v>725</v>
      </c>
    </row>
    <row r="29" spans="13:40" ht="23">
      <c r="M29" s="8" t="s">
        <v>2115</v>
      </c>
      <c r="N29" s="8" t="s">
        <v>2107</v>
      </c>
      <c r="O29" s="8"/>
      <c r="P29" s="8"/>
      <c r="Q29" s="8"/>
      <c r="R29" s="8"/>
      <c r="S29" s="8"/>
      <c r="T29" s="8"/>
      <c r="U29" s="8"/>
      <c r="V29" s="8"/>
      <c r="W29" s="8" t="s">
        <v>2115</v>
      </c>
      <c r="X29" s="8">
        <v>2.25</v>
      </c>
      <c r="Y29" s="8">
        <v>8.4499999999999993</v>
      </c>
      <c r="Z29" s="9">
        <v>2.5099999999999998</v>
      </c>
      <c r="AA29" s="8">
        <v>96.1</v>
      </c>
      <c r="AB29" s="8">
        <v>3898</v>
      </c>
      <c r="AC29" s="21" t="s">
        <v>2115</v>
      </c>
      <c r="AD29" s="8" t="s">
        <v>4409</v>
      </c>
      <c r="AE29" s="8" t="s">
        <v>4083</v>
      </c>
      <c r="AF29" s="9">
        <f t="shared" si="0"/>
        <v>812.04499999999985</v>
      </c>
      <c r="AG29" s="9">
        <f t="shared" si="1"/>
        <v>273.88499999999999</v>
      </c>
      <c r="AH29" s="9">
        <f t="shared" si="2"/>
        <v>0.73679933143702714</v>
      </c>
      <c r="AI29" s="9">
        <f t="shared" si="3"/>
        <v>0.5428732548060502</v>
      </c>
      <c r="AJ29" s="9">
        <f t="shared" si="4"/>
        <v>1.074691812143906</v>
      </c>
      <c r="AK29" s="9">
        <f t="shared" si="5"/>
        <v>1.1549624910891525</v>
      </c>
      <c r="AL29" s="9">
        <f t="shared" si="6"/>
        <v>0.6199666029686578</v>
      </c>
      <c r="AM29" s="9">
        <f t="shared" si="7"/>
        <v>0.38435858879649737</v>
      </c>
      <c r="AN29" s="8" t="s">
        <v>2115</v>
      </c>
    </row>
    <row r="30" spans="13:40" ht="23">
      <c r="M30" s="9" t="s">
        <v>2898</v>
      </c>
      <c r="N30" s="8" t="s">
        <v>1717</v>
      </c>
      <c r="O30" s="8"/>
      <c r="P30" s="8"/>
      <c r="Q30" s="8"/>
      <c r="R30" s="8"/>
      <c r="S30" s="8"/>
      <c r="T30" s="8"/>
      <c r="U30" s="8"/>
      <c r="V30" s="8"/>
      <c r="W30" s="9" t="s">
        <v>2898</v>
      </c>
      <c r="X30" s="8">
        <v>20.78</v>
      </c>
      <c r="Y30" s="8">
        <v>1.07</v>
      </c>
      <c r="Z30" s="9">
        <v>7.0000000000000007E-2</v>
      </c>
      <c r="AA30" s="8">
        <v>89.2</v>
      </c>
      <c r="AB30" s="8">
        <v>28442</v>
      </c>
      <c r="AC30" s="22" t="s">
        <v>2898</v>
      </c>
      <c r="AD30" s="8" t="s">
        <v>4369</v>
      </c>
      <c r="AE30" s="8" t="s">
        <v>4083</v>
      </c>
      <c r="AF30" s="9">
        <f t="shared" si="0"/>
        <v>95.444000000000003</v>
      </c>
      <c r="AG30" s="9">
        <f t="shared" si="1"/>
        <v>10.406666666666666</v>
      </c>
      <c r="AH30" s="9">
        <f t="shared" si="2"/>
        <v>0.68389698609971727</v>
      </c>
      <c r="AI30" s="9">
        <f t="shared" si="3"/>
        <v>0.46771508759627689</v>
      </c>
      <c r="AJ30" s="9">
        <f t="shared" si="4"/>
        <v>0.12631428716174964</v>
      </c>
      <c r="AK30" s="9">
        <f t="shared" si="5"/>
        <v>1.5955299141180948E-2</v>
      </c>
      <c r="AL30" s="9">
        <f t="shared" si="6"/>
        <v>2.3556550309657334E-2</v>
      </c>
      <c r="AM30" s="9">
        <f t="shared" si="7"/>
        <v>5.5491106249141704E-4</v>
      </c>
      <c r="AN30" s="9" t="s">
        <v>2898</v>
      </c>
    </row>
    <row r="31" spans="13:40" ht="23">
      <c r="M31" s="8" t="s">
        <v>1366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8" t="s">
        <v>1366</v>
      </c>
      <c r="X31" s="8">
        <v>7.73</v>
      </c>
      <c r="Y31" s="8">
        <v>13.31</v>
      </c>
      <c r="Z31" s="9">
        <v>4.5199999999999996</v>
      </c>
      <c r="AA31" s="8">
        <v>89.1</v>
      </c>
      <c r="AB31" s="8">
        <v>41523</v>
      </c>
      <c r="AC31" s="21" t="s">
        <v>1366</v>
      </c>
      <c r="AD31" s="8" t="s">
        <v>3723</v>
      </c>
      <c r="AE31" s="8" t="s">
        <v>4083</v>
      </c>
      <c r="AF31" s="9">
        <f t="shared" si="0"/>
        <v>1185.921</v>
      </c>
      <c r="AG31" s="9">
        <f t="shared" si="1"/>
        <v>433.62</v>
      </c>
      <c r="AH31" s="9">
        <f t="shared" si="2"/>
        <v>0.68313028544265464</v>
      </c>
      <c r="AI31" s="9">
        <f t="shared" si="3"/>
        <v>0.4666669868889628</v>
      </c>
      <c r="AJ31" s="9">
        <f t="shared" si="4"/>
        <v>1.5694937947398402</v>
      </c>
      <c r="AK31" s="9">
        <f t="shared" si="5"/>
        <v>2.4633107717268636</v>
      </c>
      <c r="AL31" s="9">
        <f t="shared" si="6"/>
        <v>0.98154305047472268</v>
      </c>
      <c r="AM31" s="9">
        <f t="shared" si="7"/>
        <v>0.96342675993522398</v>
      </c>
      <c r="AN31" s="8" t="s">
        <v>1366</v>
      </c>
    </row>
    <row r="32" spans="13:40" ht="23">
      <c r="M32" s="8" t="s">
        <v>848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848</v>
      </c>
      <c r="X32" s="8">
        <v>23.72</v>
      </c>
      <c r="Y32" s="8">
        <v>1.74</v>
      </c>
      <c r="Z32" s="9">
        <v>0.25</v>
      </c>
      <c r="AA32" s="8">
        <v>85.1</v>
      </c>
      <c r="AB32" s="8">
        <v>8300</v>
      </c>
      <c r="AC32" s="21" t="s">
        <v>848</v>
      </c>
      <c r="AD32" s="8" t="s">
        <v>3723</v>
      </c>
      <c r="AE32" s="8" t="s">
        <v>4083</v>
      </c>
      <c r="AF32" s="9">
        <f t="shared" si="0"/>
        <v>148.07399999999998</v>
      </c>
      <c r="AG32" s="9">
        <f t="shared" si="1"/>
        <v>35.458333333333336</v>
      </c>
      <c r="AH32" s="9">
        <f t="shared" si="2"/>
        <v>0.65246225916015621</v>
      </c>
      <c r="AI32" s="9">
        <f t="shared" si="3"/>
        <v>0.42570699962837483</v>
      </c>
      <c r="AJ32" s="9">
        <f t="shared" si="4"/>
        <v>0.19596686808169098</v>
      </c>
      <c r="AK32" s="9">
        <f t="shared" si="5"/>
        <v>3.8403013385746872E-2</v>
      </c>
      <c r="AL32" s="9">
        <f t="shared" si="6"/>
        <v>8.02635502623254E-2</v>
      </c>
      <c r="AM32" s="9">
        <f t="shared" si="7"/>
        <v>6.4422375007128357E-3</v>
      </c>
      <c r="AN32" s="8" t="s">
        <v>848</v>
      </c>
    </row>
    <row r="33" spans="13:40" ht="23">
      <c r="M33" s="9" t="s">
        <v>2221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9" t="s">
        <v>2221</v>
      </c>
      <c r="X33" s="8">
        <v>3.39</v>
      </c>
      <c r="Y33" s="8">
        <v>5.44</v>
      </c>
      <c r="Z33" s="9">
        <v>5.44</v>
      </c>
      <c r="AA33" s="8">
        <v>67.7</v>
      </c>
      <c r="AB33" s="8">
        <v>5353</v>
      </c>
      <c r="AC33" s="22" t="s">
        <v>2221</v>
      </c>
      <c r="AD33" s="8" t="s">
        <v>4369</v>
      </c>
      <c r="AE33" s="8" t="s">
        <v>4083</v>
      </c>
      <c r="AF33" s="9">
        <f t="shared" si="0"/>
        <v>368.28800000000007</v>
      </c>
      <c r="AG33" s="9">
        <f t="shared" si="1"/>
        <v>388.1466666666667</v>
      </c>
      <c r="AH33" s="9">
        <f t="shared" si="2"/>
        <v>0.5190563448312876</v>
      </c>
      <c r="AI33" s="9">
        <f t="shared" si="3"/>
        <v>0.26941948910961655</v>
      </c>
      <c r="AJ33" s="9">
        <f t="shared" si="4"/>
        <v>0.48740660691323145</v>
      </c>
      <c r="AK33" s="9">
        <f t="shared" si="5"/>
        <v>0.23756520046266932</v>
      </c>
      <c r="AL33" s="9">
        <f t="shared" si="6"/>
        <v>0.87860952730869291</v>
      </c>
      <c r="AM33" s="9">
        <f t="shared" si="7"/>
        <v>0.77195470147760481</v>
      </c>
      <c r="AN33" s="9" t="s">
        <v>2221</v>
      </c>
    </row>
    <row r="34" spans="13:40" ht="23">
      <c r="M34" s="9" t="s">
        <v>5016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9" t="s">
        <v>5016</v>
      </c>
      <c r="X34" s="8">
        <v>25.98</v>
      </c>
      <c r="Y34" s="8">
        <v>1.45</v>
      </c>
      <c r="Z34" s="9">
        <v>0.32</v>
      </c>
      <c r="AA34" s="8">
        <v>66</v>
      </c>
      <c r="AB34" s="8">
        <v>16943</v>
      </c>
      <c r="AC34" s="22" t="s">
        <v>5016</v>
      </c>
      <c r="AD34" s="8" t="s">
        <v>3723</v>
      </c>
      <c r="AE34" s="8" t="s">
        <v>4083</v>
      </c>
      <c r="AF34" s="9">
        <f t="shared" ref="AF34:AF65" si="8">(AA34*Y34)</f>
        <v>95.7</v>
      </c>
      <c r="AG34" s="9">
        <f t="shared" ref="AG34:AG65" si="9">((((RIGHT(Z34,2))/60)+(LEFT(Z34,2)))*AA34)</f>
        <v>35.200000000000003</v>
      </c>
      <c r="AH34" s="9">
        <f t="shared" ref="AH34:AH65" si="10">(AA34/$AA$107)*100</f>
        <v>0.50602243366122579</v>
      </c>
      <c r="AI34" s="9">
        <f t="shared" ref="AI34:AI65" si="11">(AH34*AH34)</f>
        <v>0.25605870336842967</v>
      </c>
      <c r="AJ34" s="9">
        <f t="shared" ref="AJ34:AJ65" si="12">(AF34/$AF$107)*100</f>
        <v>0.12665308747935375</v>
      </c>
      <c r="AK34" s="9">
        <f t="shared" ref="AK34:AK65" si="13">(AJ34*AJ34)</f>
        <v>1.6041004568052835E-2</v>
      </c>
      <c r="AL34" s="9">
        <f t="shared" ref="AL34:AL65" si="14">(AG34/$AG$107)*100</f>
        <v>7.9678786441377797E-2</v>
      </c>
      <c r="AM34" s="9">
        <f t="shared" ref="AM34:AM65" si="15">(AL34*AL34)</f>
        <v>6.34870900877069E-3</v>
      </c>
      <c r="AN34" s="9" t="s">
        <v>5016</v>
      </c>
    </row>
    <row r="35" spans="13:40" ht="23">
      <c r="M35" s="8" t="s">
        <v>1897</v>
      </c>
      <c r="N35" s="8" t="s">
        <v>1869</v>
      </c>
      <c r="O35" s="8"/>
      <c r="P35" s="8" t="s">
        <v>3693</v>
      </c>
      <c r="Q35" s="8"/>
      <c r="R35" s="8"/>
      <c r="S35" s="8"/>
      <c r="T35" s="8"/>
      <c r="U35" s="8"/>
      <c r="V35" s="8"/>
      <c r="W35" s="8" t="s">
        <v>1897</v>
      </c>
      <c r="X35" s="8">
        <v>20.97</v>
      </c>
      <c r="Y35" s="8">
        <v>9.25</v>
      </c>
      <c r="Z35" s="9">
        <v>3.39</v>
      </c>
      <c r="AA35" s="8">
        <v>59.9</v>
      </c>
      <c r="AB35" s="8">
        <v>6481</v>
      </c>
      <c r="AC35" s="21" t="s">
        <v>1897</v>
      </c>
      <c r="AD35" s="8" t="s">
        <v>3723</v>
      </c>
      <c r="AE35" s="8" t="s">
        <v>4083</v>
      </c>
      <c r="AF35" s="9">
        <f t="shared" si="8"/>
        <v>554.07499999999993</v>
      </c>
      <c r="AG35" s="9">
        <f t="shared" si="9"/>
        <v>218.63499999999999</v>
      </c>
      <c r="AH35" s="9">
        <f t="shared" si="10"/>
        <v>0.45925369358041551</v>
      </c>
      <c r="AI35" s="9">
        <f t="shared" si="11"/>
        <v>0.21091395506725419</v>
      </c>
      <c r="AJ35" s="9">
        <f t="shared" si="12"/>
        <v>0.73328432022072032</v>
      </c>
      <c r="AK35" s="9">
        <f t="shared" si="13"/>
        <v>0.5377058942815639</v>
      </c>
      <c r="AL35" s="9">
        <f t="shared" si="14"/>
        <v>0.49490259868212022</v>
      </c>
      <c r="AM35" s="9">
        <f t="shared" si="15"/>
        <v>0.24492858218231575</v>
      </c>
      <c r="AN35" s="8" t="s">
        <v>1897</v>
      </c>
    </row>
    <row r="36" spans="13:40" ht="23">
      <c r="M36" s="8" t="s">
        <v>520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8" t="s">
        <v>520</v>
      </c>
      <c r="X36" s="8">
        <v>10.16</v>
      </c>
      <c r="Y36" s="8">
        <v>2.6</v>
      </c>
      <c r="Z36" s="9">
        <v>0.53</v>
      </c>
      <c r="AA36" s="8">
        <v>52.9</v>
      </c>
      <c r="AB36" s="8">
        <v>10524</v>
      </c>
      <c r="AC36" s="21" t="s">
        <v>520</v>
      </c>
      <c r="AD36" s="8" t="s">
        <v>4409</v>
      </c>
      <c r="AE36" s="8" t="s">
        <v>4083</v>
      </c>
      <c r="AF36" s="9">
        <f t="shared" si="8"/>
        <v>137.54</v>
      </c>
      <c r="AG36" s="9">
        <f t="shared" si="9"/>
        <v>46.728333333333332</v>
      </c>
      <c r="AH36" s="9">
        <f t="shared" si="10"/>
        <v>0.40558464758604301</v>
      </c>
      <c r="AI36" s="9">
        <f t="shared" si="11"/>
        <v>0.1644989063574947</v>
      </c>
      <c r="AJ36" s="9">
        <f t="shared" si="12"/>
        <v>0.18202576438777757</v>
      </c>
      <c r="AK36" s="9">
        <f t="shared" si="13"/>
        <v>3.3133378900954712E-2</v>
      </c>
      <c r="AL36" s="9">
        <f t="shared" si="14"/>
        <v>0.10577434353489153</v>
      </c>
      <c r="AM36" s="9">
        <f t="shared" si="15"/>
        <v>1.1188211750237249E-2</v>
      </c>
      <c r="AN36" s="8" t="s">
        <v>520</v>
      </c>
    </row>
    <row r="37" spans="13:40" ht="23">
      <c r="M37" s="8" t="s">
        <v>607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8" t="s">
        <v>607</v>
      </c>
      <c r="X37" s="8">
        <v>27.15</v>
      </c>
      <c r="Y37" s="8">
        <v>2.25</v>
      </c>
      <c r="Z37" s="9">
        <v>0.54</v>
      </c>
      <c r="AA37" s="8">
        <v>52.5</v>
      </c>
      <c r="AB37" s="8">
        <v>7139</v>
      </c>
      <c r="AC37" s="21" t="s">
        <v>607</v>
      </c>
      <c r="AD37" s="8" t="s">
        <v>3723</v>
      </c>
      <c r="AE37" s="8" t="s">
        <v>4083</v>
      </c>
      <c r="AF37" s="9">
        <f t="shared" si="8"/>
        <v>118.125</v>
      </c>
      <c r="AG37" s="9">
        <f t="shared" si="9"/>
        <v>47.25</v>
      </c>
      <c r="AH37" s="9">
        <f t="shared" si="10"/>
        <v>0.40251784495779319</v>
      </c>
      <c r="AI37" s="9">
        <f t="shared" si="11"/>
        <v>0.16202061550946603</v>
      </c>
      <c r="AJ37" s="9">
        <f t="shared" si="12"/>
        <v>0.15633120123823052</v>
      </c>
      <c r="AK37" s="9">
        <f t="shared" si="13"/>
        <v>2.4439444480588129E-2</v>
      </c>
      <c r="AL37" s="9">
        <f t="shared" si="14"/>
        <v>0.10695518918622444</v>
      </c>
      <c r="AM37" s="9">
        <f t="shared" si="15"/>
        <v>1.1439412493861063E-2</v>
      </c>
      <c r="AN37" s="8" t="s">
        <v>607</v>
      </c>
    </row>
    <row r="38" spans="13:40" ht="23">
      <c r="M38" s="9" t="s">
        <v>3671</v>
      </c>
      <c r="N38" s="8" t="s">
        <v>2107</v>
      </c>
      <c r="O38" s="8"/>
      <c r="P38" s="8"/>
      <c r="Q38" s="8"/>
      <c r="R38" s="8"/>
      <c r="S38" s="8"/>
      <c r="T38" s="8"/>
      <c r="U38" s="8"/>
      <c r="V38" s="8"/>
      <c r="W38" s="9" t="s">
        <v>3671</v>
      </c>
      <c r="X38" s="8">
        <v>23.11</v>
      </c>
      <c r="Y38" s="8">
        <v>1.82</v>
      </c>
      <c r="Z38" s="9">
        <v>0.26</v>
      </c>
      <c r="AA38" s="8">
        <v>50.1</v>
      </c>
      <c r="AB38" s="8">
        <v>8636</v>
      </c>
      <c r="AC38" s="22" t="s">
        <v>3671</v>
      </c>
      <c r="AD38" s="8" t="s">
        <v>3723</v>
      </c>
      <c r="AE38" s="8" t="s">
        <v>4083</v>
      </c>
      <c r="AF38" s="9">
        <f t="shared" si="8"/>
        <v>91.182000000000002</v>
      </c>
      <c r="AG38" s="9">
        <f t="shared" si="9"/>
        <v>21.71</v>
      </c>
      <c r="AH38" s="9">
        <f t="shared" si="10"/>
        <v>0.3841170291882941</v>
      </c>
      <c r="AI38" s="9">
        <f t="shared" si="11"/>
        <v>0.14754589211244079</v>
      </c>
      <c r="AJ38" s="9">
        <f t="shared" si="12"/>
        <v>0.12067379124913724</v>
      </c>
      <c r="AK38" s="9">
        <f t="shared" si="13"/>
        <v>1.4562163894440351E-2</v>
      </c>
      <c r="AL38" s="9">
        <f t="shared" si="14"/>
        <v>4.9142796978474762E-2</v>
      </c>
      <c r="AM38" s="9">
        <f t="shared" si="15"/>
        <v>2.4150144948675884E-3</v>
      </c>
      <c r="AN38" s="9" t="s">
        <v>3671</v>
      </c>
    </row>
    <row r="39" spans="13:40" ht="23">
      <c r="M39" s="9" t="s">
        <v>2504</v>
      </c>
      <c r="N39" s="8" t="s">
        <v>150</v>
      </c>
      <c r="O39" s="8"/>
      <c r="P39" s="8"/>
      <c r="Q39" s="8"/>
      <c r="R39" s="8"/>
      <c r="S39" s="8"/>
      <c r="T39" s="8"/>
      <c r="U39" s="8"/>
      <c r="V39" s="8"/>
      <c r="W39" s="9" t="s">
        <v>2504</v>
      </c>
      <c r="X39" s="8">
        <v>2.21</v>
      </c>
      <c r="Y39" s="8">
        <v>2.02</v>
      </c>
      <c r="Z39" s="9">
        <v>0.11</v>
      </c>
      <c r="AA39" s="8">
        <v>48.4</v>
      </c>
      <c r="AB39" s="8">
        <v>44520</v>
      </c>
      <c r="AC39" s="22" t="s">
        <v>2504</v>
      </c>
      <c r="AD39" s="8" t="s">
        <v>4372</v>
      </c>
      <c r="AE39" s="8" t="s">
        <v>4083</v>
      </c>
      <c r="AF39" s="9">
        <f t="shared" si="8"/>
        <v>97.768000000000001</v>
      </c>
      <c r="AG39" s="9">
        <f t="shared" si="9"/>
        <v>8.8733333333333331</v>
      </c>
      <c r="AH39" s="9">
        <f t="shared" si="10"/>
        <v>0.37108311801823224</v>
      </c>
      <c r="AI39" s="9">
        <f t="shared" si="11"/>
        <v>0.13770268047813328</v>
      </c>
      <c r="AJ39" s="9">
        <f t="shared" si="12"/>
        <v>0.12938995879499957</v>
      </c>
      <c r="AK39" s="9">
        <f t="shared" si="13"/>
        <v>1.6741761436971685E-2</v>
      </c>
      <c r="AL39" s="9">
        <f t="shared" si="14"/>
        <v>2.0085694082097316E-2</v>
      </c>
      <c r="AM39" s="9">
        <f t="shared" si="15"/>
        <v>4.0343510675959916E-4</v>
      </c>
      <c r="AN39" s="9" t="s">
        <v>2504</v>
      </c>
    </row>
    <row r="40" spans="13:40" ht="23">
      <c r="M40" s="8" t="s">
        <v>1941</v>
      </c>
      <c r="N40" s="8" t="s">
        <v>1939</v>
      </c>
      <c r="O40" s="8"/>
      <c r="P40" s="8"/>
      <c r="Q40" s="8"/>
      <c r="R40" s="8"/>
      <c r="S40" s="8"/>
      <c r="T40" s="8"/>
      <c r="U40" s="8"/>
      <c r="V40" s="8"/>
      <c r="W40" s="8" t="s">
        <v>1941</v>
      </c>
      <c r="X40" s="8">
        <v>5.48</v>
      </c>
      <c r="Y40" s="8">
        <v>5.26</v>
      </c>
      <c r="Z40" s="9">
        <v>3.43</v>
      </c>
      <c r="AA40" s="8">
        <v>43.9</v>
      </c>
      <c r="AB40" s="8">
        <v>14650</v>
      </c>
      <c r="AC40" s="21" t="s">
        <v>1941</v>
      </c>
      <c r="AD40" s="8" t="s">
        <v>3723</v>
      </c>
      <c r="AE40" s="8" t="s">
        <v>4083</v>
      </c>
      <c r="AF40" s="9">
        <f t="shared" si="8"/>
        <v>230.91399999999999</v>
      </c>
      <c r="AG40" s="9">
        <f t="shared" si="9"/>
        <v>163.16166666666666</v>
      </c>
      <c r="AH40" s="9">
        <f t="shared" si="10"/>
        <v>0.33658158845042135</v>
      </c>
      <c r="AI40" s="9">
        <f t="shared" si="11"/>
        <v>0.11328716568380881</v>
      </c>
      <c r="AJ40" s="9">
        <f t="shared" si="12"/>
        <v>0.30560053335640014</v>
      </c>
      <c r="AK40" s="9">
        <f t="shared" si="13"/>
        <v>9.339168598771623E-2</v>
      </c>
      <c r="AL40" s="9">
        <f t="shared" si="14"/>
        <v>0.36933305664069893</v>
      </c>
      <c r="AM40" s="9">
        <f t="shared" si="15"/>
        <v>0.13640690672756173</v>
      </c>
      <c r="AN40" s="8" t="s">
        <v>1941</v>
      </c>
    </row>
    <row r="41" spans="13:40" ht="23">
      <c r="M41" s="9" t="s">
        <v>2147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9" t="s">
        <v>2147</v>
      </c>
      <c r="X41" s="8">
        <v>1.66</v>
      </c>
      <c r="Y41" s="8">
        <v>1.2</v>
      </c>
      <c r="Z41" s="9">
        <v>0.08</v>
      </c>
      <c r="AA41" s="8">
        <v>39.1</v>
      </c>
      <c r="AB41" s="8">
        <v>35557</v>
      </c>
      <c r="AC41" s="22" t="s">
        <v>2147</v>
      </c>
      <c r="AD41" s="8" t="s">
        <v>3723</v>
      </c>
      <c r="AE41" s="8" t="s">
        <v>4083</v>
      </c>
      <c r="AF41" s="9">
        <f t="shared" si="8"/>
        <v>46.92</v>
      </c>
      <c r="AG41" s="9">
        <f t="shared" si="9"/>
        <v>5.2133333333333338</v>
      </c>
      <c r="AH41" s="9">
        <f t="shared" si="10"/>
        <v>0.29977995691142312</v>
      </c>
      <c r="AI41" s="9">
        <f t="shared" si="11"/>
        <v>8.9868022565814706E-2</v>
      </c>
      <c r="AJ41" s="9">
        <f t="shared" si="12"/>
        <v>6.2095745710880654E-2</v>
      </c>
      <c r="AK41" s="9">
        <f t="shared" si="13"/>
        <v>3.855881635390353E-3</v>
      </c>
      <c r="AL41" s="9">
        <f t="shared" si="14"/>
        <v>1.1800911173704061E-2</v>
      </c>
      <c r="AM41" s="9">
        <f t="shared" si="15"/>
        <v>1.3926150452965336E-4</v>
      </c>
      <c r="AN41" s="9" t="s">
        <v>2147</v>
      </c>
    </row>
    <row r="42" spans="13:40" ht="23">
      <c r="M42" s="9" t="s">
        <v>3657</v>
      </c>
      <c r="N42" s="8" t="s">
        <v>2107</v>
      </c>
      <c r="O42" s="8"/>
      <c r="P42" s="8"/>
      <c r="Q42" s="8"/>
      <c r="R42" s="8"/>
      <c r="S42" s="8"/>
      <c r="T42" s="8"/>
      <c r="U42" s="8"/>
      <c r="V42" s="8"/>
      <c r="W42" s="9" t="s">
        <v>3657</v>
      </c>
      <c r="X42" s="8">
        <v>53.04</v>
      </c>
      <c r="Y42" s="8">
        <v>1.1299999999999999</v>
      </c>
      <c r="Z42" s="9">
        <v>0.05</v>
      </c>
      <c r="AA42" s="8">
        <v>37.700000000000003</v>
      </c>
      <c r="AB42" s="8">
        <v>34485</v>
      </c>
      <c r="AC42" s="22" t="s">
        <v>3657</v>
      </c>
      <c r="AD42" s="8" t="s">
        <v>3723</v>
      </c>
      <c r="AE42" s="8" t="s">
        <v>4083</v>
      </c>
      <c r="AF42" s="9">
        <f t="shared" si="8"/>
        <v>42.600999999999999</v>
      </c>
      <c r="AG42" s="9">
        <f t="shared" si="9"/>
        <v>3.1416666666666666</v>
      </c>
      <c r="AH42" s="9">
        <f t="shared" si="10"/>
        <v>0.28904614771254866</v>
      </c>
      <c r="AI42" s="9">
        <f t="shared" si="11"/>
        <v>8.3547675507464503E-2</v>
      </c>
      <c r="AJ42" s="9">
        <f t="shared" si="12"/>
        <v>5.6379813790051719E-2</v>
      </c>
      <c r="AK42" s="9">
        <f t="shared" si="13"/>
        <v>3.1786834030009059E-3</v>
      </c>
      <c r="AL42" s="9">
        <f t="shared" si="14"/>
        <v>7.1114825966854698E-3</v>
      </c>
      <c r="AM42" s="9">
        <f t="shared" si="15"/>
        <v>5.0573184722960315E-5</v>
      </c>
      <c r="AN42" s="9" t="s">
        <v>3657</v>
      </c>
    </row>
    <row r="43" spans="13:40" ht="23">
      <c r="M43" s="8" t="s">
        <v>5062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8" t="s">
        <v>5062</v>
      </c>
      <c r="X43" s="8">
        <v>0.72</v>
      </c>
      <c r="Y43" s="8">
        <v>4.99</v>
      </c>
      <c r="Z43" s="9">
        <v>7.0000000000000007E-2</v>
      </c>
      <c r="AA43" s="8">
        <v>35</v>
      </c>
      <c r="AB43" s="8">
        <v>77671</v>
      </c>
      <c r="AC43" s="21" t="s">
        <v>5062</v>
      </c>
      <c r="AD43" s="8" t="s">
        <v>3723</v>
      </c>
      <c r="AE43" s="8" t="s">
        <v>4083</v>
      </c>
      <c r="AF43" s="9">
        <f t="shared" si="8"/>
        <v>174.65</v>
      </c>
      <c r="AG43" s="9">
        <f t="shared" si="9"/>
        <v>4.083333333333333</v>
      </c>
      <c r="AH43" s="9">
        <f t="shared" si="10"/>
        <v>0.26834522997186211</v>
      </c>
      <c r="AI43" s="9">
        <f t="shared" si="11"/>
        <v>7.2009162448651562E-2</v>
      </c>
      <c r="AJ43" s="9">
        <f t="shared" si="12"/>
        <v>0.231138576052969</v>
      </c>
      <c r="AK43" s="9">
        <f t="shared" si="13"/>
        <v>5.3425041339794137E-2</v>
      </c>
      <c r="AL43" s="9">
        <f t="shared" si="14"/>
        <v>9.2430410407848291E-3</v>
      </c>
      <c r="AM43" s="9">
        <f t="shared" si="15"/>
        <v>8.5433807681632696E-5</v>
      </c>
      <c r="AN43" s="8" t="s">
        <v>5062</v>
      </c>
    </row>
    <row r="44" spans="13:40" ht="23">
      <c r="M44" s="9" t="s">
        <v>2530</v>
      </c>
      <c r="N44" s="8" t="s">
        <v>150</v>
      </c>
      <c r="O44" s="8"/>
      <c r="P44" s="8"/>
      <c r="Q44" s="8"/>
      <c r="R44" s="8"/>
      <c r="S44" s="8"/>
      <c r="T44" s="8"/>
      <c r="U44" s="8"/>
      <c r="V44" s="8"/>
      <c r="W44" s="9" t="s">
        <v>2530</v>
      </c>
      <c r="X44" s="8">
        <v>2.34</v>
      </c>
      <c r="Y44" s="8">
        <v>14.85</v>
      </c>
      <c r="Z44" s="9">
        <v>6.02</v>
      </c>
      <c r="AA44" s="8">
        <v>34.299999999999997</v>
      </c>
      <c r="AB44" s="8">
        <v>19220</v>
      </c>
      <c r="AC44" s="22" t="s">
        <v>2530</v>
      </c>
      <c r="AD44" s="8" t="s">
        <v>4408</v>
      </c>
      <c r="AE44" s="8" t="s">
        <v>4083</v>
      </c>
      <c r="AF44" s="9">
        <f t="shared" si="8"/>
        <v>509.35499999999996</v>
      </c>
      <c r="AG44" s="9">
        <f t="shared" si="9"/>
        <v>206.9433333333333</v>
      </c>
      <c r="AH44" s="9">
        <f t="shared" si="10"/>
        <v>0.26297832537242488</v>
      </c>
      <c r="AI44" s="9">
        <f t="shared" si="11"/>
        <v>6.9157599615684962E-2</v>
      </c>
      <c r="AJ44" s="9">
        <f t="shared" si="12"/>
        <v>0.67410013973925009</v>
      </c>
      <c r="AK44" s="9">
        <f t="shared" si="13"/>
        <v>0.45441099839647653</v>
      </c>
      <c r="AL44" s="9">
        <f t="shared" si="14"/>
        <v>0.46843731994697502</v>
      </c>
      <c r="AM44" s="9">
        <f t="shared" si="15"/>
        <v>0.21943352271910463</v>
      </c>
      <c r="AN44" s="9" t="s">
        <v>2530</v>
      </c>
    </row>
    <row r="45" spans="13:40" ht="23">
      <c r="M45" s="8" t="s">
        <v>1392</v>
      </c>
      <c r="N45" s="8" t="s">
        <v>150</v>
      </c>
      <c r="O45" s="8"/>
      <c r="P45" s="8" t="s">
        <v>3691</v>
      </c>
      <c r="Q45" s="8"/>
      <c r="R45" s="8"/>
      <c r="S45" s="8"/>
      <c r="T45" s="8"/>
      <c r="U45" s="8"/>
      <c r="V45" s="8"/>
      <c r="W45" s="8" t="s">
        <v>1392</v>
      </c>
      <c r="X45" s="8">
        <v>15.97</v>
      </c>
      <c r="Y45" s="8">
        <v>9.5500000000000007</v>
      </c>
      <c r="Z45" s="9">
        <v>5.43</v>
      </c>
      <c r="AA45" s="8">
        <v>30.5</v>
      </c>
      <c r="AB45" s="8">
        <v>4884</v>
      </c>
      <c r="AC45" s="21" t="s">
        <v>1392</v>
      </c>
      <c r="AD45" s="8" t="s">
        <v>4410</v>
      </c>
      <c r="AE45" s="8" t="s">
        <v>4083</v>
      </c>
      <c r="AF45" s="9">
        <f t="shared" si="8"/>
        <v>291.27500000000003</v>
      </c>
      <c r="AG45" s="9">
        <f t="shared" si="9"/>
        <v>174.35833333333335</v>
      </c>
      <c r="AH45" s="9">
        <f t="shared" si="10"/>
        <v>0.23384370040405128</v>
      </c>
      <c r="AI45" s="9">
        <f t="shared" si="11"/>
        <v>5.4682876218659693E-2</v>
      </c>
      <c r="AJ45" s="9">
        <f t="shared" si="12"/>
        <v>0.38548461918023796</v>
      </c>
      <c r="AK45" s="9">
        <f t="shared" si="13"/>
        <v>0.14859839162453309</v>
      </c>
      <c r="AL45" s="9">
        <f t="shared" si="14"/>
        <v>0.39467785244151221</v>
      </c>
      <c r="AM45" s="9">
        <f t="shared" si="15"/>
        <v>0.15577060720784408</v>
      </c>
      <c r="AN45" s="8" t="s">
        <v>1392</v>
      </c>
    </row>
    <row r="46" spans="13:40" ht="23">
      <c r="M46" s="9" t="s">
        <v>2462</v>
      </c>
      <c r="N46" s="8" t="s">
        <v>150</v>
      </c>
      <c r="O46" s="8"/>
      <c r="P46" s="8" t="s">
        <v>3691</v>
      </c>
      <c r="Q46" s="8"/>
      <c r="R46" s="8"/>
      <c r="S46" s="8"/>
      <c r="T46" s="8"/>
      <c r="U46" s="8"/>
      <c r="V46" s="8"/>
      <c r="W46" s="9" t="s">
        <v>2462</v>
      </c>
      <c r="X46" s="8">
        <v>40.770000000000003</v>
      </c>
      <c r="Y46" s="8">
        <v>1.44</v>
      </c>
      <c r="Z46" s="9">
        <v>0.14000000000000001</v>
      </c>
      <c r="AA46" s="8">
        <v>24.9</v>
      </c>
      <c r="AB46" s="8">
        <v>35035</v>
      </c>
      <c r="AC46" s="22" t="s">
        <v>2462</v>
      </c>
      <c r="AD46" s="8" t="s">
        <v>3723</v>
      </c>
      <c r="AE46" s="8" t="s">
        <v>4083</v>
      </c>
      <c r="AF46" s="9">
        <f t="shared" si="8"/>
        <v>35.855999999999995</v>
      </c>
      <c r="AG46" s="9">
        <f t="shared" si="9"/>
        <v>5.81</v>
      </c>
      <c r="AH46" s="9">
        <f t="shared" si="10"/>
        <v>0.19090846360855335</v>
      </c>
      <c r="AI46" s="9">
        <f t="shared" si="11"/>
        <v>3.6446041477378337E-2</v>
      </c>
      <c r="AJ46" s="9">
        <f t="shared" si="12"/>
        <v>4.7453219484427454E-2</v>
      </c>
      <c r="AK46" s="9">
        <f t="shared" si="13"/>
        <v>2.2518080394372452E-3</v>
      </c>
      <c r="AL46" s="9">
        <f t="shared" si="14"/>
        <v>1.3151526966602413E-2</v>
      </c>
      <c r="AM46" s="9">
        <f t="shared" si="15"/>
        <v>1.7296266155327047E-4</v>
      </c>
      <c r="AN46" s="9" t="s">
        <v>2462</v>
      </c>
    </row>
    <row r="47" spans="13:40" ht="23">
      <c r="M47" s="9" t="s">
        <v>3159</v>
      </c>
      <c r="N47" s="8" t="s">
        <v>1869</v>
      </c>
      <c r="O47" s="8"/>
      <c r="P47" s="8"/>
      <c r="Q47" s="8"/>
      <c r="R47" s="8"/>
      <c r="S47" s="8"/>
      <c r="T47" s="8"/>
      <c r="U47" s="8"/>
      <c r="V47" s="8"/>
      <c r="W47" s="9" t="s">
        <v>3159</v>
      </c>
      <c r="X47" s="8">
        <v>14.76</v>
      </c>
      <c r="Y47" s="8">
        <v>1.48</v>
      </c>
      <c r="Z47" s="9">
        <v>0.09</v>
      </c>
      <c r="AA47" s="8">
        <v>24.5</v>
      </c>
      <c r="AB47" s="8">
        <v>48054</v>
      </c>
      <c r="AC47" s="22" t="s">
        <v>3159</v>
      </c>
      <c r="AD47" s="8" t="s">
        <v>3723</v>
      </c>
      <c r="AE47" s="8" t="s">
        <v>4083</v>
      </c>
      <c r="AF47" s="9">
        <f t="shared" si="8"/>
        <v>36.26</v>
      </c>
      <c r="AG47" s="9">
        <f t="shared" si="9"/>
        <v>3.6749999999999998</v>
      </c>
      <c r="AH47" s="9">
        <f t="shared" si="10"/>
        <v>0.18784166098030347</v>
      </c>
      <c r="AI47" s="9">
        <f t="shared" si="11"/>
        <v>3.5284489599839264E-2</v>
      </c>
      <c r="AJ47" s="9">
        <f t="shared" si="12"/>
        <v>4.7987888735646474E-2</v>
      </c>
      <c r="AK47" s="9">
        <f t="shared" si="13"/>
        <v>2.3028374653047859E-3</v>
      </c>
      <c r="AL47" s="9">
        <f t="shared" si="14"/>
        <v>8.3187369367063446E-3</v>
      </c>
      <c r="AM47" s="9">
        <f t="shared" si="15"/>
        <v>6.9201384222122465E-5</v>
      </c>
      <c r="AN47" s="9" t="s">
        <v>3159</v>
      </c>
    </row>
    <row r="48" spans="13:40" ht="23">
      <c r="M48" s="8" t="s">
        <v>2015</v>
      </c>
      <c r="N48" s="8" t="s">
        <v>2003</v>
      </c>
      <c r="O48" s="8"/>
      <c r="P48" s="8"/>
      <c r="Q48" s="8"/>
      <c r="R48" s="8"/>
      <c r="S48" s="8"/>
      <c r="T48" s="8"/>
      <c r="U48" s="8"/>
      <c r="V48" s="8"/>
      <c r="W48" s="8" t="s">
        <v>2015</v>
      </c>
      <c r="X48" s="8">
        <v>11.66</v>
      </c>
      <c r="Y48" s="8">
        <v>8.2200000000000006</v>
      </c>
      <c r="Z48" s="9">
        <v>3.43</v>
      </c>
      <c r="AA48" s="8">
        <v>24.2</v>
      </c>
      <c r="AB48" s="8"/>
      <c r="AC48" s="21" t="s">
        <v>2015</v>
      </c>
      <c r="AD48" s="8" t="s">
        <v>3723</v>
      </c>
      <c r="AE48" s="8" t="s">
        <v>4083</v>
      </c>
      <c r="AF48" s="9">
        <f t="shared" si="8"/>
        <v>198.92400000000001</v>
      </c>
      <c r="AG48" s="9">
        <f t="shared" si="9"/>
        <v>89.943333333333328</v>
      </c>
      <c r="AH48" s="9">
        <f t="shared" si="10"/>
        <v>0.18554155900911612</v>
      </c>
      <c r="AI48" s="9">
        <f t="shared" si="11"/>
        <v>3.4425670119533319E-2</v>
      </c>
      <c r="AJ48" s="9">
        <f t="shared" si="12"/>
        <v>0.26326372804329118</v>
      </c>
      <c r="AK48" s="9">
        <f t="shared" si="13"/>
        <v>6.9307790503251976E-2</v>
      </c>
      <c r="AL48" s="9">
        <f t="shared" si="14"/>
        <v>0.20359589910489551</v>
      </c>
      <c r="AM48" s="9">
        <f t="shared" si="15"/>
        <v>4.1451290132330794E-2</v>
      </c>
      <c r="AN48" s="8" t="s">
        <v>2015</v>
      </c>
    </row>
    <row r="49" spans="13:40" ht="23">
      <c r="M49" s="8" t="s">
        <v>1268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8" t="s">
        <v>1268</v>
      </c>
      <c r="X49" s="8">
        <v>3.52</v>
      </c>
      <c r="Y49" s="8">
        <v>3.29</v>
      </c>
      <c r="Z49" s="9">
        <v>0.11</v>
      </c>
      <c r="AA49" s="8">
        <v>21.4</v>
      </c>
      <c r="AB49" s="8">
        <v>29679</v>
      </c>
      <c r="AC49" s="21" t="s">
        <v>1268</v>
      </c>
      <c r="AD49" s="8" t="s">
        <v>3723</v>
      </c>
      <c r="AE49" s="8" t="s">
        <v>4083</v>
      </c>
      <c r="AF49" s="9">
        <f t="shared" si="8"/>
        <v>70.405999999999992</v>
      </c>
      <c r="AG49" s="9">
        <f t="shared" si="9"/>
        <v>3.9233333333333329</v>
      </c>
      <c r="AH49" s="9">
        <f t="shared" si="10"/>
        <v>0.16407394061136713</v>
      </c>
      <c r="AI49" s="9">
        <f t="shared" si="11"/>
        <v>2.6920257987742426E-2</v>
      </c>
      <c r="AJ49" s="9">
        <f t="shared" si="12"/>
        <v>9.3178027973577632E-2</v>
      </c>
      <c r="AK49" s="9">
        <f t="shared" si="13"/>
        <v>8.6821448970448162E-3</v>
      </c>
      <c r="AL49" s="9">
        <f t="shared" si="14"/>
        <v>8.8808647387785648E-3</v>
      </c>
      <c r="AM49" s="9">
        <f t="shared" si="15"/>
        <v>7.8869758508480465E-5</v>
      </c>
      <c r="AN49" s="8" t="s">
        <v>1268</v>
      </c>
    </row>
    <row r="50" spans="13:40" ht="23">
      <c r="M50" s="8" t="s">
        <v>1368</v>
      </c>
      <c r="N50" s="8" t="s">
        <v>150</v>
      </c>
      <c r="O50" s="8"/>
      <c r="P50" s="8" t="s">
        <v>3691</v>
      </c>
      <c r="Q50" s="8"/>
      <c r="R50" s="8"/>
      <c r="S50" s="8"/>
      <c r="T50" s="8"/>
      <c r="U50" s="8"/>
      <c r="V50" s="8"/>
      <c r="W50" s="8" t="s">
        <v>1368</v>
      </c>
      <c r="X50" s="8">
        <v>12</v>
      </c>
      <c r="Y50" s="8">
        <v>4.76</v>
      </c>
      <c r="Z50" s="9">
        <v>2.2799999999999998</v>
      </c>
      <c r="AA50" s="8">
        <v>19</v>
      </c>
      <c r="AB50" s="8">
        <v>10704</v>
      </c>
      <c r="AC50" s="21" t="s">
        <v>1368</v>
      </c>
      <c r="AD50" s="8" t="s">
        <v>3723</v>
      </c>
      <c r="AE50" s="8" t="s">
        <v>4083</v>
      </c>
      <c r="AF50" s="9">
        <f t="shared" si="8"/>
        <v>90.44</v>
      </c>
      <c r="AG50" s="9">
        <f t="shared" si="9"/>
        <v>46.866666666666667</v>
      </c>
      <c r="AH50" s="9">
        <f t="shared" si="10"/>
        <v>0.14567312484186801</v>
      </c>
      <c r="AI50" s="9">
        <f t="shared" si="11"/>
        <v>2.1220659301194461E-2</v>
      </c>
      <c r="AJ50" s="9">
        <f t="shared" si="12"/>
        <v>0.11969179970358154</v>
      </c>
      <c r="AK50" s="9">
        <f t="shared" si="13"/>
        <v>1.4326126916282282E-2</v>
      </c>
      <c r="AL50" s="9">
        <f t="shared" si="14"/>
        <v>0.10608747512933445</v>
      </c>
      <c r="AM50" s="9">
        <f t="shared" si="15"/>
        <v>1.1254552379317155E-2</v>
      </c>
      <c r="AN50" s="8" t="s">
        <v>1368</v>
      </c>
    </row>
    <row r="51" spans="13:40" ht="23">
      <c r="M51" s="8" t="s">
        <v>1124</v>
      </c>
      <c r="N51" s="8" t="s">
        <v>150</v>
      </c>
      <c r="O51" s="8"/>
      <c r="P51" s="8"/>
      <c r="Q51" s="8"/>
      <c r="R51" s="8"/>
      <c r="S51" s="8"/>
      <c r="T51" s="8"/>
      <c r="U51" s="8"/>
      <c r="V51" s="8"/>
      <c r="W51" s="8" t="s">
        <v>1124</v>
      </c>
      <c r="X51" s="8">
        <v>20.77</v>
      </c>
      <c r="Y51" s="8">
        <v>6.72</v>
      </c>
      <c r="Z51" s="9">
        <v>4.1900000000000004</v>
      </c>
      <c r="AA51" s="8">
        <v>18.5</v>
      </c>
      <c r="AB51" s="8">
        <v>9467</v>
      </c>
      <c r="AC51" s="21" t="s">
        <v>1124</v>
      </c>
      <c r="AD51" s="8" t="s">
        <v>3723</v>
      </c>
      <c r="AE51" s="8" t="s">
        <v>4083</v>
      </c>
      <c r="AF51" s="9">
        <f t="shared" si="8"/>
        <v>124.32</v>
      </c>
      <c r="AG51" s="9">
        <f t="shared" si="9"/>
        <v>79.858333333333334</v>
      </c>
      <c r="AH51" s="9">
        <f t="shared" si="10"/>
        <v>0.14183962155655569</v>
      </c>
      <c r="AI51" s="9">
        <f t="shared" si="11"/>
        <v>2.0118478243306936E-2</v>
      </c>
      <c r="AJ51" s="9">
        <f t="shared" si="12"/>
        <v>0.16452990423650218</v>
      </c>
      <c r="AK51" s="9">
        <f t="shared" si="13"/>
        <v>2.707008938807258E-2</v>
      </c>
      <c r="AL51" s="9">
        <f t="shared" si="14"/>
        <v>0.18076747406906329</v>
      </c>
      <c r="AM51" s="9">
        <f t="shared" si="15"/>
        <v>3.2676879681309473E-2</v>
      </c>
      <c r="AN51" s="8" t="s">
        <v>1124</v>
      </c>
    </row>
    <row r="52" spans="13:40" ht="23">
      <c r="M52" s="8" t="s">
        <v>1996</v>
      </c>
      <c r="N52" s="8" t="s">
        <v>1990</v>
      </c>
      <c r="O52" s="8"/>
      <c r="P52" s="8"/>
      <c r="Q52" s="8"/>
      <c r="R52" s="8"/>
      <c r="S52" s="8"/>
      <c r="T52" s="8"/>
      <c r="U52" s="8"/>
      <c r="V52" s="8"/>
      <c r="W52" s="8" t="s">
        <v>1996</v>
      </c>
      <c r="X52" s="8">
        <v>3.5</v>
      </c>
      <c r="Y52" s="8">
        <v>10.38</v>
      </c>
      <c r="Z52" s="9">
        <v>0.1</v>
      </c>
      <c r="AA52" s="8">
        <v>18</v>
      </c>
      <c r="AB52" s="8">
        <v>42652</v>
      </c>
      <c r="AC52" s="21" t="s">
        <v>1996</v>
      </c>
      <c r="AD52" s="8" t="s">
        <v>3723</v>
      </c>
      <c r="AE52" s="8" t="s">
        <v>4083</v>
      </c>
      <c r="AF52" s="9">
        <f t="shared" si="8"/>
        <v>186.84</v>
      </c>
      <c r="AG52" s="9">
        <f t="shared" si="9"/>
        <v>3.0000000000000002E-2</v>
      </c>
      <c r="AH52" s="9">
        <f t="shared" si="10"/>
        <v>0.13800611827124337</v>
      </c>
      <c r="AI52" s="9">
        <f t="shared" si="11"/>
        <v>1.9045688680296415E-2</v>
      </c>
      <c r="AJ52" s="9">
        <f t="shared" si="12"/>
        <v>0.24727129430138409</v>
      </c>
      <c r="AK52" s="9">
        <f t="shared" si="13"/>
        <v>6.1143092985481699E-2</v>
      </c>
      <c r="AL52" s="9">
        <f t="shared" si="14"/>
        <v>6.7908056626174264E-5</v>
      </c>
      <c r="AM52" s="9">
        <f t="shared" si="15"/>
        <v>4.6115041547436907E-9</v>
      </c>
      <c r="AN52" s="8" t="s">
        <v>1996</v>
      </c>
    </row>
    <row r="53" spans="13:40" ht="23">
      <c r="M53" s="8" t="s">
        <v>1228</v>
      </c>
      <c r="N53" s="8" t="s">
        <v>150</v>
      </c>
      <c r="O53" s="8"/>
      <c r="P53" s="8"/>
      <c r="Q53" s="8"/>
      <c r="R53" s="8"/>
      <c r="S53" s="8"/>
      <c r="T53" s="8"/>
      <c r="U53" s="8"/>
      <c r="V53" s="8"/>
      <c r="W53" s="8" t="s">
        <v>1228</v>
      </c>
      <c r="X53" s="8">
        <v>18.48</v>
      </c>
      <c r="Y53" s="8">
        <v>7.42</v>
      </c>
      <c r="Z53" s="9">
        <v>5.0999999999999996</v>
      </c>
      <c r="AA53" s="8">
        <v>17.600000000000001</v>
      </c>
      <c r="AB53" s="8">
        <v>6651</v>
      </c>
      <c r="AC53" s="21" t="s">
        <v>1228</v>
      </c>
      <c r="AD53" s="8" t="s">
        <v>4410</v>
      </c>
      <c r="AE53" s="8" t="s">
        <v>4083</v>
      </c>
      <c r="AF53" s="9">
        <f t="shared" si="8"/>
        <v>130.59200000000001</v>
      </c>
      <c r="AG53" s="9">
        <f t="shared" si="9"/>
        <v>88.029333333333341</v>
      </c>
      <c r="AH53" s="9">
        <f t="shared" si="10"/>
        <v>0.13493931564299352</v>
      </c>
      <c r="AI53" s="9">
        <f t="shared" si="11"/>
        <v>1.8208618906199438E-2</v>
      </c>
      <c r="AJ53" s="9">
        <f t="shared" si="12"/>
        <v>0.17283051201780322</v>
      </c>
      <c r="AK53" s="9">
        <f t="shared" si="13"/>
        <v>2.9870385884336024E-2</v>
      </c>
      <c r="AL53" s="9">
        <f t="shared" si="14"/>
        <v>0.19926336509214562</v>
      </c>
      <c r="AM53" s="9">
        <f t="shared" si="15"/>
        <v>3.9705888667845718E-2</v>
      </c>
      <c r="AN53" s="8" t="s">
        <v>1228</v>
      </c>
    </row>
    <row r="54" spans="13:40" ht="23">
      <c r="M54" s="9" t="s">
        <v>2809</v>
      </c>
      <c r="N54" s="8" t="s">
        <v>1614</v>
      </c>
      <c r="O54" s="8"/>
      <c r="P54" s="8"/>
      <c r="Q54" s="8"/>
      <c r="R54" s="8"/>
      <c r="S54" s="8"/>
      <c r="T54" s="8"/>
      <c r="U54" s="8"/>
      <c r="V54" s="8"/>
      <c r="W54" s="9" t="s">
        <v>2809</v>
      </c>
      <c r="X54" s="8">
        <v>51.68</v>
      </c>
      <c r="Y54" s="8">
        <v>2.1800000000000002</v>
      </c>
      <c r="Z54" s="9">
        <v>1.1000000000000001</v>
      </c>
      <c r="AA54" s="8">
        <v>15.4</v>
      </c>
      <c r="AB54" s="8">
        <v>15585</v>
      </c>
      <c r="AC54" s="22" t="s">
        <v>2809</v>
      </c>
      <c r="AD54" s="8" t="s">
        <v>4409</v>
      </c>
      <c r="AE54" s="8" t="s">
        <v>4083</v>
      </c>
      <c r="AF54" s="9">
        <f t="shared" si="8"/>
        <v>33.572000000000003</v>
      </c>
      <c r="AG54" s="9">
        <f t="shared" si="9"/>
        <v>15.425666666666668</v>
      </c>
      <c r="AH54" s="9">
        <f t="shared" si="10"/>
        <v>0.11807190118761934</v>
      </c>
      <c r="AI54" s="9">
        <f t="shared" si="11"/>
        <v>1.3940973850058946E-2</v>
      </c>
      <c r="AJ54" s="9">
        <f t="shared" si="12"/>
        <v>4.4430485400803188E-2</v>
      </c>
      <c r="AK54" s="9">
        <f t="shared" si="13"/>
        <v>1.9740680329509851E-3</v>
      </c>
      <c r="AL54" s="9">
        <f t="shared" si="14"/>
        <v>3.4917568183216292E-2</v>
      </c>
      <c r="AM54" s="9">
        <f t="shared" si="15"/>
        <v>1.2192365678295588E-3</v>
      </c>
      <c r="AN54" s="9" t="s">
        <v>2809</v>
      </c>
    </row>
    <row r="55" spans="13:40" ht="23">
      <c r="M55" s="8" t="s">
        <v>1524</v>
      </c>
      <c r="N55" s="8" t="s">
        <v>150</v>
      </c>
      <c r="O55" s="8"/>
      <c r="P55" s="8"/>
      <c r="Q55" s="8"/>
      <c r="R55" s="8"/>
      <c r="S55" s="8"/>
      <c r="T55" s="8"/>
      <c r="U55" s="8"/>
      <c r="V55" s="8"/>
      <c r="W55" s="8" t="s">
        <v>1524</v>
      </c>
      <c r="X55" s="8">
        <v>8.75</v>
      </c>
      <c r="Y55" s="8">
        <v>2.2400000000000002</v>
      </c>
      <c r="Z55" s="9">
        <v>0.48</v>
      </c>
      <c r="AA55" s="8">
        <v>14.9</v>
      </c>
      <c r="AB55" s="8">
        <v>18070</v>
      </c>
      <c r="AC55" s="21" t="s">
        <v>1524</v>
      </c>
      <c r="AD55" s="8" t="s">
        <v>4369</v>
      </c>
      <c r="AE55" s="8" t="s">
        <v>4083</v>
      </c>
      <c r="AF55" s="9">
        <f t="shared" si="8"/>
        <v>33.376000000000005</v>
      </c>
      <c r="AG55" s="9">
        <f t="shared" si="9"/>
        <v>11.920000000000002</v>
      </c>
      <c r="AH55" s="9">
        <f t="shared" si="10"/>
        <v>0.11423839790230701</v>
      </c>
      <c r="AI55" s="9">
        <f t="shared" si="11"/>
        <v>1.3050411555285824E-2</v>
      </c>
      <c r="AJ55" s="9">
        <f t="shared" si="12"/>
        <v>4.4171091407637531E-2</v>
      </c>
      <c r="AK55" s="9">
        <f t="shared" si="13"/>
        <v>1.95108531614187E-3</v>
      </c>
      <c r="AL55" s="9">
        <f t="shared" si="14"/>
        <v>2.698213449946657E-2</v>
      </c>
      <c r="AM55" s="9">
        <f t="shared" si="15"/>
        <v>7.2803558214730414E-4</v>
      </c>
      <c r="AN55" s="8" t="s">
        <v>1524</v>
      </c>
    </row>
    <row r="56" spans="13:40" ht="23">
      <c r="M56" s="9" t="s">
        <v>2291</v>
      </c>
      <c r="N56" s="8" t="s">
        <v>150</v>
      </c>
      <c r="O56" s="8"/>
      <c r="P56" s="8"/>
      <c r="Q56" s="8"/>
      <c r="R56" s="8"/>
      <c r="S56" s="8"/>
      <c r="T56" s="8"/>
      <c r="U56" s="8"/>
      <c r="V56" s="8"/>
      <c r="W56" s="9" t="s">
        <v>2291</v>
      </c>
      <c r="X56" s="8">
        <v>4.22</v>
      </c>
      <c r="Y56" s="8">
        <v>1.22</v>
      </c>
      <c r="Z56" s="9">
        <v>0.27</v>
      </c>
      <c r="AA56" s="8">
        <v>14.8</v>
      </c>
      <c r="AB56" s="8">
        <v>42879</v>
      </c>
      <c r="AC56" s="22" t="s">
        <v>2291</v>
      </c>
      <c r="AD56" s="8" t="s">
        <v>3723</v>
      </c>
      <c r="AE56" s="8" t="s">
        <v>4083</v>
      </c>
      <c r="AF56" s="9">
        <f t="shared" si="8"/>
        <v>18.056000000000001</v>
      </c>
      <c r="AG56" s="9">
        <f t="shared" si="9"/>
        <v>6.66</v>
      </c>
      <c r="AH56" s="9">
        <f t="shared" si="10"/>
        <v>0.11347169724524456</v>
      </c>
      <c r="AI56" s="9">
        <f t="shared" si="11"/>
        <v>1.2875826075716442E-2</v>
      </c>
      <c r="AJ56" s="9">
        <f t="shared" si="12"/>
        <v>2.3896009901015796E-2</v>
      </c>
      <c r="AK56" s="9">
        <f t="shared" si="13"/>
        <v>5.7101928918944494E-4</v>
      </c>
      <c r="AL56" s="9">
        <f t="shared" si="14"/>
        <v>1.5075588571010684E-2</v>
      </c>
      <c r="AM56" s="9">
        <f t="shared" si="15"/>
        <v>2.2727337076238797E-4</v>
      </c>
      <c r="AN56" s="9" t="s">
        <v>2291</v>
      </c>
    </row>
    <row r="57" spans="13:40" ht="23">
      <c r="M57" s="9" t="s">
        <v>3204</v>
      </c>
      <c r="N57" s="8" t="s">
        <v>1902</v>
      </c>
      <c r="O57" s="8"/>
      <c r="P57" s="8"/>
      <c r="Q57" s="8"/>
      <c r="R57" s="8"/>
      <c r="S57" s="8"/>
      <c r="T57" s="8"/>
      <c r="U57" s="8"/>
      <c r="V57" s="8"/>
      <c r="W57" s="9" t="s">
        <v>3204</v>
      </c>
      <c r="X57" s="8">
        <v>51.67</v>
      </c>
      <c r="Y57" s="8">
        <v>3.94</v>
      </c>
      <c r="Z57" s="9">
        <v>2.04</v>
      </c>
      <c r="AA57" s="8">
        <v>12.7</v>
      </c>
      <c r="AB57" s="8">
        <v>12070</v>
      </c>
      <c r="AC57" s="22" t="s">
        <v>3204</v>
      </c>
      <c r="AD57" s="8" t="s">
        <v>4369</v>
      </c>
      <c r="AE57" s="8" t="s">
        <v>4083</v>
      </c>
      <c r="AF57" s="9">
        <f t="shared" si="8"/>
        <v>50.037999999999997</v>
      </c>
      <c r="AG57" s="9">
        <f t="shared" si="9"/>
        <v>26.246666666666666</v>
      </c>
      <c r="AH57" s="9">
        <f t="shared" si="10"/>
        <v>9.7370983446932832E-2</v>
      </c>
      <c r="AI57" s="9">
        <f t="shared" si="11"/>
        <v>9.4811084174228673E-3</v>
      </c>
      <c r="AJ57" s="9">
        <f t="shared" si="12"/>
        <v>6.6222227704199624E-2</v>
      </c>
      <c r="AK57" s="9">
        <f t="shared" si="13"/>
        <v>4.3853834421068638E-3</v>
      </c>
      <c r="AL57" s="9">
        <f t="shared" si="14"/>
        <v>5.9412004208277344E-2</v>
      </c>
      <c r="AM57" s="9">
        <f t="shared" si="15"/>
        <v>3.529786244044365E-3</v>
      </c>
      <c r="AN57" s="9" t="s">
        <v>3204</v>
      </c>
    </row>
    <row r="58" spans="13:40" ht="23">
      <c r="M58" s="9" t="s">
        <v>3580</v>
      </c>
      <c r="N58" s="8" t="s">
        <v>2074</v>
      </c>
      <c r="O58" s="8"/>
      <c r="P58" s="8" t="s">
        <v>3700</v>
      </c>
      <c r="Q58" s="8"/>
      <c r="R58" s="8"/>
      <c r="S58" s="8"/>
      <c r="T58" s="8"/>
      <c r="U58" s="8"/>
      <c r="V58" s="8"/>
      <c r="W58" s="9" t="s">
        <v>3580</v>
      </c>
      <c r="X58" s="8">
        <v>35.08</v>
      </c>
      <c r="Y58" s="8">
        <v>6.75</v>
      </c>
      <c r="Z58" s="9">
        <v>5.54</v>
      </c>
      <c r="AA58" s="8">
        <v>12.4</v>
      </c>
      <c r="AB58" s="8">
        <v>6284</v>
      </c>
      <c r="AC58" s="22" t="s">
        <v>3580</v>
      </c>
      <c r="AD58" s="8" t="s">
        <v>4369</v>
      </c>
      <c r="AE58" s="8" t="s">
        <v>4083</v>
      </c>
      <c r="AF58" s="9">
        <f t="shared" si="8"/>
        <v>83.7</v>
      </c>
      <c r="AG58" s="9">
        <f t="shared" si="9"/>
        <v>73.160000000000011</v>
      </c>
      <c r="AH58" s="9">
        <f t="shared" si="10"/>
        <v>9.5070881475745439E-2</v>
      </c>
      <c r="AI58" s="9">
        <f t="shared" si="11"/>
        <v>9.038472504575238E-3</v>
      </c>
      <c r="AJ58" s="9">
        <f t="shared" si="12"/>
        <v>0.1107718225916605</v>
      </c>
      <c r="AK58" s="9">
        <f t="shared" si="13"/>
        <v>1.2270396680278309E-2</v>
      </c>
      <c r="AL58" s="9">
        <f t="shared" si="14"/>
        <v>0.16560511409236361</v>
      </c>
      <c r="AM58" s="9">
        <f t="shared" si="15"/>
        <v>2.7425053813544771E-2</v>
      </c>
      <c r="AN58" s="9" t="s">
        <v>3580</v>
      </c>
    </row>
    <row r="59" spans="13:40" ht="23">
      <c r="M59" s="9" t="s">
        <v>2542</v>
      </c>
      <c r="N59" s="8" t="s">
        <v>150</v>
      </c>
      <c r="O59" s="8"/>
      <c r="P59" s="8"/>
      <c r="Q59" s="8"/>
      <c r="R59" s="8"/>
      <c r="S59" s="8"/>
      <c r="T59" s="8"/>
      <c r="U59" s="8"/>
      <c r="V59" s="8"/>
      <c r="W59" s="9" t="s">
        <v>2542</v>
      </c>
      <c r="X59" s="8">
        <v>15.17</v>
      </c>
      <c r="Y59" s="8">
        <v>2.9</v>
      </c>
      <c r="Z59" s="9">
        <v>1.39</v>
      </c>
      <c r="AA59" s="8">
        <v>12.2</v>
      </c>
      <c r="AB59" s="8">
        <v>18749</v>
      </c>
      <c r="AC59" s="22" t="s">
        <v>2542</v>
      </c>
      <c r="AD59" s="8" t="s">
        <v>4410</v>
      </c>
      <c r="AE59" s="8" t="s">
        <v>4083</v>
      </c>
      <c r="AF59" s="9">
        <f t="shared" si="8"/>
        <v>35.379999999999995</v>
      </c>
      <c r="AG59" s="9">
        <f t="shared" si="9"/>
        <v>20.13</v>
      </c>
      <c r="AH59" s="9">
        <f t="shared" si="10"/>
        <v>9.3537480161620501E-2</v>
      </c>
      <c r="AI59" s="9">
        <f t="shared" si="11"/>
        <v>8.7492601949855486E-3</v>
      </c>
      <c r="AJ59" s="9">
        <f t="shared" si="12"/>
        <v>4.6823262643882292E-2</v>
      </c>
      <c r="AK59" s="9">
        <f t="shared" si="13"/>
        <v>2.1924179246179828E-3</v>
      </c>
      <c r="AL59" s="9">
        <f t="shared" si="14"/>
        <v>4.5566305996162924E-2</v>
      </c>
      <c r="AM59" s="9">
        <f t="shared" si="15"/>
        <v>2.0762882421359531E-3</v>
      </c>
      <c r="AN59" s="9" t="s">
        <v>2542</v>
      </c>
    </row>
    <row r="60" spans="13:40" ht="23">
      <c r="M60" s="9" t="s">
        <v>2689</v>
      </c>
      <c r="N60" s="8" t="s">
        <v>1614</v>
      </c>
      <c r="O60" s="8"/>
      <c r="P60" s="8"/>
      <c r="Q60" s="8"/>
      <c r="R60" s="8"/>
      <c r="S60" s="8"/>
      <c r="T60" s="8"/>
      <c r="U60" s="8"/>
      <c r="V60" s="8"/>
      <c r="W60" s="9" t="s">
        <v>2689</v>
      </c>
      <c r="X60" s="8">
        <v>5.27</v>
      </c>
      <c r="Y60" s="8">
        <v>4.04</v>
      </c>
      <c r="Z60" s="9">
        <v>1.25</v>
      </c>
      <c r="AA60" s="8">
        <v>11.4</v>
      </c>
      <c r="AB60" s="8">
        <v>18634</v>
      </c>
      <c r="AC60" s="22" t="s">
        <v>2689</v>
      </c>
      <c r="AD60" s="8" t="s">
        <v>4413</v>
      </c>
      <c r="AE60" s="8" t="s">
        <v>4083</v>
      </c>
      <c r="AF60" s="9">
        <f t="shared" si="8"/>
        <v>46.056000000000004</v>
      </c>
      <c r="AG60" s="9">
        <f t="shared" si="9"/>
        <v>16.150000000000002</v>
      </c>
      <c r="AH60" s="9">
        <f t="shared" si="10"/>
        <v>8.7403874905120818E-2</v>
      </c>
      <c r="AI60" s="9">
        <f t="shared" si="11"/>
        <v>7.6394373484300086E-3</v>
      </c>
      <c r="AJ60" s="9">
        <f t="shared" si="12"/>
        <v>6.0952294638966738E-2</v>
      </c>
      <c r="AK60" s="9">
        <f t="shared" si="13"/>
        <v>3.7151822217554131E-3</v>
      </c>
      <c r="AL60" s="9">
        <f t="shared" si="14"/>
        <v>3.6557170483757145E-2</v>
      </c>
      <c r="AM60" s="9">
        <f t="shared" si="15"/>
        <v>1.3364267137784846E-3</v>
      </c>
      <c r="AN60" s="9" t="s">
        <v>2689</v>
      </c>
    </row>
    <row r="61" spans="13:40" ht="23">
      <c r="M61" s="8" t="s">
        <v>133</v>
      </c>
      <c r="N61" s="8" t="s">
        <v>150</v>
      </c>
      <c r="O61" s="8"/>
      <c r="P61" s="8" t="s">
        <v>3693</v>
      </c>
      <c r="Q61" s="8"/>
      <c r="R61" s="8"/>
      <c r="S61" s="8"/>
      <c r="T61" s="8"/>
      <c r="U61" s="8"/>
      <c r="V61" s="8"/>
      <c r="W61" s="8" t="s">
        <v>133</v>
      </c>
      <c r="X61" s="8">
        <v>26.68</v>
      </c>
      <c r="Y61" s="8">
        <v>5.0599999999999996</v>
      </c>
      <c r="Z61" s="9">
        <v>2.31</v>
      </c>
      <c r="AA61" s="8">
        <v>9.9</v>
      </c>
      <c r="AB61" s="8">
        <v>10635</v>
      </c>
      <c r="AC61" s="21" t="s">
        <v>133</v>
      </c>
      <c r="AD61" s="8" t="s">
        <v>4408</v>
      </c>
      <c r="AE61" s="8" t="s">
        <v>4083</v>
      </c>
      <c r="AF61" s="9">
        <f t="shared" si="8"/>
        <v>50.094000000000001</v>
      </c>
      <c r="AG61" s="9">
        <f t="shared" si="9"/>
        <v>24.914999999999999</v>
      </c>
      <c r="AH61" s="9">
        <f t="shared" si="10"/>
        <v>7.5903365049183866E-2</v>
      </c>
      <c r="AI61" s="9">
        <f t="shared" si="11"/>
        <v>5.761320825789667E-3</v>
      </c>
      <c r="AJ61" s="9">
        <f t="shared" si="12"/>
        <v>6.6296340273675522E-2</v>
      </c>
      <c r="AK61" s="9">
        <f t="shared" si="13"/>
        <v>4.3952047336829709E-3</v>
      </c>
      <c r="AL61" s="9">
        <f t="shared" si="14"/>
        <v>5.6397641028037716E-2</v>
      </c>
      <c r="AM61" s="9">
        <f t="shared" si="15"/>
        <v>3.1806939135274031E-3</v>
      </c>
      <c r="AN61" s="8" t="s">
        <v>133</v>
      </c>
    </row>
    <row r="62" spans="13:40" ht="23">
      <c r="M62" s="25" t="s">
        <v>2268</v>
      </c>
      <c r="N62" s="24" t="s">
        <v>150</v>
      </c>
      <c r="O62" s="8"/>
      <c r="P62" s="8" t="s">
        <v>3691</v>
      </c>
      <c r="Q62" s="8"/>
      <c r="R62" s="8"/>
      <c r="S62" s="8"/>
      <c r="T62" s="8"/>
      <c r="U62" s="8"/>
      <c r="V62" s="8"/>
      <c r="W62" s="25" t="s">
        <v>2268</v>
      </c>
      <c r="X62" s="24">
        <v>13.21</v>
      </c>
      <c r="Y62" s="24">
        <v>19.05</v>
      </c>
      <c r="Z62" s="25">
        <v>12.59</v>
      </c>
      <c r="AA62" s="24">
        <v>9.6</v>
      </c>
      <c r="AB62" s="24">
        <v>5313</v>
      </c>
      <c r="AC62" s="22" t="s">
        <v>2268</v>
      </c>
      <c r="AD62" s="8" t="s">
        <v>4408</v>
      </c>
      <c r="AE62" s="8" t="s">
        <v>4083</v>
      </c>
      <c r="AF62" s="9">
        <f t="shared" si="8"/>
        <v>182.88</v>
      </c>
      <c r="AG62" s="9">
        <f t="shared" si="9"/>
        <v>124.63999999999999</v>
      </c>
      <c r="AH62" s="9">
        <f t="shared" si="10"/>
        <v>7.3603263077996472E-2</v>
      </c>
      <c r="AI62" s="9">
        <f t="shared" si="11"/>
        <v>5.417440335728759E-3</v>
      </c>
      <c r="AJ62" s="9">
        <f t="shared" si="12"/>
        <v>0.24203047688844528</v>
      </c>
      <c r="AK62" s="9">
        <f t="shared" si="13"/>
        <v>5.8578751742848247E-2</v>
      </c>
      <c r="AL62" s="9">
        <f t="shared" si="14"/>
        <v>0.28213533926287859</v>
      </c>
      <c r="AM62" s="9">
        <f t="shared" si="15"/>
        <v>7.9600349660979605E-2</v>
      </c>
      <c r="AN62" s="25" t="s">
        <v>2268</v>
      </c>
    </row>
    <row r="63" spans="13:40" ht="23">
      <c r="M63" s="9" t="s">
        <v>2336</v>
      </c>
      <c r="N63" s="8" t="s">
        <v>150</v>
      </c>
      <c r="O63" s="8"/>
      <c r="P63" s="8" t="s">
        <v>3691</v>
      </c>
      <c r="Q63" s="8"/>
      <c r="R63" s="8"/>
      <c r="S63" s="8"/>
      <c r="T63" s="8"/>
      <c r="U63" s="8"/>
      <c r="V63" s="8"/>
      <c r="W63" s="9" t="s">
        <v>2336</v>
      </c>
      <c r="X63" s="8">
        <v>44.56</v>
      </c>
      <c r="Y63" s="8">
        <v>2.5099999999999998</v>
      </c>
      <c r="Z63" s="9">
        <v>0.48</v>
      </c>
      <c r="AA63" s="8">
        <v>8.9</v>
      </c>
      <c r="AB63" s="8">
        <v>25499</v>
      </c>
      <c r="AC63" s="22" t="s">
        <v>2336</v>
      </c>
      <c r="AD63" s="8" t="s">
        <v>4373</v>
      </c>
      <c r="AE63" s="8" t="s">
        <v>4083</v>
      </c>
      <c r="AF63" s="9">
        <f t="shared" si="8"/>
        <v>22.338999999999999</v>
      </c>
      <c r="AG63" s="9">
        <f t="shared" si="9"/>
        <v>7.120000000000001</v>
      </c>
      <c r="AH63" s="9">
        <f t="shared" si="10"/>
        <v>6.8236358478559231E-2</v>
      </c>
      <c r="AI63" s="9">
        <f t="shared" si="11"/>
        <v>4.6562006184144421E-3</v>
      </c>
      <c r="AJ63" s="9">
        <f t="shared" si="12"/>
        <v>2.9564298027181645E-2</v>
      </c>
      <c r="AK63" s="9">
        <f t="shared" si="13"/>
        <v>8.7404771784001646E-4</v>
      </c>
      <c r="AL63" s="9">
        <f t="shared" si="14"/>
        <v>1.6116845439278691E-2</v>
      </c>
      <c r="AM63" s="9">
        <f t="shared" si="15"/>
        <v>2.5975270691359833E-4</v>
      </c>
      <c r="AN63" s="9" t="s">
        <v>2336</v>
      </c>
    </row>
    <row r="64" spans="13:40" ht="23">
      <c r="M64" s="9" t="s">
        <v>3189</v>
      </c>
      <c r="N64" s="8" t="s">
        <v>1869</v>
      </c>
      <c r="O64" s="8"/>
      <c r="P64" s="8"/>
      <c r="Q64" s="8"/>
      <c r="R64" s="8"/>
      <c r="S64" s="8"/>
      <c r="T64" s="8"/>
      <c r="U64" s="8"/>
      <c r="V64" s="8"/>
      <c r="W64" s="9" t="s">
        <v>3189</v>
      </c>
      <c r="X64" s="8">
        <v>24.03</v>
      </c>
      <c r="Y64" s="8">
        <v>8.2899999999999991</v>
      </c>
      <c r="Z64" s="9">
        <v>8.09</v>
      </c>
      <c r="AA64" s="8">
        <v>8.8000000000000007</v>
      </c>
      <c r="AB64" s="8">
        <v>10137</v>
      </c>
      <c r="AC64" s="22" t="s">
        <v>3189</v>
      </c>
      <c r="AD64" s="8" t="s">
        <v>3723</v>
      </c>
      <c r="AE64" s="8" t="s">
        <v>4083</v>
      </c>
      <c r="AF64" s="9">
        <f t="shared" si="8"/>
        <v>72.951999999999998</v>
      </c>
      <c r="AG64" s="9">
        <f t="shared" si="9"/>
        <v>71.720000000000013</v>
      </c>
      <c r="AH64" s="9">
        <f t="shared" si="10"/>
        <v>6.7469657821496762E-2</v>
      </c>
      <c r="AI64" s="9">
        <f t="shared" si="11"/>
        <v>4.5521547265498594E-3</v>
      </c>
      <c r="AJ64" s="9">
        <f t="shared" si="12"/>
        <v>9.6547503007249902E-2</v>
      </c>
      <c r="AK64" s="9">
        <f t="shared" si="13"/>
        <v>9.3214203369349283E-3</v>
      </c>
      <c r="AL64" s="9">
        <f t="shared" si="14"/>
        <v>0.16234552737430727</v>
      </c>
      <c r="AM64" s="9">
        <f t="shared" si="15"/>
        <v>2.6356070258441951E-2</v>
      </c>
      <c r="AN64" s="9" t="s">
        <v>3189</v>
      </c>
    </row>
    <row r="65" spans="13:40" ht="23">
      <c r="M65" s="9" t="s">
        <v>2140</v>
      </c>
      <c r="N65" s="8" t="s">
        <v>150</v>
      </c>
      <c r="O65" s="8"/>
      <c r="P65" s="8" t="s">
        <v>3705</v>
      </c>
      <c r="Q65" s="8"/>
      <c r="R65" s="8"/>
      <c r="S65" s="8"/>
      <c r="T65" s="8"/>
      <c r="U65" s="8"/>
      <c r="V65" s="8"/>
      <c r="W65" s="9" t="s">
        <v>2140</v>
      </c>
      <c r="X65" s="8">
        <v>22.06</v>
      </c>
      <c r="Y65" s="8">
        <v>6.98</v>
      </c>
      <c r="Z65" s="9">
        <v>7.04</v>
      </c>
      <c r="AA65" s="8">
        <v>8.1999999999999993</v>
      </c>
      <c r="AB65" s="8">
        <v>9535</v>
      </c>
      <c r="AC65" s="22" t="s">
        <v>2140</v>
      </c>
      <c r="AD65" s="8" t="s">
        <v>3723</v>
      </c>
      <c r="AE65" s="8" t="s">
        <v>4083</v>
      </c>
      <c r="AF65" s="9">
        <f t="shared" si="8"/>
        <v>57.235999999999997</v>
      </c>
      <c r="AG65" s="9">
        <f t="shared" si="9"/>
        <v>57.946666666666658</v>
      </c>
      <c r="AH65" s="9">
        <f t="shared" si="10"/>
        <v>6.2869453879121975E-2</v>
      </c>
      <c r="AI65" s="9">
        <f t="shared" si="11"/>
        <v>3.9525682310590452E-3</v>
      </c>
      <c r="AJ65" s="9">
        <f t="shared" si="12"/>
        <v>7.5748339759334288E-2</v>
      </c>
      <c r="AK65" s="9">
        <f t="shared" si="13"/>
        <v>5.7378109762955438E-3</v>
      </c>
      <c r="AL65" s="9">
        <f t="shared" si="14"/>
        <v>0.13116818404326813</v>
      </c>
      <c r="AM65" s="9">
        <f t="shared" si="15"/>
        <v>1.7205092505208661E-2</v>
      </c>
      <c r="AN65" s="9" t="s">
        <v>2140</v>
      </c>
    </row>
    <row r="66" spans="13:40" ht="23">
      <c r="M66" s="9" t="s">
        <v>2845</v>
      </c>
      <c r="N66" s="8" t="s">
        <v>1614</v>
      </c>
      <c r="O66" s="8"/>
      <c r="P66" s="8"/>
      <c r="Q66" s="8"/>
      <c r="R66" s="8"/>
      <c r="S66" s="8"/>
      <c r="T66" s="8"/>
      <c r="U66" s="8"/>
      <c r="V66" s="8"/>
      <c r="W66" s="9" t="s">
        <v>2845</v>
      </c>
      <c r="X66" s="8">
        <v>3.33</v>
      </c>
      <c r="Y66" s="8">
        <v>4.7699999999999996</v>
      </c>
      <c r="Z66" s="9">
        <v>4.1399999999999997</v>
      </c>
      <c r="AA66" s="8">
        <v>7.6</v>
      </c>
      <c r="AB66" s="8">
        <v>64567</v>
      </c>
      <c r="AC66" s="22" t="s">
        <v>2845</v>
      </c>
      <c r="AD66" s="8" t="s">
        <v>3723</v>
      </c>
      <c r="AE66" s="8" t="s">
        <v>4083</v>
      </c>
      <c r="AF66" s="9">
        <f t="shared" ref="AF66:AF97" si="16">(AA66*Y66)</f>
        <v>36.251999999999995</v>
      </c>
      <c r="AG66" s="9">
        <f t="shared" ref="AG66:AG97" si="17">((((RIGHT(Z66,2))/60)+(LEFT(Z66,2)))*AA66)</f>
        <v>32.173333333333332</v>
      </c>
      <c r="AH66" s="9">
        <f t="shared" ref="AH66:AH97" si="18">(AA66/$AA$107)*100</f>
        <v>5.826924993674721E-2</v>
      </c>
      <c r="AI66" s="9">
        <f t="shared" ref="AI66:AI97" si="19">(AH66*AH66)</f>
        <v>3.3953054881911146E-3</v>
      </c>
      <c r="AJ66" s="9">
        <f t="shared" ref="AJ66:AJ97" si="20">(AF66/$AF$107)*100</f>
        <v>4.7977301225721337E-2</v>
      </c>
      <c r="AK66" s="9">
        <f t="shared" ref="AK66:AK97" si="21">(AJ66*AJ66)</f>
        <v>2.3018214329036022E-3</v>
      </c>
      <c r="AL66" s="9">
        <f t="shared" ref="AL66:AL97" si="22">(AG66/$AG$107)*100</f>
        <v>7.2827618061759317E-2</v>
      </c>
      <c r="AM66" s="9">
        <f t="shared" ref="AM66:AM97" si="23">(AL66*AL66)</f>
        <v>5.3038619525494915E-3</v>
      </c>
      <c r="AN66" s="9" t="s">
        <v>2845</v>
      </c>
    </row>
    <row r="67" spans="13:40" ht="23">
      <c r="M67" s="8" t="s">
        <v>159</v>
      </c>
      <c r="N67" s="8" t="s">
        <v>150</v>
      </c>
      <c r="O67" s="8"/>
      <c r="P67" s="8"/>
      <c r="Q67" s="8"/>
      <c r="R67" s="8"/>
      <c r="S67" s="8"/>
      <c r="T67" s="8"/>
      <c r="U67" s="8"/>
      <c r="V67" s="8"/>
      <c r="W67" s="8" t="s">
        <v>159</v>
      </c>
      <c r="X67" s="8">
        <v>28.69</v>
      </c>
      <c r="Y67" s="8">
        <v>21.62</v>
      </c>
      <c r="Z67" s="9">
        <v>27.18</v>
      </c>
      <c r="AA67" s="8">
        <v>6.5</v>
      </c>
      <c r="AB67" s="8">
        <v>8178</v>
      </c>
      <c r="AC67" s="21" t="s">
        <v>159</v>
      </c>
      <c r="AD67" s="8" t="s">
        <v>4410</v>
      </c>
      <c r="AE67" s="8" t="s">
        <v>4083</v>
      </c>
      <c r="AF67" s="9">
        <f t="shared" si="16"/>
        <v>140.53</v>
      </c>
      <c r="AG67" s="9">
        <f t="shared" si="17"/>
        <v>177.45000000000002</v>
      </c>
      <c r="AH67" s="9">
        <f t="shared" si="18"/>
        <v>4.9835542709060106E-2</v>
      </c>
      <c r="AI67" s="9">
        <f t="shared" si="19"/>
        <v>2.483581317106554E-3</v>
      </c>
      <c r="AJ67" s="9">
        <f t="shared" si="20"/>
        <v>0.1859828462222945</v>
      </c>
      <c r="AK67" s="9">
        <f t="shared" si="21"/>
        <v>3.4589619088945645E-2</v>
      </c>
      <c r="AL67" s="9">
        <f t="shared" si="22"/>
        <v>0.40167615494382075</v>
      </c>
      <c r="AM67" s="9">
        <f t="shared" si="23"/>
        <v>0.1613437334504523</v>
      </c>
      <c r="AN67" s="8" t="s">
        <v>159</v>
      </c>
    </row>
    <row r="68" spans="13:40" ht="23">
      <c r="M68" s="9" t="s">
        <v>4964</v>
      </c>
      <c r="N68" s="8" t="s">
        <v>2100</v>
      </c>
      <c r="O68" s="8"/>
      <c r="P68" s="8" t="s">
        <v>3698</v>
      </c>
      <c r="Q68" s="8"/>
      <c r="R68" s="8"/>
      <c r="S68" s="8"/>
      <c r="T68" s="8"/>
      <c r="U68" s="8"/>
      <c r="V68" s="8"/>
      <c r="W68" s="9" t="s">
        <v>4964</v>
      </c>
      <c r="X68" s="8">
        <v>50.43</v>
      </c>
      <c r="Y68" s="8">
        <v>23.25</v>
      </c>
      <c r="Z68" s="9">
        <v>21.04</v>
      </c>
      <c r="AA68" s="8">
        <v>6.3</v>
      </c>
      <c r="AB68" s="8">
        <v>6647</v>
      </c>
      <c r="AC68" s="22" t="s">
        <v>4964</v>
      </c>
      <c r="AD68" s="8" t="s">
        <v>3723</v>
      </c>
      <c r="AE68" s="8" t="s">
        <v>4083</v>
      </c>
      <c r="AF68" s="9">
        <f t="shared" si="16"/>
        <v>146.47499999999999</v>
      </c>
      <c r="AG68" s="9">
        <f t="shared" si="17"/>
        <v>132.72</v>
      </c>
      <c r="AH68" s="9">
        <f t="shared" si="18"/>
        <v>4.8302141394935182E-2</v>
      </c>
      <c r="AI68" s="9">
        <f t="shared" si="19"/>
        <v>2.3330968633363106E-3</v>
      </c>
      <c r="AJ68" s="9">
        <f t="shared" si="20"/>
        <v>0.19385068953540588</v>
      </c>
      <c r="AK68" s="9">
        <f t="shared" si="21"/>
        <v>3.757808983335232E-2</v>
      </c>
      <c r="AL68" s="9">
        <f t="shared" si="22"/>
        <v>0.30042524251419489</v>
      </c>
      <c r="AM68" s="9">
        <f t="shared" si="23"/>
        <v>9.025532633971281E-2</v>
      </c>
      <c r="AN68" s="9" t="s">
        <v>4964</v>
      </c>
    </row>
    <row r="69" spans="13:40" ht="23">
      <c r="M69" s="8" t="s">
        <v>985</v>
      </c>
      <c r="N69" s="8" t="s">
        <v>150</v>
      </c>
      <c r="O69" s="8"/>
      <c r="P69" s="8"/>
      <c r="Q69" s="8"/>
      <c r="R69" s="8"/>
      <c r="S69" s="8"/>
      <c r="T69" s="8"/>
      <c r="U69" s="8"/>
      <c r="V69" s="8"/>
      <c r="W69" s="8" t="s">
        <v>985</v>
      </c>
      <c r="X69" s="8">
        <v>27.94</v>
      </c>
      <c r="Y69" s="8">
        <v>16.329999999999998</v>
      </c>
      <c r="Z69" s="9">
        <v>14.37</v>
      </c>
      <c r="AA69" s="8">
        <v>5.5</v>
      </c>
      <c r="AB69" s="8">
        <v>9228</v>
      </c>
      <c r="AC69" s="21" t="s">
        <v>985</v>
      </c>
      <c r="AD69" s="8" t="s">
        <v>4408</v>
      </c>
      <c r="AE69" s="8" t="s">
        <v>4083</v>
      </c>
      <c r="AF69" s="9">
        <f t="shared" si="16"/>
        <v>89.814999999999998</v>
      </c>
      <c r="AG69" s="9">
        <f t="shared" si="17"/>
        <v>80.391666666666666</v>
      </c>
      <c r="AH69" s="9">
        <f t="shared" si="18"/>
        <v>4.2168536138435478E-2</v>
      </c>
      <c r="AI69" s="9">
        <f t="shared" si="19"/>
        <v>1.7781854400585389E-3</v>
      </c>
      <c r="AJ69" s="9">
        <f t="shared" si="20"/>
        <v>0.11886465049068085</v>
      </c>
      <c r="AK69" s="9">
        <f t="shared" si="21"/>
        <v>1.4128805136271714E-2</v>
      </c>
      <c r="AL69" s="9">
        <f t="shared" si="22"/>
        <v>0.18197472840908416</v>
      </c>
      <c r="AM69" s="9">
        <f t="shared" si="23"/>
        <v>3.3114801779559944E-2</v>
      </c>
      <c r="AN69" s="8" t="s">
        <v>985</v>
      </c>
    </row>
    <row r="70" spans="13:40" ht="23">
      <c r="M70" s="8" t="s">
        <v>1207</v>
      </c>
      <c r="N70" s="8" t="s">
        <v>150</v>
      </c>
      <c r="O70" s="8"/>
      <c r="P70" s="8" t="s">
        <v>3698</v>
      </c>
      <c r="Q70" s="8"/>
      <c r="R70" s="8"/>
      <c r="S70" s="8"/>
      <c r="T70" s="8"/>
      <c r="U70" s="8"/>
      <c r="V70" s="8"/>
      <c r="W70" s="8" t="s">
        <v>1207</v>
      </c>
      <c r="X70" s="8">
        <v>25</v>
      </c>
      <c r="Y70" s="8">
        <v>4.08</v>
      </c>
      <c r="Z70" s="9">
        <v>4.5199999999999996</v>
      </c>
      <c r="AA70" s="8">
        <v>5.4</v>
      </c>
      <c r="AB70" s="8">
        <v>20259</v>
      </c>
      <c r="AC70" s="21" t="s">
        <v>1207</v>
      </c>
      <c r="AD70" s="8" t="s">
        <v>3723</v>
      </c>
      <c r="AE70" s="8" t="s">
        <v>4083</v>
      </c>
      <c r="AF70" s="9">
        <f t="shared" si="16"/>
        <v>22.032000000000004</v>
      </c>
      <c r="AG70" s="9">
        <f t="shared" si="17"/>
        <v>26.280000000000005</v>
      </c>
      <c r="AH70" s="9">
        <f t="shared" si="18"/>
        <v>4.1401835481373016E-2</v>
      </c>
      <c r="AI70" s="9">
        <f t="shared" si="19"/>
        <v>1.7141119812266775E-3</v>
      </c>
      <c r="AJ70" s="9">
        <f t="shared" si="20"/>
        <v>2.9158002333804833E-2</v>
      </c>
      <c r="AK70" s="9">
        <f t="shared" si="21"/>
        <v>8.5018910009816815E-4</v>
      </c>
      <c r="AL70" s="9">
        <f t="shared" si="22"/>
        <v>5.9487457604528657E-2</v>
      </c>
      <c r="AM70" s="9">
        <f t="shared" si="23"/>
        <v>3.5387576122505944E-3</v>
      </c>
      <c r="AN70" s="8" t="s">
        <v>1207</v>
      </c>
    </row>
    <row r="71" spans="13:40" ht="23">
      <c r="M71" s="8" t="s">
        <v>4955</v>
      </c>
      <c r="N71" s="8" t="s">
        <v>150</v>
      </c>
      <c r="O71" s="8"/>
      <c r="P71" s="8"/>
      <c r="Q71" s="8"/>
      <c r="R71" s="8"/>
      <c r="S71" s="8"/>
      <c r="T71" s="8"/>
      <c r="U71" s="8"/>
      <c r="V71" s="8"/>
      <c r="W71" s="8" t="s">
        <v>4955</v>
      </c>
      <c r="X71" s="8">
        <v>3.23</v>
      </c>
      <c r="Y71" s="8">
        <v>3.34</v>
      </c>
      <c r="Z71" s="9">
        <v>2.21</v>
      </c>
      <c r="AA71" s="8">
        <v>5.2</v>
      </c>
      <c r="AB71" s="8">
        <v>23845</v>
      </c>
      <c r="AC71" s="21" t="s">
        <v>4955</v>
      </c>
      <c r="AD71" s="8" t="s">
        <v>3723</v>
      </c>
      <c r="AE71" s="8" t="s">
        <v>4083</v>
      </c>
      <c r="AF71" s="9">
        <f t="shared" si="16"/>
        <v>17.367999999999999</v>
      </c>
      <c r="AG71" s="9">
        <f t="shared" si="17"/>
        <v>12.22</v>
      </c>
      <c r="AH71" s="9">
        <f t="shared" si="18"/>
        <v>3.9868434167248092E-2</v>
      </c>
      <c r="AI71" s="9">
        <f t="shared" si="19"/>
        <v>1.589492042948195E-3</v>
      </c>
      <c r="AJ71" s="9">
        <f t="shared" si="20"/>
        <v>2.2985484047454711E-2</v>
      </c>
      <c r="AK71" s="9">
        <f t="shared" si="21"/>
        <v>5.2833247689579494E-4</v>
      </c>
      <c r="AL71" s="9">
        <f t="shared" si="22"/>
        <v>2.7661215065728311E-2</v>
      </c>
      <c r="AM71" s="9">
        <f t="shared" si="23"/>
        <v>7.6514281891247485E-4</v>
      </c>
      <c r="AN71" s="8" t="s">
        <v>4955</v>
      </c>
    </row>
    <row r="72" spans="13:40" ht="23">
      <c r="M72" s="9" t="s">
        <v>2525</v>
      </c>
      <c r="N72" s="8" t="s">
        <v>150</v>
      </c>
      <c r="O72" s="8"/>
      <c r="P72" s="8"/>
      <c r="Q72" s="8"/>
      <c r="R72" s="8"/>
      <c r="S72" s="8"/>
      <c r="T72" s="8"/>
      <c r="U72" s="8"/>
      <c r="V72" s="8"/>
      <c r="W72" s="9" t="s">
        <v>2525</v>
      </c>
      <c r="X72" s="8">
        <v>17.2</v>
      </c>
      <c r="Y72" s="8">
        <v>3.6</v>
      </c>
      <c r="Z72" s="9">
        <v>3.41</v>
      </c>
      <c r="AA72" s="8">
        <v>5.0999999999999996</v>
      </c>
      <c r="AB72" s="8">
        <v>19236</v>
      </c>
      <c r="AC72" s="22" t="s">
        <v>2525</v>
      </c>
      <c r="AD72" s="8" t="s">
        <v>4410</v>
      </c>
      <c r="AE72" s="8" t="s">
        <v>4083</v>
      </c>
      <c r="AF72" s="9">
        <f t="shared" si="16"/>
        <v>18.36</v>
      </c>
      <c r="AG72" s="9">
        <f t="shared" si="17"/>
        <v>18.785</v>
      </c>
      <c r="AH72" s="9">
        <f t="shared" si="18"/>
        <v>3.9101733510185623E-2</v>
      </c>
      <c r="AI72" s="9">
        <f t="shared" si="19"/>
        <v>1.5289455635015732E-3</v>
      </c>
      <c r="AJ72" s="9">
        <f t="shared" si="20"/>
        <v>2.4298335278170689E-2</v>
      </c>
      <c r="AK72" s="9">
        <f t="shared" si="21"/>
        <v>5.9040909729039424E-4</v>
      </c>
      <c r="AL72" s="9">
        <f t="shared" si="22"/>
        <v>4.2521761457422771E-2</v>
      </c>
      <c r="AM72" s="9">
        <f t="shared" si="23"/>
        <v>1.8081001974419647E-3</v>
      </c>
      <c r="AN72" s="9" t="s">
        <v>2525</v>
      </c>
    </row>
    <row r="73" spans="13:40" ht="23">
      <c r="M73" s="9" t="s">
        <v>3333</v>
      </c>
      <c r="N73" s="8" t="s">
        <v>1964</v>
      </c>
      <c r="O73" s="8"/>
      <c r="P73" s="8"/>
      <c r="Q73" s="8"/>
      <c r="R73" s="8"/>
      <c r="S73" s="8"/>
      <c r="T73" s="8"/>
      <c r="U73" s="8"/>
      <c r="V73" s="8"/>
      <c r="W73" s="9" t="s">
        <v>3333</v>
      </c>
      <c r="X73" s="8">
        <v>27.26</v>
      </c>
      <c r="Y73" s="8">
        <v>3.81</v>
      </c>
      <c r="Z73" s="9">
        <v>2.57</v>
      </c>
      <c r="AA73" s="8">
        <v>4.8</v>
      </c>
      <c r="AB73" s="8">
        <v>23535</v>
      </c>
      <c r="AC73" s="22" t="s">
        <v>3333</v>
      </c>
      <c r="AD73" s="8" t="s">
        <v>3723</v>
      </c>
      <c r="AE73" s="8" t="s">
        <v>4083</v>
      </c>
      <c r="AF73" s="9">
        <f t="shared" si="16"/>
        <v>18.288</v>
      </c>
      <c r="AG73" s="9">
        <f t="shared" si="17"/>
        <v>14.16</v>
      </c>
      <c r="AH73" s="9">
        <f t="shared" si="18"/>
        <v>3.6801631538998236E-2</v>
      </c>
      <c r="AI73" s="9">
        <f t="shared" si="19"/>
        <v>1.3543600839321897E-3</v>
      </c>
      <c r="AJ73" s="9">
        <f t="shared" si="20"/>
        <v>2.4203047688844532E-2</v>
      </c>
      <c r="AK73" s="9">
        <f t="shared" si="21"/>
        <v>5.857875174284826E-4</v>
      </c>
      <c r="AL73" s="9">
        <f t="shared" si="22"/>
        <v>3.2052602727554245E-2</v>
      </c>
      <c r="AM73" s="9">
        <f t="shared" si="23"/>
        <v>1.0273693416104179E-3</v>
      </c>
      <c r="AN73" s="9" t="s">
        <v>3333</v>
      </c>
    </row>
    <row r="74" spans="13:40" ht="23">
      <c r="M74" s="8" t="s">
        <v>891</v>
      </c>
      <c r="N74" s="8" t="s">
        <v>150</v>
      </c>
      <c r="O74" s="8"/>
      <c r="P74" s="8"/>
      <c r="Q74" s="8"/>
      <c r="R74" s="8"/>
      <c r="S74" s="8"/>
      <c r="T74" s="8"/>
      <c r="U74" s="8"/>
      <c r="V74" s="8"/>
      <c r="W74" s="8" t="s">
        <v>891</v>
      </c>
      <c r="X74" s="8">
        <v>12.37</v>
      </c>
      <c r="Y74" s="8">
        <v>2.99</v>
      </c>
      <c r="Z74" s="9">
        <v>0.57999999999999996</v>
      </c>
      <c r="AA74" s="8">
        <v>4.8</v>
      </c>
      <c r="AB74" s="8">
        <v>45876</v>
      </c>
      <c r="AC74" s="21" t="s">
        <v>891</v>
      </c>
      <c r="AD74" s="8" t="s">
        <v>4410</v>
      </c>
      <c r="AE74" s="8" t="s">
        <v>4083</v>
      </c>
      <c r="AF74" s="9">
        <f t="shared" si="16"/>
        <v>14.352</v>
      </c>
      <c r="AG74" s="9">
        <f t="shared" si="17"/>
        <v>4.6399999999999997</v>
      </c>
      <c r="AH74" s="9">
        <f t="shared" si="18"/>
        <v>3.6801631538998236E-2</v>
      </c>
      <c r="AI74" s="9">
        <f t="shared" si="19"/>
        <v>1.3543600839321897E-3</v>
      </c>
      <c r="AJ74" s="9">
        <f t="shared" si="20"/>
        <v>1.8993992805681141E-2</v>
      </c>
      <c r="AK74" s="9">
        <f t="shared" si="21"/>
        <v>3.6077176270226692E-4</v>
      </c>
      <c r="AL74" s="9">
        <f t="shared" si="22"/>
        <v>1.0503112758181617E-2</v>
      </c>
      <c r="AM74" s="9">
        <f t="shared" si="23"/>
        <v>1.1031537761107745E-4</v>
      </c>
      <c r="AN74" s="8" t="s">
        <v>891</v>
      </c>
    </row>
    <row r="75" spans="13:40" ht="23">
      <c r="M75" s="9" t="s">
        <v>3245</v>
      </c>
      <c r="N75" s="8" t="s">
        <v>1902</v>
      </c>
      <c r="O75" s="8"/>
      <c r="P75" s="8"/>
      <c r="Q75" s="8"/>
      <c r="R75" s="8"/>
      <c r="S75" s="8"/>
      <c r="T75" s="8"/>
      <c r="U75" s="8"/>
      <c r="V75" s="8"/>
      <c r="W75" s="9" t="s">
        <v>3245</v>
      </c>
      <c r="X75" s="8">
        <v>13.73</v>
      </c>
      <c r="Y75" s="8">
        <v>2.5</v>
      </c>
      <c r="Z75" s="9">
        <v>0.43</v>
      </c>
      <c r="AA75" s="8">
        <v>4.7</v>
      </c>
      <c r="AB75" s="8">
        <v>47424</v>
      </c>
      <c r="AC75" s="22" t="s">
        <v>3245</v>
      </c>
      <c r="AD75" s="8" t="s">
        <v>3723</v>
      </c>
      <c r="AE75" s="8" t="s">
        <v>4083</v>
      </c>
      <c r="AF75" s="9">
        <f t="shared" si="16"/>
        <v>11.75</v>
      </c>
      <c r="AG75" s="9">
        <f t="shared" si="17"/>
        <v>3.3683333333333336</v>
      </c>
      <c r="AH75" s="9">
        <f t="shared" si="18"/>
        <v>3.6034930881935774E-2</v>
      </c>
      <c r="AI75" s="9">
        <f t="shared" si="19"/>
        <v>1.2985162436658885E-3</v>
      </c>
      <c r="AJ75" s="9">
        <f t="shared" si="20"/>
        <v>1.5550405202532987E-2</v>
      </c>
      <c r="AK75" s="9">
        <f t="shared" si="21"/>
        <v>2.4181510196296497E-4</v>
      </c>
      <c r="AL75" s="9">
        <f t="shared" si="22"/>
        <v>7.6245656911943438E-3</v>
      </c>
      <c r="AM75" s="9">
        <f t="shared" si="23"/>
        <v>5.813400197933788E-5</v>
      </c>
      <c r="AN75" s="9" t="s">
        <v>3245</v>
      </c>
    </row>
    <row r="76" spans="13:40" ht="23">
      <c r="M76" s="9" t="s">
        <v>2225</v>
      </c>
      <c r="N76" s="8" t="s">
        <v>150</v>
      </c>
      <c r="O76" s="8"/>
      <c r="P76" s="8"/>
      <c r="Q76" s="8"/>
      <c r="R76" s="8"/>
      <c r="S76" s="8"/>
      <c r="T76" s="8"/>
      <c r="U76" s="8"/>
      <c r="V76" s="8"/>
      <c r="W76" s="9" t="s">
        <v>2225</v>
      </c>
      <c r="X76" s="8">
        <v>24.35</v>
      </c>
      <c r="Y76" s="8">
        <v>4.7</v>
      </c>
      <c r="Z76" s="9">
        <v>2.39</v>
      </c>
      <c r="AA76" s="8">
        <v>4.3</v>
      </c>
      <c r="AB76" s="8">
        <v>20366</v>
      </c>
      <c r="AC76" s="22" t="s">
        <v>2225</v>
      </c>
      <c r="AD76" s="8" t="s">
        <v>4409</v>
      </c>
      <c r="AE76" s="8" t="s">
        <v>4083</v>
      </c>
      <c r="AF76" s="9">
        <f t="shared" si="16"/>
        <v>20.21</v>
      </c>
      <c r="AG76" s="9">
        <f t="shared" si="17"/>
        <v>11.395</v>
      </c>
      <c r="AH76" s="9">
        <f t="shared" si="18"/>
        <v>3.2968128253685919E-2</v>
      </c>
      <c r="AI76" s="9">
        <f t="shared" si="19"/>
        <v>1.0868974805514837E-3</v>
      </c>
      <c r="AJ76" s="9">
        <f t="shared" si="20"/>
        <v>2.6746696948356737E-2</v>
      </c>
      <c r="AK76" s="9">
        <f t="shared" si="21"/>
        <v>7.1538579764723561E-4</v>
      </c>
      <c r="AL76" s="9">
        <f t="shared" si="22"/>
        <v>2.5793743508508517E-2</v>
      </c>
      <c r="AM76" s="9">
        <f t="shared" si="23"/>
        <v>6.6531720418272532E-4</v>
      </c>
      <c r="AN76" s="9" t="s">
        <v>2225</v>
      </c>
    </row>
    <row r="77" spans="13:40" ht="23">
      <c r="M77" s="8" t="s">
        <v>1645</v>
      </c>
      <c r="N77" s="8" t="s">
        <v>1614</v>
      </c>
      <c r="O77" s="8"/>
      <c r="P77" s="8"/>
      <c r="Q77" s="8"/>
      <c r="R77" s="8"/>
      <c r="S77" s="8"/>
      <c r="T77" s="8"/>
      <c r="U77" s="8"/>
      <c r="V77" s="8"/>
      <c r="W77" s="8" t="s">
        <v>1645</v>
      </c>
      <c r="X77" s="8">
        <v>8.35</v>
      </c>
      <c r="Y77" s="8">
        <v>2.57</v>
      </c>
      <c r="Z77" s="9">
        <v>0.15</v>
      </c>
      <c r="AA77" s="8">
        <v>4.0999999999999996</v>
      </c>
      <c r="AB77" s="8">
        <v>73177</v>
      </c>
      <c r="AC77" s="21" t="s">
        <v>1645</v>
      </c>
      <c r="AD77" s="8" t="s">
        <v>4369</v>
      </c>
      <c r="AE77" s="8" t="s">
        <v>4083</v>
      </c>
      <c r="AF77" s="9">
        <f t="shared" si="16"/>
        <v>10.536999999999999</v>
      </c>
      <c r="AG77" s="9">
        <f t="shared" si="17"/>
        <v>1.0249999999999999</v>
      </c>
      <c r="AH77" s="9">
        <f t="shared" si="18"/>
        <v>3.1434726939560988E-2</v>
      </c>
      <c r="AI77" s="9">
        <f t="shared" si="19"/>
        <v>9.881420577647613E-4</v>
      </c>
      <c r="AJ77" s="9">
        <f t="shared" si="20"/>
        <v>1.3945074010135323E-2</v>
      </c>
      <c r="AK77" s="9">
        <f t="shared" si="21"/>
        <v>1.9446508914815167E-4</v>
      </c>
      <c r="AL77" s="9">
        <f t="shared" si="22"/>
        <v>2.3201919347276201E-3</v>
      </c>
      <c r="AM77" s="9">
        <f t="shared" si="23"/>
        <v>5.383290613975097E-6</v>
      </c>
      <c r="AN77" s="8" t="s">
        <v>1645</v>
      </c>
    </row>
    <row r="78" spans="13:40" ht="23">
      <c r="M78" s="8" t="s">
        <v>25</v>
      </c>
      <c r="N78" s="8" t="s">
        <v>24</v>
      </c>
      <c r="O78" s="8"/>
      <c r="P78" s="8"/>
      <c r="Q78" s="8"/>
      <c r="R78" s="8"/>
      <c r="S78" s="8"/>
      <c r="T78" s="8"/>
      <c r="U78" s="8"/>
      <c r="V78" s="8"/>
      <c r="W78" s="8" t="s">
        <v>25</v>
      </c>
      <c r="X78" s="8">
        <v>29.99</v>
      </c>
      <c r="Y78" s="8">
        <v>5.51</v>
      </c>
      <c r="Z78" s="9">
        <v>4.3499999999999996</v>
      </c>
      <c r="AA78" s="8">
        <v>4</v>
      </c>
      <c r="AB78" s="8">
        <v>22289</v>
      </c>
      <c r="AC78" s="21" t="s">
        <v>25</v>
      </c>
      <c r="AD78" s="8" t="s">
        <v>3723</v>
      </c>
      <c r="AE78" s="8" t="s">
        <v>4083</v>
      </c>
      <c r="AF78" s="9">
        <f t="shared" si="16"/>
        <v>22.04</v>
      </c>
      <c r="AG78" s="9">
        <f t="shared" si="17"/>
        <v>18.333333333333332</v>
      </c>
      <c r="AH78" s="9">
        <f t="shared" si="18"/>
        <v>3.0668026282498529E-2</v>
      </c>
      <c r="AI78" s="9">
        <f t="shared" si="19"/>
        <v>9.4052783606402056E-4</v>
      </c>
      <c r="AJ78" s="9">
        <f t="shared" si="20"/>
        <v>2.9168589843729956E-2</v>
      </c>
      <c r="AK78" s="9">
        <f t="shared" si="21"/>
        <v>8.5080663347174637E-4</v>
      </c>
      <c r="AL78" s="9">
        <f t="shared" si="22"/>
        <v>4.1499367938217596E-2</v>
      </c>
      <c r="AM78" s="9">
        <f t="shared" si="23"/>
        <v>1.7221975392715625E-3</v>
      </c>
      <c r="AN78" s="8" t="s">
        <v>25</v>
      </c>
    </row>
    <row r="79" spans="13:40" ht="23">
      <c r="M79" s="9" t="s">
        <v>3162</v>
      </c>
      <c r="N79" s="8" t="s">
        <v>1869</v>
      </c>
      <c r="O79" s="8"/>
      <c r="P79" s="8"/>
      <c r="Q79" s="8"/>
      <c r="R79" s="8"/>
      <c r="S79" s="8"/>
      <c r="T79" s="8"/>
      <c r="U79" s="8"/>
      <c r="V79" s="8"/>
      <c r="W79" s="9" t="s">
        <v>3162</v>
      </c>
      <c r="X79" s="8">
        <v>17.239999999999998</v>
      </c>
      <c r="Y79" s="8">
        <v>1.53</v>
      </c>
      <c r="Z79" s="9">
        <v>0.19</v>
      </c>
      <c r="AA79" s="8">
        <v>4</v>
      </c>
      <c r="AB79" s="8">
        <v>48641</v>
      </c>
      <c r="AC79" s="22" t="s">
        <v>3162</v>
      </c>
      <c r="AD79" s="8" t="s">
        <v>4410</v>
      </c>
      <c r="AE79" s="8" t="s">
        <v>4083</v>
      </c>
      <c r="AF79" s="9">
        <f t="shared" si="16"/>
        <v>6.12</v>
      </c>
      <c r="AG79" s="9">
        <f t="shared" si="17"/>
        <v>1.2666666666666666</v>
      </c>
      <c r="AH79" s="9">
        <f t="shared" si="18"/>
        <v>3.0668026282498529E-2</v>
      </c>
      <c r="AI79" s="9">
        <f t="shared" si="19"/>
        <v>9.4052783606402056E-4</v>
      </c>
      <c r="AJ79" s="9">
        <f t="shared" si="20"/>
        <v>8.0994450927235635E-3</v>
      </c>
      <c r="AK79" s="9">
        <f t="shared" si="21"/>
        <v>6.5601010810043816E-5</v>
      </c>
      <c r="AL79" s="9">
        <f t="shared" si="22"/>
        <v>2.8672290575495795E-3</v>
      </c>
      <c r="AM79" s="9">
        <f t="shared" si="23"/>
        <v>8.2210024684566505E-6</v>
      </c>
      <c r="AN79" s="9" t="s">
        <v>3162</v>
      </c>
    </row>
    <row r="80" spans="13:40" ht="23">
      <c r="M80" s="8" t="s">
        <v>1495</v>
      </c>
      <c r="N80" s="8" t="s">
        <v>150</v>
      </c>
      <c r="O80" s="8"/>
      <c r="P80" s="8"/>
      <c r="Q80" s="8"/>
      <c r="R80" s="8"/>
      <c r="S80" s="8"/>
      <c r="T80" s="8"/>
      <c r="U80" s="8"/>
      <c r="V80" s="8"/>
      <c r="W80" s="8" t="s">
        <v>1495</v>
      </c>
      <c r="X80" s="8">
        <v>27.36</v>
      </c>
      <c r="Y80" s="8">
        <v>2.67</v>
      </c>
      <c r="Z80" s="9">
        <v>2.39</v>
      </c>
      <c r="AA80" s="8">
        <v>3.6</v>
      </c>
      <c r="AB80" s="8">
        <v>28229</v>
      </c>
      <c r="AC80" s="21" t="s">
        <v>1495</v>
      </c>
      <c r="AD80" s="8" t="s">
        <v>3723</v>
      </c>
      <c r="AE80" s="8" t="s">
        <v>4083</v>
      </c>
      <c r="AF80" s="9">
        <f t="shared" si="16"/>
        <v>9.6120000000000001</v>
      </c>
      <c r="AG80" s="9">
        <f t="shared" si="17"/>
        <v>9.5399999999999991</v>
      </c>
      <c r="AH80" s="9">
        <f t="shared" si="18"/>
        <v>2.7601223654248677E-2</v>
      </c>
      <c r="AI80" s="9">
        <f t="shared" si="19"/>
        <v>7.6182754721185674E-4</v>
      </c>
      <c r="AJ80" s="9">
        <f t="shared" si="20"/>
        <v>1.2720893175042304E-2</v>
      </c>
      <c r="AK80" s="9">
        <f t="shared" si="21"/>
        <v>1.6182112317083788E-4</v>
      </c>
      <c r="AL80" s="9">
        <f t="shared" si="22"/>
        <v>2.1594762007123409E-2</v>
      </c>
      <c r="AM80" s="9">
        <f t="shared" si="23"/>
        <v>4.6633374614430068E-4</v>
      </c>
      <c r="AN80" s="8" t="s">
        <v>1495</v>
      </c>
    </row>
    <row r="81" spans="13:40" ht="23">
      <c r="M81" s="9" t="s">
        <v>3018</v>
      </c>
      <c r="N81" s="8" t="s">
        <v>1814</v>
      </c>
      <c r="O81" s="8"/>
      <c r="P81" s="8"/>
      <c r="Q81" s="8"/>
      <c r="R81" s="8"/>
      <c r="S81" s="8"/>
      <c r="T81" s="8"/>
      <c r="U81" s="8"/>
      <c r="V81" s="8"/>
      <c r="W81" s="9" t="s">
        <v>3018</v>
      </c>
      <c r="X81" s="8">
        <v>73.349999999999994</v>
      </c>
      <c r="Y81" s="8">
        <v>2.13</v>
      </c>
      <c r="Z81" s="9">
        <v>0.54</v>
      </c>
      <c r="AA81" s="8">
        <v>3.6</v>
      </c>
      <c r="AB81" s="8">
        <v>33975</v>
      </c>
      <c r="AC81" s="22" t="s">
        <v>3018</v>
      </c>
      <c r="AD81" s="8" t="s">
        <v>3723</v>
      </c>
      <c r="AE81" s="8" t="s">
        <v>4083</v>
      </c>
      <c r="AF81" s="9">
        <f t="shared" si="16"/>
        <v>7.6680000000000001</v>
      </c>
      <c r="AG81" s="9">
        <f t="shared" si="17"/>
        <v>3.24</v>
      </c>
      <c r="AH81" s="9">
        <f t="shared" si="18"/>
        <v>2.7601223654248677E-2</v>
      </c>
      <c r="AI81" s="9">
        <f t="shared" si="19"/>
        <v>7.6182754721185674E-4</v>
      </c>
      <c r="AJ81" s="9">
        <f t="shared" si="20"/>
        <v>1.0148128263235993E-2</v>
      </c>
      <c r="AK81" s="9">
        <f t="shared" si="21"/>
        <v>1.0298450724708917E-4</v>
      </c>
      <c r="AL81" s="9">
        <f t="shared" si="22"/>
        <v>7.3340701156268187E-3</v>
      </c>
      <c r="AM81" s="9">
        <f t="shared" si="23"/>
        <v>5.3788584460930378E-5</v>
      </c>
      <c r="AN81" s="9" t="s">
        <v>3018</v>
      </c>
    </row>
    <row r="82" spans="13:40" ht="23">
      <c r="M82" s="8" t="s">
        <v>1046</v>
      </c>
      <c r="N82" s="8" t="s">
        <v>150</v>
      </c>
      <c r="O82" s="8"/>
      <c r="P82" s="8"/>
      <c r="Q82" s="8"/>
      <c r="R82" s="8"/>
      <c r="S82" s="8"/>
      <c r="T82" s="8"/>
      <c r="U82" s="8"/>
      <c r="V82" s="8"/>
      <c r="W82" s="8" t="s">
        <v>1046</v>
      </c>
      <c r="X82" s="8">
        <v>14.55</v>
      </c>
      <c r="Y82" s="8">
        <v>8.9600000000000009</v>
      </c>
      <c r="Z82" s="9">
        <v>12.42</v>
      </c>
      <c r="AA82" s="8">
        <v>3.3</v>
      </c>
      <c r="AB82" s="8">
        <v>37828</v>
      </c>
      <c r="AC82" s="21" t="s">
        <v>1046</v>
      </c>
      <c r="AD82" s="8" t="s">
        <v>3723</v>
      </c>
      <c r="AE82" s="8" t="s">
        <v>4083</v>
      </c>
      <c r="AF82" s="9">
        <f t="shared" si="16"/>
        <v>29.568000000000001</v>
      </c>
      <c r="AG82" s="9">
        <f t="shared" si="17"/>
        <v>41.91</v>
      </c>
      <c r="AH82" s="9">
        <f t="shared" si="18"/>
        <v>2.5301121683061284E-2</v>
      </c>
      <c r="AI82" s="9">
        <f t="shared" si="19"/>
        <v>6.4014675842107385E-4</v>
      </c>
      <c r="AJ82" s="9">
        <f t="shared" si="20"/>
        <v>3.9131436683276198E-2</v>
      </c>
      <c r="AK82" s="9">
        <f t="shared" si="21"/>
        <v>1.5312693368972541E-3</v>
      </c>
      <c r="AL82" s="9">
        <f t="shared" si="22"/>
        <v>9.4867555106765422E-2</v>
      </c>
      <c r="AM82" s="9">
        <f t="shared" si="23"/>
        <v>8.9998530119351737E-3</v>
      </c>
      <c r="AN82" s="8" t="s">
        <v>1046</v>
      </c>
    </row>
    <row r="83" spans="13:40" ht="23">
      <c r="M83" s="9" t="s">
        <v>2939</v>
      </c>
      <c r="N83" s="8" t="s">
        <v>1717</v>
      </c>
      <c r="O83" s="8"/>
      <c r="P83" s="8"/>
      <c r="Q83" s="8"/>
      <c r="R83" s="8"/>
      <c r="S83" s="8"/>
      <c r="T83" s="8"/>
      <c r="U83" s="8"/>
      <c r="V83" s="8"/>
      <c r="W83" s="9" t="s">
        <v>2939</v>
      </c>
      <c r="X83" s="8">
        <v>10.44</v>
      </c>
      <c r="Y83" s="8">
        <v>4.7300000000000004</v>
      </c>
      <c r="Z83" s="9">
        <v>2.2000000000000002</v>
      </c>
      <c r="AA83" s="8">
        <v>3.3</v>
      </c>
      <c r="AB83" s="8">
        <v>24570</v>
      </c>
      <c r="AC83" s="22" t="s">
        <v>2939</v>
      </c>
      <c r="AD83" s="8" t="s">
        <v>3723</v>
      </c>
      <c r="AE83" s="8" t="s">
        <v>4083</v>
      </c>
      <c r="AF83" s="9">
        <f t="shared" si="16"/>
        <v>15.609</v>
      </c>
      <c r="AG83" s="9">
        <f t="shared" si="17"/>
        <v>6.6109999999999998</v>
      </c>
      <c r="AH83" s="9">
        <f t="shared" si="18"/>
        <v>2.5301121683061284E-2</v>
      </c>
      <c r="AI83" s="9">
        <f t="shared" si="19"/>
        <v>6.4014675842107385E-4</v>
      </c>
      <c r="AJ83" s="9">
        <f t="shared" si="20"/>
        <v>2.0657555302667011E-2</v>
      </c>
      <c r="AK83" s="9">
        <f t="shared" si="21"/>
        <v>4.2673459108274591E-4</v>
      </c>
      <c r="AL83" s="9">
        <f t="shared" si="22"/>
        <v>1.4964672078521266E-2</v>
      </c>
      <c r="AM83" s="9">
        <f t="shared" si="23"/>
        <v>2.2394141041767398E-4</v>
      </c>
      <c r="AN83" s="9" t="s">
        <v>2939</v>
      </c>
    </row>
    <row r="84" spans="13:40" ht="23">
      <c r="M84" s="9" t="s">
        <v>2469</v>
      </c>
      <c r="N84" s="8" t="s">
        <v>150</v>
      </c>
      <c r="O84" s="8"/>
      <c r="P84" s="8"/>
      <c r="Q84" s="8"/>
      <c r="R84" s="8"/>
      <c r="S84" s="8"/>
      <c r="T84" s="8"/>
      <c r="U84" s="8"/>
      <c r="V84" s="8"/>
      <c r="W84" s="9" t="s">
        <v>2469</v>
      </c>
      <c r="X84" s="8">
        <v>31.94</v>
      </c>
      <c r="Y84" s="8">
        <v>4.22</v>
      </c>
      <c r="Z84" s="9">
        <v>2.23</v>
      </c>
      <c r="AA84" s="8">
        <v>3.1</v>
      </c>
      <c r="AB84" s="8">
        <v>24412</v>
      </c>
      <c r="AC84" s="22" t="s">
        <v>2469</v>
      </c>
      <c r="AD84" s="8" t="s">
        <v>4409</v>
      </c>
      <c r="AE84" s="8" t="s">
        <v>4083</v>
      </c>
      <c r="AF84" s="9">
        <f t="shared" si="16"/>
        <v>13.081999999999999</v>
      </c>
      <c r="AG84" s="9">
        <f t="shared" si="17"/>
        <v>7.3883333333333336</v>
      </c>
      <c r="AH84" s="9">
        <f t="shared" si="18"/>
        <v>2.376772036893636E-2</v>
      </c>
      <c r="AI84" s="9">
        <f t="shared" si="19"/>
        <v>5.6490453153595238E-4</v>
      </c>
      <c r="AJ84" s="9">
        <f t="shared" si="20"/>
        <v>1.7313225605066936E-2</v>
      </c>
      <c r="AK84" s="9">
        <f t="shared" si="21"/>
        <v>2.9974778085194533E-4</v>
      </c>
      <c r="AL84" s="9">
        <f t="shared" si="22"/>
        <v>1.6724245279101692E-2</v>
      </c>
      <c r="AM84" s="9">
        <f t="shared" si="23"/>
        <v>2.7970038015555522E-4</v>
      </c>
      <c r="AN84" s="9" t="s">
        <v>2469</v>
      </c>
    </row>
    <row r="85" spans="13:40" ht="23">
      <c r="M85" s="8" t="s">
        <v>1875</v>
      </c>
      <c r="N85" s="8" t="s">
        <v>1869</v>
      </c>
      <c r="O85" s="8"/>
      <c r="P85" s="8"/>
      <c r="Q85" s="8"/>
      <c r="R85" s="8"/>
      <c r="S85" s="8"/>
      <c r="T85" s="8"/>
      <c r="U85" s="8"/>
      <c r="V85" s="8"/>
      <c r="W85" s="8" t="s">
        <v>1875</v>
      </c>
      <c r="X85" s="8">
        <v>22.83</v>
      </c>
      <c r="Y85" s="8">
        <v>2.69</v>
      </c>
      <c r="Z85" s="9">
        <v>1.54</v>
      </c>
      <c r="AA85" s="8">
        <v>3.1</v>
      </c>
      <c r="AB85" s="8">
        <v>34769</v>
      </c>
      <c r="AC85" s="21" t="s">
        <v>1875</v>
      </c>
      <c r="AD85" s="8" t="s">
        <v>3723</v>
      </c>
      <c r="AE85" s="8" t="s">
        <v>4083</v>
      </c>
      <c r="AF85" s="9">
        <f t="shared" si="16"/>
        <v>8.3390000000000004</v>
      </c>
      <c r="AG85" s="9">
        <f t="shared" si="17"/>
        <v>5.89</v>
      </c>
      <c r="AH85" s="9">
        <f t="shared" si="18"/>
        <v>2.376772036893636E-2</v>
      </c>
      <c r="AI85" s="9">
        <f t="shared" si="19"/>
        <v>5.6490453153595238E-4</v>
      </c>
      <c r="AJ85" s="9">
        <f t="shared" si="20"/>
        <v>1.1036155658206176E-2</v>
      </c>
      <c r="AK85" s="9">
        <f t="shared" si="21"/>
        <v>1.217967317121562E-4</v>
      </c>
      <c r="AL85" s="9">
        <f t="shared" si="22"/>
        <v>1.3332615117605544E-2</v>
      </c>
      <c r="AM85" s="9">
        <f t="shared" si="23"/>
        <v>1.7775862587420389E-4</v>
      </c>
      <c r="AN85" s="8" t="s">
        <v>1875</v>
      </c>
    </row>
    <row r="86" spans="13:40" ht="23">
      <c r="M86" s="9" t="s">
        <v>2391</v>
      </c>
      <c r="N86" s="8" t="s">
        <v>150</v>
      </c>
      <c r="O86" s="8"/>
      <c r="P86" s="8"/>
      <c r="Q86" s="8"/>
      <c r="R86" s="8"/>
      <c r="S86" s="8"/>
      <c r="T86" s="8"/>
      <c r="U86" s="8"/>
      <c r="V86" s="8"/>
      <c r="W86" s="9" t="s">
        <v>2391</v>
      </c>
      <c r="X86" s="8">
        <v>18.600000000000001</v>
      </c>
      <c r="Y86" s="8">
        <v>9.5500000000000007</v>
      </c>
      <c r="Z86" s="9">
        <v>6.58</v>
      </c>
      <c r="AA86" s="8">
        <v>3</v>
      </c>
      <c r="AB86" s="8">
        <v>26687</v>
      </c>
      <c r="AC86" s="22" t="s">
        <v>2391</v>
      </c>
      <c r="AD86" s="8" t="s">
        <v>4369</v>
      </c>
      <c r="AE86" s="8" t="s">
        <v>4083</v>
      </c>
      <c r="AF86" s="9">
        <f t="shared" si="16"/>
        <v>28.650000000000002</v>
      </c>
      <c r="AG86" s="9">
        <f t="shared" si="17"/>
        <v>20.9</v>
      </c>
      <c r="AH86" s="9">
        <f t="shared" si="18"/>
        <v>2.3001019711873898E-2</v>
      </c>
      <c r="AI86" s="9">
        <f t="shared" si="19"/>
        <v>5.2904690778601165E-4</v>
      </c>
      <c r="AJ86" s="9">
        <f t="shared" si="20"/>
        <v>3.7916519919367661E-2</v>
      </c>
      <c r="AK86" s="9">
        <f t="shared" si="21"/>
        <v>1.4376624827958046E-3</v>
      </c>
      <c r="AL86" s="9">
        <f t="shared" si="22"/>
        <v>4.7309279449568059E-2</v>
      </c>
      <c r="AM86" s="9">
        <f t="shared" si="23"/>
        <v>2.2381679220373225E-3</v>
      </c>
      <c r="AN86" s="9" t="s">
        <v>2391</v>
      </c>
    </row>
    <row r="87" spans="13:40" ht="23">
      <c r="M87" s="9" t="s">
        <v>3577</v>
      </c>
      <c r="N87" s="8" t="s">
        <v>2074</v>
      </c>
      <c r="O87" s="8"/>
      <c r="P87" s="8"/>
      <c r="Q87" s="8"/>
      <c r="R87" s="8"/>
      <c r="S87" s="8"/>
      <c r="T87" s="8"/>
      <c r="U87" s="8"/>
      <c r="V87" s="8"/>
      <c r="W87" s="9" t="s">
        <v>3577</v>
      </c>
      <c r="X87" s="8">
        <v>54.86</v>
      </c>
      <c r="Y87" s="8">
        <v>2.58</v>
      </c>
      <c r="Z87" s="9">
        <v>1.27</v>
      </c>
      <c r="AA87" s="8">
        <v>2.9</v>
      </c>
      <c r="AB87" s="8">
        <v>42427</v>
      </c>
      <c r="AC87" s="22" t="s">
        <v>3577</v>
      </c>
      <c r="AD87" s="8" t="s">
        <v>4410</v>
      </c>
      <c r="AE87" s="8" t="s">
        <v>4083</v>
      </c>
      <c r="AF87" s="9">
        <f t="shared" si="16"/>
        <v>7.4820000000000002</v>
      </c>
      <c r="AG87" s="9">
        <f t="shared" si="17"/>
        <v>4.2050000000000001</v>
      </c>
      <c r="AH87" s="9">
        <f t="shared" si="18"/>
        <v>2.2234319054811432E-2</v>
      </c>
      <c r="AI87" s="9">
        <f t="shared" si="19"/>
        <v>4.9436494383115078E-4</v>
      </c>
      <c r="AJ87" s="9">
        <f t="shared" si="20"/>
        <v>9.901968657476749E-3</v>
      </c>
      <c r="AK87" s="9">
        <f t="shared" si="21"/>
        <v>9.8048983293651885E-5</v>
      </c>
      <c r="AL87" s="9">
        <f t="shared" si="22"/>
        <v>9.5184459371020907E-3</v>
      </c>
      <c r="AM87" s="9">
        <f t="shared" si="23"/>
        <v>9.06008130575353E-5</v>
      </c>
      <c r="AN87" s="9" t="s">
        <v>3577</v>
      </c>
    </row>
    <row r="88" spans="13:40" ht="23">
      <c r="M88" s="8" t="s">
        <v>1452</v>
      </c>
      <c r="N88" s="8" t="s">
        <v>150</v>
      </c>
      <c r="O88" s="8"/>
      <c r="P88" s="8"/>
      <c r="Q88" s="8"/>
      <c r="R88" s="8"/>
      <c r="S88" s="8"/>
      <c r="T88" s="8"/>
      <c r="U88" s="8"/>
      <c r="V88" s="8"/>
      <c r="W88" s="8" t="s">
        <v>1452</v>
      </c>
      <c r="X88" s="8">
        <v>36.25</v>
      </c>
      <c r="Y88" s="8">
        <v>8.33</v>
      </c>
      <c r="Z88" s="9">
        <v>5.28</v>
      </c>
      <c r="AA88" s="8">
        <v>2.8</v>
      </c>
      <c r="AB88" s="8">
        <v>20206</v>
      </c>
      <c r="AC88" s="21" t="s">
        <v>1452</v>
      </c>
      <c r="AD88" s="8" t="s">
        <v>3723</v>
      </c>
      <c r="AE88" s="8" t="s">
        <v>4083</v>
      </c>
      <c r="AF88" s="9">
        <f t="shared" si="16"/>
        <v>23.323999999999998</v>
      </c>
      <c r="AG88" s="9">
        <f t="shared" si="17"/>
        <v>15.306666666666667</v>
      </c>
      <c r="AH88" s="9">
        <f t="shared" si="18"/>
        <v>2.146761839774897E-2</v>
      </c>
      <c r="AI88" s="9">
        <f t="shared" si="19"/>
        <v>4.6085863967137004E-4</v>
      </c>
      <c r="AJ88" s="9">
        <f t="shared" si="20"/>
        <v>3.0867885186713136E-2</v>
      </c>
      <c r="AK88" s="9">
        <f t="shared" si="21"/>
        <v>9.5282633590010421E-4</v>
      </c>
      <c r="AL88" s="9">
        <f t="shared" si="22"/>
        <v>3.464819955859913E-2</v>
      </c>
      <c r="AM88" s="9">
        <f t="shared" si="23"/>
        <v>1.200497732652509E-3</v>
      </c>
      <c r="AN88" s="8" t="s">
        <v>1452</v>
      </c>
    </row>
    <row r="89" spans="13:40" ht="23">
      <c r="M89" s="8" t="s">
        <v>5018</v>
      </c>
      <c r="N89" s="8"/>
      <c r="O89" s="8"/>
      <c r="P89" s="8"/>
      <c r="Q89" s="8"/>
      <c r="R89" s="8"/>
      <c r="S89" s="8"/>
      <c r="T89" s="8"/>
      <c r="U89" s="8"/>
      <c r="V89" s="8"/>
      <c r="W89" s="8" t="s">
        <v>5018</v>
      </c>
      <c r="X89" s="8">
        <v>9.4</v>
      </c>
      <c r="Y89" s="8">
        <v>3.43</v>
      </c>
      <c r="Z89" s="9">
        <v>2.0299999999999998</v>
      </c>
      <c r="AA89" s="8">
        <v>2.2999999999999998</v>
      </c>
      <c r="AB89" s="8">
        <v>39541</v>
      </c>
      <c r="AC89" s="21" t="s">
        <v>5018</v>
      </c>
      <c r="AD89" s="8" t="s">
        <v>3723</v>
      </c>
      <c r="AE89" s="8" t="s">
        <v>4083</v>
      </c>
      <c r="AF89" s="9">
        <f t="shared" si="16"/>
        <v>7.8889999999999993</v>
      </c>
      <c r="AG89" s="9">
        <f t="shared" si="17"/>
        <v>4.714999999999999</v>
      </c>
      <c r="AH89" s="9">
        <f t="shared" si="18"/>
        <v>1.7634115112436653E-2</v>
      </c>
      <c r="AI89" s="9">
        <f t="shared" si="19"/>
        <v>3.1096201579866676E-4</v>
      </c>
      <c r="AJ89" s="9">
        <f t="shared" si="20"/>
        <v>1.0440608224917677E-2</v>
      </c>
      <c r="AK89" s="9">
        <f t="shared" si="21"/>
        <v>1.0900630010621865E-4</v>
      </c>
      <c r="AL89" s="9">
        <f t="shared" si="22"/>
        <v>1.0672882899747051E-2</v>
      </c>
      <c r="AM89" s="9">
        <f t="shared" si="23"/>
        <v>1.1391042939171302E-4</v>
      </c>
      <c r="AN89" s="8" t="s">
        <v>5018</v>
      </c>
    </row>
    <row r="90" spans="13:40" ht="23">
      <c r="M90" s="8" t="s">
        <v>225</v>
      </c>
      <c r="N90" s="8" t="s">
        <v>150</v>
      </c>
      <c r="O90" s="8"/>
      <c r="P90" s="8"/>
      <c r="Q90" s="8"/>
      <c r="R90" s="8"/>
      <c r="S90" s="8"/>
      <c r="T90" s="8"/>
      <c r="U90" s="8"/>
      <c r="V90" s="8"/>
      <c r="W90" s="8" t="s">
        <v>225</v>
      </c>
      <c r="X90" s="8">
        <v>22.02</v>
      </c>
      <c r="Y90" s="8">
        <v>20.46</v>
      </c>
      <c r="Z90" s="9">
        <v>18.02</v>
      </c>
      <c r="AA90" s="8">
        <v>2.2000000000000002</v>
      </c>
      <c r="AB90" s="8">
        <v>21617</v>
      </c>
      <c r="AC90" s="21" t="s">
        <v>225</v>
      </c>
      <c r="AD90" s="8" t="s">
        <v>3723</v>
      </c>
      <c r="AE90" s="8" t="s">
        <v>4083</v>
      </c>
      <c r="AF90" s="9">
        <f t="shared" si="16"/>
        <v>45.012000000000008</v>
      </c>
      <c r="AG90" s="9">
        <f t="shared" si="17"/>
        <v>39.673333333333339</v>
      </c>
      <c r="AH90" s="9">
        <f t="shared" si="18"/>
        <v>1.686741445537419E-2</v>
      </c>
      <c r="AI90" s="9">
        <f t="shared" si="19"/>
        <v>2.8450967040936621E-4</v>
      </c>
      <c r="AJ90" s="9">
        <f t="shared" si="20"/>
        <v>5.957062459373743E-2</v>
      </c>
      <c r="AK90" s="9">
        <f t="shared" si="21"/>
        <v>3.5486593144879947E-3</v>
      </c>
      <c r="AL90" s="9">
        <f t="shared" si="22"/>
        <v>8.9804632218302899E-2</v>
      </c>
      <c r="AM90" s="9">
        <f t="shared" si="23"/>
        <v>8.0648719678646473E-3</v>
      </c>
      <c r="AN90" s="8" t="s">
        <v>225</v>
      </c>
    </row>
    <row r="91" spans="13:40" ht="23">
      <c r="M91" s="8" t="s">
        <v>882</v>
      </c>
      <c r="N91" s="8" t="s">
        <v>150</v>
      </c>
      <c r="O91" s="8"/>
      <c r="P91" s="8"/>
      <c r="Q91" s="8"/>
      <c r="R91" s="8"/>
      <c r="S91" s="8"/>
      <c r="T91" s="8"/>
      <c r="U91" s="8"/>
      <c r="V91" s="8"/>
      <c r="W91" s="8" t="s">
        <v>882</v>
      </c>
      <c r="X91" s="8">
        <v>31.05</v>
      </c>
      <c r="Y91" s="8">
        <v>3.98</v>
      </c>
      <c r="Z91" s="9">
        <v>4.46</v>
      </c>
      <c r="AA91" s="8">
        <v>2.1</v>
      </c>
      <c r="AB91" s="8">
        <v>34896</v>
      </c>
      <c r="AC91" s="21" t="s">
        <v>882</v>
      </c>
      <c r="AD91" s="8" t="s">
        <v>4408</v>
      </c>
      <c r="AE91" s="8" t="s">
        <v>4083</v>
      </c>
      <c r="AF91" s="9">
        <f t="shared" si="16"/>
        <v>8.3580000000000005</v>
      </c>
      <c r="AG91" s="9">
        <f t="shared" si="17"/>
        <v>10.01</v>
      </c>
      <c r="AH91" s="9">
        <f t="shared" si="18"/>
        <v>1.6100713798311728E-2</v>
      </c>
      <c r="AI91" s="9">
        <f t="shared" si="19"/>
        <v>2.5923298481514569E-4</v>
      </c>
      <c r="AJ91" s="9">
        <f t="shared" si="20"/>
        <v>1.1061300994278357E-2</v>
      </c>
      <c r="AK91" s="9">
        <f t="shared" si="21"/>
        <v>1.2235237968602337E-4</v>
      </c>
      <c r="AL91" s="9">
        <f t="shared" si="22"/>
        <v>2.2658654894266807E-2</v>
      </c>
      <c r="AM91" s="9">
        <f t="shared" si="23"/>
        <v>5.1341464161748116E-4</v>
      </c>
      <c r="AN91" s="8" t="s">
        <v>882</v>
      </c>
    </row>
    <row r="92" spans="13:40" ht="23">
      <c r="M92" s="8" t="s">
        <v>1459</v>
      </c>
      <c r="N92" s="8" t="s">
        <v>150</v>
      </c>
      <c r="O92" s="8"/>
      <c r="P92" s="8"/>
      <c r="Q92" s="8"/>
      <c r="R92" s="8"/>
      <c r="S92" s="8"/>
      <c r="T92" s="8"/>
      <c r="U92" s="8"/>
      <c r="V92" s="8"/>
      <c r="W92" s="8" t="s">
        <v>1459</v>
      </c>
      <c r="X92" s="8">
        <v>5.39</v>
      </c>
      <c r="Y92" s="8">
        <v>3.92</v>
      </c>
      <c r="Z92" s="9">
        <v>4.01</v>
      </c>
      <c r="AA92" s="8">
        <v>2.1</v>
      </c>
      <c r="AB92" s="8">
        <v>37283</v>
      </c>
      <c r="AC92" s="21" t="s">
        <v>1459</v>
      </c>
      <c r="AD92" s="8" t="s">
        <v>4408</v>
      </c>
      <c r="AE92" s="8" t="s">
        <v>4083</v>
      </c>
      <c r="AF92" s="9">
        <f t="shared" si="16"/>
        <v>8.2319999999999993</v>
      </c>
      <c r="AG92" s="9">
        <f t="shared" si="17"/>
        <v>8.4350000000000005</v>
      </c>
      <c r="AH92" s="9">
        <f t="shared" si="18"/>
        <v>1.6100713798311728E-2</v>
      </c>
      <c r="AI92" s="9">
        <f t="shared" si="19"/>
        <v>2.5923298481514569E-4</v>
      </c>
      <c r="AJ92" s="9">
        <f t="shared" si="20"/>
        <v>1.0894547712957576E-2</v>
      </c>
      <c r="AK92" s="9">
        <f t="shared" si="21"/>
        <v>1.1869116986990915E-4</v>
      </c>
      <c r="AL92" s="9">
        <f t="shared" si="22"/>
        <v>1.9093481921392663E-2</v>
      </c>
      <c r="AM92" s="9">
        <f t="shared" si="23"/>
        <v>3.6456105188254845E-4</v>
      </c>
      <c r="AN92" s="8" t="s">
        <v>1459</v>
      </c>
    </row>
    <row r="93" spans="13:40" ht="23">
      <c r="M93" s="8" t="s">
        <v>485</v>
      </c>
      <c r="N93" s="8" t="s">
        <v>150</v>
      </c>
      <c r="O93" s="8"/>
      <c r="P93" s="8"/>
      <c r="Q93" s="8"/>
      <c r="R93" s="8"/>
      <c r="S93" s="8"/>
      <c r="T93" s="8"/>
      <c r="U93" s="8"/>
      <c r="V93" s="8"/>
      <c r="W93" s="8" t="s">
        <v>485</v>
      </c>
      <c r="X93" s="8">
        <v>36.79</v>
      </c>
      <c r="Y93" s="8">
        <v>11.95</v>
      </c>
      <c r="Z93" s="9">
        <v>12.06</v>
      </c>
      <c r="AA93" s="8">
        <v>2</v>
      </c>
      <c r="AB93" s="8">
        <v>22431</v>
      </c>
      <c r="AC93" s="21" t="s">
        <v>485</v>
      </c>
      <c r="AD93" s="8" t="s">
        <v>3723</v>
      </c>
      <c r="AE93" s="8" t="s">
        <v>4083</v>
      </c>
      <c r="AF93" s="9">
        <f t="shared" si="16"/>
        <v>23.9</v>
      </c>
      <c r="AG93" s="9">
        <f t="shared" si="17"/>
        <v>24.2</v>
      </c>
      <c r="AH93" s="9">
        <f t="shared" si="18"/>
        <v>1.5334013141249265E-2</v>
      </c>
      <c r="AI93" s="9">
        <f t="shared" si="19"/>
        <v>2.3513195901600514E-4</v>
      </c>
      <c r="AJ93" s="9">
        <f t="shared" si="20"/>
        <v>3.1630185901322411E-2</v>
      </c>
      <c r="AK93" s="9">
        <f t="shared" si="21"/>
        <v>1.000468660152215E-3</v>
      </c>
      <c r="AL93" s="9">
        <f t="shared" si="22"/>
        <v>5.4779165678447227E-2</v>
      </c>
      <c r="AM93" s="9">
        <f t="shared" si="23"/>
        <v>3.0007569924267708E-3</v>
      </c>
      <c r="AN93" s="8" t="s">
        <v>485</v>
      </c>
    </row>
    <row r="94" spans="13:40" ht="23">
      <c r="M94" s="9" t="s">
        <v>3160</v>
      </c>
      <c r="N94" s="8" t="s">
        <v>1869</v>
      </c>
      <c r="O94" s="8"/>
      <c r="P94" s="8"/>
      <c r="Q94" s="8"/>
      <c r="R94" s="8"/>
      <c r="S94" s="8"/>
      <c r="T94" s="8"/>
      <c r="U94" s="8"/>
      <c r="V94" s="8"/>
      <c r="W94" s="9" t="s">
        <v>3160</v>
      </c>
      <c r="X94" s="8">
        <v>19.97</v>
      </c>
      <c r="Y94" s="8">
        <v>4.33</v>
      </c>
      <c r="Z94" s="9">
        <v>2.19</v>
      </c>
      <c r="AA94" s="8">
        <v>1.9</v>
      </c>
      <c r="AB94" s="8">
        <v>43477</v>
      </c>
      <c r="AC94" s="22" t="s">
        <v>3160</v>
      </c>
      <c r="AD94" s="8" t="s">
        <v>3723</v>
      </c>
      <c r="AE94" s="8" t="s">
        <v>4083</v>
      </c>
      <c r="AF94" s="9">
        <f t="shared" si="16"/>
        <v>8.2270000000000003</v>
      </c>
      <c r="AG94" s="9">
        <f t="shared" si="17"/>
        <v>4.4016666666666664</v>
      </c>
      <c r="AH94" s="9">
        <f t="shared" si="18"/>
        <v>1.4567312484186802E-2</v>
      </c>
      <c r="AI94" s="9">
        <f t="shared" si="19"/>
        <v>2.1220659301194467E-4</v>
      </c>
      <c r="AJ94" s="9">
        <f t="shared" si="20"/>
        <v>1.0887930519254373E-2</v>
      </c>
      <c r="AK94" s="9">
        <f t="shared" si="21"/>
        <v>1.1854703099211079E-4</v>
      </c>
      <c r="AL94" s="9">
        <f t="shared" si="22"/>
        <v>9.9636209749847885E-3</v>
      </c>
      <c r="AM94" s="9">
        <f t="shared" si="23"/>
        <v>9.9273742933156831E-5</v>
      </c>
      <c r="AN94" s="9" t="s">
        <v>3160</v>
      </c>
    </row>
    <row r="95" spans="13:40" ht="23">
      <c r="M95" s="8" t="s">
        <v>1243</v>
      </c>
      <c r="N95" s="8" t="s">
        <v>150</v>
      </c>
      <c r="O95" s="8"/>
      <c r="P95" s="8"/>
      <c r="Q95" s="8"/>
      <c r="R95" s="8"/>
      <c r="S95" s="8"/>
      <c r="T95" s="8"/>
      <c r="U95" s="8"/>
      <c r="V95" s="8"/>
      <c r="W95" s="8" t="s">
        <v>1243</v>
      </c>
      <c r="X95" s="8">
        <v>12.27</v>
      </c>
      <c r="Y95" s="8">
        <v>6.91</v>
      </c>
      <c r="Z95" s="9">
        <v>3.42</v>
      </c>
      <c r="AA95" s="8">
        <v>1.8</v>
      </c>
      <c r="AB95" s="8">
        <v>27149</v>
      </c>
      <c r="AC95" s="21" t="s">
        <v>1243</v>
      </c>
      <c r="AD95" s="8" t="s">
        <v>4369</v>
      </c>
      <c r="AE95" s="8" t="s">
        <v>4083</v>
      </c>
      <c r="AF95" s="9">
        <f t="shared" si="16"/>
        <v>12.438000000000001</v>
      </c>
      <c r="AG95" s="9">
        <f t="shared" si="17"/>
        <v>6.66</v>
      </c>
      <c r="AH95" s="9">
        <f t="shared" si="18"/>
        <v>1.3800611827124339E-2</v>
      </c>
      <c r="AI95" s="9">
        <f t="shared" si="19"/>
        <v>1.9045688680296419E-4</v>
      </c>
      <c r="AJ95" s="9">
        <f t="shared" si="20"/>
        <v>1.6460931056094068E-2</v>
      </c>
      <c r="AK95" s="9">
        <f t="shared" si="21"/>
        <v>2.7096225123348218E-4</v>
      </c>
      <c r="AL95" s="9">
        <f t="shared" si="22"/>
        <v>1.5075588571010684E-2</v>
      </c>
      <c r="AM95" s="9">
        <f t="shared" si="23"/>
        <v>2.2727337076238797E-4</v>
      </c>
      <c r="AN95" s="8" t="s">
        <v>1243</v>
      </c>
    </row>
    <row r="96" spans="13:40" ht="23">
      <c r="M96" s="8" t="s">
        <v>381</v>
      </c>
      <c r="N96" s="8" t="s">
        <v>150</v>
      </c>
      <c r="O96" s="8"/>
      <c r="P96" s="8"/>
      <c r="Q96" s="8"/>
      <c r="R96" s="8"/>
      <c r="S96" s="8"/>
      <c r="T96" s="8"/>
      <c r="U96" s="8"/>
      <c r="V96" s="8"/>
      <c r="W96" s="8" t="s">
        <v>381</v>
      </c>
      <c r="X96" s="8">
        <v>66.75</v>
      </c>
      <c r="Y96" s="8">
        <v>1.46</v>
      </c>
      <c r="Z96" s="9">
        <v>0.22</v>
      </c>
      <c r="AA96" s="8">
        <v>1.8</v>
      </c>
      <c r="AB96" s="8">
        <v>51203</v>
      </c>
      <c r="AC96" s="21" t="s">
        <v>381</v>
      </c>
      <c r="AD96" s="8" t="s">
        <v>3723</v>
      </c>
      <c r="AE96" s="8" t="s">
        <v>4083</v>
      </c>
      <c r="AF96" s="9">
        <f t="shared" si="16"/>
        <v>2.6280000000000001</v>
      </c>
      <c r="AG96" s="9">
        <f t="shared" si="17"/>
        <v>0.65999999999999992</v>
      </c>
      <c r="AH96" s="9">
        <f t="shared" si="18"/>
        <v>1.3800611827124339E-2</v>
      </c>
      <c r="AI96" s="9">
        <f t="shared" si="19"/>
        <v>1.9045688680296419E-4</v>
      </c>
      <c r="AJ96" s="9">
        <f t="shared" si="20"/>
        <v>3.4779970104048246E-3</v>
      </c>
      <c r="AK96" s="9">
        <f t="shared" si="21"/>
        <v>1.2096463204384897E-5</v>
      </c>
      <c r="AL96" s="9">
        <f t="shared" si="22"/>
        <v>1.4939772457758333E-3</v>
      </c>
      <c r="AM96" s="9">
        <f t="shared" si="23"/>
        <v>2.2319680108959446E-6</v>
      </c>
      <c r="AN96" s="8" t="s">
        <v>381</v>
      </c>
    </row>
    <row r="97" spans="13:40" ht="23">
      <c r="M97" s="9" t="s">
        <v>2408</v>
      </c>
      <c r="N97" s="8" t="s">
        <v>150</v>
      </c>
      <c r="O97" s="8"/>
      <c r="P97" s="8"/>
      <c r="Q97" s="8"/>
      <c r="R97" s="8"/>
      <c r="S97" s="8"/>
      <c r="T97" s="8"/>
      <c r="U97" s="8"/>
      <c r="V97" s="8"/>
      <c r="W97" s="9" t="s">
        <v>2408</v>
      </c>
      <c r="X97" s="8">
        <v>47.67</v>
      </c>
      <c r="Y97" s="8">
        <v>3.12</v>
      </c>
      <c r="Z97" s="9">
        <v>2.4</v>
      </c>
      <c r="AA97" s="8">
        <v>1.7</v>
      </c>
      <c r="AB97" s="8">
        <v>40966</v>
      </c>
      <c r="AC97" s="22" t="s">
        <v>2408</v>
      </c>
      <c r="AD97" s="8" t="s">
        <v>3723</v>
      </c>
      <c r="AE97" s="8" t="s">
        <v>4083</v>
      </c>
      <c r="AF97" s="9">
        <f t="shared" si="16"/>
        <v>5.3040000000000003</v>
      </c>
      <c r="AG97" s="9">
        <f t="shared" si="17"/>
        <v>3.4113333333333333</v>
      </c>
      <c r="AH97" s="9">
        <f t="shared" si="18"/>
        <v>1.3033911170061873E-2</v>
      </c>
      <c r="AI97" s="9">
        <f t="shared" si="19"/>
        <v>1.6988284038906367E-4</v>
      </c>
      <c r="AJ97" s="9">
        <f t="shared" si="20"/>
        <v>7.0195190803604215E-3</v>
      </c>
      <c r="AK97" s="9">
        <f t="shared" si="21"/>
        <v>4.9273648119544016E-5</v>
      </c>
      <c r="AL97" s="9">
        <f t="shared" si="22"/>
        <v>7.7219005723585254E-3</v>
      </c>
      <c r="AM97" s="9">
        <f t="shared" si="23"/>
        <v>5.9627748449390921E-5</v>
      </c>
      <c r="AN97" s="9" t="s">
        <v>2408</v>
      </c>
    </row>
    <row r="98" spans="13:40" ht="23">
      <c r="M98" s="8" t="s">
        <v>1077</v>
      </c>
      <c r="N98" s="8" t="s">
        <v>150</v>
      </c>
      <c r="O98" s="8"/>
      <c r="P98" s="8"/>
      <c r="Q98" s="8"/>
      <c r="R98" s="8"/>
      <c r="S98" s="8"/>
      <c r="T98" s="8"/>
      <c r="U98" s="8"/>
      <c r="V98" s="8"/>
      <c r="W98" s="8" t="s">
        <v>1077</v>
      </c>
      <c r="X98" s="8">
        <v>53.58</v>
      </c>
      <c r="Y98" s="8">
        <v>1.92</v>
      </c>
      <c r="Z98" s="9">
        <v>0.41</v>
      </c>
      <c r="AA98" s="8">
        <v>1.6</v>
      </c>
      <c r="AB98" s="8">
        <v>59610</v>
      </c>
      <c r="AC98" s="21" t="s">
        <v>1077</v>
      </c>
      <c r="AD98" s="8" t="s">
        <v>3723</v>
      </c>
      <c r="AE98" s="8" t="s">
        <v>4083</v>
      </c>
      <c r="AF98" s="9">
        <f t="shared" ref="AF98:AF106" si="24">(AA98*Y98)</f>
        <v>3.0720000000000001</v>
      </c>
      <c r="AG98" s="9">
        <f t="shared" ref="AG98:AG106" si="25">((((RIGHT(Z98,2))/60)+(LEFT(Z98,2)))*AA98)</f>
        <v>1.0933333333333335</v>
      </c>
      <c r="AH98" s="9">
        <f t="shared" ref="AH98:AH106" si="26">(AA98/$AA$107)*100</f>
        <v>1.2267210512999411E-2</v>
      </c>
      <c r="AI98" s="9">
        <f t="shared" ref="AI98:AI106" si="27">(AH98*AH98)</f>
        <v>1.5048445377024327E-4</v>
      </c>
      <c r="AJ98" s="9">
        <f t="shared" ref="AJ98:AJ106" si="28">(AF98/$AF$107)*100</f>
        <v>4.0656038112494757E-3</v>
      </c>
      <c r="AK98" s="9">
        <f t="shared" ref="AK98:AK106" si="29">(AJ98*AJ98)</f>
        <v>1.6529134350046263E-5</v>
      </c>
      <c r="AL98" s="9">
        <f t="shared" ref="AL98:AL106" si="30">(AG98/$AG$107)*100</f>
        <v>2.4748713970427954E-3</v>
      </c>
      <c r="AM98" s="9">
        <f t="shared" ref="AM98:AM106" si="31">(AL98*AL98)</f>
        <v>6.1249884319005577E-6</v>
      </c>
      <c r="AN98" s="8" t="s">
        <v>1077</v>
      </c>
    </row>
    <row r="99" spans="13:40" ht="23">
      <c r="M99" s="8" t="s">
        <v>1889</v>
      </c>
      <c r="N99" s="8" t="s">
        <v>1869</v>
      </c>
      <c r="O99" s="8"/>
      <c r="P99" s="8"/>
      <c r="Q99" s="8"/>
      <c r="R99" s="8"/>
      <c r="S99" s="8"/>
      <c r="T99" s="8"/>
      <c r="U99" s="8"/>
      <c r="V99" s="8"/>
      <c r="W99" s="8" t="s">
        <v>1889</v>
      </c>
      <c r="X99" s="8">
        <v>12.31</v>
      </c>
      <c r="Y99" s="8">
        <v>7.35</v>
      </c>
      <c r="Z99" s="9">
        <v>7.14</v>
      </c>
      <c r="AA99" s="8">
        <v>1.4</v>
      </c>
      <c r="AB99" s="8">
        <v>44704</v>
      </c>
      <c r="AC99" s="21" t="s">
        <v>1889</v>
      </c>
      <c r="AD99" s="8" t="s">
        <v>3723</v>
      </c>
      <c r="AE99" s="8" t="s">
        <v>4083</v>
      </c>
      <c r="AF99" s="9">
        <f t="shared" si="24"/>
        <v>10.29</v>
      </c>
      <c r="AG99" s="9">
        <f t="shared" si="25"/>
        <v>10.126666666666667</v>
      </c>
      <c r="AH99" s="9">
        <f t="shared" si="26"/>
        <v>1.0733809198874485E-2</v>
      </c>
      <c r="AI99" s="9">
        <f t="shared" si="27"/>
        <v>1.1521465991784251E-4</v>
      </c>
      <c r="AJ99" s="9">
        <f t="shared" si="28"/>
        <v>1.3618184641196971E-2</v>
      </c>
      <c r="AK99" s="9">
        <f t="shared" si="29"/>
        <v>1.8545495292173308E-4</v>
      </c>
      <c r="AL99" s="9">
        <f t="shared" si="30"/>
        <v>2.2922741781146377E-2</v>
      </c>
      <c r="AM99" s="9">
        <f t="shared" si="31"/>
        <v>5.2545209076511378E-4</v>
      </c>
      <c r="AN99" s="8" t="s">
        <v>1889</v>
      </c>
    </row>
    <row r="100" spans="13:40" ht="23">
      <c r="M100" s="9" t="s">
        <v>2297</v>
      </c>
      <c r="N100" s="8" t="s">
        <v>150</v>
      </c>
      <c r="O100" s="8"/>
      <c r="P100" s="8"/>
      <c r="Q100" s="8"/>
      <c r="R100" s="8"/>
      <c r="S100" s="8"/>
      <c r="T100" s="8"/>
      <c r="U100" s="8"/>
      <c r="V100" s="8"/>
      <c r="W100" s="9" t="s">
        <v>2297</v>
      </c>
      <c r="X100" s="8">
        <v>46.97</v>
      </c>
      <c r="Y100" s="8">
        <v>3.48</v>
      </c>
      <c r="Z100" s="9">
        <v>4.32</v>
      </c>
      <c r="AA100" s="8">
        <v>1.3</v>
      </c>
      <c r="AB100" s="8">
        <v>51151</v>
      </c>
      <c r="AC100" s="22" t="s">
        <v>2297</v>
      </c>
      <c r="AD100" s="8" t="s">
        <v>3723</v>
      </c>
      <c r="AE100" s="8" t="s">
        <v>4083</v>
      </c>
      <c r="AF100" s="9">
        <f t="shared" si="24"/>
        <v>4.524</v>
      </c>
      <c r="AG100" s="9">
        <f t="shared" si="25"/>
        <v>5.8933333333333335</v>
      </c>
      <c r="AH100" s="9">
        <f t="shared" si="26"/>
        <v>9.9671085418120229E-3</v>
      </c>
      <c r="AI100" s="9">
        <f t="shared" si="27"/>
        <v>9.9343252684262187E-5</v>
      </c>
      <c r="AJ100" s="9">
        <f t="shared" si="28"/>
        <v>5.9872368626603598E-3</v>
      </c>
      <c r="AK100" s="9">
        <f t="shared" si="29"/>
        <v>3.5847005249599066E-5</v>
      </c>
      <c r="AL100" s="9">
        <f t="shared" si="30"/>
        <v>1.3340160457230675E-2</v>
      </c>
      <c r="AM100" s="9">
        <f t="shared" si="31"/>
        <v>1.7795988102466094E-4</v>
      </c>
      <c r="AN100" s="9" t="s">
        <v>2297</v>
      </c>
    </row>
    <row r="101" spans="13:40" ht="23">
      <c r="M101" s="8" t="s">
        <v>1139</v>
      </c>
      <c r="N101" s="8" t="s">
        <v>150</v>
      </c>
      <c r="O101" s="8"/>
      <c r="P101" s="8"/>
      <c r="Q101" s="8"/>
      <c r="R101" s="8"/>
      <c r="S101" s="8"/>
      <c r="T101" s="8"/>
      <c r="U101" s="8"/>
      <c r="V101" s="8"/>
      <c r="W101" s="8" t="s">
        <v>1139</v>
      </c>
      <c r="X101" s="8">
        <v>56.13</v>
      </c>
      <c r="Y101" s="8">
        <v>1.81</v>
      </c>
      <c r="Z101" s="9">
        <v>3.23</v>
      </c>
      <c r="AA101" s="8">
        <v>1.3</v>
      </c>
      <c r="AB101" s="8">
        <v>61656</v>
      </c>
      <c r="AC101" s="21" t="s">
        <v>1139</v>
      </c>
      <c r="AD101" s="8" t="s">
        <v>3723</v>
      </c>
      <c r="AE101" s="8" t="s">
        <v>4083</v>
      </c>
      <c r="AF101" s="9">
        <f t="shared" si="24"/>
        <v>2.3530000000000002</v>
      </c>
      <c r="AG101" s="9">
        <f t="shared" si="25"/>
        <v>4.3983333333333334</v>
      </c>
      <c r="AH101" s="9">
        <f t="shared" si="26"/>
        <v>9.9671085418120229E-3</v>
      </c>
      <c r="AI101" s="9">
        <f t="shared" si="27"/>
        <v>9.9343252684262187E-5</v>
      </c>
      <c r="AJ101" s="9">
        <f t="shared" si="28"/>
        <v>3.1140513567285205E-3</v>
      </c>
      <c r="AK101" s="9">
        <f t="shared" si="29"/>
        <v>9.6973158523427398E-6</v>
      </c>
      <c r="AL101" s="9">
        <f t="shared" si="30"/>
        <v>9.956075635359659E-3</v>
      </c>
      <c r="AM101" s="9">
        <f t="shared" si="31"/>
        <v>9.9123442057002243E-5</v>
      </c>
      <c r="AN101" s="8" t="s">
        <v>1139</v>
      </c>
    </row>
    <row r="102" spans="13:40" ht="23">
      <c r="M102" s="9" t="s">
        <v>2647</v>
      </c>
      <c r="N102" s="8" t="s">
        <v>150</v>
      </c>
      <c r="O102" s="8"/>
      <c r="P102" s="8"/>
      <c r="Q102" s="8"/>
      <c r="R102" s="8"/>
      <c r="S102" s="8"/>
      <c r="T102" s="8"/>
      <c r="U102" s="8"/>
      <c r="V102" s="8"/>
      <c r="W102" s="9" t="s">
        <v>2647</v>
      </c>
      <c r="X102" s="8">
        <v>45.29</v>
      </c>
      <c r="Y102" s="8">
        <v>5.09</v>
      </c>
      <c r="Z102" s="9">
        <v>2.27</v>
      </c>
      <c r="AA102" s="8">
        <v>1.3</v>
      </c>
      <c r="AB102" s="8">
        <v>40155</v>
      </c>
      <c r="AC102" s="22" t="s">
        <v>2647</v>
      </c>
      <c r="AD102" s="8" t="s">
        <v>4369</v>
      </c>
      <c r="AE102" s="8" t="s">
        <v>4083</v>
      </c>
      <c r="AF102" s="9">
        <f t="shared" si="24"/>
        <v>6.617</v>
      </c>
      <c r="AG102" s="9">
        <f t="shared" si="25"/>
        <v>3.1850000000000005</v>
      </c>
      <c r="AH102" s="9">
        <f t="shared" si="26"/>
        <v>9.9671085418120229E-3</v>
      </c>
      <c r="AI102" s="9">
        <f t="shared" si="27"/>
        <v>9.9343252684262187E-5</v>
      </c>
      <c r="AJ102" s="9">
        <f t="shared" si="28"/>
        <v>8.7571941468221927E-3</v>
      </c>
      <c r="AK102" s="9">
        <f t="shared" si="29"/>
        <v>7.6688449325136866E-5</v>
      </c>
      <c r="AL102" s="9">
        <f t="shared" si="30"/>
        <v>7.2095720118121676E-3</v>
      </c>
      <c r="AM102" s="9">
        <f t="shared" si="31"/>
        <v>5.1977928593505346E-5</v>
      </c>
      <c r="AN102" s="9" t="s">
        <v>2647</v>
      </c>
    </row>
    <row r="103" spans="13:40" ht="23">
      <c r="M103" s="8" t="s">
        <v>813</v>
      </c>
      <c r="N103" s="8" t="s">
        <v>150</v>
      </c>
      <c r="O103" s="8"/>
      <c r="P103" s="8"/>
      <c r="Q103" s="8"/>
      <c r="R103" s="8"/>
      <c r="S103" s="8"/>
      <c r="T103" s="8"/>
      <c r="U103" s="8"/>
      <c r="V103" s="8"/>
      <c r="W103" s="8" t="s">
        <v>813</v>
      </c>
      <c r="X103" s="8">
        <v>27.2</v>
      </c>
      <c r="Y103" s="8">
        <v>2.4900000000000002</v>
      </c>
      <c r="Z103" s="9">
        <v>1.54</v>
      </c>
      <c r="AA103" s="8">
        <v>1.3</v>
      </c>
      <c r="AB103" s="8">
        <v>50959</v>
      </c>
      <c r="AC103" s="21" t="s">
        <v>813</v>
      </c>
      <c r="AD103" s="8" t="s">
        <v>4369</v>
      </c>
      <c r="AE103" s="8" t="s">
        <v>4083</v>
      </c>
      <c r="AF103" s="9">
        <f t="shared" si="24"/>
        <v>3.2370000000000005</v>
      </c>
      <c r="AG103" s="9">
        <f t="shared" si="25"/>
        <v>2.4699999999999998</v>
      </c>
      <c r="AH103" s="9">
        <f t="shared" si="26"/>
        <v>9.9671085418120229E-3</v>
      </c>
      <c r="AI103" s="9">
        <f t="shared" si="27"/>
        <v>9.9343252684262187E-5</v>
      </c>
      <c r="AJ103" s="9">
        <f t="shared" si="28"/>
        <v>4.283971203455258E-3</v>
      </c>
      <c r="AK103" s="9">
        <f t="shared" si="29"/>
        <v>1.8352409272033893E-5</v>
      </c>
      <c r="AL103" s="9">
        <f t="shared" si="30"/>
        <v>5.5910966622216797E-3</v>
      </c>
      <c r="AM103" s="9">
        <f t="shared" si="31"/>
        <v>3.1260361886306405E-5</v>
      </c>
      <c r="AN103" s="8" t="s">
        <v>813</v>
      </c>
    </row>
    <row r="104" spans="13:40" ht="23">
      <c r="M104" s="8" t="s">
        <v>161</v>
      </c>
      <c r="N104" s="8" t="s">
        <v>150</v>
      </c>
      <c r="O104" s="8"/>
      <c r="P104" s="8"/>
      <c r="Q104" s="8"/>
      <c r="R104" s="8"/>
      <c r="S104" s="8"/>
      <c r="T104" s="8"/>
      <c r="U104" s="8"/>
      <c r="V104" s="8"/>
      <c r="W104" s="8" t="s">
        <v>161</v>
      </c>
      <c r="X104" s="8">
        <v>16.71</v>
      </c>
      <c r="Y104" s="8">
        <v>10.5</v>
      </c>
      <c r="Z104" s="9">
        <v>5.0599999999999996</v>
      </c>
      <c r="AA104" s="8">
        <v>1.2</v>
      </c>
      <c r="AB104" s="8">
        <v>36895</v>
      </c>
      <c r="AC104" s="21" t="s">
        <v>161</v>
      </c>
      <c r="AD104" s="8" t="s">
        <v>4373</v>
      </c>
      <c r="AE104" s="8" t="s">
        <v>4083</v>
      </c>
      <c r="AF104" s="9">
        <f t="shared" si="24"/>
        <v>12.6</v>
      </c>
      <c r="AG104" s="9">
        <f t="shared" si="25"/>
        <v>6.1199999999999992</v>
      </c>
      <c r="AH104" s="9">
        <f t="shared" si="26"/>
        <v>9.2004078847495591E-3</v>
      </c>
      <c r="AI104" s="9">
        <f t="shared" si="27"/>
        <v>8.4647505245761859E-5</v>
      </c>
      <c r="AJ104" s="9">
        <f t="shared" si="28"/>
        <v>1.6675328132077925E-2</v>
      </c>
      <c r="AK104" s="9">
        <f t="shared" si="29"/>
        <v>2.7806656831246945E-4</v>
      </c>
      <c r="AL104" s="9">
        <f t="shared" si="30"/>
        <v>1.3853243551739544E-2</v>
      </c>
      <c r="AM104" s="9">
        <f t="shared" si="31"/>
        <v>1.9191235690381325E-4</v>
      </c>
      <c r="AN104" s="8" t="s">
        <v>161</v>
      </c>
    </row>
    <row r="105" spans="13:40" ht="23">
      <c r="M105" s="9" t="s">
        <v>2737</v>
      </c>
      <c r="N105" s="8" t="s">
        <v>1614</v>
      </c>
      <c r="O105" s="8"/>
      <c r="P105" s="8"/>
      <c r="Q105" s="8"/>
      <c r="R105" s="8"/>
      <c r="S105" s="8"/>
      <c r="T105" s="8"/>
      <c r="U105" s="8"/>
      <c r="V105" s="8"/>
      <c r="W105" s="9" t="s">
        <v>2737</v>
      </c>
      <c r="X105" s="8">
        <v>35.659999999999997</v>
      </c>
      <c r="Y105" s="8">
        <v>2.08</v>
      </c>
      <c r="Z105" s="9">
        <v>2.12</v>
      </c>
      <c r="AA105" s="8">
        <v>1.1000000000000001</v>
      </c>
      <c r="AB105" s="8">
        <v>62834</v>
      </c>
      <c r="AC105" s="22" t="s">
        <v>2737</v>
      </c>
      <c r="AD105" s="8" t="s">
        <v>4409</v>
      </c>
      <c r="AE105" s="8" t="s">
        <v>4083</v>
      </c>
      <c r="AF105" s="9">
        <f t="shared" si="24"/>
        <v>2.2880000000000003</v>
      </c>
      <c r="AG105" s="9">
        <f t="shared" si="25"/>
        <v>2.4200000000000004</v>
      </c>
      <c r="AH105" s="9">
        <f t="shared" si="26"/>
        <v>8.4337072276870952E-3</v>
      </c>
      <c r="AI105" s="9">
        <f t="shared" si="27"/>
        <v>7.1127417602341554E-5</v>
      </c>
      <c r="AJ105" s="9">
        <f t="shared" si="28"/>
        <v>3.0280278385868492E-3</v>
      </c>
      <c r="AK105" s="9">
        <f t="shared" si="29"/>
        <v>9.168952591256946E-6</v>
      </c>
      <c r="AL105" s="9">
        <f t="shared" si="30"/>
        <v>5.4779165678447237E-3</v>
      </c>
      <c r="AM105" s="9">
        <f t="shared" si="31"/>
        <v>3.0007569924267718E-5</v>
      </c>
      <c r="AN105" s="9" t="s">
        <v>2737</v>
      </c>
    </row>
    <row r="106" spans="13:40" ht="23">
      <c r="M106" s="9" t="s">
        <v>2775</v>
      </c>
      <c r="N106" s="8" t="s">
        <v>1614</v>
      </c>
      <c r="O106" s="8"/>
      <c r="P106" s="8"/>
      <c r="Q106" s="8"/>
      <c r="R106" s="8"/>
      <c r="S106" s="8"/>
      <c r="T106" s="8"/>
      <c r="U106" s="8"/>
      <c r="V106" s="8"/>
      <c r="W106" s="9" t="s">
        <v>2775</v>
      </c>
      <c r="X106" s="8">
        <v>16.78</v>
      </c>
      <c r="Y106" s="8">
        <v>6.66</v>
      </c>
      <c r="Z106" s="9">
        <v>2.2999999999999998</v>
      </c>
      <c r="AA106" s="8">
        <v>1.1000000000000001</v>
      </c>
      <c r="AB106" s="8">
        <v>49974</v>
      </c>
      <c r="AC106" s="22" t="s">
        <v>2775</v>
      </c>
      <c r="AD106" s="8" t="s">
        <v>4372</v>
      </c>
      <c r="AE106" s="8" t="s">
        <v>4083</v>
      </c>
      <c r="AF106" s="9">
        <f t="shared" si="24"/>
        <v>7.3260000000000005</v>
      </c>
      <c r="AG106" s="9">
        <f t="shared" si="25"/>
        <v>2.2055000000000002</v>
      </c>
      <c r="AH106" s="9">
        <f t="shared" si="26"/>
        <v>8.4337072276870952E-3</v>
      </c>
      <c r="AI106" s="9">
        <f t="shared" si="27"/>
        <v>7.1127417602341554E-5</v>
      </c>
      <c r="AJ106" s="9">
        <f t="shared" si="28"/>
        <v>9.6955122139367363E-3</v>
      </c>
      <c r="AK106" s="9">
        <f t="shared" si="29"/>
        <v>9.4002957090596432E-5</v>
      </c>
      <c r="AL106" s="9">
        <f t="shared" si="30"/>
        <v>4.9923739629675777E-3</v>
      </c>
      <c r="AM106" s="9">
        <f t="shared" si="31"/>
        <v>2.4923797786116596E-5</v>
      </c>
      <c r="AN106" s="9" t="s">
        <v>2775</v>
      </c>
    </row>
    <row r="107" spans="13:40" ht="23">
      <c r="M107" s="9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9"/>
      <c r="AA107" s="8">
        <f>SUBTOTAL(109,Table1363243444547[ترافیک کل])</f>
        <v>13042.899999999998</v>
      </c>
      <c r="AB107" s="8"/>
      <c r="AC107" s="8"/>
      <c r="AD107" s="8"/>
      <c r="AE107" s="8"/>
      <c r="AF107" s="9">
        <f>SUBTOTAL(109,Table1363243444547[[مجموع صفحات  مشاهده شده   ]])</f>
        <v>75560.73199999996</v>
      </c>
      <c r="AG107" s="9">
        <f>SUBTOTAL(109,Table1363243444547[[مجموع زمان حضور در سایت ]])</f>
        <v>44177.379666666682</v>
      </c>
      <c r="AH107" s="9">
        <f>SUBTOTAL(109,Table1363243444547[سهم سایت از کل ترافیک طبقه بندی])</f>
        <v>100.00000000000001</v>
      </c>
      <c r="AI107" s="9">
        <f>SUBTOTAL(109,Table1363243444547[شاخص هرفیندال هیرشمن (ترافیک)])</f>
        <v>954.36674677245935</v>
      </c>
      <c r="AJ107" s="9">
        <f>SUBTOTAL(109,Table1363243444547[سهم سایت از کل صفحات مشاهده شده در طبقه بندی])</f>
        <v>100.00000000000003</v>
      </c>
      <c r="AK107" s="9">
        <f>SUBTOTAL(109,Table1363243444547[شاخص هرفیندال -هیرشمن (صفحات مشاهده شده )])</f>
        <v>1977.8246431218702</v>
      </c>
      <c r="AL107" s="9">
        <f>SUBTOTAL(109,Table1363243444547[سهم سایت از کل زمان حضور در طبقه بندی])</f>
        <v>99.999999999999986</v>
      </c>
      <c r="AM107" s="9">
        <f>SUBTOTAL(109,Table1363243444547[شاخص هرفیندال هیرشمن (زمان حضور)])</f>
        <v>1892.714122774302</v>
      </c>
      <c r="AN107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{EE01FAEC-3B6E-4FAB-948A-291784B86420}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{A824FEC6-6F30-4413-9C83-D59CE25D4309}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{A1072614-8801-4C6F-9D8D-AFD739E11A62}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{502855D0-1505-4C2A-955D-AE094B8EDC71}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{BE2FCDB6-0C7A-4C1D-96E7-699213E6CF8B}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{D119C009-8BEA-4C8F-A810-6543C2938A9C}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E01FAEC-3B6E-4FAB-948A-291784B8642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824FEC6-6F30-4413-9C83-D59CE25D43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1072614-8801-4C6F-9D8D-AFD739E11A6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02855D0-1505-4C2A-955D-AE094B8EDC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E2FCDB6-0C7A-4C1D-96E7-699213E6CF8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D119C009-8BEA-4C8F-A810-6543C2938A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81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2195</v>
      </c>
      <c r="N2" s="8" t="s">
        <v>150</v>
      </c>
      <c r="O2" s="8" t="s">
        <v>4496</v>
      </c>
      <c r="P2" s="8" t="s">
        <v>4663</v>
      </c>
      <c r="Q2" s="8"/>
      <c r="R2" s="8"/>
      <c r="S2" s="8"/>
      <c r="T2" s="8"/>
      <c r="U2" s="8"/>
      <c r="V2" s="8"/>
      <c r="W2" s="9" t="s">
        <v>2195</v>
      </c>
      <c r="X2" s="8">
        <v>58.63</v>
      </c>
      <c r="Y2" s="8">
        <v>3.1</v>
      </c>
      <c r="Z2" s="9">
        <v>3.03</v>
      </c>
      <c r="AA2" s="8">
        <v>1822.9</v>
      </c>
      <c r="AB2" s="8">
        <v>1290</v>
      </c>
      <c r="AC2" s="22" t="s">
        <v>2195</v>
      </c>
      <c r="AD2" s="8" t="s">
        <v>4497</v>
      </c>
      <c r="AE2" s="8" t="s">
        <v>4083</v>
      </c>
      <c r="AF2" s="9">
        <f t="shared" ref="AF2:AF33" si="0">(AA2*Y2)</f>
        <v>5650.9900000000007</v>
      </c>
      <c r="AG2" s="9">
        <f t="shared" ref="AG2:AG33" si="1">((((RIGHT(Z2,2))/60)+(LEFT(Z2,2)))*AA2)</f>
        <v>5559.8450000000003</v>
      </c>
      <c r="AH2" s="9">
        <f t="shared" ref="AH2:AH33" si="2">(AA2/$AA$181)*100</f>
        <v>16.144860020016111</v>
      </c>
      <c r="AI2" s="9">
        <f t="shared" ref="AI2:AI33" si="3">(AH2*AH2)</f>
        <v>260.65650506591464</v>
      </c>
      <c r="AJ2" s="9">
        <f t="shared" ref="AJ2:AJ33" si="4">(AF2/$AF$181)*100</f>
        <v>15.444778709902007</v>
      </c>
      <c r="AK2" s="9">
        <f t="shared" ref="AK2:AK33" si="5">(AJ2*AJ2)</f>
        <v>238.54118939784229</v>
      </c>
      <c r="AL2" s="9">
        <f t="shared" ref="AL2:AL33" si="6">(AG2/$AG$181)*100</f>
        <v>21.24210968302334</v>
      </c>
      <c r="AM2" s="9">
        <f t="shared" ref="AM2:AM33" si="7">(AL2*AL2)</f>
        <v>451.22722378559394</v>
      </c>
      <c r="AN2" s="9" t="s">
        <v>2195</v>
      </c>
    </row>
    <row r="3" spans="8:40" ht="23">
      <c r="M3" s="8" t="s">
        <v>592</v>
      </c>
      <c r="N3" s="8" t="s">
        <v>150</v>
      </c>
      <c r="O3" s="8"/>
      <c r="P3" s="8" t="s">
        <v>3715</v>
      </c>
      <c r="Q3" s="8"/>
      <c r="R3" s="8"/>
      <c r="S3" s="8"/>
      <c r="T3" s="8"/>
      <c r="U3" s="8"/>
      <c r="V3" s="8"/>
      <c r="W3" s="8" t="s">
        <v>592</v>
      </c>
      <c r="X3" s="8">
        <v>42.32</v>
      </c>
      <c r="Y3" s="8">
        <v>2.92</v>
      </c>
      <c r="Z3" s="9">
        <v>1.57</v>
      </c>
      <c r="AA3" s="8">
        <v>846.4</v>
      </c>
      <c r="AB3" s="8">
        <v>418</v>
      </c>
      <c r="AC3" s="21" t="s">
        <v>592</v>
      </c>
      <c r="AD3" s="8" t="s">
        <v>3712</v>
      </c>
      <c r="AE3" s="8" t="s">
        <v>4083</v>
      </c>
      <c r="AF3" s="9">
        <f t="shared" si="0"/>
        <v>2471.4879999999998</v>
      </c>
      <c r="AG3" s="9">
        <f t="shared" si="1"/>
        <v>1650.48</v>
      </c>
      <c r="AH3" s="9">
        <f t="shared" si="2"/>
        <v>7.4963023319664464</v>
      </c>
      <c r="AI3" s="9">
        <f t="shared" si="3"/>
        <v>56.194548652245579</v>
      </c>
      <c r="AJ3" s="9">
        <f t="shared" si="4"/>
        <v>6.754849193535696</v>
      </c>
      <c r="AK3" s="9">
        <f t="shared" si="5"/>
        <v>45.627987627409844</v>
      </c>
      <c r="AL3" s="9">
        <f t="shared" si="6"/>
        <v>6.3058731294912658</v>
      </c>
      <c r="AM3" s="9">
        <f t="shared" si="7"/>
        <v>39.764035925239973</v>
      </c>
      <c r="AN3" s="8" t="s">
        <v>592</v>
      </c>
    </row>
    <row r="4" spans="8:40" ht="23">
      <c r="M4" s="8" t="s">
        <v>1265</v>
      </c>
      <c r="N4" s="8" t="s">
        <v>150</v>
      </c>
      <c r="O4" s="8"/>
      <c r="P4" s="8" t="s">
        <v>3704</v>
      </c>
      <c r="Q4" s="8"/>
      <c r="R4" s="8"/>
      <c r="S4" s="8"/>
      <c r="T4" s="8"/>
      <c r="U4" s="8"/>
      <c r="V4" s="8"/>
      <c r="W4" s="8" t="s">
        <v>1265</v>
      </c>
      <c r="X4" s="8">
        <v>19.940000000000001</v>
      </c>
      <c r="Y4" s="8">
        <v>4.0999999999999996</v>
      </c>
      <c r="Z4" s="9">
        <v>4.04</v>
      </c>
      <c r="AA4" s="8">
        <v>736.4</v>
      </c>
      <c r="AB4" s="8">
        <v>402</v>
      </c>
      <c r="AC4" s="21" t="s">
        <v>1265</v>
      </c>
      <c r="AD4" s="8" t="s">
        <v>3712</v>
      </c>
      <c r="AE4" s="8" t="s">
        <v>4083</v>
      </c>
      <c r="AF4" s="9">
        <f t="shared" si="0"/>
        <v>3019.24</v>
      </c>
      <c r="AG4" s="9">
        <f t="shared" si="1"/>
        <v>2994.6933333333332</v>
      </c>
      <c r="AH4" s="9">
        <f t="shared" si="2"/>
        <v>6.5220664428876312</v>
      </c>
      <c r="AI4" s="9">
        <f t="shared" si="3"/>
        <v>42.53735068544092</v>
      </c>
      <c r="AJ4" s="9">
        <f t="shared" si="4"/>
        <v>8.2519158009631113</v>
      </c>
      <c r="AK4" s="9">
        <f t="shared" si="5"/>
        <v>68.094114386184671</v>
      </c>
      <c r="AL4" s="9">
        <f t="shared" si="6"/>
        <v>11.441614694957403</v>
      </c>
      <c r="AM4" s="9">
        <f t="shared" si="7"/>
        <v>130.91054682786518</v>
      </c>
      <c r="AN4" s="8" t="s">
        <v>1265</v>
      </c>
    </row>
    <row r="5" spans="8:40" ht="23">
      <c r="M5" s="8" t="s">
        <v>1013</v>
      </c>
      <c r="N5" s="8" t="s">
        <v>150</v>
      </c>
      <c r="O5" s="8"/>
      <c r="P5" s="8" t="s">
        <v>3728</v>
      </c>
      <c r="Q5" s="8"/>
      <c r="R5" s="8"/>
      <c r="S5" s="8"/>
      <c r="T5" s="8"/>
      <c r="U5" s="8"/>
      <c r="V5" s="8"/>
      <c r="W5" s="8" t="s">
        <v>1013</v>
      </c>
      <c r="X5" s="8">
        <v>35.72</v>
      </c>
      <c r="Y5" s="8">
        <v>2.88</v>
      </c>
      <c r="Z5" s="9">
        <v>2.29</v>
      </c>
      <c r="AA5" s="8">
        <v>637.70000000000005</v>
      </c>
      <c r="AB5" s="8">
        <v>667</v>
      </c>
      <c r="AC5" s="21" t="s">
        <v>1013</v>
      </c>
      <c r="AD5" s="8" t="s">
        <v>3712</v>
      </c>
      <c r="AE5" s="8" t="s">
        <v>4083</v>
      </c>
      <c r="AF5" s="9">
        <f t="shared" si="0"/>
        <v>1836.576</v>
      </c>
      <c r="AG5" s="9">
        <f t="shared" si="1"/>
        <v>1583.6216666666669</v>
      </c>
      <c r="AH5" s="9">
        <f t="shared" si="2"/>
        <v>5.6479111496869123</v>
      </c>
      <c r="AI5" s="9">
        <f t="shared" si="3"/>
        <v>31.898900354757739</v>
      </c>
      <c r="AJ5" s="9">
        <f t="shared" si="4"/>
        <v>5.0195646964367286</v>
      </c>
      <c r="AK5" s="9">
        <f t="shared" si="5"/>
        <v>25.196029741713946</v>
      </c>
      <c r="AL5" s="9">
        <f t="shared" si="6"/>
        <v>6.0504321864630342</v>
      </c>
      <c r="AM5" s="9">
        <f t="shared" si="7"/>
        <v>36.607729642987849</v>
      </c>
      <c r="AN5" s="8" t="s">
        <v>1013</v>
      </c>
    </row>
    <row r="6" spans="8:40" ht="23">
      <c r="M6" s="8" t="s">
        <v>1287</v>
      </c>
      <c r="N6" s="8" t="s">
        <v>150</v>
      </c>
      <c r="O6" s="8"/>
      <c r="P6" s="8" t="s">
        <v>3693</v>
      </c>
      <c r="Q6" s="8"/>
      <c r="R6" s="8"/>
      <c r="S6" s="8"/>
      <c r="T6" s="8"/>
      <c r="U6" s="8"/>
      <c r="V6" s="8"/>
      <c r="W6" s="8" t="s">
        <v>1287</v>
      </c>
      <c r="X6" s="8">
        <v>44.9</v>
      </c>
      <c r="Y6" s="8">
        <v>2.2799999999999998</v>
      </c>
      <c r="Z6" s="9">
        <v>2.1</v>
      </c>
      <c r="AA6" s="8">
        <v>628.20000000000005</v>
      </c>
      <c r="AB6" s="8">
        <v>803</v>
      </c>
      <c r="AC6" s="21" t="s">
        <v>1287</v>
      </c>
      <c r="AD6" s="8" t="s">
        <v>3712</v>
      </c>
      <c r="AE6" s="8" t="s">
        <v>4083</v>
      </c>
      <c r="AF6" s="9">
        <f t="shared" si="0"/>
        <v>1432.296</v>
      </c>
      <c r="AG6" s="9">
        <f t="shared" si="1"/>
        <v>1257.4469999999999</v>
      </c>
      <c r="AH6" s="9">
        <f t="shared" si="2"/>
        <v>5.5637725956301063</v>
      </c>
      <c r="AI6" s="9">
        <f t="shared" si="3"/>
        <v>30.955565495884571</v>
      </c>
      <c r="AJ6" s="9">
        <f t="shared" si="4"/>
        <v>3.9146228832607743</v>
      </c>
      <c r="AK6" s="9">
        <f t="shared" si="5"/>
        <v>15.324272318148898</v>
      </c>
      <c r="AL6" s="9">
        <f t="shared" si="6"/>
        <v>4.8042395236897164</v>
      </c>
      <c r="AM6" s="9">
        <f t="shared" si="7"/>
        <v>23.080717400982394</v>
      </c>
      <c r="AN6" s="8" t="s">
        <v>1287</v>
      </c>
    </row>
    <row r="7" spans="8:40" ht="23">
      <c r="M7" s="8" t="s">
        <v>884</v>
      </c>
      <c r="N7" s="8" t="s">
        <v>150</v>
      </c>
      <c r="O7" s="8"/>
      <c r="P7" s="8" t="s">
        <v>3693</v>
      </c>
      <c r="Q7" s="8"/>
      <c r="R7" s="8"/>
      <c r="S7" s="8"/>
      <c r="T7" s="8"/>
      <c r="U7" s="8"/>
      <c r="V7" s="8"/>
      <c r="W7" s="8" t="s">
        <v>884</v>
      </c>
      <c r="X7" s="8">
        <v>38.479999999999997</v>
      </c>
      <c r="Y7" s="8">
        <v>3.19</v>
      </c>
      <c r="Z7" s="9">
        <v>2.56</v>
      </c>
      <c r="AA7" s="8">
        <v>509.5</v>
      </c>
      <c r="AB7" s="8">
        <v>2313</v>
      </c>
      <c r="AC7" s="21" t="s">
        <v>884</v>
      </c>
      <c r="AD7" s="8" t="s">
        <v>3712</v>
      </c>
      <c r="AE7" s="8" t="s">
        <v>4083</v>
      </c>
      <c r="AF7" s="9">
        <f t="shared" si="0"/>
        <v>1625.3050000000001</v>
      </c>
      <c r="AG7" s="9">
        <f t="shared" si="1"/>
        <v>1494.5333333333335</v>
      </c>
      <c r="AH7" s="9">
        <f t="shared" si="2"/>
        <v>4.5124835044150577</v>
      </c>
      <c r="AI7" s="9">
        <f t="shared" si="3"/>
        <v>20.362507377618002</v>
      </c>
      <c r="AJ7" s="9">
        <f t="shared" si="4"/>
        <v>4.4421377601265046</v>
      </c>
      <c r="AK7" s="9">
        <f t="shared" si="5"/>
        <v>19.732587879941718</v>
      </c>
      <c r="AL7" s="9">
        <f t="shared" si="6"/>
        <v>5.7100586422105577</v>
      </c>
      <c r="AM7" s="9">
        <f t="shared" si="7"/>
        <v>32.604769697483476</v>
      </c>
      <c r="AN7" s="8" t="s">
        <v>884</v>
      </c>
    </row>
    <row r="8" spans="8:40" ht="23">
      <c r="M8" s="9" t="s">
        <v>2457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9" t="s">
        <v>2457</v>
      </c>
      <c r="X8" s="8">
        <v>31.74</v>
      </c>
      <c r="Y8" s="8">
        <v>2.21</v>
      </c>
      <c r="Z8" s="9">
        <v>1.02</v>
      </c>
      <c r="AA8" s="8">
        <v>308.5</v>
      </c>
      <c r="AB8" s="8">
        <v>3338</v>
      </c>
      <c r="AC8" s="22" t="s">
        <v>2457</v>
      </c>
      <c r="AD8" s="8" t="s">
        <v>3712</v>
      </c>
      <c r="AE8" s="8" t="s">
        <v>4083</v>
      </c>
      <c r="AF8" s="9">
        <f t="shared" si="0"/>
        <v>681.78499999999997</v>
      </c>
      <c r="AG8" s="9">
        <f t="shared" si="1"/>
        <v>318.78333333333336</v>
      </c>
      <c r="AH8" s="9">
        <f t="shared" si="2"/>
        <v>2.7322888343710403</v>
      </c>
      <c r="AI8" s="9">
        <f t="shared" si="3"/>
        <v>7.4654022744286586</v>
      </c>
      <c r="AJ8" s="9">
        <f t="shared" si="4"/>
        <v>1.8633935739986336</v>
      </c>
      <c r="AK8" s="9">
        <f t="shared" si="5"/>
        <v>3.4722356116194013</v>
      </c>
      <c r="AL8" s="9">
        <f t="shared" si="6"/>
        <v>1.2179531141221489</v>
      </c>
      <c r="AM8" s="9">
        <f t="shared" si="7"/>
        <v>1.4834097881998403</v>
      </c>
      <c r="AN8" s="9" t="s">
        <v>2457</v>
      </c>
    </row>
    <row r="9" spans="8:40" ht="23">
      <c r="M9" s="8" t="s">
        <v>1133</v>
      </c>
      <c r="N9" s="8" t="s">
        <v>150</v>
      </c>
      <c r="O9" s="8"/>
      <c r="P9" s="8" t="s">
        <v>3691</v>
      </c>
      <c r="Q9" s="8"/>
      <c r="R9" s="8"/>
      <c r="S9" s="8"/>
      <c r="T9" s="8"/>
      <c r="U9" s="8"/>
      <c r="V9" s="8"/>
      <c r="W9" s="8" t="s">
        <v>1133</v>
      </c>
      <c r="X9" s="8">
        <v>24.25</v>
      </c>
      <c r="Y9" s="8">
        <v>4.03</v>
      </c>
      <c r="Z9" s="9">
        <v>4.28</v>
      </c>
      <c r="AA9" s="8">
        <v>296.60000000000002</v>
      </c>
      <c r="AB9" s="8">
        <v>2111</v>
      </c>
      <c r="AC9" s="21" t="s">
        <v>1133</v>
      </c>
      <c r="AD9" s="8" t="s">
        <v>3712</v>
      </c>
      <c r="AE9" s="8" t="s">
        <v>4083</v>
      </c>
      <c r="AF9" s="9">
        <f t="shared" si="0"/>
        <v>1195.2980000000002</v>
      </c>
      <c r="AG9" s="9">
        <f t="shared" si="1"/>
        <v>1324.8133333333335</v>
      </c>
      <c r="AH9" s="9">
        <f t="shared" si="2"/>
        <v>2.626894224552514</v>
      </c>
      <c r="AI9" s="9">
        <f t="shared" si="3"/>
        <v>6.9005732669873536</v>
      </c>
      <c r="AJ9" s="9">
        <f t="shared" si="4"/>
        <v>3.2668812194656955</v>
      </c>
      <c r="AK9" s="9">
        <f t="shared" si="5"/>
        <v>10.672512902097671</v>
      </c>
      <c r="AL9" s="9">
        <f t="shared" si="6"/>
        <v>5.0616213466739506</v>
      </c>
      <c r="AM9" s="9">
        <f t="shared" si="7"/>
        <v>25.620010657105418</v>
      </c>
      <c r="AN9" s="8" t="s">
        <v>1133</v>
      </c>
    </row>
    <row r="10" spans="8:40" ht="23">
      <c r="M10" s="9" t="s">
        <v>2443</v>
      </c>
      <c r="N10" s="8" t="s">
        <v>150</v>
      </c>
      <c r="O10" s="8"/>
      <c r="P10" s="8" t="s">
        <v>3704</v>
      </c>
      <c r="Q10" s="8"/>
      <c r="R10" s="8"/>
      <c r="S10" s="8"/>
      <c r="T10" s="8"/>
      <c r="U10" s="8"/>
      <c r="V10" s="8"/>
      <c r="W10" s="9" t="s">
        <v>2443</v>
      </c>
      <c r="X10" s="8">
        <v>23.3</v>
      </c>
      <c r="Y10" s="8">
        <v>5.16</v>
      </c>
      <c r="Z10" s="9">
        <v>5.3</v>
      </c>
      <c r="AA10" s="8">
        <v>295.39999999999998</v>
      </c>
      <c r="AB10" s="8">
        <v>1575</v>
      </c>
      <c r="AC10" s="22" t="s">
        <v>2443</v>
      </c>
      <c r="AD10" s="8" t="s">
        <v>3712</v>
      </c>
      <c r="AE10" s="8" t="s">
        <v>4083</v>
      </c>
      <c r="AF10" s="9">
        <f t="shared" si="0"/>
        <v>1524.2639999999999</v>
      </c>
      <c r="AG10" s="9">
        <f t="shared" si="1"/>
        <v>1478.4769999999999</v>
      </c>
      <c r="AH10" s="9">
        <f t="shared" si="2"/>
        <v>2.6162661966716541</v>
      </c>
      <c r="AI10" s="9">
        <f t="shared" si="3"/>
        <v>6.8448488118467621</v>
      </c>
      <c r="AJ10" s="9">
        <f t="shared" si="4"/>
        <v>4.1659815670298608</v>
      </c>
      <c r="AK10" s="9">
        <f t="shared" si="5"/>
        <v>17.355402416832575</v>
      </c>
      <c r="AL10" s="9">
        <f t="shared" si="6"/>
        <v>5.6487133360421558</v>
      </c>
      <c r="AM10" s="9">
        <f t="shared" si="7"/>
        <v>31.907962352780501</v>
      </c>
      <c r="AN10" s="9" t="s">
        <v>2443</v>
      </c>
    </row>
    <row r="11" spans="8:40" ht="23">
      <c r="M11" s="9" t="s">
        <v>2582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9" t="s">
        <v>2582</v>
      </c>
      <c r="X11" s="8">
        <v>43.87</v>
      </c>
      <c r="Y11" s="8">
        <v>1.25</v>
      </c>
      <c r="Z11" s="9">
        <v>0.28999999999999998</v>
      </c>
      <c r="AA11" s="8">
        <v>236.8</v>
      </c>
      <c r="AB11" s="8">
        <v>10868</v>
      </c>
      <c r="AC11" s="22" t="s">
        <v>2582</v>
      </c>
      <c r="AD11" s="8" t="s">
        <v>3712</v>
      </c>
      <c r="AE11" s="8" t="s">
        <v>4083</v>
      </c>
      <c r="AF11" s="9">
        <f t="shared" si="0"/>
        <v>296</v>
      </c>
      <c r="AG11" s="9">
        <f t="shared" si="1"/>
        <v>114.45333333333333</v>
      </c>
      <c r="AH11" s="9">
        <f t="shared" si="2"/>
        <v>2.0972641684896676</v>
      </c>
      <c r="AI11" s="9">
        <f t="shared" si="3"/>
        <v>4.3985169924306566</v>
      </c>
      <c r="AJ11" s="9">
        <f t="shared" si="4"/>
        <v>0.80900063495617458</v>
      </c>
      <c r="AK11" s="9">
        <f t="shared" si="5"/>
        <v>0.65448202735949368</v>
      </c>
      <c r="AL11" s="9">
        <f t="shared" si="6"/>
        <v>0.4372838200083452</v>
      </c>
      <c r="AM11" s="9">
        <f t="shared" si="7"/>
        <v>0.19121713924109085</v>
      </c>
      <c r="AN11" s="9" t="s">
        <v>2582</v>
      </c>
    </row>
    <row r="12" spans="8:40" ht="23">
      <c r="M12" s="8" t="s">
        <v>1027</v>
      </c>
      <c r="N12" s="8" t="s">
        <v>150</v>
      </c>
      <c r="O12" s="8"/>
      <c r="P12" s="8" t="s">
        <v>3693</v>
      </c>
      <c r="Q12" s="8"/>
      <c r="R12" s="8"/>
      <c r="S12" s="8"/>
      <c r="T12" s="8"/>
      <c r="U12" s="8"/>
      <c r="V12" s="8"/>
      <c r="W12" s="8" t="s">
        <v>1027</v>
      </c>
      <c r="X12" s="8">
        <v>27.02</v>
      </c>
      <c r="Y12" s="8">
        <v>2.81</v>
      </c>
      <c r="Z12" s="9">
        <v>0.55000000000000004</v>
      </c>
      <c r="AA12" s="8">
        <v>234.8</v>
      </c>
      <c r="AB12" s="8">
        <v>1986</v>
      </c>
      <c r="AC12" s="21" t="s">
        <v>1027</v>
      </c>
      <c r="AD12" s="8" t="s">
        <v>3712</v>
      </c>
      <c r="AE12" s="8" t="s">
        <v>4083</v>
      </c>
      <c r="AF12" s="9">
        <f t="shared" si="0"/>
        <v>659.78800000000001</v>
      </c>
      <c r="AG12" s="9">
        <f t="shared" si="1"/>
        <v>215.23333333333335</v>
      </c>
      <c r="AH12" s="9">
        <f t="shared" si="2"/>
        <v>2.0795507886882345</v>
      </c>
      <c r="AI12" s="9">
        <f t="shared" si="3"/>
        <v>4.3245314827338586</v>
      </c>
      <c r="AJ12" s="9">
        <f t="shared" si="4"/>
        <v>1.8032733477583263</v>
      </c>
      <c r="AK12" s="9">
        <f t="shared" si="5"/>
        <v>3.2517947667355216</v>
      </c>
      <c r="AL12" s="9">
        <f t="shared" si="6"/>
        <v>0.82232689474425835</v>
      </c>
      <c r="AM12" s="9">
        <f t="shared" si="7"/>
        <v>0.67622152181973461</v>
      </c>
      <c r="AN12" s="8" t="s">
        <v>1027</v>
      </c>
    </row>
    <row r="13" spans="8:40" ht="23">
      <c r="M13" s="8" t="s">
        <v>190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190</v>
      </c>
      <c r="X13" s="8">
        <v>17.45</v>
      </c>
      <c r="Y13" s="8">
        <v>4.38</v>
      </c>
      <c r="Z13" s="9">
        <v>2.4500000000000002</v>
      </c>
      <c r="AA13" s="8">
        <v>220.2</v>
      </c>
      <c r="AB13" s="8">
        <v>3979</v>
      </c>
      <c r="AC13" s="21" t="s">
        <v>190</v>
      </c>
      <c r="AD13" s="8" t="s">
        <v>3712</v>
      </c>
      <c r="AE13" s="8" t="s">
        <v>4083</v>
      </c>
      <c r="AF13" s="9">
        <f t="shared" si="0"/>
        <v>964.47599999999989</v>
      </c>
      <c r="AG13" s="9">
        <f t="shared" si="1"/>
        <v>605.54999999999995</v>
      </c>
      <c r="AH13" s="9">
        <f t="shared" si="2"/>
        <v>1.9502431161377736</v>
      </c>
      <c r="AI13" s="9">
        <f t="shared" si="3"/>
        <v>3.8034482120427735</v>
      </c>
      <c r="AJ13" s="9">
        <f t="shared" si="4"/>
        <v>2.6360192445945656</v>
      </c>
      <c r="AK13" s="9">
        <f t="shared" si="5"/>
        <v>6.9485974578729044</v>
      </c>
      <c r="AL13" s="9">
        <f t="shared" si="6"/>
        <v>2.3135823963716224</v>
      </c>
      <c r="AM13" s="9">
        <f t="shared" si="7"/>
        <v>5.3526635048006588</v>
      </c>
      <c r="AN13" s="8" t="s">
        <v>190</v>
      </c>
    </row>
    <row r="14" spans="8:40" ht="23">
      <c r="M14" s="9" t="s">
        <v>2511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9" t="s">
        <v>2511</v>
      </c>
      <c r="X14" s="8">
        <v>20.059999999999999</v>
      </c>
      <c r="Y14" s="8">
        <v>3.72</v>
      </c>
      <c r="Z14" s="9">
        <v>1.43</v>
      </c>
      <c r="AA14" s="8">
        <v>181.4</v>
      </c>
      <c r="AB14" s="8">
        <v>7387</v>
      </c>
      <c r="AC14" s="22" t="s">
        <v>2511</v>
      </c>
      <c r="AD14" s="8" t="s">
        <v>3712</v>
      </c>
      <c r="AE14" s="8" t="s">
        <v>4083</v>
      </c>
      <c r="AF14" s="9">
        <f t="shared" si="0"/>
        <v>674.80800000000011</v>
      </c>
      <c r="AG14" s="9">
        <f t="shared" si="1"/>
        <v>311.40333333333336</v>
      </c>
      <c r="AH14" s="9">
        <f t="shared" si="2"/>
        <v>1.6066035479899734</v>
      </c>
      <c r="AI14" s="9">
        <f t="shared" si="3"/>
        <v>2.5811749604139709</v>
      </c>
      <c r="AJ14" s="9">
        <f t="shared" si="4"/>
        <v>1.8443246637618462</v>
      </c>
      <c r="AK14" s="9">
        <f t="shared" si="5"/>
        <v>3.4015334653602474</v>
      </c>
      <c r="AL14" s="9">
        <f t="shared" si="6"/>
        <v>1.18975686594244</v>
      </c>
      <c r="AM14" s="9">
        <f t="shared" si="7"/>
        <v>1.4155214000571772</v>
      </c>
      <c r="AN14" s="9" t="s">
        <v>2511</v>
      </c>
    </row>
    <row r="15" spans="8:40" ht="23">
      <c r="M15" s="8" t="s">
        <v>871</v>
      </c>
      <c r="N15" s="8" t="s">
        <v>150</v>
      </c>
      <c r="O15" s="8"/>
      <c r="P15" s="8" t="s">
        <v>3692</v>
      </c>
      <c r="Q15" s="8"/>
      <c r="R15" s="8"/>
      <c r="S15" s="8"/>
      <c r="T15" s="8"/>
      <c r="U15" s="8"/>
      <c r="V15" s="8"/>
      <c r="W15" s="8" t="s">
        <v>871</v>
      </c>
      <c r="X15" s="8">
        <v>37.54</v>
      </c>
      <c r="Y15" s="8">
        <v>1.38</v>
      </c>
      <c r="Z15" s="9">
        <v>0.28000000000000003</v>
      </c>
      <c r="AA15" s="8">
        <v>176.9</v>
      </c>
      <c r="AB15" s="8">
        <v>5488</v>
      </c>
      <c r="AC15" s="21" t="s">
        <v>871</v>
      </c>
      <c r="AD15" s="8" t="s">
        <v>3712</v>
      </c>
      <c r="AE15" s="8" t="s">
        <v>4083</v>
      </c>
      <c r="AF15" s="9">
        <f t="shared" si="0"/>
        <v>244.12199999999999</v>
      </c>
      <c r="AG15" s="9">
        <f t="shared" si="1"/>
        <v>82.553333333333342</v>
      </c>
      <c r="AH15" s="9">
        <f t="shared" si="2"/>
        <v>1.5667484434367489</v>
      </c>
      <c r="AI15" s="9">
        <f t="shared" si="3"/>
        <v>2.4547006850114754</v>
      </c>
      <c r="AJ15" s="9">
        <f t="shared" si="4"/>
        <v>0.66721234123909212</v>
      </c>
      <c r="AK15" s="9">
        <f t="shared" si="5"/>
        <v>0.4451723083017507</v>
      </c>
      <c r="AL15" s="9">
        <f t="shared" si="6"/>
        <v>0.31540572828304636</v>
      </c>
      <c r="AM15" s="9">
        <f t="shared" si="7"/>
        <v>9.9480773433758871E-2</v>
      </c>
      <c r="AN15" s="8" t="s">
        <v>871</v>
      </c>
    </row>
    <row r="16" spans="8:40" ht="23">
      <c r="M16" s="9" t="s">
        <v>3413</v>
      </c>
      <c r="N16" s="8" t="s">
        <v>1990</v>
      </c>
      <c r="O16" s="8"/>
      <c r="P16" s="8" t="s">
        <v>3693</v>
      </c>
      <c r="Q16" s="8"/>
      <c r="R16" s="8"/>
      <c r="S16" s="8"/>
      <c r="T16" s="8"/>
      <c r="U16" s="8"/>
      <c r="V16" s="8"/>
      <c r="W16" s="9" t="s">
        <v>3413</v>
      </c>
      <c r="X16" s="8">
        <v>27.79</v>
      </c>
      <c r="Y16" s="8">
        <v>1.85</v>
      </c>
      <c r="Z16" s="9">
        <v>1.04</v>
      </c>
      <c r="AA16" s="8">
        <v>143.1</v>
      </c>
      <c r="AB16" s="8">
        <v>3195</v>
      </c>
      <c r="AC16" s="22" t="s">
        <v>3413</v>
      </c>
      <c r="AD16" s="8" t="s">
        <v>3712</v>
      </c>
      <c r="AE16" s="8" t="s">
        <v>4083</v>
      </c>
      <c r="AF16" s="9">
        <f t="shared" si="0"/>
        <v>264.73500000000001</v>
      </c>
      <c r="AG16" s="9">
        <f t="shared" si="1"/>
        <v>152.63999999999999</v>
      </c>
      <c r="AH16" s="9">
        <f t="shared" si="2"/>
        <v>1.2673923247925312</v>
      </c>
      <c r="AI16" s="9">
        <f t="shared" si="3"/>
        <v>1.6062833049430167</v>
      </c>
      <c r="AJ16" s="9">
        <f t="shared" si="4"/>
        <v>0.72354994288892882</v>
      </c>
      <c r="AK16" s="9">
        <f t="shared" si="5"/>
        <v>0.52352451985457216</v>
      </c>
      <c r="AL16" s="9">
        <f t="shared" si="6"/>
        <v>0.58318093796080339</v>
      </c>
      <c r="AM16" s="9">
        <f t="shared" si="7"/>
        <v>0.34010000640084243</v>
      </c>
      <c r="AN16" s="9" t="s">
        <v>3413</v>
      </c>
    </row>
    <row r="17" spans="13:40" ht="23">
      <c r="M17" s="9" t="s">
        <v>2512</v>
      </c>
      <c r="N17" s="8" t="s">
        <v>150</v>
      </c>
      <c r="O17" s="8"/>
      <c r="P17" s="8" t="s">
        <v>3693</v>
      </c>
      <c r="Q17" s="8"/>
      <c r="R17" s="8"/>
      <c r="S17" s="8"/>
      <c r="T17" s="8"/>
      <c r="U17" s="8"/>
      <c r="V17" s="8"/>
      <c r="W17" s="9" t="s">
        <v>2512</v>
      </c>
      <c r="X17" s="8">
        <v>13.31</v>
      </c>
      <c r="Y17" s="8">
        <v>9.39</v>
      </c>
      <c r="Z17" s="9">
        <v>3.26</v>
      </c>
      <c r="AA17" s="8">
        <v>133.1</v>
      </c>
      <c r="AB17" s="8">
        <v>2391</v>
      </c>
      <c r="AC17" s="22" t="s">
        <v>2512</v>
      </c>
      <c r="AD17" s="8" t="s">
        <v>3712</v>
      </c>
      <c r="AE17" s="8" t="s">
        <v>4083</v>
      </c>
      <c r="AF17" s="9">
        <f t="shared" si="0"/>
        <v>1249.809</v>
      </c>
      <c r="AG17" s="9">
        <f t="shared" si="1"/>
        <v>456.97666666666669</v>
      </c>
      <c r="AH17" s="9">
        <f t="shared" si="2"/>
        <v>1.1788254257853661</v>
      </c>
      <c r="AI17" s="9">
        <f t="shared" si="3"/>
        <v>1.3896293844780496</v>
      </c>
      <c r="AJ17" s="9">
        <f t="shared" si="4"/>
        <v>3.4158657924795324</v>
      </c>
      <c r="AK17" s="9">
        <f t="shared" si="5"/>
        <v>11.668139112231824</v>
      </c>
      <c r="AL17" s="9">
        <f t="shared" si="6"/>
        <v>1.7459386864050581</v>
      </c>
      <c r="AM17" s="9">
        <f t="shared" si="7"/>
        <v>3.0483018966858197</v>
      </c>
      <c r="AN17" s="9" t="s">
        <v>2512</v>
      </c>
    </row>
    <row r="18" spans="13:40" ht="23">
      <c r="M18" s="8" t="s">
        <v>1189</v>
      </c>
      <c r="N18" s="8" t="s">
        <v>150</v>
      </c>
      <c r="O18" s="8"/>
      <c r="P18" s="8" t="s">
        <v>3693</v>
      </c>
      <c r="Q18" s="8"/>
      <c r="R18" s="8"/>
      <c r="S18" s="8"/>
      <c r="T18" s="8"/>
      <c r="U18" s="8"/>
      <c r="V18" s="8"/>
      <c r="W18" s="8" t="s">
        <v>1189</v>
      </c>
      <c r="X18" s="8">
        <v>13.31</v>
      </c>
      <c r="Y18" s="8">
        <v>9.39</v>
      </c>
      <c r="Z18" s="9">
        <v>3.26</v>
      </c>
      <c r="AA18" s="8">
        <v>133.1</v>
      </c>
      <c r="AB18" s="8">
        <v>2391</v>
      </c>
      <c r="AC18" s="21" t="s">
        <v>1189</v>
      </c>
      <c r="AD18" s="8" t="s">
        <v>3712</v>
      </c>
      <c r="AE18" s="8" t="s">
        <v>4083</v>
      </c>
      <c r="AF18" s="9">
        <f t="shared" si="0"/>
        <v>1249.809</v>
      </c>
      <c r="AG18" s="9">
        <f t="shared" si="1"/>
        <v>456.97666666666669</v>
      </c>
      <c r="AH18" s="9">
        <f t="shared" si="2"/>
        <v>1.1788254257853661</v>
      </c>
      <c r="AI18" s="9">
        <f t="shared" si="3"/>
        <v>1.3896293844780496</v>
      </c>
      <c r="AJ18" s="9">
        <f t="shared" si="4"/>
        <v>3.4158657924795324</v>
      </c>
      <c r="AK18" s="9">
        <f t="shared" si="5"/>
        <v>11.668139112231824</v>
      </c>
      <c r="AL18" s="9">
        <f t="shared" si="6"/>
        <v>1.7459386864050581</v>
      </c>
      <c r="AM18" s="9">
        <f t="shared" si="7"/>
        <v>3.0483018966858197</v>
      </c>
      <c r="AN18" s="8" t="s">
        <v>1189</v>
      </c>
    </row>
    <row r="19" spans="13:40" ht="23">
      <c r="M19" s="9" t="s">
        <v>2330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9" t="s">
        <v>2330</v>
      </c>
      <c r="X19" s="8">
        <v>30.89</v>
      </c>
      <c r="Y19" s="8">
        <v>2.44</v>
      </c>
      <c r="Z19" s="9">
        <v>0.42</v>
      </c>
      <c r="AA19" s="8">
        <v>130.80000000000001</v>
      </c>
      <c r="AB19" s="8">
        <v>24076</v>
      </c>
      <c r="AC19" s="22" t="s">
        <v>2330</v>
      </c>
      <c r="AD19" s="8" t="s">
        <v>3712</v>
      </c>
      <c r="AE19" s="8" t="s">
        <v>4083</v>
      </c>
      <c r="AF19" s="9">
        <f t="shared" si="0"/>
        <v>319.15200000000004</v>
      </c>
      <c r="AG19" s="9">
        <f t="shared" si="1"/>
        <v>91.56</v>
      </c>
      <c r="AH19" s="9">
        <f t="shared" si="2"/>
        <v>1.1584550390137183</v>
      </c>
      <c r="AI19" s="9">
        <f t="shared" si="3"/>
        <v>1.3420180774162755</v>
      </c>
      <c r="AJ19" s="9">
        <f t="shared" si="4"/>
        <v>0.87227760353896322</v>
      </c>
      <c r="AK19" s="9">
        <f t="shared" si="5"/>
        <v>0.76086821763567669</v>
      </c>
      <c r="AL19" s="9">
        <f t="shared" si="6"/>
        <v>0.34981686766045045</v>
      </c>
      <c r="AM19" s="9">
        <f t="shared" si="7"/>
        <v>0.1223718408997691</v>
      </c>
      <c r="AN19" s="9" t="s">
        <v>2330</v>
      </c>
    </row>
    <row r="20" spans="13:40" ht="23">
      <c r="M20" s="8" t="s">
        <v>1398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1398</v>
      </c>
      <c r="X20" s="8">
        <v>17.88</v>
      </c>
      <c r="Y20" s="8">
        <v>3.37</v>
      </c>
      <c r="Z20" s="9">
        <v>1.29</v>
      </c>
      <c r="AA20" s="8">
        <v>129.9</v>
      </c>
      <c r="AB20" s="8">
        <v>3596</v>
      </c>
      <c r="AC20" s="21" t="s">
        <v>1398</v>
      </c>
      <c r="AD20" s="8" t="s">
        <v>4497</v>
      </c>
      <c r="AE20" s="8" t="s">
        <v>4083</v>
      </c>
      <c r="AF20" s="9">
        <f t="shared" si="0"/>
        <v>437.76300000000003</v>
      </c>
      <c r="AG20" s="9">
        <f t="shared" si="1"/>
        <v>192.685</v>
      </c>
      <c r="AH20" s="9">
        <f t="shared" si="2"/>
        <v>1.1504840181030733</v>
      </c>
      <c r="AI20" s="9">
        <f t="shared" si="3"/>
        <v>1.3236134759105926</v>
      </c>
      <c r="AJ20" s="9">
        <f t="shared" si="4"/>
        <v>1.1964545437848646</v>
      </c>
      <c r="AK20" s="9">
        <f t="shared" si="5"/>
        <v>1.4315034753434486</v>
      </c>
      <c r="AL20" s="9">
        <f t="shared" si="6"/>
        <v>0.73617805968931738</v>
      </c>
      <c r="AM20" s="9">
        <f t="shared" si="7"/>
        <v>0.54195813556792816</v>
      </c>
      <c r="AN20" s="8" t="s">
        <v>1398</v>
      </c>
    </row>
    <row r="21" spans="13:40" ht="23">
      <c r="M21" s="8" t="s">
        <v>1662</v>
      </c>
      <c r="N21" s="8" t="s">
        <v>1614</v>
      </c>
      <c r="O21" s="8"/>
      <c r="P21" s="8"/>
      <c r="Q21" s="8"/>
      <c r="R21" s="8"/>
      <c r="S21" s="8"/>
      <c r="T21" s="8"/>
      <c r="U21" s="8"/>
      <c r="V21" s="8"/>
      <c r="W21" s="8" t="s">
        <v>1662</v>
      </c>
      <c r="X21" s="8">
        <v>36.380000000000003</v>
      </c>
      <c r="Y21" s="8">
        <v>1.06</v>
      </c>
      <c r="Z21" s="9">
        <v>0.06</v>
      </c>
      <c r="AA21" s="8">
        <v>122.9</v>
      </c>
      <c r="AB21" s="8">
        <v>17818</v>
      </c>
      <c r="AC21" s="21" t="s">
        <v>1662</v>
      </c>
      <c r="AD21" s="8" t="s">
        <v>3712</v>
      </c>
      <c r="AE21" s="8" t="s">
        <v>4083</v>
      </c>
      <c r="AF21" s="9">
        <f t="shared" si="0"/>
        <v>130.274</v>
      </c>
      <c r="AG21" s="9">
        <f t="shared" si="1"/>
        <v>12.290000000000001</v>
      </c>
      <c r="AH21" s="9">
        <f t="shared" si="2"/>
        <v>1.0884871887980581</v>
      </c>
      <c r="AI21" s="9">
        <f t="shared" si="3"/>
        <v>1.1848043601774993</v>
      </c>
      <c r="AJ21" s="9">
        <f t="shared" si="4"/>
        <v>0.3560532051293267</v>
      </c>
      <c r="AK21" s="9">
        <f t="shared" si="5"/>
        <v>0.12677388488286639</v>
      </c>
      <c r="AL21" s="9">
        <f t="shared" si="6"/>
        <v>4.6955540667834604E-2</v>
      </c>
      <c r="AM21" s="9">
        <f t="shared" si="7"/>
        <v>2.2048227994086694E-3</v>
      </c>
      <c r="AN21" s="8" t="s">
        <v>1662</v>
      </c>
    </row>
    <row r="22" spans="13:40" ht="23">
      <c r="M22" s="9" t="s">
        <v>5139</v>
      </c>
      <c r="N22" s="8" t="s">
        <v>150</v>
      </c>
      <c r="O22" s="8"/>
      <c r="P22" s="8" t="s">
        <v>4667</v>
      </c>
      <c r="Q22" s="8"/>
      <c r="R22" s="8"/>
      <c r="S22" s="8"/>
      <c r="T22" s="8"/>
      <c r="U22" s="8"/>
      <c r="V22" s="8"/>
      <c r="W22" s="9" t="s">
        <v>5139</v>
      </c>
      <c r="X22" s="8">
        <v>23.8</v>
      </c>
      <c r="Y22" s="8">
        <v>2.9</v>
      </c>
      <c r="Z22" s="9">
        <v>0.51</v>
      </c>
      <c r="AA22" s="8">
        <v>122.1</v>
      </c>
      <c r="AB22" s="8">
        <v>6464</v>
      </c>
      <c r="AC22" s="22" t="s">
        <v>5139</v>
      </c>
      <c r="AD22" s="8" t="s">
        <v>4497</v>
      </c>
      <c r="AE22" s="8" t="s">
        <v>4083</v>
      </c>
      <c r="AF22" s="9">
        <f t="shared" si="0"/>
        <v>354.09</v>
      </c>
      <c r="AG22" s="9">
        <f t="shared" si="1"/>
        <v>103.785</v>
      </c>
      <c r="AH22" s="9">
        <f t="shared" si="2"/>
        <v>1.0814018368774847</v>
      </c>
      <c r="AI22" s="9">
        <f t="shared" si="3"/>
        <v>1.1694299328019981</v>
      </c>
      <c r="AJ22" s="9">
        <f t="shared" si="4"/>
        <v>0.96776700956632389</v>
      </c>
      <c r="AK22" s="9">
        <f t="shared" si="5"/>
        <v>0.93657298480494522</v>
      </c>
      <c r="AL22" s="9">
        <f t="shared" si="6"/>
        <v>0.3965240673890329</v>
      </c>
      <c r="AM22" s="9">
        <f t="shared" si="7"/>
        <v>0.15723133601874231</v>
      </c>
      <c r="AN22" s="9" t="s">
        <v>5139</v>
      </c>
    </row>
    <row r="23" spans="13:40" ht="23">
      <c r="M23" s="9" t="s">
        <v>2798</v>
      </c>
      <c r="N23" s="8" t="s">
        <v>1614</v>
      </c>
      <c r="O23" s="8"/>
      <c r="P23" s="8" t="s">
        <v>3691</v>
      </c>
      <c r="Q23" s="8"/>
      <c r="R23" s="8"/>
      <c r="S23" s="8"/>
      <c r="T23" s="8"/>
      <c r="U23" s="8"/>
      <c r="V23" s="8"/>
      <c r="W23" s="9" t="s">
        <v>2798</v>
      </c>
      <c r="X23" s="8">
        <v>19.920000000000002</v>
      </c>
      <c r="Y23" s="8">
        <v>1.38</v>
      </c>
      <c r="Z23" s="9">
        <v>0.23</v>
      </c>
      <c r="AA23" s="8">
        <v>120.3</v>
      </c>
      <c r="AB23" s="8">
        <v>6641</v>
      </c>
      <c r="AC23" s="22" t="s">
        <v>2798</v>
      </c>
      <c r="AD23" s="8" t="s">
        <v>3712</v>
      </c>
      <c r="AE23" s="8" t="s">
        <v>4083</v>
      </c>
      <c r="AF23" s="9">
        <f t="shared" si="0"/>
        <v>166.01399999999998</v>
      </c>
      <c r="AG23" s="9">
        <f t="shared" si="1"/>
        <v>46.115000000000002</v>
      </c>
      <c r="AH23" s="9">
        <f t="shared" si="2"/>
        <v>1.065459795056195</v>
      </c>
      <c r="AI23" s="9">
        <f t="shared" si="3"/>
        <v>1.1352045748811892</v>
      </c>
      <c r="AJ23" s="9">
        <f t="shared" si="4"/>
        <v>0.45373456557977832</v>
      </c>
      <c r="AK23" s="9">
        <f t="shared" si="5"/>
        <v>0.20587505600187014</v>
      </c>
      <c r="AL23" s="9">
        <f t="shared" si="6"/>
        <v>0.17618834482483262</v>
      </c>
      <c r="AM23" s="9">
        <f t="shared" si="7"/>
        <v>3.1042332852114121E-2</v>
      </c>
      <c r="AN23" s="9" t="s">
        <v>2798</v>
      </c>
    </row>
    <row r="24" spans="13:40" ht="23">
      <c r="M24" s="8" t="s">
        <v>1863</v>
      </c>
      <c r="N24" s="8" t="s">
        <v>1862</v>
      </c>
      <c r="O24" s="8"/>
      <c r="P24" s="8" t="s">
        <v>3691</v>
      </c>
      <c r="Q24" s="8"/>
      <c r="R24" s="8"/>
      <c r="S24" s="8"/>
      <c r="T24" s="8"/>
      <c r="U24" s="8"/>
      <c r="V24" s="8"/>
      <c r="W24" s="8" t="s">
        <v>1863</v>
      </c>
      <c r="X24" s="8">
        <v>30.18</v>
      </c>
      <c r="Y24" s="8">
        <v>1.51</v>
      </c>
      <c r="Z24" s="9">
        <v>1.03</v>
      </c>
      <c r="AA24" s="8">
        <v>118.3</v>
      </c>
      <c r="AB24" s="8">
        <v>10481</v>
      </c>
      <c r="AC24" s="21" t="s">
        <v>1863</v>
      </c>
      <c r="AD24" s="8" t="s">
        <v>4497</v>
      </c>
      <c r="AE24" s="8" t="s">
        <v>4083</v>
      </c>
      <c r="AF24" s="9">
        <f t="shared" si="0"/>
        <v>178.63300000000001</v>
      </c>
      <c r="AG24" s="9">
        <f t="shared" si="1"/>
        <v>124.215</v>
      </c>
      <c r="AH24" s="9">
        <f t="shared" si="2"/>
        <v>1.0477464152547622</v>
      </c>
      <c r="AI24" s="9">
        <f t="shared" si="3"/>
        <v>1.0977725506792047</v>
      </c>
      <c r="AJ24" s="9">
        <f t="shared" si="4"/>
        <v>0.4882236838652918</v>
      </c>
      <c r="AK24" s="9">
        <f t="shared" si="5"/>
        <v>0.23836236548699638</v>
      </c>
      <c r="AL24" s="9">
        <f t="shared" si="6"/>
        <v>0.47457953491090932</v>
      </c>
      <c r="AM24" s="9">
        <f t="shared" si="7"/>
        <v>0.225225734956255</v>
      </c>
      <c r="AN24" s="8" t="s">
        <v>1863</v>
      </c>
    </row>
    <row r="25" spans="13:40" ht="23">
      <c r="M25" s="8" t="s">
        <v>1402</v>
      </c>
      <c r="N25" s="8" t="s">
        <v>150</v>
      </c>
      <c r="O25" s="8"/>
      <c r="P25" s="8" t="s">
        <v>3691</v>
      </c>
      <c r="Q25" s="8"/>
      <c r="R25" s="8"/>
      <c r="S25" s="8"/>
      <c r="T25" s="8"/>
      <c r="U25" s="8"/>
      <c r="V25" s="8"/>
      <c r="W25" s="8" t="s">
        <v>1402</v>
      </c>
      <c r="X25" s="8">
        <v>4.1100000000000003</v>
      </c>
      <c r="Y25" s="8">
        <v>5.28</v>
      </c>
      <c r="Z25" s="9">
        <v>3.38</v>
      </c>
      <c r="AA25" s="8">
        <v>110.3</v>
      </c>
      <c r="AB25" s="8">
        <v>5103</v>
      </c>
      <c r="AC25" s="21" t="s">
        <v>1402</v>
      </c>
      <c r="AD25" s="8" t="s">
        <v>3712</v>
      </c>
      <c r="AE25" s="8" t="s">
        <v>4083</v>
      </c>
      <c r="AF25" s="9">
        <f t="shared" si="0"/>
        <v>582.38400000000001</v>
      </c>
      <c r="AG25" s="9">
        <f t="shared" si="1"/>
        <v>400.75666666666666</v>
      </c>
      <c r="AH25" s="9">
        <f t="shared" si="2"/>
        <v>0.97689289604902996</v>
      </c>
      <c r="AI25" s="9">
        <f t="shared" si="3"/>
        <v>0.95431973035106088</v>
      </c>
      <c r="AJ25" s="9">
        <f t="shared" si="4"/>
        <v>1.5917196817172865</v>
      </c>
      <c r="AK25" s="9">
        <f t="shared" si="5"/>
        <v>2.53357154516618</v>
      </c>
      <c r="AL25" s="9">
        <f t="shared" si="6"/>
        <v>1.5311428771010986</v>
      </c>
      <c r="AM25" s="9">
        <f t="shared" si="7"/>
        <v>2.3443985100974301</v>
      </c>
      <c r="AN25" s="8" t="s">
        <v>1402</v>
      </c>
    </row>
    <row r="26" spans="13:40" ht="23">
      <c r="M26" s="9" t="s">
        <v>3405</v>
      </c>
      <c r="N26" s="8" t="s">
        <v>1990</v>
      </c>
      <c r="O26" s="8"/>
      <c r="P26" s="8"/>
      <c r="Q26" s="8"/>
      <c r="R26" s="8"/>
      <c r="S26" s="8"/>
      <c r="T26" s="8"/>
      <c r="U26" s="8"/>
      <c r="V26" s="8"/>
      <c r="W26" s="9" t="s">
        <v>3405</v>
      </c>
      <c r="X26" s="8">
        <v>29.08</v>
      </c>
      <c r="Y26" s="8">
        <v>1.1499999999999999</v>
      </c>
      <c r="Z26" s="9">
        <v>0.04</v>
      </c>
      <c r="AA26" s="8">
        <v>109.6</v>
      </c>
      <c r="AB26" s="8">
        <v>21663</v>
      </c>
      <c r="AC26" s="22" t="s">
        <v>3405</v>
      </c>
      <c r="AD26" s="8" t="s">
        <v>3712</v>
      </c>
      <c r="AE26" s="8" t="s">
        <v>4083</v>
      </c>
      <c r="AF26" s="9">
        <f t="shared" si="0"/>
        <v>126.03999999999998</v>
      </c>
      <c r="AG26" s="9">
        <f t="shared" si="1"/>
        <v>7.3066666666666658</v>
      </c>
      <c r="AH26" s="9">
        <f t="shared" si="2"/>
        <v>0.97069321311852841</v>
      </c>
      <c r="AI26" s="9">
        <f t="shared" si="3"/>
        <v>0.94224531399437284</v>
      </c>
      <c r="AJ26" s="9">
        <f t="shared" si="4"/>
        <v>0.34448121631714945</v>
      </c>
      <c r="AK26" s="9">
        <f t="shared" si="5"/>
        <v>0.11866730839534272</v>
      </c>
      <c r="AL26" s="9">
        <f t="shared" si="6"/>
        <v>2.7916068658501065E-2</v>
      </c>
      <c r="AM26" s="9">
        <f t="shared" si="7"/>
        <v>7.7930688934614546E-4</v>
      </c>
      <c r="AN26" s="9" t="s">
        <v>3405</v>
      </c>
    </row>
    <row r="27" spans="13:40" ht="23">
      <c r="M27" s="8" t="s">
        <v>1362</v>
      </c>
      <c r="N27" s="8" t="s">
        <v>150</v>
      </c>
      <c r="O27" s="8"/>
      <c r="P27" s="8" t="s">
        <v>3715</v>
      </c>
      <c r="Q27" s="8"/>
      <c r="R27" s="8"/>
      <c r="S27" s="8"/>
      <c r="T27" s="8"/>
      <c r="U27" s="8"/>
      <c r="V27" s="8"/>
      <c r="W27" s="8" t="s">
        <v>1362</v>
      </c>
      <c r="X27" s="8">
        <v>15.1</v>
      </c>
      <c r="Y27" s="8">
        <v>2.98</v>
      </c>
      <c r="Z27" s="9">
        <v>0.46</v>
      </c>
      <c r="AA27" s="8">
        <v>103.2</v>
      </c>
      <c r="AB27" s="8">
        <v>5815</v>
      </c>
      <c r="AC27" s="21" t="s">
        <v>1362</v>
      </c>
      <c r="AD27" s="8" t="s">
        <v>3712</v>
      </c>
      <c r="AE27" s="8" t="s">
        <v>4083</v>
      </c>
      <c r="AF27" s="9">
        <f t="shared" si="0"/>
        <v>307.536</v>
      </c>
      <c r="AG27" s="9">
        <f t="shared" si="1"/>
        <v>79.12</v>
      </c>
      <c r="AH27" s="9">
        <f t="shared" si="2"/>
        <v>0.91401039775394299</v>
      </c>
      <c r="AI27" s="9">
        <f t="shared" si="3"/>
        <v>0.83541500720232109</v>
      </c>
      <c r="AJ27" s="9">
        <f t="shared" si="4"/>
        <v>0.84052979483743973</v>
      </c>
      <c r="AK27" s="9">
        <f t="shared" si="5"/>
        <v>0.70649033600946853</v>
      </c>
      <c r="AL27" s="9">
        <f t="shared" si="6"/>
        <v>0.30228823251741854</v>
      </c>
      <c r="AM27" s="9">
        <f t="shared" si="7"/>
        <v>9.1378175518504898E-2</v>
      </c>
      <c r="AN27" s="8" t="s">
        <v>1362</v>
      </c>
    </row>
    <row r="28" spans="13:40" ht="23">
      <c r="M28" s="9" t="s">
        <v>2510</v>
      </c>
      <c r="N28" s="8" t="s">
        <v>150</v>
      </c>
      <c r="O28" s="8"/>
      <c r="P28" s="8" t="s">
        <v>4013</v>
      </c>
      <c r="Q28" s="8"/>
      <c r="R28" s="8"/>
      <c r="S28" s="8"/>
      <c r="T28" s="8"/>
      <c r="U28" s="8"/>
      <c r="V28" s="8"/>
      <c r="W28" s="9" t="s">
        <v>2510</v>
      </c>
      <c r="X28" s="8">
        <v>20.69</v>
      </c>
      <c r="Y28" s="8">
        <v>3.57</v>
      </c>
      <c r="Z28" s="9">
        <v>1.2</v>
      </c>
      <c r="AA28" s="8">
        <v>102.8</v>
      </c>
      <c r="AB28" s="8">
        <v>3623</v>
      </c>
      <c r="AC28" s="22" t="s">
        <v>2510</v>
      </c>
      <c r="AD28" s="8" t="s">
        <v>3712</v>
      </c>
      <c r="AE28" s="8" t="s">
        <v>4083</v>
      </c>
      <c r="AF28" s="9">
        <f t="shared" si="0"/>
        <v>366.99599999999998</v>
      </c>
      <c r="AG28" s="9">
        <f t="shared" si="1"/>
        <v>103.14266666666667</v>
      </c>
      <c r="AH28" s="9">
        <f t="shared" si="2"/>
        <v>0.91046772179365631</v>
      </c>
      <c r="AI28" s="9">
        <f t="shared" si="3"/>
        <v>0.82895147242813072</v>
      </c>
      <c r="AJ28" s="9">
        <f t="shared" si="4"/>
        <v>1.0030405304945145</v>
      </c>
      <c r="AK28" s="9">
        <f t="shared" si="5"/>
        <v>1.006090305814717</v>
      </c>
      <c r="AL28" s="9">
        <f t="shared" si="6"/>
        <v>0.3940699494919101</v>
      </c>
      <c r="AM28" s="9">
        <f t="shared" si="7"/>
        <v>0.15529112509255658</v>
      </c>
      <c r="AN28" s="9" t="s">
        <v>2510</v>
      </c>
    </row>
    <row r="29" spans="13:40" ht="23">
      <c r="M29" s="8" t="s">
        <v>1855</v>
      </c>
      <c r="N29" s="8" t="s">
        <v>1814</v>
      </c>
      <c r="O29" s="8"/>
      <c r="P29" s="8"/>
      <c r="Q29" s="8"/>
      <c r="R29" s="8"/>
      <c r="S29" s="8"/>
      <c r="T29" s="8"/>
      <c r="U29" s="8"/>
      <c r="V29" s="8"/>
      <c r="W29" s="8" t="s">
        <v>1855</v>
      </c>
      <c r="X29" s="8">
        <v>21.92</v>
      </c>
      <c r="Y29" s="8">
        <v>1.56</v>
      </c>
      <c r="Z29" s="9">
        <v>0.05</v>
      </c>
      <c r="AA29" s="8">
        <v>102.4</v>
      </c>
      <c r="AB29" s="8">
        <v>21028</v>
      </c>
      <c r="AC29" s="21" t="s">
        <v>1855</v>
      </c>
      <c r="AD29" s="8" t="s">
        <v>4497</v>
      </c>
      <c r="AE29" s="8" t="s">
        <v>4083</v>
      </c>
      <c r="AF29" s="9">
        <f t="shared" si="0"/>
        <v>159.74400000000003</v>
      </c>
      <c r="AG29" s="9">
        <f t="shared" si="1"/>
        <v>8.5333333333333332</v>
      </c>
      <c r="AH29" s="9">
        <f t="shared" si="2"/>
        <v>0.90692504583336964</v>
      </c>
      <c r="AI29" s="9">
        <f t="shared" si="3"/>
        <v>0.82251303875985959</v>
      </c>
      <c r="AJ29" s="9">
        <f t="shared" si="4"/>
        <v>0.4365979642920243</v>
      </c>
      <c r="AK29" s="9">
        <f t="shared" si="5"/>
        <v>0.19061778242393973</v>
      </c>
      <c r="AL29" s="9">
        <f t="shared" si="6"/>
        <v>3.2602707922337014E-2</v>
      </c>
      <c r="AM29" s="9">
        <f t="shared" si="7"/>
        <v>1.0629365638692167E-3</v>
      </c>
      <c r="AN29" s="8" t="s">
        <v>1855</v>
      </c>
    </row>
    <row r="30" spans="13:40" ht="23">
      <c r="M30" s="8" t="s">
        <v>271</v>
      </c>
      <c r="N30" s="8" t="s">
        <v>150</v>
      </c>
      <c r="O30" s="8"/>
      <c r="P30" s="8" t="s">
        <v>3692</v>
      </c>
      <c r="Q30" s="8"/>
      <c r="R30" s="8"/>
      <c r="S30" s="8"/>
      <c r="T30" s="8"/>
      <c r="U30" s="8"/>
      <c r="V30" s="8"/>
      <c r="W30" s="8" t="s">
        <v>271</v>
      </c>
      <c r="X30" s="8">
        <v>37.42</v>
      </c>
      <c r="Y30" s="8">
        <v>1.74</v>
      </c>
      <c r="Z30" s="9">
        <v>0.41</v>
      </c>
      <c r="AA30" s="8">
        <v>98</v>
      </c>
      <c r="AB30" s="8">
        <v>4775</v>
      </c>
      <c r="AC30" s="21" t="s">
        <v>271</v>
      </c>
      <c r="AD30" s="8" t="s">
        <v>3712</v>
      </c>
      <c r="AE30" s="8" t="s">
        <v>4083</v>
      </c>
      <c r="AF30" s="9">
        <f t="shared" si="0"/>
        <v>170.52</v>
      </c>
      <c r="AG30" s="9">
        <f t="shared" si="1"/>
        <v>66.966666666666669</v>
      </c>
      <c r="AH30" s="9">
        <f t="shared" si="2"/>
        <v>0.86795561027021706</v>
      </c>
      <c r="AI30" s="9">
        <f t="shared" si="3"/>
        <v>0.75334694139954494</v>
      </c>
      <c r="AJ30" s="9">
        <f t="shared" si="4"/>
        <v>0.46604996038083424</v>
      </c>
      <c r="AK30" s="9">
        <f t="shared" si="5"/>
        <v>0.21720256557097717</v>
      </c>
      <c r="AL30" s="9">
        <f t="shared" si="6"/>
        <v>0.2558548445936526</v>
      </c>
      <c r="AM30" s="9">
        <f t="shared" si="7"/>
        <v>6.5461701502042127E-2</v>
      </c>
      <c r="AN30" s="8" t="s">
        <v>271</v>
      </c>
    </row>
    <row r="31" spans="13:40" ht="23">
      <c r="M31" s="9" t="s">
        <v>3237</v>
      </c>
      <c r="N31" s="8" t="s">
        <v>1902</v>
      </c>
      <c r="O31" s="8"/>
      <c r="P31" s="8"/>
      <c r="Q31" s="8"/>
      <c r="R31" s="8"/>
      <c r="S31" s="8"/>
      <c r="T31" s="8"/>
      <c r="U31" s="8"/>
      <c r="V31" s="8"/>
      <c r="W31" s="9" t="s">
        <v>3237</v>
      </c>
      <c r="X31" s="8">
        <v>30.09</v>
      </c>
      <c r="Y31" s="8">
        <v>3.45</v>
      </c>
      <c r="Z31" s="9">
        <v>0.41</v>
      </c>
      <c r="AA31" s="8">
        <v>95</v>
      </c>
      <c r="AB31" s="8">
        <v>9826</v>
      </c>
      <c r="AC31" s="22" t="s">
        <v>3237</v>
      </c>
      <c r="AD31" s="8" t="s">
        <v>4497</v>
      </c>
      <c r="AE31" s="8" t="s">
        <v>4083</v>
      </c>
      <c r="AF31" s="9">
        <f t="shared" si="0"/>
        <v>327.75</v>
      </c>
      <c r="AG31" s="9">
        <f t="shared" si="1"/>
        <v>64.916666666666671</v>
      </c>
      <c r="AH31" s="9">
        <f t="shared" si="2"/>
        <v>0.84138554056806758</v>
      </c>
      <c r="AI31" s="9">
        <f t="shared" si="3"/>
        <v>0.7079296278770193</v>
      </c>
      <c r="AJ31" s="9">
        <f t="shared" si="4"/>
        <v>0.89577688549623735</v>
      </c>
      <c r="AK31" s="9">
        <f t="shared" si="5"/>
        <v>0.80241622858933914</v>
      </c>
      <c r="AL31" s="9">
        <f t="shared" si="6"/>
        <v>0.24802255343262242</v>
      </c>
      <c r="AM31" s="9">
        <f t="shared" si="7"/>
        <v>6.1515187011238044E-2</v>
      </c>
      <c r="AN31" s="9" t="s">
        <v>3237</v>
      </c>
    </row>
    <row r="32" spans="13:40" ht="23">
      <c r="M32" s="9" t="s">
        <v>2807</v>
      </c>
      <c r="N32" s="8" t="s">
        <v>1614</v>
      </c>
      <c r="O32" s="8"/>
      <c r="P32" s="8" t="s">
        <v>3691</v>
      </c>
      <c r="Q32" s="8"/>
      <c r="R32" s="8"/>
      <c r="S32" s="8"/>
      <c r="T32" s="8"/>
      <c r="U32" s="8"/>
      <c r="V32" s="8"/>
      <c r="W32" s="9" t="s">
        <v>2807</v>
      </c>
      <c r="X32" s="8">
        <v>17.850000000000001</v>
      </c>
      <c r="Y32" s="8">
        <v>2.11</v>
      </c>
      <c r="Z32" s="9">
        <v>0.3</v>
      </c>
      <c r="AA32" s="8">
        <v>86.4</v>
      </c>
      <c r="AB32" s="8">
        <v>7591</v>
      </c>
      <c r="AC32" s="22" t="s">
        <v>2807</v>
      </c>
      <c r="AD32" s="8" t="s">
        <v>4497</v>
      </c>
      <c r="AE32" s="8" t="s">
        <v>4083</v>
      </c>
      <c r="AF32" s="9">
        <f t="shared" si="0"/>
        <v>182.304</v>
      </c>
      <c r="AG32" s="9">
        <f t="shared" si="1"/>
        <v>0.43200000000000005</v>
      </c>
      <c r="AH32" s="9">
        <f t="shared" si="2"/>
        <v>0.76521800742190571</v>
      </c>
      <c r="AI32" s="9">
        <f t="shared" si="3"/>
        <v>0.58555859888275175</v>
      </c>
      <c r="AJ32" s="9">
        <f t="shared" si="4"/>
        <v>0.4982569316049002</v>
      </c>
      <c r="AK32" s="9">
        <f t="shared" si="5"/>
        <v>0.24825996989233021</v>
      </c>
      <c r="AL32" s="9">
        <f t="shared" si="6"/>
        <v>1.6505120885683116E-3</v>
      </c>
      <c r="AM32" s="9">
        <f t="shared" si="7"/>
        <v>2.72419015451013E-6</v>
      </c>
      <c r="AN32" s="9" t="s">
        <v>2807</v>
      </c>
    </row>
    <row r="33" spans="13:40" ht="23">
      <c r="M33" s="8" t="s">
        <v>1179</v>
      </c>
      <c r="N33" s="8" t="s">
        <v>150</v>
      </c>
      <c r="O33" s="8"/>
      <c r="P33" s="8" t="s">
        <v>3693</v>
      </c>
      <c r="Q33" s="8"/>
      <c r="R33" s="8"/>
      <c r="S33" s="8"/>
      <c r="T33" s="8"/>
      <c r="U33" s="8"/>
      <c r="V33" s="8"/>
      <c r="W33" s="8" t="s">
        <v>1179</v>
      </c>
      <c r="X33" s="8">
        <v>12.19</v>
      </c>
      <c r="Y33" s="8">
        <v>7.2</v>
      </c>
      <c r="Z33" s="9">
        <v>3.31</v>
      </c>
      <c r="AA33" s="8">
        <v>81</v>
      </c>
      <c r="AB33" s="8">
        <v>13395</v>
      </c>
      <c r="AC33" s="21" t="s">
        <v>1179</v>
      </c>
      <c r="AD33" s="8" t="s">
        <v>4497</v>
      </c>
      <c r="AE33" s="8" t="s">
        <v>4083</v>
      </c>
      <c r="AF33" s="9">
        <f t="shared" si="0"/>
        <v>583.20000000000005</v>
      </c>
      <c r="AG33" s="9">
        <f t="shared" si="1"/>
        <v>284.85000000000002</v>
      </c>
      <c r="AH33" s="9">
        <f t="shared" si="2"/>
        <v>0.7173918819580366</v>
      </c>
      <c r="AI33" s="9">
        <f t="shared" si="3"/>
        <v>0.5146511122992935</v>
      </c>
      <c r="AJ33" s="9">
        <f t="shared" si="4"/>
        <v>1.5939498996839225</v>
      </c>
      <c r="AK33" s="9">
        <f t="shared" si="5"/>
        <v>2.5406762827023868</v>
      </c>
      <c r="AL33" s="9">
        <f t="shared" si="6"/>
        <v>1.0883064083997305</v>
      </c>
      <c r="AM33" s="9">
        <f t="shared" si="7"/>
        <v>1.1844108385639209</v>
      </c>
      <c r="AN33" s="8" t="s">
        <v>1179</v>
      </c>
    </row>
    <row r="34" spans="13:40" ht="23">
      <c r="M34" s="8" t="s">
        <v>211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8" t="s">
        <v>211</v>
      </c>
      <c r="X34" s="8">
        <v>29.06</v>
      </c>
      <c r="Y34" s="8">
        <v>1.86</v>
      </c>
      <c r="Z34" s="9">
        <v>1.1200000000000001</v>
      </c>
      <c r="AA34" s="8">
        <v>80.400000000000006</v>
      </c>
      <c r="AB34" s="8">
        <v>4210</v>
      </c>
      <c r="AC34" s="21" t="s">
        <v>211</v>
      </c>
      <c r="AD34" s="8" t="s">
        <v>3712</v>
      </c>
      <c r="AE34" s="8" t="s">
        <v>4083</v>
      </c>
      <c r="AF34" s="9">
        <f t="shared" ref="AF34:AF65" si="8">(AA34*Y34)</f>
        <v>149.54400000000001</v>
      </c>
      <c r="AG34" s="9">
        <f t="shared" ref="AG34:AG65" si="9">((((RIGHT(Z34,2))/60)+(LEFT(Z34,2)))*AA34)</f>
        <v>96.48</v>
      </c>
      <c r="AH34" s="9">
        <f t="shared" ref="AH34:AH65" si="10">(AA34/$AA$181)*100</f>
        <v>0.71207786801760664</v>
      </c>
      <c r="AI34" s="9">
        <f t="shared" ref="AI34:AI65" si="11">(AH34*AH34)</f>
        <v>0.50705489012049998</v>
      </c>
      <c r="AJ34" s="9">
        <f t="shared" ref="AJ34:AJ65" si="12">(AF34/$AF$181)*100</f>
        <v>0.40872023970907501</v>
      </c>
      <c r="AK34" s="9">
        <f t="shared" ref="AK34:AK65" si="13">(AJ34*AJ34)</f>
        <v>0.16705223434784372</v>
      </c>
      <c r="AL34" s="9">
        <f t="shared" ref="AL34:AL65" si="14">(AG34/$AG$181)*100</f>
        <v>0.36861436644692291</v>
      </c>
      <c r="AM34" s="9">
        <f t="shared" ref="AM34:AM65" si="15">(AL34*AL34)</f>
        <v>0.13587655115106637</v>
      </c>
      <c r="AN34" s="8" t="s">
        <v>211</v>
      </c>
    </row>
    <row r="35" spans="13:40" ht="23">
      <c r="M35" s="8" t="s">
        <v>1259</v>
      </c>
      <c r="N35" s="8" t="s">
        <v>150</v>
      </c>
      <c r="O35" s="8"/>
      <c r="P35" s="8" t="s">
        <v>3692</v>
      </c>
      <c r="Q35" s="8"/>
      <c r="R35" s="8"/>
      <c r="S35" s="8"/>
      <c r="T35" s="8"/>
      <c r="U35" s="8"/>
      <c r="V35" s="8"/>
      <c r="W35" s="8" t="s">
        <v>1259</v>
      </c>
      <c r="X35" s="8">
        <v>25.16</v>
      </c>
      <c r="Y35" s="8">
        <v>4.5599999999999996</v>
      </c>
      <c r="Z35" s="9">
        <v>2.02</v>
      </c>
      <c r="AA35" s="8">
        <v>73.400000000000006</v>
      </c>
      <c r="AB35" s="8">
        <v>1446</v>
      </c>
      <c r="AC35" s="21" t="s">
        <v>1259</v>
      </c>
      <c r="AD35" s="8" t="s">
        <v>3712</v>
      </c>
      <c r="AE35" s="8" t="s">
        <v>4083</v>
      </c>
      <c r="AF35" s="9">
        <f t="shared" si="8"/>
        <v>334.70400000000001</v>
      </c>
      <c r="AG35" s="9">
        <f t="shared" si="9"/>
        <v>149.24666666666667</v>
      </c>
      <c r="AH35" s="9">
        <f t="shared" si="10"/>
        <v>0.65008103871259126</v>
      </c>
      <c r="AI35" s="9">
        <f t="shared" si="11"/>
        <v>0.42260535689364159</v>
      </c>
      <c r="AJ35" s="9">
        <f t="shared" si="12"/>
        <v>0.91478293419720091</v>
      </c>
      <c r="AK35" s="9">
        <f t="shared" si="13"/>
        <v>0.83682781669844042</v>
      </c>
      <c r="AL35" s="9">
        <f t="shared" si="14"/>
        <v>0.57021626738856157</v>
      </c>
      <c r="AM35" s="9">
        <f t="shared" si="15"/>
        <v>0.32514659159454357</v>
      </c>
      <c r="AN35" s="8" t="s">
        <v>1259</v>
      </c>
    </row>
    <row r="36" spans="13:40" ht="23">
      <c r="M36" s="9" t="s">
        <v>2384</v>
      </c>
      <c r="N36" s="8" t="s">
        <v>150</v>
      </c>
      <c r="O36" s="8"/>
      <c r="P36" s="8" t="s">
        <v>3715</v>
      </c>
      <c r="Q36" s="8"/>
      <c r="R36" s="8"/>
      <c r="S36" s="8"/>
      <c r="T36" s="8"/>
      <c r="U36" s="8"/>
      <c r="V36" s="8"/>
      <c r="W36" s="9" t="s">
        <v>2384</v>
      </c>
      <c r="X36" s="8">
        <v>20.02</v>
      </c>
      <c r="Y36" s="8">
        <v>2.5299999999999998</v>
      </c>
      <c r="Z36" s="9">
        <v>2.17</v>
      </c>
      <c r="AA36" s="8">
        <v>65.099999999999994</v>
      </c>
      <c r="AB36" s="8">
        <v>2998</v>
      </c>
      <c r="AC36" s="22" t="s">
        <v>2384</v>
      </c>
      <c r="AD36" s="8" t="s">
        <v>3712</v>
      </c>
      <c r="AE36" s="8" t="s">
        <v>4083</v>
      </c>
      <c r="AF36" s="9">
        <f t="shared" si="8"/>
        <v>164.70299999999997</v>
      </c>
      <c r="AG36" s="9">
        <f t="shared" si="9"/>
        <v>148.64499999999998</v>
      </c>
      <c r="AH36" s="9">
        <f t="shared" si="10"/>
        <v>0.57657051253664415</v>
      </c>
      <c r="AI36" s="9">
        <f t="shared" si="11"/>
        <v>0.33243355592676854</v>
      </c>
      <c r="AJ36" s="9">
        <f t="shared" si="12"/>
        <v>0.45015145803779333</v>
      </c>
      <c r="AK36" s="9">
        <f t="shared" si="13"/>
        <v>0.2026363351735512</v>
      </c>
      <c r="AL36" s="9">
        <f t="shared" si="14"/>
        <v>0.567917521771381</v>
      </c>
      <c r="AM36" s="9">
        <f t="shared" si="15"/>
        <v>0.32253031153494699</v>
      </c>
      <c r="AN36" s="9" t="s">
        <v>2384</v>
      </c>
    </row>
    <row r="37" spans="13:40" ht="23">
      <c r="M37" s="8" t="s">
        <v>1074</v>
      </c>
      <c r="N37" s="8" t="s">
        <v>150</v>
      </c>
      <c r="O37" s="8"/>
      <c r="P37" s="8" t="s">
        <v>3691</v>
      </c>
      <c r="Q37" s="8"/>
      <c r="R37" s="8"/>
      <c r="S37" s="8"/>
      <c r="T37" s="8"/>
      <c r="U37" s="8"/>
      <c r="V37" s="8"/>
      <c r="W37" s="8" t="s">
        <v>1074</v>
      </c>
      <c r="X37" s="8">
        <v>4.55</v>
      </c>
      <c r="Y37" s="8">
        <v>4.78</v>
      </c>
      <c r="Z37" s="9">
        <v>3.17</v>
      </c>
      <c r="AA37" s="8">
        <v>64.599999999999994</v>
      </c>
      <c r="AB37" s="8">
        <v>10055</v>
      </c>
      <c r="AC37" s="21" t="s">
        <v>1074</v>
      </c>
      <c r="AD37" s="8" t="s">
        <v>3712</v>
      </c>
      <c r="AE37" s="8" t="s">
        <v>4083</v>
      </c>
      <c r="AF37" s="9">
        <f t="shared" si="8"/>
        <v>308.78800000000001</v>
      </c>
      <c r="AG37" s="9">
        <f t="shared" si="9"/>
        <v>212.1033333333333</v>
      </c>
      <c r="AH37" s="9">
        <f t="shared" si="10"/>
        <v>0.57214216758628589</v>
      </c>
      <c r="AI37" s="9">
        <f t="shared" si="11"/>
        <v>0.32734665993033363</v>
      </c>
      <c r="AJ37" s="9">
        <f t="shared" si="12"/>
        <v>0.84395164887448404</v>
      </c>
      <c r="AK37" s="9">
        <f t="shared" si="13"/>
        <v>0.7122543856379604</v>
      </c>
      <c r="AL37" s="9">
        <f t="shared" si="14"/>
        <v>0.8103683233618072</v>
      </c>
      <c r="AM37" s="9">
        <f t="shared" si="15"/>
        <v>0.65669681950822656</v>
      </c>
      <c r="AN37" s="8" t="s">
        <v>1074</v>
      </c>
    </row>
    <row r="38" spans="13:40" ht="23">
      <c r="M38" s="9" t="s">
        <v>3331</v>
      </c>
      <c r="N38" s="8" t="s">
        <v>1964</v>
      </c>
      <c r="O38" s="8"/>
      <c r="P38" s="8" t="s">
        <v>3691</v>
      </c>
      <c r="Q38" s="8"/>
      <c r="R38" s="8"/>
      <c r="S38" s="8"/>
      <c r="T38" s="8"/>
      <c r="U38" s="8"/>
      <c r="V38" s="8"/>
      <c r="W38" s="9" t="s">
        <v>3331</v>
      </c>
      <c r="X38" s="8">
        <v>18.09</v>
      </c>
      <c r="Y38" s="8">
        <v>2.83</v>
      </c>
      <c r="Z38" s="9">
        <v>2.5</v>
      </c>
      <c r="AA38" s="8">
        <v>61.5</v>
      </c>
      <c r="AB38" s="8">
        <v>7202</v>
      </c>
      <c r="AC38" s="22" t="s">
        <v>3331</v>
      </c>
      <c r="AD38" s="8" t="s">
        <v>3712</v>
      </c>
      <c r="AE38" s="8" t="s">
        <v>4083</v>
      </c>
      <c r="AF38" s="9">
        <f t="shared" si="8"/>
        <v>174.04500000000002</v>
      </c>
      <c r="AG38" s="9">
        <f t="shared" si="9"/>
        <v>123.5125</v>
      </c>
      <c r="AH38" s="9">
        <f t="shared" si="10"/>
        <v>0.54468642889406482</v>
      </c>
      <c r="AI38" s="9">
        <f t="shared" si="11"/>
        <v>0.29668330582136915</v>
      </c>
      <c r="AJ38" s="9">
        <f t="shared" si="12"/>
        <v>0.47568417402347107</v>
      </c>
      <c r="AK38" s="9">
        <f t="shared" si="13"/>
        <v>0.22627543341639192</v>
      </c>
      <c r="AL38" s="9">
        <f t="shared" si="14"/>
        <v>0.47189554245206844</v>
      </c>
      <c r="AM38" s="9">
        <f t="shared" si="15"/>
        <v>0.22268540298613193</v>
      </c>
      <c r="AN38" s="9" t="s">
        <v>3331</v>
      </c>
    </row>
    <row r="39" spans="13:40" ht="23">
      <c r="M39" s="8" t="s">
        <v>618</v>
      </c>
      <c r="N39" s="8" t="s">
        <v>150</v>
      </c>
      <c r="O39" s="8"/>
      <c r="P39" s="8" t="s">
        <v>3694</v>
      </c>
      <c r="Q39" s="8"/>
      <c r="R39" s="8"/>
      <c r="S39" s="8"/>
      <c r="T39" s="8"/>
      <c r="U39" s="8"/>
      <c r="V39" s="8"/>
      <c r="W39" s="8" t="s">
        <v>618</v>
      </c>
      <c r="X39" s="8">
        <v>31.42</v>
      </c>
      <c r="Y39" s="8">
        <v>1.73</v>
      </c>
      <c r="Z39" s="9">
        <v>0.45</v>
      </c>
      <c r="AA39" s="8">
        <v>61.5</v>
      </c>
      <c r="AB39" s="8">
        <v>10967</v>
      </c>
      <c r="AC39" s="21" t="s">
        <v>618</v>
      </c>
      <c r="AD39" s="8" t="s">
        <v>3712</v>
      </c>
      <c r="AE39" s="8" t="s">
        <v>4083</v>
      </c>
      <c r="AF39" s="9">
        <f t="shared" si="8"/>
        <v>106.395</v>
      </c>
      <c r="AG39" s="9">
        <f t="shared" si="9"/>
        <v>46.125</v>
      </c>
      <c r="AH39" s="9">
        <f t="shared" si="10"/>
        <v>0.54468642889406482</v>
      </c>
      <c r="AI39" s="9">
        <f t="shared" si="11"/>
        <v>0.29668330582136915</v>
      </c>
      <c r="AJ39" s="9">
        <f t="shared" si="12"/>
        <v>0.29078926539243988</v>
      </c>
      <c r="AK39" s="9">
        <f t="shared" si="13"/>
        <v>8.4558396867474836E-2</v>
      </c>
      <c r="AL39" s="9">
        <f t="shared" si="14"/>
        <v>0.17622655112317909</v>
      </c>
      <c r="AM39" s="9">
        <f t="shared" si="15"/>
        <v>3.1055797320770451E-2</v>
      </c>
      <c r="AN39" s="8" t="s">
        <v>618</v>
      </c>
    </row>
    <row r="40" spans="13:40" ht="23">
      <c r="M40" s="8" t="s">
        <v>683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8" t="s">
        <v>683</v>
      </c>
      <c r="X40" s="8">
        <v>36.56</v>
      </c>
      <c r="Y40" s="8">
        <v>1.31</v>
      </c>
      <c r="Z40" s="9">
        <v>0.16</v>
      </c>
      <c r="AA40" s="8">
        <v>59.3</v>
      </c>
      <c r="AB40" s="8">
        <v>15921</v>
      </c>
      <c r="AC40" s="21" t="s">
        <v>683</v>
      </c>
      <c r="AD40" s="8" t="s">
        <v>4497</v>
      </c>
      <c r="AE40" s="8" t="s">
        <v>4083</v>
      </c>
      <c r="AF40" s="9">
        <f t="shared" si="8"/>
        <v>77.682999999999993</v>
      </c>
      <c r="AG40" s="9">
        <f t="shared" si="9"/>
        <v>15.813333333333333</v>
      </c>
      <c r="AH40" s="9">
        <f t="shared" si="10"/>
        <v>0.52520171111248848</v>
      </c>
      <c r="AI40" s="9">
        <f t="shared" si="11"/>
        <v>0.27583683735548581</v>
      </c>
      <c r="AJ40" s="9">
        <f t="shared" si="12"/>
        <v>0.21231620380169092</v>
      </c>
      <c r="AK40" s="9">
        <f t="shared" si="13"/>
        <v>4.5078170396761152E-2</v>
      </c>
      <c r="AL40" s="9">
        <f t="shared" si="14"/>
        <v>6.0416893118580783E-2</v>
      </c>
      <c r="AM40" s="9">
        <f t="shared" si="15"/>
        <v>3.650200974102014E-3</v>
      </c>
      <c r="AN40" s="8" t="s">
        <v>683</v>
      </c>
    </row>
    <row r="41" spans="13:40" ht="23">
      <c r="M41" s="8" t="s">
        <v>4664</v>
      </c>
      <c r="N41" s="8" t="s">
        <v>150</v>
      </c>
      <c r="O41" s="8"/>
      <c r="P41" s="8" t="s">
        <v>3691</v>
      </c>
      <c r="Q41" s="8"/>
      <c r="R41" s="8"/>
      <c r="S41" s="8"/>
      <c r="T41" s="8"/>
      <c r="U41" s="8"/>
      <c r="V41" s="8"/>
      <c r="W41" s="8" t="s">
        <v>4664</v>
      </c>
      <c r="X41" s="8">
        <v>28.48</v>
      </c>
      <c r="Y41" s="8">
        <v>1.66</v>
      </c>
      <c r="Z41" s="9">
        <v>1.01</v>
      </c>
      <c r="AA41" s="8">
        <v>59.2</v>
      </c>
      <c r="AB41" s="8"/>
      <c r="AC41" s="21" t="s">
        <v>4664</v>
      </c>
      <c r="AD41" s="8" t="s">
        <v>3712</v>
      </c>
      <c r="AE41" s="8" t="s">
        <v>4083</v>
      </c>
      <c r="AF41" s="9">
        <f t="shared" si="8"/>
        <v>98.272000000000006</v>
      </c>
      <c r="AG41" s="9">
        <f t="shared" si="9"/>
        <v>60.186666666666667</v>
      </c>
      <c r="AH41" s="9">
        <f t="shared" si="10"/>
        <v>0.52431604212241689</v>
      </c>
      <c r="AI41" s="9">
        <f t="shared" si="11"/>
        <v>0.27490731202691604</v>
      </c>
      <c r="AJ41" s="9">
        <f t="shared" si="12"/>
        <v>0.26858821080545003</v>
      </c>
      <c r="AK41" s="9">
        <f t="shared" si="13"/>
        <v>7.2139626983672864E-2</v>
      </c>
      <c r="AL41" s="9">
        <f t="shared" si="14"/>
        <v>0.22995097431473327</v>
      </c>
      <c r="AM41" s="9">
        <f t="shared" si="15"/>
        <v>5.287745058829512E-2</v>
      </c>
      <c r="AN41" s="8" t="s">
        <v>4664</v>
      </c>
    </row>
    <row r="42" spans="13:40" ht="23">
      <c r="M42" s="8" t="s">
        <v>1316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8" t="s">
        <v>1316</v>
      </c>
      <c r="X42" s="8">
        <v>25.53</v>
      </c>
      <c r="Y42" s="8">
        <v>3.75</v>
      </c>
      <c r="Z42" s="9">
        <v>2.4500000000000002</v>
      </c>
      <c r="AA42" s="8">
        <v>58.6</v>
      </c>
      <c r="AB42" s="8">
        <v>4937</v>
      </c>
      <c r="AC42" s="21" t="s">
        <v>1316</v>
      </c>
      <c r="AD42" s="8" t="s">
        <v>3712</v>
      </c>
      <c r="AE42" s="8" t="s">
        <v>4083</v>
      </c>
      <c r="AF42" s="9">
        <f t="shared" si="8"/>
        <v>219.75</v>
      </c>
      <c r="AG42" s="9">
        <f t="shared" si="9"/>
        <v>161.15</v>
      </c>
      <c r="AH42" s="9">
        <f t="shared" si="10"/>
        <v>0.51900202818198693</v>
      </c>
      <c r="AI42" s="9">
        <f t="shared" si="11"/>
        <v>0.26936310525701596</v>
      </c>
      <c r="AJ42" s="9">
        <f t="shared" si="12"/>
        <v>0.6006009781473628</v>
      </c>
      <c r="AK42" s="9">
        <f t="shared" si="13"/>
        <v>0.36072153495156895</v>
      </c>
      <c r="AL42" s="9">
        <f t="shared" si="14"/>
        <v>0.61569449785366526</v>
      </c>
      <c r="AM42" s="9">
        <f t="shared" si="15"/>
        <v>0.37907971468727703</v>
      </c>
      <c r="AN42" s="8" t="s">
        <v>1316</v>
      </c>
    </row>
    <row r="43" spans="13:40" ht="23">
      <c r="M43" s="8" t="s">
        <v>666</v>
      </c>
      <c r="N43" s="8" t="s">
        <v>150</v>
      </c>
      <c r="O43" s="8"/>
      <c r="P43" s="8" t="s">
        <v>3693</v>
      </c>
      <c r="Q43" s="8"/>
      <c r="R43" s="8"/>
      <c r="S43" s="8"/>
      <c r="T43" s="8"/>
      <c r="U43" s="8"/>
      <c r="V43" s="8"/>
      <c r="W43" s="8" t="s">
        <v>666</v>
      </c>
      <c r="X43" s="8">
        <v>27.13</v>
      </c>
      <c r="Y43" s="8">
        <v>1.47</v>
      </c>
      <c r="Z43" s="9">
        <v>0.3</v>
      </c>
      <c r="AA43" s="8">
        <v>58</v>
      </c>
      <c r="AB43" s="8">
        <v>14646</v>
      </c>
      <c r="AC43" s="21" t="s">
        <v>666</v>
      </c>
      <c r="AD43" s="8" t="s">
        <v>3712</v>
      </c>
      <c r="AE43" s="8" t="s">
        <v>4083</v>
      </c>
      <c r="AF43" s="9">
        <f t="shared" si="8"/>
        <v>85.26</v>
      </c>
      <c r="AG43" s="9">
        <f t="shared" si="9"/>
        <v>0.28999999999999998</v>
      </c>
      <c r="AH43" s="9">
        <f t="shared" si="10"/>
        <v>0.51368801424155708</v>
      </c>
      <c r="AI43" s="9">
        <f t="shared" si="11"/>
        <v>0.26387537597543415</v>
      </c>
      <c r="AJ43" s="9">
        <f t="shared" si="12"/>
        <v>0.23302498019041712</v>
      </c>
      <c r="AK43" s="9">
        <f t="shared" si="13"/>
        <v>5.4300641392744292E-2</v>
      </c>
      <c r="AL43" s="9">
        <f t="shared" si="14"/>
        <v>1.1079826520481719E-3</v>
      </c>
      <c r="AM43" s="9">
        <f t="shared" si="15"/>
        <v>1.2276255572397005E-6</v>
      </c>
      <c r="AN43" s="8" t="s">
        <v>666</v>
      </c>
    </row>
    <row r="44" spans="13:40" ht="23">
      <c r="M44" s="8" t="s">
        <v>1238</v>
      </c>
      <c r="N44" s="8" t="s">
        <v>150</v>
      </c>
      <c r="O44" s="8"/>
      <c r="P44" s="8" t="s">
        <v>3691</v>
      </c>
      <c r="Q44" s="8"/>
      <c r="R44" s="8"/>
      <c r="S44" s="8"/>
      <c r="T44" s="8"/>
      <c r="U44" s="8"/>
      <c r="V44" s="8"/>
      <c r="W44" s="8" t="s">
        <v>1238</v>
      </c>
      <c r="X44" s="8">
        <v>29.39</v>
      </c>
      <c r="Y44" s="8">
        <v>1.21</v>
      </c>
      <c r="Z44" s="9">
        <v>0.17</v>
      </c>
      <c r="AA44" s="8">
        <v>57</v>
      </c>
      <c r="AB44" s="8">
        <v>17639</v>
      </c>
      <c r="AC44" s="21" t="s">
        <v>1238</v>
      </c>
      <c r="AD44" s="8" t="s">
        <v>3712</v>
      </c>
      <c r="AE44" s="8" t="s">
        <v>4083</v>
      </c>
      <c r="AF44" s="9">
        <f t="shared" si="8"/>
        <v>68.97</v>
      </c>
      <c r="AG44" s="9">
        <f t="shared" si="9"/>
        <v>16.149999999999999</v>
      </c>
      <c r="AH44" s="9">
        <f t="shared" si="10"/>
        <v>0.50483132434084055</v>
      </c>
      <c r="AI44" s="9">
        <f t="shared" si="11"/>
        <v>0.25485466603572693</v>
      </c>
      <c r="AJ44" s="9">
        <f t="shared" si="12"/>
        <v>0.18850261416529518</v>
      </c>
      <c r="AK44" s="9">
        <f t="shared" si="13"/>
        <v>3.5533235547150141E-2</v>
      </c>
      <c r="AL44" s="9">
        <f t="shared" si="14"/>
        <v>6.1703171829579226E-2</v>
      </c>
      <c r="AM44" s="9">
        <f t="shared" si="15"/>
        <v>3.8072814138305792E-3</v>
      </c>
      <c r="AN44" s="8" t="s">
        <v>1238</v>
      </c>
    </row>
    <row r="45" spans="13:40" ht="23">
      <c r="M45" s="8" t="s">
        <v>847</v>
      </c>
      <c r="N45" s="8" t="s">
        <v>150</v>
      </c>
      <c r="O45" s="8"/>
      <c r="P45" s="8" t="s">
        <v>3691</v>
      </c>
      <c r="Q45" s="8"/>
      <c r="R45" s="8"/>
      <c r="S45" s="8"/>
      <c r="T45" s="8"/>
      <c r="U45" s="8"/>
      <c r="V45" s="8"/>
      <c r="W45" s="8" t="s">
        <v>847</v>
      </c>
      <c r="X45" s="8">
        <v>33.369999999999997</v>
      </c>
      <c r="Y45" s="8">
        <v>2.06</v>
      </c>
      <c r="Z45" s="9">
        <v>1</v>
      </c>
      <c r="AA45" s="8">
        <v>49.5</v>
      </c>
      <c r="AB45" s="8">
        <v>7978</v>
      </c>
      <c r="AC45" s="21" t="s">
        <v>847</v>
      </c>
      <c r="AD45" s="8" t="s">
        <v>3712</v>
      </c>
      <c r="AE45" s="8" t="s">
        <v>4083</v>
      </c>
      <c r="AF45" s="9">
        <f t="shared" si="8"/>
        <v>101.97</v>
      </c>
      <c r="AG45" s="9">
        <f t="shared" si="9"/>
        <v>50.324999999999996</v>
      </c>
      <c r="AH45" s="9">
        <f t="shared" si="10"/>
        <v>0.43840615008546674</v>
      </c>
      <c r="AI45" s="9">
        <f t="shared" si="11"/>
        <v>0.19219995243276078</v>
      </c>
      <c r="AJ45" s="9">
        <f t="shared" si="12"/>
        <v>0.27869525252189575</v>
      </c>
      <c r="AK45" s="9">
        <f t="shared" si="13"/>
        <v>7.7671043778243243E-2</v>
      </c>
      <c r="AL45" s="9">
        <f t="shared" si="14"/>
        <v>0.19227319642870433</v>
      </c>
      <c r="AM45" s="9">
        <f t="shared" si="15"/>
        <v>3.6968982064911123E-2</v>
      </c>
      <c r="AN45" s="8" t="s">
        <v>847</v>
      </c>
    </row>
    <row r="46" spans="13:40" ht="23">
      <c r="M46" s="8" t="s">
        <v>662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662</v>
      </c>
      <c r="X46" s="8">
        <v>2.19</v>
      </c>
      <c r="Y46" s="8">
        <v>6.52</v>
      </c>
      <c r="Z46" s="9">
        <v>0.33</v>
      </c>
      <c r="AA46" s="8">
        <v>46.5</v>
      </c>
      <c r="AB46" s="8">
        <v>30863</v>
      </c>
      <c r="AC46" s="21" t="s">
        <v>662</v>
      </c>
      <c r="AD46" s="8" t="s">
        <v>3712</v>
      </c>
      <c r="AE46" s="8" t="s">
        <v>4083</v>
      </c>
      <c r="AF46" s="9">
        <f t="shared" si="8"/>
        <v>303.18</v>
      </c>
      <c r="AG46" s="9">
        <f t="shared" si="9"/>
        <v>25.575000000000003</v>
      </c>
      <c r="AH46" s="9">
        <f t="shared" si="10"/>
        <v>0.41183608038331726</v>
      </c>
      <c r="AI46" s="9">
        <f t="shared" si="11"/>
        <v>0.16960895710549415</v>
      </c>
      <c r="AJ46" s="9">
        <f t="shared" si="12"/>
        <v>0.82862436657436844</v>
      </c>
      <c r="AK46" s="9">
        <f t="shared" si="13"/>
        <v>0.68661834088077334</v>
      </c>
      <c r="AL46" s="9">
        <f t="shared" si="14"/>
        <v>9.7712608021144842E-2</v>
      </c>
      <c r="AM46" s="9">
        <f t="shared" si="15"/>
        <v>9.547753766293899E-3</v>
      </c>
      <c r="AN46" s="8" t="s">
        <v>662</v>
      </c>
    </row>
    <row r="47" spans="13:40" ht="23">
      <c r="M47" s="8" t="s">
        <v>1240</v>
      </c>
      <c r="N47" s="8" t="s">
        <v>150</v>
      </c>
      <c r="O47" s="8"/>
      <c r="P47" s="8"/>
      <c r="Q47" s="8"/>
      <c r="R47" s="8"/>
      <c r="S47" s="8"/>
      <c r="T47" s="8"/>
      <c r="U47" s="8"/>
      <c r="V47" s="8"/>
      <c r="W47" s="8" t="s">
        <v>1240</v>
      </c>
      <c r="X47" s="8">
        <v>12.06</v>
      </c>
      <c r="Y47" s="8">
        <v>8.39</v>
      </c>
      <c r="Z47" s="9">
        <v>5.46</v>
      </c>
      <c r="AA47" s="8">
        <v>44.3</v>
      </c>
      <c r="AB47" s="8">
        <v>4486</v>
      </c>
      <c r="AC47" s="21" t="s">
        <v>1240</v>
      </c>
      <c r="AD47" s="8" t="s">
        <v>3712</v>
      </c>
      <c r="AE47" s="8" t="s">
        <v>4083</v>
      </c>
      <c r="AF47" s="9">
        <f t="shared" si="8"/>
        <v>371.67700000000002</v>
      </c>
      <c r="AG47" s="9">
        <f t="shared" si="9"/>
        <v>255.46333333333331</v>
      </c>
      <c r="AH47" s="9">
        <f t="shared" si="10"/>
        <v>0.39235136260174097</v>
      </c>
      <c r="AI47" s="9">
        <f t="shared" si="11"/>
        <v>0.15393959173544283</v>
      </c>
      <c r="AJ47" s="9">
        <f t="shared" si="12"/>
        <v>1.0158342195898857</v>
      </c>
      <c r="AK47" s="9">
        <f t="shared" si="13"/>
        <v>1.0319191616897923</v>
      </c>
      <c r="AL47" s="9">
        <f t="shared" si="14"/>
        <v>0.97603083299218207</v>
      </c>
      <c r="AM47" s="9">
        <f t="shared" si="15"/>
        <v>0.95263618695141283</v>
      </c>
      <c r="AN47" s="8" t="s">
        <v>1240</v>
      </c>
    </row>
    <row r="48" spans="13:40" ht="23">
      <c r="M48" s="9" t="s">
        <v>3401</v>
      </c>
      <c r="N48" s="8" t="s">
        <v>1990</v>
      </c>
      <c r="O48" s="8"/>
      <c r="P48" s="8"/>
      <c r="Q48" s="8"/>
      <c r="R48" s="8"/>
      <c r="S48" s="8"/>
      <c r="T48" s="8"/>
      <c r="U48" s="8"/>
      <c r="V48" s="8"/>
      <c r="W48" s="9" t="s">
        <v>3401</v>
      </c>
      <c r="X48" s="8">
        <v>2.27</v>
      </c>
      <c r="Y48" s="8">
        <v>2.08</v>
      </c>
      <c r="Z48" s="9">
        <v>0.39</v>
      </c>
      <c r="AA48" s="8">
        <v>43.2</v>
      </c>
      <c r="AB48" s="8">
        <v>27935</v>
      </c>
      <c r="AC48" s="22" t="s">
        <v>3401</v>
      </c>
      <c r="AD48" s="8" t="s">
        <v>3712</v>
      </c>
      <c r="AE48" s="8" t="s">
        <v>4083</v>
      </c>
      <c r="AF48" s="9">
        <f t="shared" si="8"/>
        <v>89.856000000000009</v>
      </c>
      <c r="AG48" s="9">
        <f t="shared" si="9"/>
        <v>28.080000000000002</v>
      </c>
      <c r="AH48" s="9">
        <f t="shared" si="10"/>
        <v>0.38260900371095286</v>
      </c>
      <c r="AI48" s="9">
        <f t="shared" si="11"/>
        <v>0.14638964972068794</v>
      </c>
      <c r="AJ48" s="9">
        <f t="shared" si="12"/>
        <v>0.24558635491426367</v>
      </c>
      <c r="AK48" s="9">
        <f t="shared" si="13"/>
        <v>6.0312657720074679E-2</v>
      </c>
      <c r="AL48" s="9">
        <f t="shared" si="14"/>
        <v>0.10728328575694025</v>
      </c>
      <c r="AM48" s="9">
        <f t="shared" si="15"/>
        <v>1.1509703402805299E-2</v>
      </c>
      <c r="AN48" s="9" t="s">
        <v>3401</v>
      </c>
    </row>
    <row r="49" spans="13:40" ht="23">
      <c r="M49" s="8" t="s">
        <v>1120</v>
      </c>
      <c r="N49" s="8" t="s">
        <v>150</v>
      </c>
      <c r="O49" s="8"/>
      <c r="P49" s="8" t="s">
        <v>3715</v>
      </c>
      <c r="Q49" s="8"/>
      <c r="R49" s="8"/>
      <c r="S49" s="8"/>
      <c r="T49" s="8"/>
      <c r="U49" s="8"/>
      <c r="V49" s="8"/>
      <c r="W49" s="8" t="s">
        <v>1120</v>
      </c>
      <c r="X49" s="8">
        <v>22.25</v>
      </c>
      <c r="Y49" s="8">
        <v>2.25</v>
      </c>
      <c r="Z49" s="9">
        <v>2.4500000000000002</v>
      </c>
      <c r="AA49" s="8">
        <v>43</v>
      </c>
      <c r="AB49" s="8">
        <v>15054</v>
      </c>
      <c r="AC49" s="21" t="s">
        <v>1120</v>
      </c>
      <c r="AD49" s="8" t="s">
        <v>3712</v>
      </c>
      <c r="AE49" s="8" t="s">
        <v>4083</v>
      </c>
      <c r="AF49" s="9">
        <f t="shared" si="8"/>
        <v>96.75</v>
      </c>
      <c r="AG49" s="9">
        <f t="shared" si="9"/>
        <v>118.25</v>
      </c>
      <c r="AH49" s="9">
        <f t="shared" si="10"/>
        <v>0.38083766573080952</v>
      </c>
      <c r="AI49" s="9">
        <f t="shared" si="11"/>
        <v>0.14503732763929181</v>
      </c>
      <c r="AJ49" s="9">
        <f t="shared" si="12"/>
        <v>0.26442841700003344</v>
      </c>
      <c r="AK49" s="9">
        <f t="shared" si="13"/>
        <v>6.9922387717143583E-2</v>
      </c>
      <c r="AL49" s="9">
        <f t="shared" si="14"/>
        <v>0.45178947794722879</v>
      </c>
      <c r="AM49" s="9">
        <f t="shared" si="15"/>
        <v>0.20411373238382952</v>
      </c>
      <c r="AN49" s="8" t="s">
        <v>1120</v>
      </c>
    </row>
    <row r="50" spans="13:40" ht="23">
      <c r="M50" s="8" t="s">
        <v>1615</v>
      </c>
      <c r="N50" s="8" t="s">
        <v>1614</v>
      </c>
      <c r="O50" s="8"/>
      <c r="P50" s="8"/>
      <c r="Q50" s="8"/>
      <c r="R50" s="8"/>
      <c r="S50" s="8"/>
      <c r="T50" s="8"/>
      <c r="U50" s="8"/>
      <c r="V50" s="8"/>
      <c r="W50" s="8" t="s">
        <v>1615</v>
      </c>
      <c r="X50" s="8">
        <v>6.88</v>
      </c>
      <c r="Y50" s="8">
        <v>2.8</v>
      </c>
      <c r="Z50" s="9">
        <v>0.18</v>
      </c>
      <c r="AA50" s="8">
        <v>42.7</v>
      </c>
      <c r="AB50" s="8">
        <v>16282</v>
      </c>
      <c r="AC50" s="21" t="s">
        <v>1615</v>
      </c>
      <c r="AD50" s="8" t="s">
        <v>3712</v>
      </c>
      <c r="AE50" s="8" t="s">
        <v>4083</v>
      </c>
      <c r="AF50" s="9">
        <f t="shared" si="8"/>
        <v>119.56</v>
      </c>
      <c r="AG50" s="9">
        <f t="shared" si="9"/>
        <v>12.81</v>
      </c>
      <c r="AH50" s="9">
        <f t="shared" si="10"/>
        <v>0.37818065876059459</v>
      </c>
      <c r="AI50" s="9">
        <f t="shared" si="11"/>
        <v>0.14302061066059729</v>
      </c>
      <c r="AJ50" s="9">
        <f t="shared" si="12"/>
        <v>0.32677066187621706</v>
      </c>
      <c r="AK50" s="9">
        <f t="shared" si="13"/>
        <v>0.10677906546302098</v>
      </c>
      <c r="AL50" s="9">
        <f t="shared" si="14"/>
        <v>4.8942268181852017E-2</v>
      </c>
      <c r="AM50" s="9">
        <f t="shared" si="15"/>
        <v>2.3953456147843243E-3</v>
      </c>
      <c r="AN50" s="8" t="s">
        <v>1615</v>
      </c>
    </row>
    <row r="51" spans="13:40" ht="23">
      <c r="M51" s="8" t="s">
        <v>1991</v>
      </c>
      <c r="N51" s="8" t="s">
        <v>1990</v>
      </c>
      <c r="O51" s="8"/>
      <c r="P51" s="8"/>
      <c r="Q51" s="8"/>
      <c r="R51" s="8"/>
      <c r="S51" s="8"/>
      <c r="T51" s="8"/>
      <c r="U51" s="8"/>
      <c r="V51" s="8"/>
      <c r="W51" s="8" t="s">
        <v>1991</v>
      </c>
      <c r="X51" s="8">
        <v>1.41</v>
      </c>
      <c r="Y51" s="8">
        <v>16.14</v>
      </c>
      <c r="Z51" s="9">
        <v>4.34</v>
      </c>
      <c r="AA51" s="8">
        <v>39.700000000000003</v>
      </c>
      <c r="AB51" s="8">
        <v>37846</v>
      </c>
      <c r="AC51" s="21" t="s">
        <v>1991</v>
      </c>
      <c r="AD51" s="8" t="s">
        <v>3712</v>
      </c>
      <c r="AE51" s="8" t="s">
        <v>4083</v>
      </c>
      <c r="AF51" s="9">
        <f t="shared" si="8"/>
        <v>640.75800000000004</v>
      </c>
      <c r="AG51" s="9">
        <f t="shared" si="9"/>
        <v>181.29666666666668</v>
      </c>
      <c r="AH51" s="9">
        <f t="shared" si="10"/>
        <v>0.35161058905844511</v>
      </c>
      <c r="AI51" s="9">
        <f t="shared" si="11"/>
        <v>0.12363000633802676</v>
      </c>
      <c r="AJ51" s="9">
        <f t="shared" si="12"/>
        <v>1.7512622596393534</v>
      </c>
      <c r="AK51" s="9">
        <f t="shared" si="13"/>
        <v>3.066919502037134</v>
      </c>
      <c r="AL51" s="9">
        <f t="shared" si="14"/>
        <v>0.69266745358905779</v>
      </c>
      <c r="AM51" s="9">
        <f t="shared" si="15"/>
        <v>0.47978820126154953</v>
      </c>
      <c r="AN51" s="8" t="s">
        <v>1991</v>
      </c>
    </row>
    <row r="52" spans="13:40" ht="23">
      <c r="M52" s="8" t="s">
        <v>590</v>
      </c>
      <c r="N52" s="8" t="s">
        <v>150</v>
      </c>
      <c r="O52" s="8"/>
      <c r="P52" s="8" t="s">
        <v>3698</v>
      </c>
      <c r="Q52" s="8"/>
      <c r="R52" s="8"/>
      <c r="S52" s="8"/>
      <c r="T52" s="8"/>
      <c r="U52" s="8"/>
      <c r="V52" s="8"/>
      <c r="W52" s="8" t="s">
        <v>590</v>
      </c>
      <c r="X52" s="8">
        <v>23.67</v>
      </c>
      <c r="Y52" s="8">
        <v>2.91</v>
      </c>
      <c r="Z52" s="9">
        <v>1.4</v>
      </c>
      <c r="AA52" s="8">
        <v>39.700000000000003</v>
      </c>
      <c r="AB52" s="8">
        <v>9868</v>
      </c>
      <c r="AC52" s="21" t="s">
        <v>590</v>
      </c>
      <c r="AD52" s="8" t="s">
        <v>3712</v>
      </c>
      <c r="AE52" s="8" t="s">
        <v>4083</v>
      </c>
      <c r="AF52" s="9">
        <f t="shared" si="8"/>
        <v>115.52700000000002</v>
      </c>
      <c r="AG52" s="9">
        <f t="shared" si="9"/>
        <v>39.964666666666666</v>
      </c>
      <c r="AH52" s="9">
        <f t="shared" si="10"/>
        <v>0.35161058905844511</v>
      </c>
      <c r="AI52" s="9">
        <f t="shared" si="11"/>
        <v>0.12363000633802676</v>
      </c>
      <c r="AJ52" s="9">
        <f t="shared" si="12"/>
        <v>0.31574802822493919</v>
      </c>
      <c r="AK52" s="9">
        <f t="shared" si="13"/>
        <v>9.969681732793699E-2</v>
      </c>
      <c r="AL52" s="9">
        <f t="shared" si="14"/>
        <v>0.15269019779846382</v>
      </c>
      <c r="AM52" s="9">
        <f t="shared" si="15"/>
        <v>2.3314296503734008E-2</v>
      </c>
      <c r="AN52" s="8" t="s">
        <v>590</v>
      </c>
    </row>
    <row r="53" spans="13:40" ht="23">
      <c r="M53" s="9" t="s">
        <v>2987</v>
      </c>
      <c r="N53" s="8" t="s">
        <v>1717</v>
      </c>
      <c r="O53" s="8"/>
      <c r="P53" s="8"/>
      <c r="Q53" s="8"/>
      <c r="R53" s="8"/>
      <c r="S53" s="8"/>
      <c r="T53" s="8"/>
      <c r="U53" s="8"/>
      <c r="V53" s="8"/>
      <c r="W53" s="9" t="s">
        <v>2987</v>
      </c>
      <c r="X53" s="8">
        <v>39.78</v>
      </c>
      <c r="Y53" s="8">
        <v>1.2</v>
      </c>
      <c r="Z53" s="9">
        <v>0.2</v>
      </c>
      <c r="AA53" s="8">
        <v>37.6</v>
      </c>
      <c r="AB53" s="8">
        <v>36340</v>
      </c>
      <c r="AC53" s="22" t="s">
        <v>2987</v>
      </c>
      <c r="AD53" s="8" t="s">
        <v>3712</v>
      </c>
      <c r="AE53" s="8" t="s">
        <v>4083</v>
      </c>
      <c r="AF53" s="9">
        <f t="shared" si="8"/>
        <v>45.12</v>
      </c>
      <c r="AG53" s="9">
        <f t="shared" si="9"/>
        <v>0.12533333333333335</v>
      </c>
      <c r="AH53" s="9">
        <f t="shared" si="10"/>
        <v>0.33301154026694046</v>
      </c>
      <c r="AI53" s="9">
        <f t="shared" si="11"/>
        <v>0.11089668595096011</v>
      </c>
      <c r="AJ53" s="9">
        <f t="shared" si="12"/>
        <v>0.12331793462575204</v>
      </c>
      <c r="AK53" s="9">
        <f t="shared" si="13"/>
        <v>1.5207313000361253E-2</v>
      </c>
      <c r="AL53" s="9">
        <f t="shared" si="14"/>
        <v>4.7885227260932502E-4</v>
      </c>
      <c r="AM53" s="9">
        <f t="shared" si="15"/>
        <v>2.2929949898311533E-7</v>
      </c>
      <c r="AN53" s="9" t="s">
        <v>2987</v>
      </c>
    </row>
    <row r="54" spans="13:40" ht="23">
      <c r="M54" s="8" t="s">
        <v>949</v>
      </c>
      <c r="N54" s="8" t="s">
        <v>150</v>
      </c>
      <c r="O54" s="8"/>
      <c r="P54" s="8"/>
      <c r="Q54" s="8"/>
      <c r="R54" s="8"/>
      <c r="S54" s="8"/>
      <c r="T54" s="8"/>
      <c r="U54" s="8"/>
      <c r="V54" s="8"/>
      <c r="W54" s="8" t="s">
        <v>949</v>
      </c>
      <c r="X54" s="8">
        <v>28.32</v>
      </c>
      <c r="Y54" s="8">
        <v>1.66</v>
      </c>
      <c r="Z54" s="9">
        <v>1.04</v>
      </c>
      <c r="AA54" s="8">
        <v>36.1</v>
      </c>
      <c r="AB54" s="8">
        <v>13880</v>
      </c>
      <c r="AC54" s="21" t="s">
        <v>949</v>
      </c>
      <c r="AD54" s="8" t="s">
        <v>3712</v>
      </c>
      <c r="AE54" s="8" t="s">
        <v>4083</v>
      </c>
      <c r="AF54" s="9">
        <f t="shared" si="8"/>
        <v>59.926000000000002</v>
      </c>
      <c r="AG54" s="9">
        <f t="shared" si="9"/>
        <v>38.506666666666668</v>
      </c>
      <c r="AH54" s="9">
        <f t="shared" si="10"/>
        <v>0.31972650541586572</v>
      </c>
      <c r="AI54" s="9">
        <f t="shared" si="11"/>
        <v>0.10222503826544162</v>
      </c>
      <c r="AJ54" s="9">
        <f t="shared" si="12"/>
        <v>0.16378436503508015</v>
      </c>
      <c r="AK54" s="9">
        <f t="shared" si="13"/>
        <v>2.6825318229944384E-2</v>
      </c>
      <c r="AL54" s="9">
        <f t="shared" si="14"/>
        <v>0.1471197194995458</v>
      </c>
      <c r="AM54" s="9">
        <f t="shared" si="15"/>
        <v>2.1644211865625037E-2</v>
      </c>
      <c r="AN54" s="8" t="s">
        <v>949</v>
      </c>
    </row>
    <row r="55" spans="13:40" ht="23">
      <c r="M55" s="9" t="s">
        <v>2546</v>
      </c>
      <c r="N55" s="8" t="s">
        <v>150</v>
      </c>
      <c r="O55" s="8"/>
      <c r="P55" s="8" t="s">
        <v>3691</v>
      </c>
      <c r="Q55" s="8"/>
      <c r="R55" s="8"/>
      <c r="S55" s="8"/>
      <c r="T55" s="8"/>
      <c r="U55" s="8"/>
      <c r="V55" s="8"/>
      <c r="W55" s="9" t="s">
        <v>2546</v>
      </c>
      <c r="X55" s="8">
        <v>3.88</v>
      </c>
      <c r="Y55" s="8">
        <v>4.78</v>
      </c>
      <c r="Z55" s="9">
        <v>2.2400000000000002</v>
      </c>
      <c r="AA55" s="8">
        <v>35.6</v>
      </c>
      <c r="AB55" s="8">
        <v>10464</v>
      </c>
      <c r="AC55" s="22" t="s">
        <v>2546</v>
      </c>
      <c r="AD55" s="8" t="s">
        <v>4497</v>
      </c>
      <c r="AE55" s="8" t="s">
        <v>4083</v>
      </c>
      <c r="AF55" s="9">
        <f t="shared" si="8"/>
        <v>170.16800000000001</v>
      </c>
      <c r="AG55" s="9">
        <f t="shared" si="9"/>
        <v>85.44</v>
      </c>
      <c r="AH55" s="9">
        <f t="shared" si="10"/>
        <v>0.3152981604655074</v>
      </c>
      <c r="AI55" s="9">
        <f t="shared" si="11"/>
        <v>9.9412929992932858E-2</v>
      </c>
      <c r="AJ55" s="9">
        <f t="shared" si="12"/>
        <v>0.4650879055716971</v>
      </c>
      <c r="AK55" s="9">
        <f t="shared" si="13"/>
        <v>0.21630675990906784</v>
      </c>
      <c r="AL55" s="9">
        <f t="shared" si="14"/>
        <v>0.32643461307239935</v>
      </c>
      <c r="AM55" s="9">
        <f t="shared" si="15"/>
        <v>0.10655955661172707</v>
      </c>
      <c r="AN55" s="9" t="s">
        <v>2546</v>
      </c>
    </row>
    <row r="56" spans="13:40" ht="23">
      <c r="M56" s="8" t="s">
        <v>323</v>
      </c>
      <c r="N56" s="8" t="s">
        <v>150</v>
      </c>
      <c r="O56" s="8"/>
      <c r="P56" s="8" t="s">
        <v>3691</v>
      </c>
      <c r="Q56" s="8"/>
      <c r="R56" s="8"/>
      <c r="S56" s="8"/>
      <c r="T56" s="8"/>
      <c r="U56" s="8"/>
      <c r="V56" s="8"/>
      <c r="W56" s="8" t="s">
        <v>323</v>
      </c>
      <c r="X56" s="8">
        <v>32.75</v>
      </c>
      <c r="Y56" s="8">
        <v>2.97</v>
      </c>
      <c r="Z56" s="9">
        <v>2.46</v>
      </c>
      <c r="AA56" s="8">
        <v>35.5</v>
      </c>
      <c r="AB56" s="8">
        <v>4084</v>
      </c>
      <c r="AC56" s="21" t="s">
        <v>323</v>
      </c>
      <c r="AD56" s="8" t="s">
        <v>3712</v>
      </c>
      <c r="AE56" s="8" t="s">
        <v>4083</v>
      </c>
      <c r="AF56" s="9">
        <f t="shared" si="8"/>
        <v>105.435</v>
      </c>
      <c r="AG56" s="9">
        <f t="shared" si="9"/>
        <v>98.216666666666669</v>
      </c>
      <c r="AH56" s="9">
        <f t="shared" si="10"/>
        <v>0.31441249147543576</v>
      </c>
      <c r="AI56" s="9">
        <f t="shared" si="11"/>
        <v>9.8855214795790972E-2</v>
      </c>
      <c r="AJ56" s="9">
        <f t="shared" si="12"/>
        <v>0.2881654795493388</v>
      </c>
      <c r="AK56" s="9">
        <f t="shared" si="13"/>
        <v>8.3039343603900403E-2</v>
      </c>
      <c r="AL56" s="9">
        <f t="shared" si="14"/>
        <v>0.37524952692642977</v>
      </c>
      <c r="AM56" s="9">
        <f t="shared" si="15"/>
        <v>0.14081220745850934</v>
      </c>
      <c r="AN56" s="8" t="s">
        <v>323</v>
      </c>
    </row>
    <row r="57" spans="13:40" ht="23">
      <c r="M57" s="9" t="s">
        <v>2847</v>
      </c>
      <c r="N57" s="8" t="s">
        <v>1614</v>
      </c>
      <c r="O57" s="8"/>
      <c r="P57" s="8"/>
      <c r="Q57" s="8"/>
      <c r="R57" s="8"/>
      <c r="S57" s="8"/>
      <c r="T57" s="8"/>
      <c r="U57" s="8"/>
      <c r="V57" s="8"/>
      <c r="W57" s="9" t="s">
        <v>2847</v>
      </c>
      <c r="X57" s="8">
        <v>42.14</v>
      </c>
      <c r="Y57" s="8">
        <v>1.6</v>
      </c>
      <c r="Z57" s="9">
        <v>0.31</v>
      </c>
      <c r="AA57" s="8">
        <v>35.1</v>
      </c>
      <c r="AB57" s="8">
        <v>12236</v>
      </c>
      <c r="AC57" s="22" t="s">
        <v>2847</v>
      </c>
      <c r="AD57" s="8" t="s">
        <v>4497</v>
      </c>
      <c r="AE57" s="8" t="s">
        <v>4083</v>
      </c>
      <c r="AF57" s="9">
        <f t="shared" si="8"/>
        <v>56.160000000000004</v>
      </c>
      <c r="AG57" s="9">
        <f t="shared" si="9"/>
        <v>18.135000000000002</v>
      </c>
      <c r="AH57" s="9">
        <f t="shared" si="10"/>
        <v>0.31086981551514919</v>
      </c>
      <c r="AI57" s="9">
        <f t="shared" si="11"/>
        <v>9.6640042198422899E-2</v>
      </c>
      <c r="AJ57" s="9">
        <f t="shared" si="12"/>
        <v>0.15349147182141476</v>
      </c>
      <c r="AK57" s="9">
        <f t="shared" si="13"/>
        <v>2.3559631921904162E-2</v>
      </c>
      <c r="AL57" s="9">
        <f t="shared" si="14"/>
        <v>6.9287122051357244E-2</v>
      </c>
      <c r="AM57" s="9">
        <f t="shared" si="15"/>
        <v>4.8007052821596756E-3</v>
      </c>
      <c r="AN57" s="9" t="s">
        <v>2847</v>
      </c>
    </row>
    <row r="58" spans="13:40" ht="23">
      <c r="M58" s="8" t="s">
        <v>956</v>
      </c>
      <c r="N58" s="8" t="s">
        <v>150</v>
      </c>
      <c r="O58" s="8"/>
      <c r="P58" s="8" t="s">
        <v>3693</v>
      </c>
      <c r="Q58" s="8"/>
      <c r="R58" s="8"/>
      <c r="S58" s="8"/>
      <c r="T58" s="8"/>
      <c r="U58" s="8"/>
      <c r="V58" s="8"/>
      <c r="W58" s="8" t="s">
        <v>956</v>
      </c>
      <c r="X58" s="8">
        <v>7.8</v>
      </c>
      <c r="Y58" s="8">
        <v>1.91</v>
      </c>
      <c r="Z58" s="9">
        <v>0.45</v>
      </c>
      <c r="AA58" s="8">
        <v>32</v>
      </c>
      <c r="AB58" s="8">
        <v>16522</v>
      </c>
      <c r="AC58" s="21" t="s">
        <v>956</v>
      </c>
      <c r="AD58" s="8" t="s">
        <v>3712</v>
      </c>
      <c r="AE58" s="8" t="s">
        <v>4083</v>
      </c>
      <c r="AF58" s="9">
        <f t="shared" si="8"/>
        <v>61.12</v>
      </c>
      <c r="AG58" s="9">
        <f t="shared" si="9"/>
        <v>24</v>
      </c>
      <c r="AH58" s="9">
        <f t="shared" si="10"/>
        <v>0.28341407682292802</v>
      </c>
      <c r="AI58" s="9">
        <f t="shared" si="11"/>
        <v>8.0323538941392547E-2</v>
      </c>
      <c r="AJ58" s="9">
        <f t="shared" si="12"/>
        <v>0.16704769867743713</v>
      </c>
      <c r="AK58" s="9">
        <f t="shared" si="13"/>
        <v>2.7904933633427831E-2</v>
      </c>
      <c r="AL58" s="9">
        <f t="shared" si="14"/>
        <v>9.1695116031572863E-2</v>
      </c>
      <c r="AM58" s="9">
        <f t="shared" si="15"/>
        <v>8.40799430404361E-3</v>
      </c>
      <c r="AN58" s="8" t="s">
        <v>956</v>
      </c>
    </row>
    <row r="59" spans="13:40" ht="23">
      <c r="M59" s="9" t="s">
        <v>2277</v>
      </c>
      <c r="N59" s="8" t="s">
        <v>150</v>
      </c>
      <c r="O59" s="8"/>
      <c r="P59" s="8" t="s">
        <v>3693</v>
      </c>
      <c r="Q59" s="8"/>
      <c r="R59" s="8"/>
      <c r="S59" s="8"/>
      <c r="T59" s="8"/>
      <c r="U59" s="8"/>
      <c r="V59" s="8"/>
      <c r="W59" s="9" t="s">
        <v>2277</v>
      </c>
      <c r="X59" s="8">
        <v>15.15</v>
      </c>
      <c r="Y59" s="8">
        <v>4.7699999999999996</v>
      </c>
      <c r="Z59" s="9">
        <v>2.33</v>
      </c>
      <c r="AA59" s="8">
        <v>31</v>
      </c>
      <c r="AB59" s="8">
        <v>8451</v>
      </c>
      <c r="AC59" s="22" t="s">
        <v>2277</v>
      </c>
      <c r="AD59" s="8" t="s">
        <v>3712</v>
      </c>
      <c r="AE59" s="8" t="s">
        <v>4083</v>
      </c>
      <c r="AF59" s="9">
        <f t="shared" si="8"/>
        <v>147.86999999999998</v>
      </c>
      <c r="AG59" s="9">
        <f t="shared" si="9"/>
        <v>79.05</v>
      </c>
      <c r="AH59" s="9">
        <f t="shared" si="10"/>
        <v>0.27455738692221149</v>
      </c>
      <c r="AI59" s="9">
        <f t="shared" si="11"/>
        <v>7.5381758713552946E-2</v>
      </c>
      <c r="AJ59" s="9">
        <f t="shared" si="12"/>
        <v>0.40414501314516738</v>
      </c>
      <c r="AK59" s="9">
        <f t="shared" si="13"/>
        <v>0.16333319165010751</v>
      </c>
      <c r="AL59" s="9">
        <f t="shared" si="14"/>
        <v>0.3020207884289931</v>
      </c>
      <c r="AM59" s="9">
        <f t="shared" si="15"/>
        <v>9.1216556643270608E-2</v>
      </c>
      <c r="AN59" s="9" t="s">
        <v>2277</v>
      </c>
    </row>
    <row r="60" spans="13:40" ht="23">
      <c r="M60" s="8" t="s">
        <v>1309</v>
      </c>
      <c r="N60" s="8" t="s">
        <v>150</v>
      </c>
      <c r="O60" s="8"/>
      <c r="P60" s="8"/>
      <c r="Q60" s="8"/>
      <c r="R60" s="8"/>
      <c r="S60" s="8"/>
      <c r="T60" s="8"/>
      <c r="U60" s="8"/>
      <c r="V60" s="8"/>
      <c r="W60" s="8" t="s">
        <v>1309</v>
      </c>
      <c r="X60" s="8">
        <v>11.4</v>
      </c>
      <c r="Y60" s="8">
        <v>3.02</v>
      </c>
      <c r="Z60" s="9">
        <v>1.43</v>
      </c>
      <c r="AA60" s="8">
        <v>30.4</v>
      </c>
      <c r="AB60" s="8">
        <v>9570</v>
      </c>
      <c r="AC60" s="21" t="s">
        <v>1309</v>
      </c>
      <c r="AD60" s="8" t="s">
        <v>3712</v>
      </c>
      <c r="AE60" s="8" t="s">
        <v>4083</v>
      </c>
      <c r="AF60" s="9">
        <f t="shared" si="8"/>
        <v>91.807999999999993</v>
      </c>
      <c r="AG60" s="9">
        <f t="shared" si="9"/>
        <v>52.186666666666667</v>
      </c>
      <c r="AH60" s="9">
        <f t="shared" si="10"/>
        <v>0.26924337298178164</v>
      </c>
      <c r="AI60" s="9">
        <f t="shared" si="11"/>
        <v>7.2491993894606782E-2</v>
      </c>
      <c r="AJ60" s="9">
        <f t="shared" si="12"/>
        <v>0.25092138612856918</v>
      </c>
      <c r="AK60" s="9">
        <f t="shared" si="13"/>
        <v>6.2961542016682512E-2</v>
      </c>
      <c r="AL60" s="9">
        <f t="shared" si="14"/>
        <v>0.19938593563754234</v>
      </c>
      <c r="AM60" s="9">
        <f t="shared" si="15"/>
        <v>3.9754751330058173E-2</v>
      </c>
      <c r="AN60" s="8" t="s">
        <v>1309</v>
      </c>
    </row>
    <row r="61" spans="13:40" ht="23">
      <c r="M61" s="8" t="s">
        <v>1217</v>
      </c>
      <c r="N61" s="8" t="s">
        <v>150</v>
      </c>
      <c r="O61" s="8"/>
      <c r="P61" s="8" t="s">
        <v>3693</v>
      </c>
      <c r="Q61" s="8"/>
      <c r="R61" s="8"/>
      <c r="S61" s="8"/>
      <c r="T61" s="8"/>
      <c r="U61" s="8"/>
      <c r="V61" s="8"/>
      <c r="W61" s="8" t="s">
        <v>1217</v>
      </c>
      <c r="X61" s="8">
        <v>4.82</v>
      </c>
      <c r="Y61" s="8">
        <v>4.8899999999999997</v>
      </c>
      <c r="Z61" s="9">
        <v>2.11</v>
      </c>
      <c r="AA61" s="8">
        <v>30</v>
      </c>
      <c r="AB61" s="8">
        <v>8738</v>
      </c>
      <c r="AC61" s="21" t="s">
        <v>1217</v>
      </c>
      <c r="AD61" s="8" t="s">
        <v>4497</v>
      </c>
      <c r="AE61" s="8" t="s">
        <v>4083</v>
      </c>
      <c r="AF61" s="9">
        <f t="shared" si="8"/>
        <v>146.69999999999999</v>
      </c>
      <c r="AG61" s="9">
        <f t="shared" si="9"/>
        <v>65.5</v>
      </c>
      <c r="AH61" s="9">
        <f t="shared" si="10"/>
        <v>0.26570069702149507</v>
      </c>
      <c r="AI61" s="9">
        <f t="shared" si="11"/>
        <v>7.0596860397708322E-2</v>
      </c>
      <c r="AJ61" s="9">
        <f t="shared" si="12"/>
        <v>0.40094727414888792</v>
      </c>
      <c r="AK61" s="9">
        <f t="shared" si="13"/>
        <v>0.1607587166474235</v>
      </c>
      <c r="AL61" s="9">
        <f t="shared" si="14"/>
        <v>0.25025125416950095</v>
      </c>
      <c r="AM61" s="9">
        <f t="shared" si="15"/>
        <v>6.2625690213408164E-2</v>
      </c>
      <c r="AN61" s="8" t="s">
        <v>1217</v>
      </c>
    </row>
    <row r="62" spans="13:40" ht="23">
      <c r="M62" s="8" t="s">
        <v>277</v>
      </c>
      <c r="N62" s="8" t="s">
        <v>150</v>
      </c>
      <c r="O62" s="8"/>
      <c r="P62" s="8"/>
      <c r="Q62" s="8"/>
      <c r="R62" s="8"/>
      <c r="S62" s="8"/>
      <c r="T62" s="8"/>
      <c r="U62" s="8"/>
      <c r="V62" s="8"/>
      <c r="W62" s="8" t="s">
        <v>277</v>
      </c>
      <c r="X62" s="8">
        <v>38.71</v>
      </c>
      <c r="Y62" s="8">
        <v>1.38</v>
      </c>
      <c r="Z62" s="9">
        <v>0.18</v>
      </c>
      <c r="AA62" s="8">
        <v>29.9</v>
      </c>
      <c r="AB62" s="8">
        <v>14560</v>
      </c>
      <c r="AC62" s="21" t="s">
        <v>277</v>
      </c>
      <c r="AD62" s="8" t="s">
        <v>3712</v>
      </c>
      <c r="AE62" s="8" t="s">
        <v>4083</v>
      </c>
      <c r="AF62" s="9">
        <f t="shared" si="8"/>
        <v>41.261999999999993</v>
      </c>
      <c r="AG62" s="9">
        <f t="shared" si="9"/>
        <v>8.9699999999999989</v>
      </c>
      <c r="AH62" s="9">
        <f t="shared" si="10"/>
        <v>0.26481502803142337</v>
      </c>
      <c r="AI62" s="9">
        <f t="shared" si="11"/>
        <v>7.0126999071283544E-2</v>
      </c>
      <c r="AJ62" s="9">
        <f t="shared" si="12"/>
        <v>0.11277359526878944</v>
      </c>
      <c r="AK62" s="9">
        <f t="shared" si="13"/>
        <v>1.2717883789848727E-2</v>
      </c>
      <c r="AL62" s="9">
        <f t="shared" si="14"/>
        <v>3.4271049616800352E-2</v>
      </c>
      <c r="AM62" s="9">
        <f t="shared" si="15"/>
        <v>1.1745048418371916E-3</v>
      </c>
      <c r="AN62" s="8" t="s">
        <v>277</v>
      </c>
    </row>
    <row r="63" spans="13:40" ht="23">
      <c r="M63" s="9" t="s">
        <v>2894</v>
      </c>
      <c r="N63" s="8" t="s">
        <v>1717</v>
      </c>
      <c r="O63" s="8"/>
      <c r="P63" s="8"/>
      <c r="Q63" s="8"/>
      <c r="R63" s="8"/>
      <c r="S63" s="8"/>
      <c r="T63" s="8"/>
      <c r="U63" s="8"/>
      <c r="V63" s="8"/>
      <c r="W63" s="9" t="s">
        <v>2894</v>
      </c>
      <c r="X63" s="8">
        <v>24.02</v>
      </c>
      <c r="Y63" s="8">
        <v>3.4</v>
      </c>
      <c r="Z63" s="9">
        <v>3.27</v>
      </c>
      <c r="AA63" s="8">
        <v>27.9</v>
      </c>
      <c r="AB63" s="8">
        <v>12822</v>
      </c>
      <c r="AC63" s="22" t="s">
        <v>2894</v>
      </c>
      <c r="AD63" s="8" t="s">
        <v>3712</v>
      </c>
      <c r="AE63" s="8" t="s">
        <v>4083</v>
      </c>
      <c r="AF63" s="9">
        <f t="shared" si="8"/>
        <v>94.86</v>
      </c>
      <c r="AG63" s="9">
        <f t="shared" si="9"/>
        <v>96.254999999999995</v>
      </c>
      <c r="AH63" s="9">
        <f t="shared" si="10"/>
        <v>0.24710164822999034</v>
      </c>
      <c r="AI63" s="9">
        <f t="shared" si="11"/>
        <v>6.1059224557977888E-2</v>
      </c>
      <c r="AJ63" s="9">
        <f t="shared" si="12"/>
        <v>0.25926283862142813</v>
      </c>
      <c r="AK63" s="9">
        <f t="shared" si="13"/>
        <v>6.7217219490040683E-2</v>
      </c>
      <c r="AL63" s="9">
        <f t="shared" si="14"/>
        <v>0.36775472473412685</v>
      </c>
      <c r="AM63" s="9">
        <f t="shared" si="15"/>
        <v>0.1352435375642734</v>
      </c>
      <c r="AN63" s="9" t="s">
        <v>2894</v>
      </c>
    </row>
    <row r="64" spans="13:40" ht="23">
      <c r="M64" s="8" t="s">
        <v>545</v>
      </c>
      <c r="N64" s="8" t="s">
        <v>150</v>
      </c>
      <c r="O64" s="8"/>
      <c r="P64" s="8"/>
      <c r="Q64" s="8"/>
      <c r="R64" s="8"/>
      <c r="S64" s="8"/>
      <c r="T64" s="8"/>
      <c r="U64" s="8"/>
      <c r="V64" s="8"/>
      <c r="W64" s="8" t="s">
        <v>545</v>
      </c>
      <c r="X64" s="8">
        <v>7.35</v>
      </c>
      <c r="Y64" s="8">
        <v>1.54</v>
      </c>
      <c r="Z64" s="9">
        <v>0.46</v>
      </c>
      <c r="AA64" s="8">
        <v>27.8</v>
      </c>
      <c r="AB64" s="8">
        <v>15361</v>
      </c>
      <c r="AC64" s="21" t="s">
        <v>545</v>
      </c>
      <c r="AD64" s="8" t="s">
        <v>3712</v>
      </c>
      <c r="AE64" s="8" t="s">
        <v>4083</v>
      </c>
      <c r="AF64" s="9">
        <f t="shared" si="8"/>
        <v>42.812000000000005</v>
      </c>
      <c r="AG64" s="9">
        <f t="shared" si="9"/>
        <v>21.313333333333336</v>
      </c>
      <c r="AH64" s="9">
        <f t="shared" si="10"/>
        <v>0.24621597923991873</v>
      </c>
      <c r="AI64" s="9">
        <f t="shared" si="11"/>
        <v>6.0622308433072092E-2</v>
      </c>
      <c r="AJ64" s="9">
        <f t="shared" si="12"/>
        <v>0.11700991616129647</v>
      </c>
      <c r="AK64" s="9">
        <f t="shared" si="13"/>
        <v>1.3691320480073628E-2</v>
      </c>
      <c r="AL64" s="9">
        <f t="shared" si="14"/>
        <v>8.1430357209149581E-2</v>
      </c>
      <c r="AM64" s="9">
        <f t="shared" si="15"/>
        <v>6.6309030752096992E-3</v>
      </c>
      <c r="AN64" s="8" t="s">
        <v>545</v>
      </c>
    </row>
    <row r="65" spans="13:40" ht="23">
      <c r="M65" s="8" t="s">
        <v>5010</v>
      </c>
      <c r="N65" s="8" t="s">
        <v>150</v>
      </c>
      <c r="O65" s="8"/>
      <c r="P65" s="8"/>
      <c r="Q65" s="8"/>
      <c r="R65" s="8"/>
      <c r="S65" s="8"/>
      <c r="T65" s="8"/>
      <c r="U65" s="8"/>
      <c r="V65" s="8"/>
      <c r="W65" s="8" t="s">
        <v>5010</v>
      </c>
      <c r="X65" s="8">
        <v>43.83</v>
      </c>
      <c r="Y65" s="8">
        <v>1.93</v>
      </c>
      <c r="Z65" s="9">
        <v>1.28</v>
      </c>
      <c r="AA65" s="8">
        <v>26.9</v>
      </c>
      <c r="AB65" s="8">
        <v>10330</v>
      </c>
      <c r="AC65" s="21" t="s">
        <v>5010</v>
      </c>
      <c r="AD65" s="8" t="s">
        <v>3712</v>
      </c>
      <c r="AE65" s="8" t="s">
        <v>4083</v>
      </c>
      <c r="AF65" s="9">
        <f t="shared" si="8"/>
        <v>51.916999999999994</v>
      </c>
      <c r="AG65" s="9">
        <f t="shared" si="9"/>
        <v>39.453333333333333</v>
      </c>
      <c r="AH65" s="9">
        <f t="shared" si="10"/>
        <v>0.23824495832927389</v>
      </c>
      <c r="AI65" s="9">
        <f t="shared" si="11"/>
        <v>5.6760660169317453E-2</v>
      </c>
      <c r="AJ65" s="9">
        <f t="shared" si="12"/>
        <v>0.14189488501695852</v>
      </c>
      <c r="AK65" s="9">
        <f t="shared" si="13"/>
        <v>2.0134158393975879E-2</v>
      </c>
      <c r="AL65" s="9">
        <f t="shared" si="14"/>
        <v>0.15073658240968005</v>
      </c>
      <c r="AM65" s="9">
        <f t="shared" si="15"/>
        <v>2.2721517276550265E-2</v>
      </c>
      <c r="AN65" s="8" t="s">
        <v>5010</v>
      </c>
    </row>
    <row r="66" spans="13:40" ht="23">
      <c r="M66" s="9" t="s">
        <v>2555</v>
      </c>
      <c r="N66" s="8" t="s">
        <v>150</v>
      </c>
      <c r="O66" s="8"/>
      <c r="P66" s="8" t="s">
        <v>3693</v>
      </c>
      <c r="Q66" s="8"/>
      <c r="R66" s="8"/>
      <c r="S66" s="8"/>
      <c r="T66" s="8"/>
      <c r="U66" s="8"/>
      <c r="V66" s="8"/>
      <c r="W66" s="9" t="s">
        <v>2555</v>
      </c>
      <c r="X66" s="8">
        <v>38.020000000000003</v>
      </c>
      <c r="Y66" s="8">
        <v>3.31</v>
      </c>
      <c r="Z66" s="9">
        <v>3.04</v>
      </c>
      <c r="AA66" s="8">
        <v>26.3</v>
      </c>
      <c r="AB66" s="8">
        <v>8059</v>
      </c>
      <c r="AC66" s="22" t="s">
        <v>2555</v>
      </c>
      <c r="AD66" s="8" t="s">
        <v>3712</v>
      </c>
      <c r="AE66" s="8" t="s">
        <v>4083</v>
      </c>
      <c r="AF66" s="9">
        <f t="shared" ref="AF66:AF97" si="16">(AA66*Y66)</f>
        <v>87.052999999999997</v>
      </c>
      <c r="AG66" s="9">
        <f t="shared" ref="AG66:AG97" si="17">((((RIGHT(Z66,2))/60)+(LEFT(Z66,2)))*AA66)</f>
        <v>80.653333333333336</v>
      </c>
      <c r="AH66" s="9">
        <f t="shared" ref="AH66:AH97" si="18">(AA66/$AA$181)*100</f>
        <v>0.23293094438884399</v>
      </c>
      <c r="AI66" s="9">
        <f t="shared" ref="AI66:AI97" si="19">(AH66*AH66)</f>
        <v>5.4256824853878727E-2</v>
      </c>
      <c r="AJ66" s="9">
        <f t="shared" ref="AJ66:AJ97" si="20">(AF66/$AF$181)*100</f>
        <v>0.23792544687445905</v>
      </c>
      <c r="AK66" s="9">
        <f t="shared" ref="AK66:AK97" si="21">(AJ66*AJ66)</f>
        <v>5.660851827041103E-2</v>
      </c>
      <c r="AL66" s="9">
        <f t="shared" ref="AL66:AL97" si="22">(AG66/$AG$181)*100</f>
        <v>0.30814653159721345</v>
      </c>
      <c r="AM66" s="9">
        <f t="shared" ref="AM66:AM97" si="23">(AL66*AL66)</f>
        <v>9.4954284935392472E-2</v>
      </c>
      <c r="AN66" s="9" t="s">
        <v>2555</v>
      </c>
    </row>
    <row r="67" spans="13:40" ht="23">
      <c r="M67" s="8" t="s">
        <v>1206</v>
      </c>
      <c r="N67" s="8" t="s">
        <v>150</v>
      </c>
      <c r="O67" s="8"/>
      <c r="P67" s="8"/>
      <c r="Q67" s="8"/>
      <c r="R67" s="8"/>
      <c r="S67" s="8"/>
      <c r="T67" s="8"/>
      <c r="U67" s="8"/>
      <c r="V67" s="8"/>
      <c r="W67" s="8" t="s">
        <v>1206</v>
      </c>
      <c r="X67" s="8">
        <v>32.19</v>
      </c>
      <c r="Y67" s="8">
        <v>1.64</v>
      </c>
      <c r="Z67" s="9">
        <v>0.44</v>
      </c>
      <c r="AA67" s="8">
        <v>26.3</v>
      </c>
      <c r="AB67" s="8">
        <v>14074</v>
      </c>
      <c r="AC67" s="21" t="s">
        <v>1206</v>
      </c>
      <c r="AD67" s="8" t="s">
        <v>3712</v>
      </c>
      <c r="AE67" s="8" t="s">
        <v>4083</v>
      </c>
      <c r="AF67" s="9">
        <f t="shared" si="16"/>
        <v>43.131999999999998</v>
      </c>
      <c r="AG67" s="9">
        <f t="shared" si="17"/>
        <v>19.286666666666665</v>
      </c>
      <c r="AH67" s="9">
        <f t="shared" si="18"/>
        <v>0.23293094438884399</v>
      </c>
      <c r="AI67" s="9">
        <f t="shared" si="19"/>
        <v>5.4256824853878727E-2</v>
      </c>
      <c r="AJ67" s="9">
        <f t="shared" si="20"/>
        <v>0.11788451144233016</v>
      </c>
      <c r="AK67" s="9">
        <f t="shared" si="21"/>
        <v>1.389675803799687E-2</v>
      </c>
      <c r="AL67" s="9">
        <f t="shared" si="22"/>
        <v>7.3687214077594515E-2</v>
      </c>
      <c r="AM67" s="9">
        <f t="shared" si="23"/>
        <v>5.4298055185172433E-3</v>
      </c>
      <c r="AN67" s="8" t="s">
        <v>1206</v>
      </c>
    </row>
    <row r="68" spans="13:40" ht="23">
      <c r="M68" s="9" t="s">
        <v>3607</v>
      </c>
      <c r="N68" s="8" t="s">
        <v>2084</v>
      </c>
      <c r="O68" s="8"/>
      <c r="P68" s="8"/>
      <c r="Q68" s="8"/>
      <c r="R68" s="8"/>
      <c r="S68" s="8"/>
      <c r="T68" s="8"/>
      <c r="U68" s="8"/>
      <c r="V68" s="8"/>
      <c r="W68" s="9" t="s">
        <v>3607</v>
      </c>
      <c r="X68" s="8">
        <v>52.39</v>
      </c>
      <c r="Y68" s="8">
        <v>1.06</v>
      </c>
      <c r="Z68" s="9">
        <v>0.15</v>
      </c>
      <c r="AA68" s="8">
        <v>23.9</v>
      </c>
      <c r="AB68" s="8">
        <v>85893</v>
      </c>
      <c r="AC68" s="22" t="s">
        <v>3607</v>
      </c>
      <c r="AD68" s="8" t="s">
        <v>3712</v>
      </c>
      <c r="AE68" s="8" t="s">
        <v>4083</v>
      </c>
      <c r="AF68" s="9">
        <f t="shared" si="16"/>
        <v>25.334</v>
      </c>
      <c r="AG68" s="9">
        <f t="shared" si="17"/>
        <v>5.9749999999999996</v>
      </c>
      <c r="AH68" s="9">
        <f t="shared" si="18"/>
        <v>0.21167488862712433</v>
      </c>
      <c r="AI68" s="9">
        <f t="shared" si="19"/>
        <v>4.4806258475305491E-2</v>
      </c>
      <c r="AJ68" s="9">
        <f t="shared" si="20"/>
        <v>6.9240615155336929E-2</v>
      </c>
      <c r="AK68" s="9">
        <f t="shared" si="21"/>
        <v>4.794262787089474E-3</v>
      </c>
      <c r="AL68" s="9">
        <f t="shared" si="22"/>
        <v>2.2828263262026992E-2</v>
      </c>
      <c r="AM68" s="9">
        <f t="shared" si="23"/>
        <v>5.2112960356041124E-4</v>
      </c>
      <c r="AN68" s="9" t="s">
        <v>3607</v>
      </c>
    </row>
    <row r="69" spans="13:40" ht="23">
      <c r="M69" s="9" t="s">
        <v>2744</v>
      </c>
      <c r="N69" s="8" t="s">
        <v>1614</v>
      </c>
      <c r="O69" s="8"/>
      <c r="P69" s="8"/>
      <c r="Q69" s="8"/>
      <c r="R69" s="8"/>
      <c r="S69" s="8"/>
      <c r="T69" s="8"/>
      <c r="U69" s="8"/>
      <c r="V69" s="8"/>
      <c r="W69" s="9" t="s">
        <v>2744</v>
      </c>
      <c r="X69" s="8">
        <v>28.96</v>
      </c>
      <c r="Y69" s="8">
        <v>3.4</v>
      </c>
      <c r="Z69" s="9">
        <v>2.37</v>
      </c>
      <c r="AA69" s="8">
        <v>23.7</v>
      </c>
      <c r="AB69" s="8">
        <v>4597</v>
      </c>
      <c r="AC69" s="22" t="s">
        <v>2744</v>
      </c>
      <c r="AD69" s="8" t="s">
        <v>3712</v>
      </c>
      <c r="AE69" s="8" t="s">
        <v>4083</v>
      </c>
      <c r="AF69" s="9">
        <f t="shared" si="16"/>
        <v>80.58</v>
      </c>
      <c r="AG69" s="9">
        <f t="shared" si="17"/>
        <v>62.015000000000001</v>
      </c>
      <c r="AH69" s="9">
        <f t="shared" si="18"/>
        <v>0.20990355064698105</v>
      </c>
      <c r="AI69" s="9">
        <f t="shared" si="19"/>
        <v>4.4059500574209737E-2</v>
      </c>
      <c r="AJ69" s="9">
        <f t="shared" si="20"/>
        <v>0.22023402420529919</v>
      </c>
      <c r="AK69" s="9">
        <f t="shared" si="21"/>
        <v>4.8503025417660314E-2</v>
      </c>
      <c r="AL69" s="9">
        <f t="shared" si="22"/>
        <v>0.23693635919574962</v>
      </c>
      <c r="AM69" s="9">
        <f t="shared" si="23"/>
        <v>5.6138838308937289E-2</v>
      </c>
      <c r="AN69" s="9" t="s">
        <v>2744</v>
      </c>
    </row>
    <row r="70" spans="13:40" ht="23">
      <c r="M70" s="8" t="s">
        <v>201</v>
      </c>
      <c r="N70" s="8" t="s">
        <v>150</v>
      </c>
      <c r="O70" s="8"/>
      <c r="P70" s="8" t="s">
        <v>3700</v>
      </c>
      <c r="Q70" s="8"/>
      <c r="R70" s="8"/>
      <c r="S70" s="8"/>
      <c r="T70" s="8"/>
      <c r="U70" s="8"/>
      <c r="V70" s="8"/>
      <c r="W70" s="8" t="s">
        <v>201</v>
      </c>
      <c r="X70" s="8">
        <v>82.74</v>
      </c>
      <c r="Y70" s="8">
        <v>1.99</v>
      </c>
      <c r="Z70" s="9">
        <v>0.55000000000000004</v>
      </c>
      <c r="AA70" s="8">
        <v>21.7</v>
      </c>
      <c r="AB70" s="8">
        <v>14851</v>
      </c>
      <c r="AC70" s="21" t="s">
        <v>201</v>
      </c>
      <c r="AD70" s="8" t="s">
        <v>3712</v>
      </c>
      <c r="AE70" s="8" t="s">
        <v>4083</v>
      </c>
      <c r="AF70" s="9">
        <f t="shared" si="16"/>
        <v>43.183</v>
      </c>
      <c r="AG70" s="9">
        <f t="shared" si="17"/>
        <v>19.891666666666666</v>
      </c>
      <c r="AH70" s="9">
        <f t="shared" si="18"/>
        <v>0.19219017084554807</v>
      </c>
      <c r="AI70" s="9">
        <f t="shared" si="19"/>
        <v>3.6937061769640955E-2</v>
      </c>
      <c r="AJ70" s="9">
        <f t="shared" si="20"/>
        <v>0.11802390006524491</v>
      </c>
      <c r="AK70" s="9">
        <f t="shared" si="21"/>
        <v>1.3929640986610916E-2</v>
      </c>
      <c r="AL70" s="9">
        <f t="shared" si="22"/>
        <v>7.5998695127557081E-2</v>
      </c>
      <c r="AM70" s="9">
        <f t="shared" si="23"/>
        <v>5.7758016610913688E-3</v>
      </c>
      <c r="AN70" s="8" t="s">
        <v>201</v>
      </c>
    </row>
    <row r="71" spans="13:40" ht="23">
      <c r="M71" s="8" t="s">
        <v>137</v>
      </c>
      <c r="N71" s="8" t="s">
        <v>150</v>
      </c>
      <c r="O71" s="8"/>
      <c r="P71" s="8" t="s">
        <v>3693</v>
      </c>
      <c r="Q71" s="8"/>
      <c r="R71" s="8"/>
      <c r="S71" s="8"/>
      <c r="T71" s="8"/>
      <c r="U71" s="8"/>
      <c r="V71" s="8"/>
      <c r="W71" s="8" t="s">
        <v>137</v>
      </c>
      <c r="X71" s="8">
        <v>37.159999999999997</v>
      </c>
      <c r="Y71" s="8">
        <v>2.62</v>
      </c>
      <c r="Z71" s="9">
        <v>6.09</v>
      </c>
      <c r="AA71" s="8">
        <v>18.600000000000001</v>
      </c>
      <c r="AB71" s="8">
        <v>24992</v>
      </c>
      <c r="AC71" s="21" t="s">
        <v>137</v>
      </c>
      <c r="AD71" s="8" t="s">
        <v>3712</v>
      </c>
      <c r="AE71" s="8" t="s">
        <v>4083</v>
      </c>
      <c r="AF71" s="9">
        <f t="shared" si="16"/>
        <v>48.732000000000006</v>
      </c>
      <c r="AG71" s="9">
        <f t="shared" si="17"/>
        <v>114.39000000000001</v>
      </c>
      <c r="AH71" s="9">
        <f t="shared" si="18"/>
        <v>0.16473443215332692</v>
      </c>
      <c r="AI71" s="9">
        <f t="shared" si="19"/>
        <v>2.713743313687907E-2</v>
      </c>
      <c r="AJ71" s="9">
        <f t="shared" si="20"/>
        <v>0.13318992886041997</v>
      </c>
      <c r="AK71" s="9">
        <f t="shared" si="21"/>
        <v>1.7739557149843734E-2</v>
      </c>
      <c r="AL71" s="9">
        <f t="shared" si="22"/>
        <v>0.43704184678548419</v>
      </c>
      <c r="AM71" s="9">
        <f t="shared" si="23"/>
        <v>0.19100557584166664</v>
      </c>
      <c r="AN71" s="8" t="s">
        <v>137</v>
      </c>
    </row>
    <row r="72" spans="13:40" ht="23">
      <c r="M72" s="9" t="s">
        <v>2351</v>
      </c>
      <c r="N72" s="8" t="s">
        <v>150</v>
      </c>
      <c r="O72" s="8"/>
      <c r="P72" s="8" t="s">
        <v>3691</v>
      </c>
      <c r="Q72" s="8"/>
      <c r="R72" s="8"/>
      <c r="S72" s="8"/>
      <c r="T72" s="8"/>
      <c r="U72" s="8"/>
      <c r="V72" s="8"/>
      <c r="W72" s="9" t="s">
        <v>2351</v>
      </c>
      <c r="X72" s="8">
        <v>22.76</v>
      </c>
      <c r="Y72" s="8">
        <v>1.94</v>
      </c>
      <c r="Z72" s="9">
        <v>2.5</v>
      </c>
      <c r="AA72" s="8">
        <v>17.7</v>
      </c>
      <c r="AB72" s="8">
        <v>17129</v>
      </c>
      <c r="AC72" s="22" t="s">
        <v>2351</v>
      </c>
      <c r="AD72" s="8" t="s">
        <v>3712</v>
      </c>
      <c r="AE72" s="8" t="s">
        <v>4083</v>
      </c>
      <c r="AF72" s="9">
        <f t="shared" si="16"/>
        <v>34.338000000000001</v>
      </c>
      <c r="AG72" s="9">
        <f t="shared" si="17"/>
        <v>35.547499999999999</v>
      </c>
      <c r="AH72" s="9">
        <f t="shared" si="18"/>
        <v>0.15676341124268206</v>
      </c>
      <c r="AI72" s="9">
        <f t="shared" si="19"/>
        <v>2.4574767104442258E-2</v>
      </c>
      <c r="AJ72" s="9">
        <f t="shared" si="20"/>
        <v>9.384953987542273E-2</v>
      </c>
      <c r="AK72" s="9">
        <f t="shared" si="21"/>
        <v>8.8077361348285615E-3</v>
      </c>
      <c r="AL72" s="9">
        <f t="shared" si="22"/>
        <v>0.13581383904718067</v>
      </c>
      <c r="AM72" s="9">
        <f t="shared" si="23"/>
        <v>1.8445398876733497E-2</v>
      </c>
      <c r="AN72" s="9" t="s">
        <v>2351</v>
      </c>
    </row>
    <row r="73" spans="13:40" ht="23">
      <c r="M73" s="8" t="s">
        <v>450</v>
      </c>
      <c r="N73" s="8" t="s">
        <v>150</v>
      </c>
      <c r="O73" s="8"/>
      <c r="P73" s="8" t="s">
        <v>3691</v>
      </c>
      <c r="Q73" s="8"/>
      <c r="R73" s="8"/>
      <c r="S73" s="8"/>
      <c r="T73" s="8"/>
      <c r="U73" s="8"/>
      <c r="V73" s="8"/>
      <c r="W73" s="8" t="s">
        <v>450</v>
      </c>
      <c r="X73" s="8">
        <v>32.090000000000003</v>
      </c>
      <c r="Y73" s="8">
        <v>6.56</v>
      </c>
      <c r="Z73" s="9">
        <v>3.23</v>
      </c>
      <c r="AA73" s="8">
        <v>17.600000000000001</v>
      </c>
      <c r="AB73" s="8">
        <v>5487</v>
      </c>
      <c r="AC73" s="21" t="s">
        <v>450</v>
      </c>
      <c r="AD73" s="8" t="s">
        <v>3712</v>
      </c>
      <c r="AE73" s="8" t="s">
        <v>4083</v>
      </c>
      <c r="AF73" s="9">
        <f t="shared" si="16"/>
        <v>115.456</v>
      </c>
      <c r="AG73" s="9">
        <f t="shared" si="17"/>
        <v>59.546666666666674</v>
      </c>
      <c r="AH73" s="9">
        <f t="shared" si="18"/>
        <v>0.15587774225261042</v>
      </c>
      <c r="AI73" s="9">
        <f t="shared" si="19"/>
        <v>2.4297870529771247E-2</v>
      </c>
      <c r="AJ73" s="9">
        <f t="shared" si="20"/>
        <v>0.31555397739695984</v>
      </c>
      <c r="AK73" s="9">
        <f t="shared" si="21"/>
        <v>9.9574312651041039E-2</v>
      </c>
      <c r="AL73" s="9">
        <f t="shared" si="22"/>
        <v>0.22750577122055801</v>
      </c>
      <c r="AM73" s="9">
        <f t="shared" si="23"/>
        <v>5.1758875938660881E-2</v>
      </c>
      <c r="AN73" s="8" t="s">
        <v>450</v>
      </c>
    </row>
    <row r="74" spans="13:40" ht="23">
      <c r="M74" s="8" t="s">
        <v>977</v>
      </c>
      <c r="N74" s="8" t="s">
        <v>150</v>
      </c>
      <c r="O74" s="8"/>
      <c r="P74" s="8" t="s">
        <v>3715</v>
      </c>
      <c r="Q74" s="8"/>
      <c r="R74" s="8"/>
      <c r="S74" s="8"/>
      <c r="T74" s="8"/>
      <c r="U74" s="8"/>
      <c r="V74" s="8"/>
      <c r="W74" s="8" t="s">
        <v>977</v>
      </c>
      <c r="X74" s="8">
        <v>34.74</v>
      </c>
      <c r="Y74" s="8">
        <v>3.54</v>
      </c>
      <c r="Z74" s="9">
        <v>3</v>
      </c>
      <c r="AA74" s="8">
        <v>17.399999999999999</v>
      </c>
      <c r="AB74" s="8">
        <v>5934</v>
      </c>
      <c r="AC74" s="21" t="s">
        <v>977</v>
      </c>
      <c r="AD74" s="8" t="s">
        <v>3712</v>
      </c>
      <c r="AE74" s="8" t="s">
        <v>4083</v>
      </c>
      <c r="AF74" s="9">
        <f t="shared" si="16"/>
        <v>61.595999999999997</v>
      </c>
      <c r="AG74" s="9">
        <f t="shared" si="17"/>
        <v>53.069999999999993</v>
      </c>
      <c r="AH74" s="9">
        <f t="shared" si="18"/>
        <v>0.15410640427246711</v>
      </c>
      <c r="AI74" s="9">
        <f t="shared" si="19"/>
        <v>2.374878383778907E-2</v>
      </c>
      <c r="AJ74" s="9">
        <f t="shared" si="20"/>
        <v>0.16834865915797478</v>
      </c>
      <c r="AK74" s="9">
        <f t="shared" si="21"/>
        <v>2.8341271040287969E-2</v>
      </c>
      <c r="AL74" s="9">
        <f t="shared" si="22"/>
        <v>0.20276082532481543</v>
      </c>
      <c r="AM74" s="9">
        <f t="shared" si="23"/>
        <v>4.1111952286400313E-2</v>
      </c>
      <c r="AN74" s="8" t="s">
        <v>977</v>
      </c>
    </row>
    <row r="75" spans="13:40" ht="23">
      <c r="M75" s="9" t="s">
        <v>2223</v>
      </c>
      <c r="N75" s="8" t="s">
        <v>150</v>
      </c>
      <c r="O75" s="8"/>
      <c r="P75" s="8"/>
      <c r="Q75" s="8"/>
      <c r="R75" s="8"/>
      <c r="S75" s="8"/>
      <c r="T75" s="8"/>
      <c r="U75" s="8"/>
      <c r="V75" s="8"/>
      <c r="W75" s="9" t="s">
        <v>2223</v>
      </c>
      <c r="X75" s="8">
        <v>58.12</v>
      </c>
      <c r="Y75" s="8">
        <v>2.84</v>
      </c>
      <c r="Z75" s="9">
        <v>1.24</v>
      </c>
      <c r="AA75" s="8">
        <v>16.899999999999999</v>
      </c>
      <c r="AB75" s="8">
        <v>16236</v>
      </c>
      <c r="AC75" s="22" t="s">
        <v>2223</v>
      </c>
      <c r="AD75" s="8" t="s">
        <v>3712</v>
      </c>
      <c r="AE75" s="8" t="s">
        <v>4083</v>
      </c>
      <c r="AF75" s="9">
        <f t="shared" si="16"/>
        <v>47.995999999999995</v>
      </c>
      <c r="AG75" s="9">
        <f t="shared" si="17"/>
        <v>23.659999999999997</v>
      </c>
      <c r="AH75" s="9">
        <f t="shared" si="18"/>
        <v>0.14967805932210884</v>
      </c>
      <c r="AI75" s="9">
        <f t="shared" si="19"/>
        <v>2.2403521442432732E-2</v>
      </c>
      <c r="AJ75" s="9">
        <f t="shared" si="20"/>
        <v>0.13117835971404243</v>
      </c>
      <c r="AK75" s="9">
        <f t="shared" si="21"/>
        <v>1.720776205726671E-2</v>
      </c>
      <c r="AL75" s="9">
        <f t="shared" si="22"/>
        <v>9.0396101887792235E-2</v>
      </c>
      <c r="AM75" s="9">
        <f t="shared" si="23"/>
        <v>8.1714552365081145E-3</v>
      </c>
      <c r="AN75" s="9" t="s">
        <v>2223</v>
      </c>
    </row>
    <row r="76" spans="13:40" ht="23">
      <c r="M76" s="8" t="s">
        <v>1118</v>
      </c>
      <c r="N76" s="8" t="s">
        <v>150</v>
      </c>
      <c r="O76" s="8"/>
      <c r="P76" s="8" t="s">
        <v>3691</v>
      </c>
      <c r="Q76" s="8"/>
      <c r="R76" s="8"/>
      <c r="S76" s="8"/>
      <c r="T76" s="8"/>
      <c r="U76" s="8"/>
      <c r="V76" s="8"/>
      <c r="W76" s="8" t="s">
        <v>1118</v>
      </c>
      <c r="X76" s="8">
        <v>34.4</v>
      </c>
      <c r="Y76" s="8">
        <v>1.93</v>
      </c>
      <c r="Z76" s="9">
        <v>1.22</v>
      </c>
      <c r="AA76" s="8">
        <v>15.8</v>
      </c>
      <c r="AB76" s="8">
        <v>12879</v>
      </c>
      <c r="AC76" s="21" t="s">
        <v>1118</v>
      </c>
      <c r="AD76" s="8" t="s">
        <v>3712</v>
      </c>
      <c r="AE76" s="8" t="s">
        <v>4083</v>
      </c>
      <c r="AF76" s="9">
        <f t="shared" si="16"/>
        <v>30.494</v>
      </c>
      <c r="AG76" s="9">
        <f t="shared" si="17"/>
        <v>21.593333333333334</v>
      </c>
      <c r="AH76" s="9">
        <f t="shared" si="18"/>
        <v>0.13993570043132073</v>
      </c>
      <c r="AI76" s="9">
        <f t="shared" si="19"/>
        <v>1.9582000255204336E-2</v>
      </c>
      <c r="AJ76" s="9">
        <f t="shared" si="20"/>
        <v>8.3343464062005379E-2</v>
      </c>
      <c r="AK76" s="9">
        <f t="shared" si="21"/>
        <v>6.9461330018547821E-3</v>
      </c>
      <c r="AL76" s="9">
        <f t="shared" si="22"/>
        <v>8.2500133562851255E-2</v>
      </c>
      <c r="AM76" s="9">
        <f t="shared" si="23"/>
        <v>6.8062720378882962E-3</v>
      </c>
      <c r="AN76" s="8" t="s">
        <v>1118</v>
      </c>
    </row>
    <row r="77" spans="13:40" ht="23">
      <c r="M77" s="8" t="s">
        <v>1034</v>
      </c>
      <c r="N77" s="8" t="s">
        <v>150</v>
      </c>
      <c r="O77" s="8"/>
      <c r="P77" s="8"/>
      <c r="Q77" s="8"/>
      <c r="R77" s="8"/>
      <c r="S77" s="8"/>
      <c r="T77" s="8"/>
      <c r="U77" s="8"/>
      <c r="V77" s="8"/>
      <c r="W77" s="8" t="s">
        <v>1034</v>
      </c>
      <c r="X77" s="8">
        <v>6.6</v>
      </c>
      <c r="Y77" s="8">
        <v>1.48</v>
      </c>
      <c r="Z77" s="9">
        <v>0.21</v>
      </c>
      <c r="AA77" s="8">
        <v>14.6</v>
      </c>
      <c r="AB77" s="8">
        <v>29906</v>
      </c>
      <c r="AC77" s="21" t="s">
        <v>1034</v>
      </c>
      <c r="AD77" s="8" t="s">
        <v>3712</v>
      </c>
      <c r="AE77" s="8" t="s">
        <v>4083</v>
      </c>
      <c r="AF77" s="9">
        <f t="shared" si="16"/>
        <v>21.608000000000001</v>
      </c>
      <c r="AG77" s="9">
        <f t="shared" si="17"/>
        <v>5.1099999999999994</v>
      </c>
      <c r="AH77" s="9">
        <f t="shared" si="18"/>
        <v>0.12930767255046091</v>
      </c>
      <c r="AI77" s="9">
        <f t="shared" si="19"/>
        <v>1.6720474180417222E-2</v>
      </c>
      <c r="AJ77" s="9">
        <f t="shared" si="20"/>
        <v>5.905704635180075E-2</v>
      </c>
      <c r="AK77" s="9">
        <f t="shared" si="21"/>
        <v>3.4877347237987424E-3</v>
      </c>
      <c r="AL77" s="9">
        <f t="shared" si="22"/>
        <v>1.9523418455055716E-2</v>
      </c>
      <c r="AM77" s="9">
        <f t="shared" si="23"/>
        <v>3.8116386817121012E-4</v>
      </c>
      <c r="AN77" s="8" t="s">
        <v>1034</v>
      </c>
    </row>
    <row r="78" spans="13:40" ht="23">
      <c r="M78" s="9" t="s">
        <v>2333</v>
      </c>
      <c r="N78" s="8" t="s">
        <v>150</v>
      </c>
      <c r="O78" s="8"/>
      <c r="P78" s="8"/>
      <c r="Q78" s="8"/>
      <c r="R78" s="8"/>
      <c r="S78" s="8"/>
      <c r="T78" s="8"/>
      <c r="U78" s="8"/>
      <c r="V78" s="8"/>
      <c r="W78" s="9" t="s">
        <v>2333</v>
      </c>
      <c r="X78" s="8">
        <v>35.19</v>
      </c>
      <c r="Y78" s="8">
        <v>1.9</v>
      </c>
      <c r="Z78" s="9">
        <v>1.39</v>
      </c>
      <c r="AA78" s="8">
        <v>11.8</v>
      </c>
      <c r="AB78" s="8">
        <v>17194</v>
      </c>
      <c r="AC78" s="22" t="s">
        <v>2333</v>
      </c>
      <c r="AD78" s="8" t="s">
        <v>3712</v>
      </c>
      <c r="AE78" s="8" t="s">
        <v>4083</v>
      </c>
      <c r="AF78" s="9">
        <f t="shared" si="16"/>
        <v>22.42</v>
      </c>
      <c r="AG78" s="9">
        <f t="shared" si="17"/>
        <v>19.47</v>
      </c>
      <c r="AH78" s="9">
        <f t="shared" si="18"/>
        <v>0.10450894082845472</v>
      </c>
      <c r="AI78" s="9">
        <f t="shared" si="19"/>
        <v>1.092211871308545E-2</v>
      </c>
      <c r="AJ78" s="9">
        <f t="shared" si="20"/>
        <v>6.1276331877423783E-2</v>
      </c>
      <c r="AK78" s="9">
        <f t="shared" si="21"/>
        <v>3.7547888483521821E-3</v>
      </c>
      <c r="AL78" s="9">
        <f t="shared" si="22"/>
        <v>7.4387662880613478E-2</v>
      </c>
      <c r="AM78" s="9">
        <f t="shared" si="23"/>
        <v>5.5335243888398004E-3</v>
      </c>
      <c r="AN78" s="9" t="s">
        <v>2333</v>
      </c>
    </row>
    <row r="79" spans="13:40" ht="23">
      <c r="M79" s="8" t="s">
        <v>42</v>
      </c>
      <c r="N79" s="8" t="s">
        <v>19</v>
      </c>
      <c r="O79" s="8"/>
      <c r="P79" s="8"/>
      <c r="Q79" s="8"/>
      <c r="R79" s="8"/>
      <c r="S79" s="8"/>
      <c r="T79" s="8"/>
      <c r="U79" s="8"/>
      <c r="V79" s="8"/>
      <c r="W79" s="8" t="s">
        <v>42</v>
      </c>
      <c r="X79" s="8">
        <v>54.25</v>
      </c>
      <c r="Y79" s="8">
        <v>2.82</v>
      </c>
      <c r="Z79" s="9">
        <v>1.18</v>
      </c>
      <c r="AA79" s="8">
        <v>11.7</v>
      </c>
      <c r="AB79" s="8">
        <v>14759</v>
      </c>
      <c r="AC79" s="21" t="s">
        <v>42</v>
      </c>
      <c r="AD79" s="8" t="s">
        <v>4497</v>
      </c>
      <c r="AE79" s="8" t="s">
        <v>4083</v>
      </c>
      <c r="AF79" s="9">
        <f t="shared" si="16"/>
        <v>32.993999999999993</v>
      </c>
      <c r="AG79" s="9">
        <f t="shared" si="17"/>
        <v>15.209999999999999</v>
      </c>
      <c r="AH79" s="9">
        <f t="shared" si="18"/>
        <v>0.10362327183838305</v>
      </c>
      <c r="AI79" s="9">
        <f t="shared" si="19"/>
        <v>1.0737782466491428E-2</v>
      </c>
      <c r="AJ79" s="9">
        <f t="shared" si="20"/>
        <v>9.0176239695081165E-2</v>
      </c>
      <c r="AK79" s="9">
        <f t="shared" si="21"/>
        <v>8.131754205544732E-3</v>
      </c>
      <c r="AL79" s="9">
        <f t="shared" si="22"/>
        <v>5.8111779785009296E-2</v>
      </c>
      <c r="AM79" s="9">
        <f t="shared" si="23"/>
        <v>3.3769789497814151E-3</v>
      </c>
      <c r="AN79" s="8" t="s">
        <v>42</v>
      </c>
    </row>
    <row r="80" spans="13:40" ht="23">
      <c r="M80" s="9" t="s">
        <v>2552</v>
      </c>
      <c r="N80" s="8" t="s">
        <v>150</v>
      </c>
      <c r="O80" s="8"/>
      <c r="P80" s="8"/>
      <c r="Q80" s="8"/>
      <c r="R80" s="8"/>
      <c r="S80" s="8"/>
      <c r="T80" s="8"/>
      <c r="U80" s="8"/>
      <c r="V80" s="8"/>
      <c r="W80" s="9" t="s">
        <v>2552</v>
      </c>
      <c r="X80" s="8">
        <v>61.76</v>
      </c>
      <c r="Y80" s="8">
        <v>1.25</v>
      </c>
      <c r="Z80" s="9">
        <v>0.34</v>
      </c>
      <c r="AA80" s="8">
        <v>11</v>
      </c>
      <c r="AB80" s="8">
        <v>43558</v>
      </c>
      <c r="AC80" s="22" t="s">
        <v>2552</v>
      </c>
      <c r="AD80" s="8" t="s">
        <v>3712</v>
      </c>
      <c r="AE80" s="8" t="s">
        <v>4083</v>
      </c>
      <c r="AF80" s="9">
        <f t="shared" si="16"/>
        <v>13.75</v>
      </c>
      <c r="AG80" s="9">
        <f t="shared" si="17"/>
        <v>6.2333333333333334</v>
      </c>
      <c r="AH80" s="9">
        <f t="shared" si="18"/>
        <v>9.7423588907881511E-2</v>
      </c>
      <c r="AI80" s="9">
        <f t="shared" si="19"/>
        <v>9.491355675691893E-3</v>
      </c>
      <c r="AJ80" s="9">
        <f t="shared" si="20"/>
        <v>3.7580265981916897E-2</v>
      </c>
      <c r="AK80" s="9">
        <f t="shared" si="21"/>
        <v>1.4122763912716204E-3</v>
      </c>
      <c r="AL80" s="9">
        <f t="shared" si="22"/>
        <v>2.3815259302644616E-2</v>
      </c>
      <c r="AM80" s="9">
        <f t="shared" si="23"/>
        <v>5.6716657565220095E-4</v>
      </c>
      <c r="AN80" s="9" t="s">
        <v>2552</v>
      </c>
    </row>
    <row r="81" spans="13:40" ht="23">
      <c r="M81" s="9" t="s">
        <v>2534</v>
      </c>
      <c r="N81" s="8" t="s">
        <v>150</v>
      </c>
      <c r="O81" s="8"/>
      <c r="P81" s="8" t="s">
        <v>3693</v>
      </c>
      <c r="Q81" s="8"/>
      <c r="R81" s="8"/>
      <c r="S81" s="8"/>
      <c r="T81" s="8"/>
      <c r="U81" s="8"/>
      <c r="V81" s="8"/>
      <c r="W81" s="9" t="s">
        <v>2534</v>
      </c>
      <c r="X81" s="8">
        <v>38.97</v>
      </c>
      <c r="Y81" s="8">
        <v>2.87</v>
      </c>
      <c r="Z81" s="9">
        <v>1.58</v>
      </c>
      <c r="AA81" s="8">
        <v>10.7</v>
      </c>
      <c r="AB81" s="8"/>
      <c r="AC81" s="22" t="s">
        <v>2534</v>
      </c>
      <c r="AD81" s="8" t="s">
        <v>3712</v>
      </c>
      <c r="AE81" s="8" t="s">
        <v>4083</v>
      </c>
      <c r="AF81" s="9">
        <f t="shared" si="16"/>
        <v>30.709</v>
      </c>
      <c r="AG81" s="9">
        <f t="shared" si="17"/>
        <v>21.043333333333333</v>
      </c>
      <c r="AH81" s="9">
        <f t="shared" si="18"/>
        <v>9.4766581937666558E-2</v>
      </c>
      <c r="AI81" s="9">
        <f t="shared" si="19"/>
        <v>8.9807050521484699E-3</v>
      </c>
      <c r="AJ81" s="9">
        <f t="shared" si="20"/>
        <v>8.3931082766449894E-2</v>
      </c>
      <c r="AK81" s="9">
        <f t="shared" si="21"/>
        <v>7.0444266543486624E-3</v>
      </c>
      <c r="AL81" s="9">
        <f t="shared" si="22"/>
        <v>8.0398787153794365E-2</v>
      </c>
      <c r="AM81" s="9">
        <f t="shared" si="23"/>
        <v>6.46396497580113E-3</v>
      </c>
      <c r="AN81" s="9" t="s">
        <v>2534</v>
      </c>
    </row>
    <row r="82" spans="13:40" ht="23">
      <c r="M82" s="8" t="s">
        <v>1057</v>
      </c>
      <c r="N82" s="8" t="s">
        <v>150</v>
      </c>
      <c r="O82" s="8"/>
      <c r="P82" s="8"/>
      <c r="Q82" s="8"/>
      <c r="R82" s="8"/>
      <c r="S82" s="8"/>
      <c r="T82" s="8"/>
      <c r="U82" s="8"/>
      <c r="V82" s="8"/>
      <c r="W82" s="8" t="s">
        <v>1057</v>
      </c>
      <c r="X82" s="8">
        <v>9.1999999999999993</v>
      </c>
      <c r="Y82" s="8">
        <v>2.91</v>
      </c>
      <c r="Z82" s="9">
        <v>2.52</v>
      </c>
      <c r="AA82" s="8">
        <v>9.6999999999999993</v>
      </c>
      <c r="AB82" s="8">
        <v>29756</v>
      </c>
      <c r="AC82" s="21" t="s">
        <v>1057</v>
      </c>
      <c r="AD82" s="8" t="s">
        <v>3712</v>
      </c>
      <c r="AE82" s="8" t="s">
        <v>4083</v>
      </c>
      <c r="AF82" s="9">
        <f t="shared" si="16"/>
        <v>28.227</v>
      </c>
      <c r="AG82" s="9">
        <f t="shared" si="17"/>
        <v>27.806666666666665</v>
      </c>
      <c r="AH82" s="9">
        <f t="shared" si="18"/>
        <v>8.5909892036950056E-2</v>
      </c>
      <c r="AI82" s="9">
        <f t="shared" si="19"/>
        <v>7.3805095498004148E-3</v>
      </c>
      <c r="AJ82" s="9">
        <f t="shared" si="20"/>
        <v>7.714750311793224E-2</v>
      </c>
      <c r="AK82" s="9">
        <f t="shared" si="21"/>
        <v>5.951737237331365E-3</v>
      </c>
      <c r="AL82" s="9">
        <f t="shared" si="22"/>
        <v>0.10623898026880288</v>
      </c>
      <c r="AM82" s="9">
        <f t="shared" si="23"/>
        <v>1.1286720928555087E-2</v>
      </c>
      <c r="AN82" s="8" t="s">
        <v>1057</v>
      </c>
    </row>
    <row r="83" spans="13:40" ht="23">
      <c r="M83" s="8" t="s">
        <v>341</v>
      </c>
      <c r="N83" s="8" t="s">
        <v>150</v>
      </c>
      <c r="O83" s="8"/>
      <c r="P83" s="8" t="s">
        <v>3693</v>
      </c>
      <c r="Q83" s="8"/>
      <c r="R83" s="8"/>
      <c r="S83" s="8"/>
      <c r="T83" s="8"/>
      <c r="U83" s="8"/>
      <c r="V83" s="8"/>
      <c r="W83" s="8" t="s">
        <v>341</v>
      </c>
      <c r="X83" s="8">
        <v>27.39</v>
      </c>
      <c r="Y83" s="8">
        <v>4.83</v>
      </c>
      <c r="Z83" s="9">
        <v>3.49</v>
      </c>
      <c r="AA83" s="8">
        <v>9.4</v>
      </c>
      <c r="AB83" s="8">
        <v>9342</v>
      </c>
      <c r="AC83" s="21" t="s">
        <v>341</v>
      </c>
      <c r="AD83" s="8" t="s">
        <v>3712</v>
      </c>
      <c r="AE83" s="8" t="s">
        <v>4083</v>
      </c>
      <c r="AF83" s="9">
        <f t="shared" si="16"/>
        <v>45.402000000000001</v>
      </c>
      <c r="AG83" s="9">
        <f t="shared" si="17"/>
        <v>35.876666666666665</v>
      </c>
      <c r="AH83" s="9">
        <f t="shared" si="18"/>
        <v>8.3252885066735116E-2</v>
      </c>
      <c r="AI83" s="9">
        <f t="shared" si="19"/>
        <v>6.9310428719350069E-3</v>
      </c>
      <c r="AJ83" s="9">
        <f t="shared" si="20"/>
        <v>0.12408867171716299</v>
      </c>
      <c r="AK83" s="9">
        <f t="shared" si="21"/>
        <v>1.5397998448529846E-2</v>
      </c>
      <c r="AL83" s="9">
        <f t="shared" si="22"/>
        <v>0.13707146303441925</v>
      </c>
      <c r="AM83" s="9">
        <f t="shared" si="23"/>
        <v>1.8788585978396163E-2</v>
      </c>
      <c r="AN83" s="8" t="s">
        <v>341</v>
      </c>
    </row>
    <row r="84" spans="13:40" ht="23">
      <c r="M84" s="9" t="s">
        <v>2206</v>
      </c>
      <c r="N84" s="8" t="s">
        <v>150</v>
      </c>
      <c r="O84" s="8"/>
      <c r="P84" s="8" t="s">
        <v>3692</v>
      </c>
      <c r="Q84" s="8"/>
      <c r="R84" s="8"/>
      <c r="S84" s="8"/>
      <c r="T84" s="8"/>
      <c r="U84" s="8"/>
      <c r="V84" s="8"/>
      <c r="W84" s="9" t="s">
        <v>2206</v>
      </c>
      <c r="X84" s="8">
        <v>28.91</v>
      </c>
      <c r="Y84" s="8">
        <v>2.84</v>
      </c>
      <c r="Z84" s="9">
        <v>2.58</v>
      </c>
      <c r="AA84" s="8">
        <v>9.3000000000000007</v>
      </c>
      <c r="AB84" s="8">
        <v>17119</v>
      </c>
      <c r="AC84" s="22" t="s">
        <v>2206</v>
      </c>
      <c r="AD84" s="8" t="s">
        <v>3712</v>
      </c>
      <c r="AE84" s="8" t="s">
        <v>4083</v>
      </c>
      <c r="AF84" s="9">
        <f t="shared" si="16"/>
        <v>26.411999999999999</v>
      </c>
      <c r="AG84" s="9">
        <f t="shared" si="17"/>
        <v>27.590000000000003</v>
      </c>
      <c r="AH84" s="9">
        <f t="shared" si="18"/>
        <v>8.236721607666346E-2</v>
      </c>
      <c r="AI84" s="9">
        <f t="shared" si="19"/>
        <v>6.7843582842197674E-3</v>
      </c>
      <c r="AJ84" s="9">
        <f t="shared" si="20"/>
        <v>7.2186908008319214E-2</v>
      </c>
      <c r="AK84" s="9">
        <f t="shared" si="21"/>
        <v>5.2109496878015409E-3</v>
      </c>
      <c r="AL84" s="9">
        <f t="shared" si="22"/>
        <v>0.1054111771379623</v>
      </c>
      <c r="AM84" s="9">
        <f t="shared" si="23"/>
        <v>1.1111516265610867E-2</v>
      </c>
      <c r="AN84" s="9" t="s">
        <v>2206</v>
      </c>
    </row>
    <row r="85" spans="13:40" ht="23">
      <c r="M85" s="9" t="s">
        <v>2671</v>
      </c>
      <c r="N85" s="8" t="s">
        <v>150</v>
      </c>
      <c r="O85" s="8"/>
      <c r="P85" s="8" t="s">
        <v>3693</v>
      </c>
      <c r="Q85" s="8"/>
      <c r="R85" s="8"/>
      <c r="S85" s="8"/>
      <c r="T85" s="8"/>
      <c r="U85" s="8"/>
      <c r="V85" s="8"/>
      <c r="W85" s="9" t="s">
        <v>2671</v>
      </c>
      <c r="X85" s="8">
        <v>28.46</v>
      </c>
      <c r="Y85" s="8">
        <v>7.06</v>
      </c>
      <c r="Z85" s="9">
        <v>7.19</v>
      </c>
      <c r="AA85" s="8">
        <v>9</v>
      </c>
      <c r="AB85" s="8">
        <v>8393</v>
      </c>
      <c r="AC85" s="22" t="s">
        <v>2671</v>
      </c>
      <c r="AD85" s="8" t="s">
        <v>3712</v>
      </c>
      <c r="AE85" s="8" t="s">
        <v>4083</v>
      </c>
      <c r="AF85" s="9">
        <f t="shared" si="16"/>
        <v>63.54</v>
      </c>
      <c r="AG85" s="9">
        <f t="shared" si="17"/>
        <v>65.849999999999994</v>
      </c>
      <c r="AH85" s="9">
        <f t="shared" si="18"/>
        <v>7.9710209106448507E-2</v>
      </c>
      <c r="AI85" s="9">
        <f t="shared" si="19"/>
        <v>6.3537174357937466E-3</v>
      </c>
      <c r="AJ85" s="9">
        <f t="shared" si="20"/>
        <v>0.17366182549025452</v>
      </c>
      <c r="AK85" s="9">
        <f t="shared" si="21"/>
        <v>3.0158429632607616E-2</v>
      </c>
      <c r="AL85" s="9">
        <f t="shared" si="22"/>
        <v>0.25158847461162803</v>
      </c>
      <c r="AM85" s="9">
        <f t="shared" si="23"/>
        <v>6.329676055740581E-2</v>
      </c>
      <c r="AN85" s="9" t="s">
        <v>2671</v>
      </c>
    </row>
    <row r="86" spans="13:40" ht="23">
      <c r="M86" s="8" t="s">
        <v>1394</v>
      </c>
      <c r="N86" s="8" t="s">
        <v>150</v>
      </c>
      <c r="O86" s="8"/>
      <c r="P86" s="8"/>
      <c r="Q86" s="8"/>
      <c r="R86" s="8"/>
      <c r="S86" s="8"/>
      <c r="T86" s="8"/>
      <c r="U86" s="8"/>
      <c r="V86" s="8"/>
      <c r="W86" s="8" t="s">
        <v>1394</v>
      </c>
      <c r="X86" s="8">
        <v>13.3</v>
      </c>
      <c r="Y86" s="8">
        <v>3.98</v>
      </c>
      <c r="Z86" s="9">
        <v>0.46</v>
      </c>
      <c r="AA86" s="8">
        <v>8.8000000000000007</v>
      </c>
      <c r="AB86" s="8">
        <v>19264</v>
      </c>
      <c r="AC86" s="21" t="s">
        <v>1394</v>
      </c>
      <c r="AD86" s="8" t="s">
        <v>3712</v>
      </c>
      <c r="AE86" s="8" t="s">
        <v>4083</v>
      </c>
      <c r="AF86" s="9">
        <f t="shared" si="16"/>
        <v>35.024000000000001</v>
      </c>
      <c r="AG86" s="9">
        <f t="shared" si="17"/>
        <v>6.7466666666666679</v>
      </c>
      <c r="AH86" s="9">
        <f t="shared" si="18"/>
        <v>7.7938871126305209E-2</v>
      </c>
      <c r="AI86" s="9">
        <f t="shared" si="19"/>
        <v>6.0744676324428117E-3</v>
      </c>
      <c r="AJ86" s="9">
        <f t="shared" si="20"/>
        <v>9.5724453509138732E-2</v>
      </c>
      <c r="AK86" s="9">
        <f t="shared" si="21"/>
        <v>9.1631709996232626E-3</v>
      </c>
      <c r="AL86" s="9">
        <f t="shared" si="22"/>
        <v>2.5776515951097711E-2</v>
      </c>
      <c r="AM86" s="9">
        <f t="shared" si="23"/>
        <v>6.644287745771947E-4</v>
      </c>
      <c r="AN86" s="8" t="s">
        <v>1394</v>
      </c>
    </row>
    <row r="87" spans="13:40" ht="23">
      <c r="M87" s="8" t="s">
        <v>1531</v>
      </c>
      <c r="N87" s="8" t="s">
        <v>150</v>
      </c>
      <c r="O87" s="8"/>
      <c r="P87" s="8"/>
      <c r="Q87" s="8"/>
      <c r="R87" s="8"/>
      <c r="S87" s="8"/>
      <c r="T87" s="8"/>
      <c r="U87" s="8"/>
      <c r="V87" s="8"/>
      <c r="W87" s="8" t="s">
        <v>1531</v>
      </c>
      <c r="X87" s="8">
        <v>23.39</v>
      </c>
      <c r="Y87" s="8">
        <v>1.54</v>
      </c>
      <c r="Z87" s="9">
        <v>0.5</v>
      </c>
      <c r="AA87" s="8">
        <v>8.6999999999999993</v>
      </c>
      <c r="AB87" s="8">
        <v>39978</v>
      </c>
      <c r="AC87" s="21" t="s">
        <v>1531</v>
      </c>
      <c r="AD87" s="8" t="s">
        <v>3712</v>
      </c>
      <c r="AE87" s="8" t="s">
        <v>4083</v>
      </c>
      <c r="AF87" s="9">
        <f t="shared" si="16"/>
        <v>13.398</v>
      </c>
      <c r="AG87" s="9">
        <f t="shared" si="17"/>
        <v>7.2499999999999995E-2</v>
      </c>
      <c r="AH87" s="9">
        <f t="shared" si="18"/>
        <v>7.7053202136233553E-2</v>
      </c>
      <c r="AI87" s="9">
        <f t="shared" si="19"/>
        <v>5.9371959594472674E-3</v>
      </c>
      <c r="AJ87" s="9">
        <f t="shared" si="20"/>
        <v>3.6618211172779823E-2</v>
      </c>
      <c r="AK87" s="9">
        <f t="shared" si="21"/>
        <v>1.340893389494297E-3</v>
      </c>
      <c r="AL87" s="9">
        <f t="shared" si="22"/>
        <v>2.7699566301204299E-4</v>
      </c>
      <c r="AM87" s="9">
        <f t="shared" si="23"/>
        <v>7.6726597327481284E-8</v>
      </c>
      <c r="AN87" s="8" t="s">
        <v>1531</v>
      </c>
    </row>
    <row r="88" spans="13:40" ht="23">
      <c r="M88" s="8" t="s">
        <v>505</v>
      </c>
      <c r="N88" s="8" t="s">
        <v>150</v>
      </c>
      <c r="O88" s="8"/>
      <c r="P88" s="8" t="s">
        <v>3693</v>
      </c>
      <c r="Q88" s="8"/>
      <c r="R88" s="8"/>
      <c r="S88" s="8"/>
      <c r="T88" s="8"/>
      <c r="U88" s="8"/>
      <c r="V88" s="8"/>
      <c r="W88" s="8" t="s">
        <v>505</v>
      </c>
      <c r="X88" s="8">
        <v>27.93</v>
      </c>
      <c r="Y88" s="8">
        <v>5.7</v>
      </c>
      <c r="Z88" s="9">
        <v>4.24</v>
      </c>
      <c r="AA88" s="8">
        <v>8.5</v>
      </c>
      <c r="AB88" s="8">
        <v>9700</v>
      </c>
      <c r="AC88" s="21" t="s">
        <v>505</v>
      </c>
      <c r="AD88" s="8" t="s">
        <v>3712</v>
      </c>
      <c r="AE88" s="8" t="s">
        <v>4083</v>
      </c>
      <c r="AF88" s="9">
        <f t="shared" si="16"/>
        <v>48.45</v>
      </c>
      <c r="AG88" s="9">
        <f t="shared" si="17"/>
        <v>37.400000000000006</v>
      </c>
      <c r="AH88" s="9">
        <f t="shared" si="18"/>
        <v>7.5281864156090256E-2</v>
      </c>
      <c r="AI88" s="9">
        <f t="shared" si="19"/>
        <v>5.6673590708160269E-3</v>
      </c>
      <c r="AJ88" s="9">
        <f t="shared" si="20"/>
        <v>0.13241919176900901</v>
      </c>
      <c r="AK88" s="9">
        <f t="shared" si="21"/>
        <v>1.7534842348757584E-2</v>
      </c>
      <c r="AL88" s="9">
        <f t="shared" si="22"/>
        <v>0.14289155581586774</v>
      </c>
      <c r="AM88" s="9">
        <f t="shared" si="23"/>
        <v>2.0417996723479246E-2</v>
      </c>
      <c r="AN88" s="8" t="s">
        <v>505</v>
      </c>
    </row>
    <row r="89" spans="13:40" ht="23">
      <c r="M89" s="8" t="s">
        <v>1152</v>
      </c>
      <c r="N89" s="8" t="s">
        <v>150</v>
      </c>
      <c r="O89" s="8"/>
      <c r="P89" s="8" t="s">
        <v>3691</v>
      </c>
      <c r="Q89" s="8"/>
      <c r="R89" s="8"/>
      <c r="S89" s="8"/>
      <c r="T89" s="8"/>
      <c r="U89" s="8"/>
      <c r="V89" s="8"/>
      <c r="W89" s="8" t="s">
        <v>1152</v>
      </c>
      <c r="X89" s="8">
        <v>26.97</v>
      </c>
      <c r="Y89" s="8">
        <v>4.7300000000000004</v>
      </c>
      <c r="Z89" s="9">
        <v>3.01</v>
      </c>
      <c r="AA89" s="8">
        <v>8.5</v>
      </c>
      <c r="AB89" s="8">
        <v>14838</v>
      </c>
      <c r="AC89" s="21" t="s">
        <v>1152</v>
      </c>
      <c r="AD89" s="8" t="s">
        <v>3712</v>
      </c>
      <c r="AE89" s="8" t="s">
        <v>4083</v>
      </c>
      <c r="AF89" s="9">
        <f t="shared" si="16"/>
        <v>40.205000000000005</v>
      </c>
      <c r="AG89" s="9">
        <f t="shared" si="17"/>
        <v>25.641666666666666</v>
      </c>
      <c r="AH89" s="9">
        <f t="shared" si="18"/>
        <v>7.5281864156090256E-2</v>
      </c>
      <c r="AI89" s="9">
        <f t="shared" si="19"/>
        <v>5.6673590708160269E-3</v>
      </c>
      <c r="AJ89" s="9">
        <f t="shared" si="20"/>
        <v>0.10988469773112503</v>
      </c>
      <c r="AK89" s="9">
        <f t="shared" si="21"/>
        <v>1.2074646795460713E-2</v>
      </c>
      <c r="AL89" s="9">
        <f t="shared" si="22"/>
        <v>9.7967316676788083E-2</v>
      </c>
      <c r="AM89" s="9">
        <f t="shared" si="23"/>
        <v>9.5975951368500803E-3</v>
      </c>
      <c r="AN89" s="8" t="s">
        <v>1152</v>
      </c>
    </row>
    <row r="90" spans="13:40" ht="23">
      <c r="M90" s="8" t="s">
        <v>1317</v>
      </c>
      <c r="N90" s="8" t="s">
        <v>150</v>
      </c>
      <c r="O90" s="8"/>
      <c r="P90" s="8" t="s">
        <v>3692</v>
      </c>
      <c r="Q90" s="8"/>
      <c r="R90" s="8"/>
      <c r="S90" s="8"/>
      <c r="T90" s="8"/>
      <c r="U90" s="8"/>
      <c r="V90" s="8"/>
      <c r="W90" s="8" t="s">
        <v>1317</v>
      </c>
      <c r="X90" s="8">
        <v>26.27</v>
      </c>
      <c r="Y90" s="8">
        <v>10.88</v>
      </c>
      <c r="Z90" s="9">
        <v>12.33</v>
      </c>
      <c r="AA90" s="8">
        <v>7.8</v>
      </c>
      <c r="AB90" s="8">
        <v>11599</v>
      </c>
      <c r="AC90" s="21" t="s">
        <v>1317</v>
      </c>
      <c r="AD90" s="8" t="s">
        <v>3712</v>
      </c>
      <c r="AE90" s="8" t="s">
        <v>4083</v>
      </c>
      <c r="AF90" s="9">
        <f t="shared" si="16"/>
        <v>84.864000000000004</v>
      </c>
      <c r="AG90" s="9">
        <f t="shared" si="17"/>
        <v>97.89</v>
      </c>
      <c r="AH90" s="9">
        <f t="shared" si="18"/>
        <v>6.9082181225588707E-2</v>
      </c>
      <c r="AI90" s="9">
        <f t="shared" si="19"/>
        <v>4.7723477628850812E-3</v>
      </c>
      <c r="AJ90" s="9">
        <f t="shared" si="20"/>
        <v>0.2319426685301379</v>
      </c>
      <c r="AK90" s="9">
        <f t="shared" si="21"/>
        <v>5.3797401484881421E-2</v>
      </c>
      <c r="AL90" s="9">
        <f t="shared" si="22"/>
        <v>0.37400145451377781</v>
      </c>
      <c r="AM90" s="9">
        <f t="shared" si="23"/>
        <v>0.13987708797842141</v>
      </c>
      <c r="AN90" s="8" t="s">
        <v>1317</v>
      </c>
    </row>
    <row r="91" spans="13:40" ht="23">
      <c r="M91" s="9" t="s">
        <v>2455</v>
      </c>
      <c r="N91" s="8" t="s">
        <v>150</v>
      </c>
      <c r="O91" s="8"/>
      <c r="P91" s="8" t="s">
        <v>3691</v>
      </c>
      <c r="Q91" s="8"/>
      <c r="R91" s="8"/>
      <c r="S91" s="8"/>
      <c r="T91" s="8"/>
      <c r="U91" s="8"/>
      <c r="V91" s="8"/>
      <c r="W91" s="9" t="s">
        <v>2455</v>
      </c>
      <c r="X91" s="8">
        <v>18.010000000000002</v>
      </c>
      <c r="Y91" s="8">
        <v>8.4700000000000006</v>
      </c>
      <c r="Z91" s="9">
        <v>7.06</v>
      </c>
      <c r="AA91" s="8">
        <v>7.8</v>
      </c>
      <c r="AB91" s="8">
        <v>9068</v>
      </c>
      <c r="AC91" s="22" t="s">
        <v>2455</v>
      </c>
      <c r="AD91" s="8" t="s">
        <v>4497</v>
      </c>
      <c r="AE91" s="8" t="s">
        <v>4083</v>
      </c>
      <c r="AF91" s="9">
        <f t="shared" si="16"/>
        <v>66.066000000000003</v>
      </c>
      <c r="AG91" s="9">
        <f t="shared" si="17"/>
        <v>55.379999999999995</v>
      </c>
      <c r="AH91" s="9">
        <f t="shared" si="18"/>
        <v>6.9082181225588707E-2</v>
      </c>
      <c r="AI91" s="9">
        <f t="shared" si="19"/>
        <v>4.7723477628850812E-3</v>
      </c>
      <c r="AJ91" s="9">
        <f t="shared" si="20"/>
        <v>0.18056566198991431</v>
      </c>
      <c r="AK91" s="9">
        <f t="shared" si="21"/>
        <v>3.2603958289855982E-2</v>
      </c>
      <c r="AL91" s="9">
        <f t="shared" si="22"/>
        <v>0.21158648024285437</v>
      </c>
      <c r="AM91" s="9">
        <f t="shared" si="23"/>
        <v>4.4768838621559802E-2</v>
      </c>
      <c r="AN91" s="9" t="s">
        <v>2455</v>
      </c>
    </row>
    <row r="92" spans="13:40" ht="23">
      <c r="M92" s="9" t="s">
        <v>3280</v>
      </c>
      <c r="N92" s="8" t="s">
        <v>1939</v>
      </c>
      <c r="O92" s="8"/>
      <c r="P92" s="8"/>
      <c r="Q92" s="8"/>
      <c r="R92" s="8"/>
      <c r="S92" s="8"/>
      <c r="T92" s="8"/>
      <c r="U92" s="8"/>
      <c r="V92" s="8"/>
      <c r="W92" s="9" t="s">
        <v>3280</v>
      </c>
      <c r="X92" s="8">
        <v>18.04</v>
      </c>
      <c r="Y92" s="8">
        <v>2.82</v>
      </c>
      <c r="Z92" s="9">
        <v>2.2599999999999998</v>
      </c>
      <c r="AA92" s="8">
        <v>7</v>
      </c>
      <c r="AB92" s="8">
        <v>23973</v>
      </c>
      <c r="AC92" s="22" t="s">
        <v>3280</v>
      </c>
      <c r="AD92" s="8" t="s">
        <v>3712</v>
      </c>
      <c r="AE92" s="8" t="s">
        <v>4083</v>
      </c>
      <c r="AF92" s="9">
        <f t="shared" si="16"/>
        <v>19.739999999999998</v>
      </c>
      <c r="AG92" s="9">
        <f t="shared" si="17"/>
        <v>17.033333333333335</v>
      </c>
      <c r="AH92" s="9">
        <f t="shared" si="18"/>
        <v>6.1996829305015502E-2</v>
      </c>
      <c r="AI92" s="9">
        <f t="shared" si="19"/>
        <v>3.8436068438752291E-3</v>
      </c>
      <c r="AJ92" s="9">
        <f t="shared" si="20"/>
        <v>5.3951596398766517E-2</v>
      </c>
      <c r="AK92" s="9">
        <f t="shared" si="21"/>
        <v>2.9107747539753961E-3</v>
      </c>
      <c r="AL92" s="9">
        <f t="shared" si="22"/>
        <v>6.5078061516852415E-2</v>
      </c>
      <c r="AM92" s="9">
        <f t="shared" si="23"/>
        <v>4.2351540907912275E-3</v>
      </c>
      <c r="AN92" s="9" t="s">
        <v>3280</v>
      </c>
    </row>
    <row r="93" spans="13:40" ht="23">
      <c r="M93" s="8" t="s">
        <v>296</v>
      </c>
      <c r="N93" s="8" t="s">
        <v>150</v>
      </c>
      <c r="O93" s="8"/>
      <c r="P93" s="8"/>
      <c r="Q93" s="8"/>
      <c r="R93" s="8"/>
      <c r="S93" s="8"/>
      <c r="T93" s="8"/>
      <c r="U93" s="8"/>
      <c r="V93" s="8"/>
      <c r="W93" s="8" t="s">
        <v>296</v>
      </c>
      <c r="X93" s="8">
        <v>40.590000000000003</v>
      </c>
      <c r="Y93" s="8">
        <v>2.91</v>
      </c>
      <c r="Z93" s="9">
        <v>3.09</v>
      </c>
      <c r="AA93" s="8">
        <v>6.8</v>
      </c>
      <c r="AB93" s="8">
        <v>14173</v>
      </c>
      <c r="AC93" s="21" t="s">
        <v>296</v>
      </c>
      <c r="AD93" s="8" t="s">
        <v>4497</v>
      </c>
      <c r="AE93" s="8" t="s">
        <v>4083</v>
      </c>
      <c r="AF93" s="9">
        <f t="shared" si="16"/>
        <v>19.788</v>
      </c>
      <c r="AG93" s="9">
        <f t="shared" si="17"/>
        <v>21.419999999999998</v>
      </c>
      <c r="AH93" s="9">
        <f t="shared" si="18"/>
        <v>6.0225491324872205E-2</v>
      </c>
      <c r="AI93" s="9">
        <f t="shared" si="19"/>
        <v>3.6271098053222571E-3</v>
      </c>
      <c r="AJ93" s="9">
        <f t="shared" si="20"/>
        <v>5.4082785690921571E-2</v>
      </c>
      <c r="AK93" s="9">
        <f t="shared" si="21"/>
        <v>2.924947708090151E-3</v>
      </c>
      <c r="AL93" s="9">
        <f t="shared" si="22"/>
        <v>8.1837891058178777E-2</v>
      </c>
      <c r="AM93" s="9">
        <f t="shared" si="23"/>
        <v>6.6974404128503379E-3</v>
      </c>
      <c r="AN93" s="8" t="s">
        <v>296</v>
      </c>
    </row>
    <row r="94" spans="13:40" ht="23">
      <c r="M94" s="8" t="s">
        <v>1597</v>
      </c>
      <c r="N94" s="8" t="s">
        <v>150</v>
      </c>
      <c r="O94" s="8"/>
      <c r="P94" s="8" t="s">
        <v>3691</v>
      </c>
      <c r="Q94" s="8"/>
      <c r="R94" s="8"/>
      <c r="S94" s="8"/>
      <c r="T94" s="8"/>
      <c r="U94" s="8"/>
      <c r="V94" s="8"/>
      <c r="W94" s="8" t="s">
        <v>1597</v>
      </c>
      <c r="X94" s="8">
        <v>19.350000000000001</v>
      </c>
      <c r="Y94" s="8">
        <v>7.72</v>
      </c>
      <c r="Z94" s="9">
        <v>5.59</v>
      </c>
      <c r="AA94" s="8">
        <v>6.5</v>
      </c>
      <c r="AB94" s="8">
        <v>10752</v>
      </c>
      <c r="AC94" s="21" t="s">
        <v>1597</v>
      </c>
      <c r="AD94" s="8" t="s">
        <v>4497</v>
      </c>
      <c r="AE94" s="8" t="s">
        <v>4083</v>
      </c>
      <c r="AF94" s="9">
        <f t="shared" si="16"/>
        <v>50.18</v>
      </c>
      <c r="AG94" s="9">
        <f t="shared" si="17"/>
        <v>38.891666666666666</v>
      </c>
      <c r="AH94" s="9">
        <f t="shared" si="18"/>
        <v>5.7568484354657258E-2</v>
      </c>
      <c r="AI94" s="9">
        <f t="shared" si="19"/>
        <v>3.3141303908924176E-3</v>
      </c>
      <c r="AJ94" s="9">
        <f t="shared" si="20"/>
        <v>0.13714747250709744</v>
      </c>
      <c r="AK94" s="9">
        <f t="shared" si="21"/>
        <v>1.880942921508505E-2</v>
      </c>
      <c r="AL94" s="9">
        <f t="shared" si="22"/>
        <v>0.14859066198588561</v>
      </c>
      <c r="AM94" s="9">
        <f t="shared" si="23"/>
        <v>2.2079184829403711E-2</v>
      </c>
      <c r="AN94" s="8" t="s">
        <v>1597</v>
      </c>
    </row>
    <row r="95" spans="13:40" ht="23">
      <c r="M95" s="9" t="s">
        <v>2836</v>
      </c>
      <c r="N95" s="8" t="s">
        <v>1614</v>
      </c>
      <c r="O95" s="8"/>
      <c r="P95" s="8"/>
      <c r="Q95" s="8"/>
      <c r="R95" s="8"/>
      <c r="S95" s="8"/>
      <c r="T95" s="8"/>
      <c r="U95" s="8"/>
      <c r="V95" s="8"/>
      <c r="W95" s="9" t="s">
        <v>2836</v>
      </c>
      <c r="X95" s="8">
        <v>23.05</v>
      </c>
      <c r="Y95" s="8">
        <v>2.63</v>
      </c>
      <c r="Z95" s="9">
        <v>1.2</v>
      </c>
      <c r="AA95" s="8">
        <v>6.4</v>
      </c>
      <c r="AB95" s="8">
        <v>29742</v>
      </c>
      <c r="AC95" s="22" t="s">
        <v>2836</v>
      </c>
      <c r="AD95" s="8" t="s">
        <v>3712</v>
      </c>
      <c r="AE95" s="8" t="s">
        <v>4083</v>
      </c>
      <c r="AF95" s="9">
        <f t="shared" si="16"/>
        <v>16.832000000000001</v>
      </c>
      <c r="AG95" s="9">
        <f t="shared" si="17"/>
        <v>6.421333333333334</v>
      </c>
      <c r="AH95" s="9">
        <f t="shared" si="18"/>
        <v>5.6682815364585602E-2</v>
      </c>
      <c r="AI95" s="9">
        <f t="shared" si="19"/>
        <v>3.2129415576557015E-3</v>
      </c>
      <c r="AJ95" s="9">
        <f t="shared" si="20"/>
        <v>4.6003711782372746E-2</v>
      </c>
      <c r="AK95" s="9">
        <f t="shared" si="21"/>
        <v>2.1163414977556209E-3</v>
      </c>
      <c r="AL95" s="9">
        <f t="shared" si="22"/>
        <v>2.4533537711558605E-2</v>
      </c>
      <c r="AM95" s="9">
        <f t="shared" si="23"/>
        <v>6.0189447264446822E-4</v>
      </c>
      <c r="AN95" s="9" t="s">
        <v>2836</v>
      </c>
    </row>
    <row r="96" spans="13:40" ht="23">
      <c r="M96" s="9" t="s">
        <v>2896</v>
      </c>
      <c r="N96" s="8" t="s">
        <v>1717</v>
      </c>
      <c r="O96" s="8"/>
      <c r="P96" s="8"/>
      <c r="Q96" s="8"/>
      <c r="R96" s="8"/>
      <c r="S96" s="8"/>
      <c r="T96" s="8"/>
      <c r="U96" s="8"/>
      <c r="V96" s="8"/>
      <c r="W96" s="9" t="s">
        <v>2896</v>
      </c>
      <c r="X96" s="8">
        <v>37.869999999999997</v>
      </c>
      <c r="Y96" s="8">
        <v>2.68</v>
      </c>
      <c r="Z96" s="9">
        <v>2.04</v>
      </c>
      <c r="AA96" s="8">
        <v>6.3</v>
      </c>
      <c r="AB96" s="8">
        <v>21514</v>
      </c>
      <c r="AC96" s="22" t="s">
        <v>2896</v>
      </c>
      <c r="AD96" s="8" t="s">
        <v>3712</v>
      </c>
      <c r="AE96" s="8" t="s">
        <v>4083</v>
      </c>
      <c r="AF96" s="9">
        <f t="shared" si="16"/>
        <v>16.884</v>
      </c>
      <c r="AG96" s="9">
        <f t="shared" si="17"/>
        <v>13.020000000000001</v>
      </c>
      <c r="AH96" s="9">
        <f t="shared" si="18"/>
        <v>5.5797146374513953E-2</v>
      </c>
      <c r="AI96" s="9">
        <f t="shared" si="19"/>
        <v>3.1133215435389357E-3</v>
      </c>
      <c r="AJ96" s="9">
        <f t="shared" si="20"/>
        <v>4.6145833515540718E-2</v>
      </c>
      <c r="AK96" s="9">
        <f t="shared" si="21"/>
        <v>2.1294379508440013E-3</v>
      </c>
      <c r="AL96" s="9">
        <f t="shared" si="22"/>
        <v>4.9744600447128286E-2</v>
      </c>
      <c r="AM96" s="9">
        <f t="shared" si="23"/>
        <v>2.4745252736444357E-3</v>
      </c>
      <c r="AN96" s="9" t="s">
        <v>2896</v>
      </c>
    </row>
    <row r="97" spans="13:40" ht="23">
      <c r="M97" s="8" t="s">
        <v>1038</v>
      </c>
      <c r="N97" s="8" t="s">
        <v>150</v>
      </c>
      <c r="O97" s="8"/>
      <c r="P97" s="8" t="s">
        <v>3693</v>
      </c>
      <c r="Q97" s="8"/>
      <c r="R97" s="8"/>
      <c r="S97" s="8"/>
      <c r="T97" s="8"/>
      <c r="U97" s="8"/>
      <c r="V97" s="8"/>
      <c r="W97" s="8" t="s">
        <v>1038</v>
      </c>
      <c r="X97" s="8">
        <v>21.27</v>
      </c>
      <c r="Y97" s="8">
        <v>9.24</v>
      </c>
      <c r="Z97" s="9">
        <v>5.32</v>
      </c>
      <c r="AA97" s="8">
        <v>6.2</v>
      </c>
      <c r="AB97" s="8">
        <v>10255</v>
      </c>
      <c r="AC97" s="21" t="s">
        <v>1038</v>
      </c>
      <c r="AD97" s="8" t="s">
        <v>3712</v>
      </c>
      <c r="AE97" s="8" t="s">
        <v>4083</v>
      </c>
      <c r="AF97" s="9">
        <f t="shared" si="16"/>
        <v>57.288000000000004</v>
      </c>
      <c r="AG97" s="9">
        <f t="shared" si="17"/>
        <v>34.306666666666665</v>
      </c>
      <c r="AH97" s="9">
        <f t="shared" si="18"/>
        <v>5.4911477384442305E-2</v>
      </c>
      <c r="AI97" s="9">
        <f t="shared" si="19"/>
        <v>3.0152703485421188E-3</v>
      </c>
      <c r="AJ97" s="9">
        <f t="shared" si="20"/>
        <v>0.15657442018705858</v>
      </c>
      <c r="AK97" s="9">
        <f t="shared" si="21"/>
        <v>2.4515549056913579E-2</v>
      </c>
      <c r="AL97" s="9">
        <f t="shared" si="22"/>
        <v>0.13107307419402053</v>
      </c>
      <c r="AM97" s="9">
        <f t="shared" si="23"/>
        <v>1.7180150778671213E-2</v>
      </c>
      <c r="AN97" s="8" t="s">
        <v>1038</v>
      </c>
    </row>
    <row r="98" spans="13:40" ht="23">
      <c r="M98" s="9" t="s">
        <v>3384</v>
      </c>
      <c r="N98" s="8" t="s">
        <v>1990</v>
      </c>
      <c r="O98" s="8"/>
      <c r="P98" s="8" t="s">
        <v>3692</v>
      </c>
      <c r="Q98" s="8"/>
      <c r="R98" s="8"/>
      <c r="S98" s="8"/>
      <c r="T98" s="8"/>
      <c r="U98" s="8"/>
      <c r="V98" s="8"/>
      <c r="W98" s="9" t="s">
        <v>3384</v>
      </c>
      <c r="X98" s="8">
        <v>46.67</v>
      </c>
      <c r="Y98" s="8">
        <v>1.79</v>
      </c>
      <c r="Z98" s="9">
        <v>1.34</v>
      </c>
      <c r="AA98" s="8">
        <v>6.1</v>
      </c>
      <c r="AB98" s="8">
        <v>30201</v>
      </c>
      <c r="AC98" s="22" t="s">
        <v>3384</v>
      </c>
      <c r="AD98" s="8" t="s">
        <v>3712</v>
      </c>
      <c r="AE98" s="8" t="s">
        <v>4083</v>
      </c>
      <c r="AF98" s="9">
        <f t="shared" ref="AF98:AF129" si="24">(AA98*Y98)</f>
        <v>10.918999999999999</v>
      </c>
      <c r="AG98" s="9">
        <f t="shared" ref="AG98:AG129" si="25">((((RIGHT(Z98,2))/60)+(LEFT(Z98,2)))*AA98)</f>
        <v>9.5566666666666666</v>
      </c>
      <c r="AH98" s="9">
        <f t="shared" ref="AH98:AH129" si="26">(AA98/$AA$181)*100</f>
        <v>5.4025808394370656E-2</v>
      </c>
      <c r="AI98" s="9">
        <f t="shared" ref="AI98:AI129" si="27">(AH98*AH98)</f>
        <v>2.9187879726652508E-3</v>
      </c>
      <c r="AJ98" s="9">
        <f t="shared" ref="AJ98:AJ129" si="28">(AF98/$AF$181)*100</f>
        <v>2.9842830855021856E-2</v>
      </c>
      <c r="AK98" s="9">
        <f t="shared" ref="AK98:AK129" si="29">(AJ98*AJ98)</f>
        <v>8.9059455344144456E-4</v>
      </c>
      <c r="AL98" s="9">
        <f t="shared" ref="AL98:AL129" si="30">(AG98/$AG$181)*100</f>
        <v>3.6512485786461026E-2</v>
      </c>
      <c r="AM98" s="9">
        <f t="shared" ref="AM98:AM129" si="31">(AL98*AL98)</f>
        <v>1.3331616183065184E-3</v>
      </c>
      <c r="AN98" s="9" t="s">
        <v>3384</v>
      </c>
    </row>
    <row r="99" spans="13:40" ht="23">
      <c r="M99" s="8" t="s">
        <v>34</v>
      </c>
      <c r="N99" s="8" t="s">
        <v>24</v>
      </c>
      <c r="O99" s="8"/>
      <c r="P99" s="8"/>
      <c r="Q99" s="8"/>
      <c r="R99" s="8"/>
      <c r="S99" s="8"/>
      <c r="T99" s="8"/>
      <c r="U99" s="8"/>
      <c r="V99" s="8"/>
      <c r="W99" s="8" t="s">
        <v>34</v>
      </c>
      <c r="X99" s="8">
        <v>56.79</v>
      </c>
      <c r="Y99" s="8">
        <v>1.92</v>
      </c>
      <c r="Z99" s="9">
        <v>1.33</v>
      </c>
      <c r="AA99" s="8">
        <v>5.9</v>
      </c>
      <c r="AB99" s="8">
        <v>21205</v>
      </c>
      <c r="AC99" s="21" t="s">
        <v>34</v>
      </c>
      <c r="AD99" s="8" t="s">
        <v>3712</v>
      </c>
      <c r="AE99" s="8" t="s">
        <v>4083</v>
      </c>
      <c r="AF99" s="9">
        <f t="shared" si="24"/>
        <v>11.327999999999999</v>
      </c>
      <c r="AG99" s="9">
        <f t="shared" si="25"/>
        <v>9.1450000000000014</v>
      </c>
      <c r="AH99" s="9">
        <f t="shared" si="26"/>
        <v>5.2254470414227358E-2</v>
      </c>
      <c r="AI99" s="9">
        <f t="shared" si="27"/>
        <v>2.7305296782713625E-3</v>
      </c>
      <c r="AJ99" s="9">
        <f t="shared" si="28"/>
        <v>3.0960672948593063E-2</v>
      </c>
      <c r="AK99" s="9">
        <f t="shared" si="29"/>
        <v>9.5856326942974225E-4</v>
      </c>
      <c r="AL99" s="9">
        <f t="shared" si="30"/>
        <v>3.4939659837863915E-2</v>
      </c>
      <c r="AM99" s="9">
        <f t="shared" si="31"/>
        <v>1.2207798295856406E-3</v>
      </c>
      <c r="AN99" s="8" t="s">
        <v>34</v>
      </c>
    </row>
    <row r="100" spans="13:40" ht="23">
      <c r="M100" s="8" t="s">
        <v>569</v>
      </c>
      <c r="N100" s="8" t="s">
        <v>150</v>
      </c>
      <c r="O100" s="8"/>
      <c r="P100" s="8"/>
      <c r="Q100" s="8"/>
      <c r="R100" s="8"/>
      <c r="S100" s="8"/>
      <c r="T100" s="8"/>
      <c r="U100" s="8"/>
      <c r="V100" s="8"/>
      <c r="W100" s="8" t="s">
        <v>569</v>
      </c>
      <c r="X100" s="8">
        <v>19.850000000000001</v>
      </c>
      <c r="Y100" s="8">
        <v>10.26</v>
      </c>
      <c r="Z100" s="9">
        <v>16.54</v>
      </c>
      <c r="AA100" s="8">
        <v>5.2</v>
      </c>
      <c r="AB100" s="8">
        <v>12108</v>
      </c>
      <c r="AC100" s="21" t="s">
        <v>569</v>
      </c>
      <c r="AD100" s="8" t="s">
        <v>3712</v>
      </c>
      <c r="AE100" s="8" t="s">
        <v>4083</v>
      </c>
      <c r="AF100" s="9">
        <f t="shared" si="24"/>
        <v>53.352000000000004</v>
      </c>
      <c r="AG100" s="9">
        <f t="shared" si="25"/>
        <v>87.88</v>
      </c>
      <c r="AH100" s="9">
        <f t="shared" si="26"/>
        <v>4.6054787483725802E-2</v>
      </c>
      <c r="AI100" s="9">
        <f t="shared" si="27"/>
        <v>2.1210434501711469E-3</v>
      </c>
      <c r="AJ100" s="9">
        <f t="shared" si="28"/>
        <v>0.14581689823034402</v>
      </c>
      <c r="AK100" s="9">
        <f t="shared" si="29"/>
        <v>2.1262567809518504E-2</v>
      </c>
      <c r="AL100" s="9">
        <f t="shared" si="30"/>
        <v>0.33575694986894261</v>
      </c>
      <c r="AM100" s="9">
        <f t="shared" si="31"/>
        <v>0.11273272938529565</v>
      </c>
      <c r="AN100" s="8" t="s">
        <v>569</v>
      </c>
    </row>
    <row r="101" spans="13:40" ht="23">
      <c r="M101" s="8" t="s">
        <v>324</v>
      </c>
      <c r="N101" s="8" t="s">
        <v>150</v>
      </c>
      <c r="O101" s="8"/>
      <c r="P101" s="8" t="s">
        <v>3691</v>
      </c>
      <c r="Q101" s="8"/>
      <c r="R101" s="8"/>
      <c r="S101" s="8"/>
      <c r="T101" s="8"/>
      <c r="U101" s="8"/>
      <c r="V101" s="8"/>
      <c r="W101" s="8" t="s">
        <v>324</v>
      </c>
      <c r="X101" s="8">
        <v>23.68</v>
      </c>
      <c r="Y101" s="8">
        <v>7.48</v>
      </c>
      <c r="Z101" s="9">
        <v>4.3899999999999997</v>
      </c>
      <c r="AA101" s="8">
        <v>5.2</v>
      </c>
      <c r="AB101" s="8">
        <v>15450</v>
      </c>
      <c r="AC101" s="21" t="s">
        <v>324</v>
      </c>
      <c r="AD101" s="8" t="s">
        <v>4497</v>
      </c>
      <c r="AE101" s="8" t="s">
        <v>4083</v>
      </c>
      <c r="AF101" s="9">
        <f t="shared" si="24"/>
        <v>38.896000000000001</v>
      </c>
      <c r="AG101" s="9">
        <f t="shared" si="25"/>
        <v>24.180000000000003</v>
      </c>
      <c r="AH101" s="9">
        <f t="shared" si="26"/>
        <v>4.6054787483725802E-2</v>
      </c>
      <c r="AI101" s="9">
        <f t="shared" si="27"/>
        <v>2.1210434501711469E-3</v>
      </c>
      <c r="AJ101" s="9">
        <f t="shared" si="28"/>
        <v>0.10630705640964652</v>
      </c>
      <c r="AK101" s="9">
        <f t="shared" si="29"/>
        <v>1.1301190242483768E-2</v>
      </c>
      <c r="AL101" s="9">
        <f t="shared" si="30"/>
        <v>9.2382829401809669E-2</v>
      </c>
      <c r="AM101" s="9">
        <f t="shared" si="31"/>
        <v>8.5345871682838692E-3</v>
      </c>
      <c r="AN101" s="8" t="s">
        <v>324</v>
      </c>
    </row>
    <row r="102" spans="13:40" ht="23">
      <c r="M102" s="9" t="s">
        <v>3393</v>
      </c>
      <c r="N102" s="8" t="s">
        <v>1990</v>
      </c>
      <c r="O102" s="8"/>
      <c r="P102" s="8"/>
      <c r="Q102" s="8"/>
      <c r="R102" s="8"/>
      <c r="S102" s="8"/>
      <c r="T102" s="8"/>
      <c r="U102" s="8"/>
      <c r="V102" s="8"/>
      <c r="W102" s="9" t="s">
        <v>3393</v>
      </c>
      <c r="X102" s="8">
        <v>46.65</v>
      </c>
      <c r="Y102" s="8">
        <v>1.1299999999999999</v>
      </c>
      <c r="Z102" s="9">
        <v>1.1000000000000001</v>
      </c>
      <c r="AA102" s="8">
        <v>5.2</v>
      </c>
      <c r="AB102" s="8">
        <v>104997</v>
      </c>
      <c r="AC102" s="22" t="s">
        <v>3393</v>
      </c>
      <c r="AD102" s="8" t="s">
        <v>3712</v>
      </c>
      <c r="AE102" s="8" t="s">
        <v>4083</v>
      </c>
      <c r="AF102" s="9">
        <f t="shared" si="24"/>
        <v>5.8759999999999994</v>
      </c>
      <c r="AG102" s="9">
        <f t="shared" si="25"/>
        <v>5.2086666666666668</v>
      </c>
      <c r="AH102" s="9">
        <f t="shared" si="26"/>
        <v>4.6054787483725802E-2</v>
      </c>
      <c r="AI102" s="9">
        <f t="shared" si="27"/>
        <v>2.1210434501711469E-3</v>
      </c>
      <c r="AJ102" s="9">
        <f t="shared" si="28"/>
        <v>1.6059755847981361E-2</v>
      </c>
      <c r="AK102" s="9">
        <f t="shared" si="29"/>
        <v>2.5791575789677149E-4</v>
      </c>
      <c r="AL102" s="9">
        <f t="shared" si="30"/>
        <v>1.9900387265407743E-2</v>
      </c>
      <c r="AM102" s="9">
        <f t="shared" si="31"/>
        <v>3.9602541331320266E-4</v>
      </c>
      <c r="AN102" s="9" t="s">
        <v>3393</v>
      </c>
    </row>
    <row r="103" spans="13:40" ht="23">
      <c r="M103" s="9" t="s">
        <v>2601</v>
      </c>
      <c r="N103" s="8" t="s">
        <v>150</v>
      </c>
      <c r="O103" s="8"/>
      <c r="P103" s="8" t="s">
        <v>3691</v>
      </c>
      <c r="Q103" s="8"/>
      <c r="R103" s="8"/>
      <c r="S103" s="8"/>
      <c r="T103" s="8"/>
      <c r="U103" s="8"/>
      <c r="V103" s="8"/>
      <c r="W103" s="9" t="s">
        <v>2601</v>
      </c>
      <c r="X103" s="8">
        <v>31.23</v>
      </c>
      <c r="Y103" s="8">
        <v>11.79</v>
      </c>
      <c r="Z103" s="9">
        <v>9.32</v>
      </c>
      <c r="AA103" s="8">
        <v>5</v>
      </c>
      <c r="AB103" s="8">
        <v>10290</v>
      </c>
      <c r="AC103" s="22" t="s">
        <v>2601</v>
      </c>
      <c r="AD103" s="8" t="s">
        <v>3712</v>
      </c>
      <c r="AE103" s="8" t="s">
        <v>4083</v>
      </c>
      <c r="AF103" s="9">
        <f t="shared" si="24"/>
        <v>58.949999999999996</v>
      </c>
      <c r="AG103" s="9">
        <f t="shared" si="25"/>
        <v>47.666666666666664</v>
      </c>
      <c r="AH103" s="9">
        <f t="shared" si="26"/>
        <v>4.4283449503582505E-2</v>
      </c>
      <c r="AI103" s="9">
        <f t="shared" si="27"/>
        <v>1.9610238999363417E-3</v>
      </c>
      <c r="AJ103" s="9">
        <f t="shared" si="28"/>
        <v>0.16111684942792734</v>
      </c>
      <c r="AK103" s="9">
        <f t="shared" si="29"/>
        <v>2.595863916958141E-2</v>
      </c>
      <c r="AL103" s="9">
        <f t="shared" si="30"/>
        <v>0.18211668878492943</v>
      </c>
      <c r="AM103" s="9">
        <f t="shared" si="31"/>
        <v>3.3166488333986839E-2</v>
      </c>
      <c r="AN103" s="9" t="s">
        <v>2601</v>
      </c>
    </row>
    <row r="104" spans="13:40" ht="23">
      <c r="M104" s="8" t="s">
        <v>94</v>
      </c>
      <c r="N104" s="8" t="s">
        <v>82</v>
      </c>
      <c r="O104" s="8"/>
      <c r="P104" s="8"/>
      <c r="Q104" s="8"/>
      <c r="R104" s="8"/>
      <c r="S104" s="8"/>
      <c r="T104" s="8"/>
      <c r="U104" s="8"/>
      <c r="V104" s="8"/>
      <c r="W104" s="8" t="s">
        <v>94</v>
      </c>
      <c r="X104" s="8">
        <v>25.39</v>
      </c>
      <c r="Y104" s="8">
        <v>2.5099999999999998</v>
      </c>
      <c r="Z104" s="9">
        <v>1.24</v>
      </c>
      <c r="AA104" s="8">
        <v>4.9000000000000004</v>
      </c>
      <c r="AB104" s="8">
        <v>26350</v>
      </c>
      <c r="AC104" s="21" t="s">
        <v>94</v>
      </c>
      <c r="AD104" s="8" t="s">
        <v>3712</v>
      </c>
      <c r="AE104" s="8" t="s">
        <v>4083</v>
      </c>
      <c r="AF104" s="9">
        <f t="shared" si="24"/>
        <v>12.298999999999999</v>
      </c>
      <c r="AG104" s="9">
        <f t="shared" si="25"/>
        <v>6.86</v>
      </c>
      <c r="AH104" s="9">
        <f t="shared" si="26"/>
        <v>4.3397780513510856E-2</v>
      </c>
      <c r="AI104" s="9">
        <f t="shared" si="27"/>
        <v>1.8833673534988625E-3</v>
      </c>
      <c r="AJ104" s="9">
        <f t="shared" si="28"/>
        <v>3.3614523004479709E-2</v>
      </c>
      <c r="AK104" s="9">
        <f t="shared" si="29"/>
        <v>1.1299361568186956E-3</v>
      </c>
      <c r="AL104" s="9">
        <f t="shared" si="30"/>
        <v>2.6209520665691245E-2</v>
      </c>
      <c r="AM104" s="9">
        <f t="shared" si="31"/>
        <v>6.869389735252964E-4</v>
      </c>
      <c r="AN104" s="8" t="s">
        <v>94</v>
      </c>
    </row>
    <row r="105" spans="13:40" ht="23">
      <c r="M105" s="9" t="s">
        <v>2459</v>
      </c>
      <c r="N105" s="8" t="s">
        <v>150</v>
      </c>
      <c r="O105" s="8"/>
      <c r="P105" s="8"/>
      <c r="Q105" s="8"/>
      <c r="R105" s="8"/>
      <c r="S105" s="8"/>
      <c r="T105" s="8"/>
      <c r="U105" s="8"/>
      <c r="V105" s="8"/>
      <c r="W105" s="9" t="s">
        <v>2459</v>
      </c>
      <c r="X105" s="8">
        <v>23.6</v>
      </c>
      <c r="Y105" s="8">
        <v>2.0299999999999998</v>
      </c>
      <c r="Z105" s="9">
        <v>1.5</v>
      </c>
      <c r="AA105" s="8">
        <v>4.7</v>
      </c>
      <c r="AB105" s="8">
        <v>25696</v>
      </c>
      <c r="AC105" s="22" t="s">
        <v>2459</v>
      </c>
      <c r="AD105" s="8" t="s">
        <v>3712</v>
      </c>
      <c r="AE105" s="8" t="s">
        <v>4083</v>
      </c>
      <c r="AF105" s="9">
        <f t="shared" si="24"/>
        <v>9.5409999999999986</v>
      </c>
      <c r="AG105" s="9">
        <f t="shared" si="25"/>
        <v>4.7391666666666667</v>
      </c>
      <c r="AH105" s="9">
        <f t="shared" si="26"/>
        <v>4.1626442533367558E-2</v>
      </c>
      <c r="AI105" s="9">
        <f t="shared" si="27"/>
        <v>1.7327607179837517E-3</v>
      </c>
      <c r="AJ105" s="9">
        <f t="shared" si="28"/>
        <v>2.6076604926070477E-2</v>
      </c>
      <c r="AK105" s="9">
        <f t="shared" si="29"/>
        <v>6.7998932447036311E-4</v>
      </c>
      <c r="AL105" s="9">
        <f t="shared" si="30"/>
        <v>1.81066015580401E-2</v>
      </c>
      <c r="AM105" s="9">
        <f t="shared" si="31"/>
        <v>3.2784901998162016E-4</v>
      </c>
      <c r="AN105" s="9" t="s">
        <v>2459</v>
      </c>
    </row>
    <row r="106" spans="13:40" ht="23">
      <c r="M106" s="9" t="s">
        <v>2369</v>
      </c>
      <c r="N106" s="8" t="s">
        <v>150</v>
      </c>
      <c r="O106" s="8"/>
      <c r="P106" s="8" t="s">
        <v>3691</v>
      </c>
      <c r="Q106" s="8"/>
      <c r="R106" s="8"/>
      <c r="S106" s="8"/>
      <c r="T106" s="8"/>
      <c r="U106" s="8"/>
      <c r="V106" s="8"/>
      <c r="W106" s="9" t="s">
        <v>2369</v>
      </c>
      <c r="X106" s="8">
        <v>12.39</v>
      </c>
      <c r="Y106" s="8">
        <v>7.02</v>
      </c>
      <c r="Z106" s="9">
        <v>10.37</v>
      </c>
      <c r="AA106" s="8">
        <v>4.5</v>
      </c>
      <c r="AB106" s="8">
        <v>21725</v>
      </c>
      <c r="AC106" s="22" t="s">
        <v>2369</v>
      </c>
      <c r="AD106" s="8" t="s">
        <v>3712</v>
      </c>
      <c r="AE106" s="8" t="s">
        <v>4083</v>
      </c>
      <c r="AF106" s="9">
        <f t="shared" si="24"/>
        <v>31.589999999999996</v>
      </c>
      <c r="AG106" s="9">
        <f t="shared" si="25"/>
        <v>47.775000000000006</v>
      </c>
      <c r="AH106" s="9">
        <f t="shared" si="26"/>
        <v>3.9855104553224253E-2</v>
      </c>
      <c r="AI106" s="9">
        <f t="shared" si="27"/>
        <v>1.5884293589484367E-3</v>
      </c>
      <c r="AJ106" s="9">
        <f t="shared" si="28"/>
        <v>8.6338952899545796E-2</v>
      </c>
      <c r="AK106" s="9">
        <f t="shared" si="29"/>
        <v>7.4544147877899872E-3</v>
      </c>
      <c r="AL106" s="9">
        <f t="shared" si="30"/>
        <v>0.18253059035034974</v>
      </c>
      <c r="AM106" s="9">
        <f t="shared" si="31"/>
        <v>3.3317416413647188E-2</v>
      </c>
      <c r="AN106" s="9" t="s">
        <v>2369</v>
      </c>
    </row>
    <row r="107" spans="13:40" ht="23">
      <c r="M107" s="8" t="s">
        <v>305</v>
      </c>
      <c r="N107" s="8" t="s">
        <v>150</v>
      </c>
      <c r="O107" s="8"/>
      <c r="P107" s="8"/>
      <c r="Q107" s="8"/>
      <c r="R107" s="8"/>
      <c r="S107" s="8"/>
      <c r="T107" s="8"/>
      <c r="U107" s="8"/>
      <c r="V107" s="8"/>
      <c r="W107" s="8" t="s">
        <v>305</v>
      </c>
      <c r="X107" s="8">
        <v>39.46</v>
      </c>
      <c r="Y107" s="8">
        <v>2.09</v>
      </c>
      <c r="Z107" s="9">
        <v>3.51</v>
      </c>
      <c r="AA107" s="8">
        <v>4.4000000000000004</v>
      </c>
      <c r="AB107" s="8">
        <v>24418</v>
      </c>
      <c r="AC107" s="21" t="s">
        <v>305</v>
      </c>
      <c r="AD107" s="8" t="s">
        <v>3712</v>
      </c>
      <c r="AE107" s="8" t="s">
        <v>4083</v>
      </c>
      <c r="AF107" s="9">
        <f t="shared" si="24"/>
        <v>9.1959999999999997</v>
      </c>
      <c r="AG107" s="9">
        <f t="shared" si="25"/>
        <v>16.940000000000001</v>
      </c>
      <c r="AH107" s="9">
        <f t="shared" si="26"/>
        <v>3.8969435563152605E-2</v>
      </c>
      <c r="AI107" s="9">
        <f t="shared" si="27"/>
        <v>1.5186169081107029E-3</v>
      </c>
      <c r="AJ107" s="9">
        <f t="shared" si="28"/>
        <v>2.5133681888706023E-2</v>
      </c>
      <c r="AK107" s="9">
        <f t="shared" si="29"/>
        <v>6.3170196528266915E-4</v>
      </c>
      <c r="AL107" s="9">
        <f t="shared" si="30"/>
        <v>6.4721469398951847E-2</v>
      </c>
      <c r="AM107" s="9">
        <f t="shared" si="31"/>
        <v>4.18886860115946E-3</v>
      </c>
      <c r="AN107" s="8" t="s">
        <v>305</v>
      </c>
    </row>
    <row r="108" spans="13:40" ht="23">
      <c r="M108" s="8" t="s">
        <v>979</v>
      </c>
      <c r="N108" s="8" t="s">
        <v>150</v>
      </c>
      <c r="O108" s="8"/>
      <c r="P108" s="8" t="s">
        <v>3691</v>
      </c>
      <c r="Q108" s="8"/>
      <c r="R108" s="8"/>
      <c r="S108" s="8"/>
      <c r="T108" s="8"/>
      <c r="U108" s="8"/>
      <c r="V108" s="8"/>
      <c r="W108" s="8" t="s">
        <v>979</v>
      </c>
      <c r="X108" s="8">
        <v>30.91</v>
      </c>
      <c r="Y108" s="8">
        <v>5.21</v>
      </c>
      <c r="Z108" s="9">
        <v>6.41</v>
      </c>
      <c r="AA108" s="8">
        <v>4.3</v>
      </c>
      <c r="AB108" s="8">
        <v>17753</v>
      </c>
      <c r="AC108" s="21" t="s">
        <v>979</v>
      </c>
      <c r="AD108" s="8" t="s">
        <v>3712</v>
      </c>
      <c r="AE108" s="8" t="s">
        <v>4083</v>
      </c>
      <c r="AF108" s="9">
        <f t="shared" si="24"/>
        <v>22.402999999999999</v>
      </c>
      <c r="AG108" s="9">
        <f t="shared" si="25"/>
        <v>28.738333333333333</v>
      </c>
      <c r="AH108" s="9">
        <f t="shared" si="26"/>
        <v>3.8083766573080956E-2</v>
      </c>
      <c r="AI108" s="9">
        <f t="shared" si="27"/>
        <v>1.4503732763929183E-3</v>
      </c>
      <c r="AJ108" s="9">
        <f t="shared" si="28"/>
        <v>6.1229869003118852E-2</v>
      </c>
      <c r="AK108" s="9">
        <f t="shared" si="29"/>
        <v>3.7490968581390949E-3</v>
      </c>
      <c r="AL108" s="9">
        <f t="shared" si="30"/>
        <v>0.1097985337314174</v>
      </c>
      <c r="AM108" s="9">
        <f t="shared" si="31"/>
        <v>1.2055718009569205E-2</v>
      </c>
      <c r="AN108" s="8" t="s">
        <v>979</v>
      </c>
    </row>
    <row r="109" spans="13:40" ht="23">
      <c r="M109" s="8" t="s">
        <v>701</v>
      </c>
      <c r="N109" s="8" t="s">
        <v>150</v>
      </c>
      <c r="O109" s="8"/>
      <c r="P109" s="8" t="s">
        <v>3693</v>
      </c>
      <c r="Q109" s="8"/>
      <c r="R109" s="8"/>
      <c r="S109" s="8"/>
      <c r="T109" s="8"/>
      <c r="U109" s="8"/>
      <c r="V109" s="8"/>
      <c r="W109" s="8" t="s">
        <v>701</v>
      </c>
      <c r="X109" s="8">
        <v>23.26</v>
      </c>
      <c r="Y109" s="8">
        <v>5.24</v>
      </c>
      <c r="Z109" s="9">
        <v>3.57</v>
      </c>
      <c r="AA109" s="8">
        <v>4.3</v>
      </c>
      <c r="AB109" s="8">
        <v>20795</v>
      </c>
      <c r="AC109" s="21" t="s">
        <v>701</v>
      </c>
      <c r="AD109" s="8" t="s">
        <v>3712</v>
      </c>
      <c r="AE109" s="8" t="s">
        <v>4083</v>
      </c>
      <c r="AF109" s="9">
        <f t="shared" si="24"/>
        <v>22.532</v>
      </c>
      <c r="AG109" s="9">
        <f t="shared" si="25"/>
        <v>16.984999999999999</v>
      </c>
      <c r="AH109" s="9">
        <f t="shared" si="26"/>
        <v>3.8083766573080956E-2</v>
      </c>
      <c r="AI109" s="9">
        <f t="shared" si="27"/>
        <v>1.4503732763929183E-3</v>
      </c>
      <c r="AJ109" s="9">
        <f t="shared" si="28"/>
        <v>6.1582440225785566E-2</v>
      </c>
      <c r="AK109" s="9">
        <f t="shared" si="29"/>
        <v>3.7923969441624522E-3</v>
      </c>
      <c r="AL109" s="9">
        <f t="shared" si="30"/>
        <v>6.4893397741511039E-2</v>
      </c>
      <c r="AM109" s="9">
        <f t="shared" si="31"/>
        <v>4.2111530704379502E-3</v>
      </c>
      <c r="AN109" s="8" t="s">
        <v>701</v>
      </c>
    </row>
    <row r="110" spans="13:40" ht="23">
      <c r="M110" s="8" t="s">
        <v>830</v>
      </c>
      <c r="N110" s="8" t="s">
        <v>150</v>
      </c>
      <c r="O110" s="8"/>
      <c r="P110" s="8" t="s">
        <v>4060</v>
      </c>
      <c r="Q110" s="8"/>
      <c r="R110" s="8"/>
      <c r="S110" s="8"/>
      <c r="T110" s="8"/>
      <c r="U110" s="8"/>
      <c r="V110" s="8"/>
      <c r="W110" s="8" t="s">
        <v>830</v>
      </c>
      <c r="X110" s="8">
        <v>38.53</v>
      </c>
      <c r="Y110" s="8">
        <v>4.92</v>
      </c>
      <c r="Z110" s="9">
        <v>3.49</v>
      </c>
      <c r="AA110" s="8">
        <v>4.3</v>
      </c>
      <c r="AB110" s="8">
        <v>24438</v>
      </c>
      <c r="AC110" s="21" t="s">
        <v>830</v>
      </c>
      <c r="AD110" s="8" t="s">
        <v>3712</v>
      </c>
      <c r="AE110" s="8" t="s">
        <v>4083</v>
      </c>
      <c r="AF110" s="9">
        <f t="shared" si="24"/>
        <v>21.155999999999999</v>
      </c>
      <c r="AG110" s="9">
        <f t="shared" si="25"/>
        <v>16.411666666666665</v>
      </c>
      <c r="AH110" s="9">
        <f t="shared" si="26"/>
        <v>3.8083766573080956E-2</v>
      </c>
      <c r="AI110" s="9">
        <f t="shared" si="27"/>
        <v>1.4503732763929183E-3</v>
      </c>
      <c r="AJ110" s="9">
        <f t="shared" si="28"/>
        <v>5.7821680517340643E-2</v>
      </c>
      <c r="AK110" s="9">
        <f t="shared" si="29"/>
        <v>3.3433467378494106E-3</v>
      </c>
      <c r="AL110" s="9">
        <f t="shared" si="30"/>
        <v>6.2702903302979007E-2</v>
      </c>
      <c r="AM110" s="9">
        <f t="shared" si="31"/>
        <v>3.9316540826227356E-3</v>
      </c>
      <c r="AN110" s="8" t="s">
        <v>830</v>
      </c>
    </row>
    <row r="111" spans="13:40" ht="23">
      <c r="M111" s="9" t="s">
        <v>2229</v>
      </c>
      <c r="N111" s="8" t="s">
        <v>150</v>
      </c>
      <c r="O111" s="8"/>
      <c r="P111" s="8"/>
      <c r="Q111" s="8"/>
      <c r="R111" s="8"/>
      <c r="S111" s="8"/>
      <c r="T111" s="8"/>
      <c r="U111" s="8"/>
      <c r="V111" s="8"/>
      <c r="W111" s="9" t="s">
        <v>2229</v>
      </c>
      <c r="X111" s="8">
        <v>28.94</v>
      </c>
      <c r="Y111" s="8">
        <v>2.85</v>
      </c>
      <c r="Z111" s="9">
        <v>1.46</v>
      </c>
      <c r="AA111" s="8">
        <v>4.3</v>
      </c>
      <c r="AB111" s="8">
        <v>34790</v>
      </c>
      <c r="AC111" s="22" t="s">
        <v>2229</v>
      </c>
      <c r="AD111" s="8" t="s">
        <v>3712</v>
      </c>
      <c r="AE111" s="8" t="s">
        <v>4083</v>
      </c>
      <c r="AF111" s="9">
        <f t="shared" si="24"/>
        <v>12.254999999999999</v>
      </c>
      <c r="AG111" s="9">
        <f t="shared" si="25"/>
        <v>7.5966666666666658</v>
      </c>
      <c r="AH111" s="9">
        <f t="shared" si="26"/>
        <v>3.8083766573080956E-2</v>
      </c>
      <c r="AI111" s="9">
        <f t="shared" si="27"/>
        <v>1.4503732763929183E-3</v>
      </c>
      <c r="AJ111" s="9">
        <f t="shared" si="28"/>
        <v>3.3494266153337567E-2</v>
      </c>
      <c r="AK111" s="9">
        <f t="shared" si="29"/>
        <v>1.1218658651506144E-3</v>
      </c>
      <c r="AL111" s="9">
        <f t="shared" si="30"/>
        <v>2.9024051310549238E-2</v>
      </c>
      <c r="AM111" s="9">
        <f t="shared" si="31"/>
        <v>8.4239555447739489E-4</v>
      </c>
      <c r="AN111" s="9" t="s">
        <v>2229</v>
      </c>
    </row>
    <row r="112" spans="13:40" ht="23">
      <c r="M112" s="8" t="s">
        <v>1433</v>
      </c>
      <c r="N112" s="8" t="s">
        <v>150</v>
      </c>
      <c r="O112" s="8"/>
      <c r="P112" s="8"/>
      <c r="Q112" s="8"/>
      <c r="R112" s="8"/>
      <c r="S112" s="8"/>
      <c r="T112" s="8"/>
      <c r="U112" s="8"/>
      <c r="V112" s="8"/>
      <c r="W112" s="8" t="s">
        <v>1433</v>
      </c>
      <c r="X112" s="8">
        <v>33.76</v>
      </c>
      <c r="Y112" s="8">
        <v>4.51</v>
      </c>
      <c r="Z112" s="9">
        <v>15.46</v>
      </c>
      <c r="AA112" s="8">
        <v>4.2</v>
      </c>
      <c r="AB112" s="8">
        <v>32988</v>
      </c>
      <c r="AC112" s="21" t="s">
        <v>1433</v>
      </c>
      <c r="AD112" s="8" t="s">
        <v>3712</v>
      </c>
      <c r="AE112" s="8" t="s">
        <v>4083</v>
      </c>
      <c r="AF112" s="9">
        <f t="shared" si="24"/>
        <v>18.942</v>
      </c>
      <c r="AG112" s="9">
        <f t="shared" si="25"/>
        <v>66.220000000000013</v>
      </c>
      <c r="AH112" s="9">
        <f t="shared" si="26"/>
        <v>3.7198097583009307E-2</v>
      </c>
      <c r="AI112" s="9">
        <f t="shared" si="27"/>
        <v>1.3836984637950829E-3</v>
      </c>
      <c r="AJ112" s="9">
        <f t="shared" si="28"/>
        <v>5.1770574416688725E-2</v>
      </c>
      <c r="AK112" s="9">
        <f t="shared" si="29"/>
        <v>2.680192375433905E-3</v>
      </c>
      <c r="AL112" s="9">
        <f t="shared" si="30"/>
        <v>0.25300210765044817</v>
      </c>
      <c r="AM112" s="9">
        <f t="shared" si="31"/>
        <v>6.4010066475568964E-2</v>
      </c>
      <c r="AN112" s="8" t="s">
        <v>1433</v>
      </c>
    </row>
    <row r="113" spans="13:40" ht="23">
      <c r="M113" s="8" t="s">
        <v>551</v>
      </c>
      <c r="N113" s="8" t="s">
        <v>150</v>
      </c>
      <c r="O113" s="8"/>
      <c r="P113" s="8"/>
      <c r="Q113" s="8"/>
      <c r="R113" s="8"/>
      <c r="S113" s="8"/>
      <c r="T113" s="8"/>
      <c r="U113" s="8"/>
      <c r="V113" s="8"/>
      <c r="W113" s="8" t="s">
        <v>551</v>
      </c>
      <c r="X113" s="8">
        <v>22.12</v>
      </c>
      <c r="Y113" s="8">
        <v>2.59</v>
      </c>
      <c r="Z113" s="9">
        <v>1.52</v>
      </c>
      <c r="AA113" s="8">
        <v>4.2</v>
      </c>
      <c r="AB113" s="8">
        <v>27213</v>
      </c>
      <c r="AC113" s="21" t="s">
        <v>551</v>
      </c>
      <c r="AD113" s="8" t="s">
        <v>3712</v>
      </c>
      <c r="AE113" s="8" t="s">
        <v>4083</v>
      </c>
      <c r="AF113" s="9">
        <f t="shared" si="24"/>
        <v>10.878</v>
      </c>
      <c r="AG113" s="9">
        <f t="shared" si="25"/>
        <v>7.8400000000000007</v>
      </c>
      <c r="AH113" s="9">
        <f t="shared" si="26"/>
        <v>3.7198097583009307E-2</v>
      </c>
      <c r="AI113" s="9">
        <f t="shared" si="27"/>
        <v>1.3836984637950829E-3</v>
      </c>
      <c r="AJ113" s="9">
        <f t="shared" si="28"/>
        <v>2.9730773334639422E-2</v>
      </c>
      <c r="AK113" s="9">
        <f t="shared" si="29"/>
        <v>8.8391888307570656E-4</v>
      </c>
      <c r="AL113" s="9">
        <f t="shared" si="30"/>
        <v>2.9953737903647137E-2</v>
      </c>
      <c r="AM113" s="9">
        <f t="shared" si="31"/>
        <v>8.9722641440038715E-4</v>
      </c>
      <c r="AN113" s="8" t="s">
        <v>551</v>
      </c>
    </row>
    <row r="114" spans="13:40" ht="23">
      <c r="M114" s="8" t="s">
        <v>1310</v>
      </c>
      <c r="N114" s="8" t="s">
        <v>150</v>
      </c>
      <c r="O114" s="8"/>
      <c r="P114" s="8"/>
      <c r="Q114" s="8"/>
      <c r="R114" s="8"/>
      <c r="S114" s="8"/>
      <c r="T114" s="8"/>
      <c r="U114" s="8"/>
      <c r="V114" s="8"/>
      <c r="W114" s="8" t="s">
        <v>1310</v>
      </c>
      <c r="X114" s="8">
        <v>13.95</v>
      </c>
      <c r="Y114" s="8">
        <v>1.51</v>
      </c>
      <c r="Z114" s="9">
        <v>1.1399999999999999</v>
      </c>
      <c r="AA114" s="8">
        <v>4.2</v>
      </c>
      <c r="AB114" s="8">
        <v>44729</v>
      </c>
      <c r="AC114" s="21" t="s">
        <v>1310</v>
      </c>
      <c r="AD114" s="8" t="s">
        <v>3712</v>
      </c>
      <c r="AE114" s="8" t="s">
        <v>4083</v>
      </c>
      <c r="AF114" s="9">
        <f t="shared" si="24"/>
        <v>6.3420000000000005</v>
      </c>
      <c r="AG114" s="9">
        <f t="shared" si="25"/>
        <v>5.1800000000000006</v>
      </c>
      <c r="AH114" s="9">
        <f t="shared" si="26"/>
        <v>3.7198097583009307E-2</v>
      </c>
      <c r="AI114" s="9">
        <f t="shared" si="27"/>
        <v>1.3836984637950829E-3</v>
      </c>
      <c r="AJ114" s="9">
        <f t="shared" si="28"/>
        <v>1.7333385225986691E-2</v>
      </c>
      <c r="AK114" s="9">
        <f t="shared" si="29"/>
        <v>3.0044624339245371E-4</v>
      </c>
      <c r="AL114" s="9">
        <f t="shared" si="30"/>
        <v>1.9790862543481145E-2</v>
      </c>
      <c r="AM114" s="9">
        <f t="shared" si="31"/>
        <v>3.9167824021496496E-4</v>
      </c>
      <c r="AN114" s="8" t="s">
        <v>1310</v>
      </c>
    </row>
    <row r="115" spans="13:40" ht="23">
      <c r="M115" s="8" t="s">
        <v>463</v>
      </c>
      <c r="N115" s="8" t="s">
        <v>150</v>
      </c>
      <c r="O115" s="8"/>
      <c r="P115" s="8"/>
      <c r="Q115" s="8"/>
      <c r="R115" s="8"/>
      <c r="S115" s="8"/>
      <c r="T115" s="8"/>
      <c r="U115" s="8"/>
      <c r="V115" s="8"/>
      <c r="W115" s="8" t="s">
        <v>463</v>
      </c>
      <c r="X115" s="8">
        <v>48.71</v>
      </c>
      <c r="Y115" s="8">
        <v>1.85</v>
      </c>
      <c r="Z115" s="9">
        <v>3</v>
      </c>
      <c r="AA115" s="8">
        <v>4</v>
      </c>
      <c r="AB115" s="8">
        <v>35145</v>
      </c>
      <c r="AC115" s="21" t="s">
        <v>463</v>
      </c>
      <c r="AD115" s="8" t="s">
        <v>3712</v>
      </c>
      <c r="AE115" s="8" t="s">
        <v>4083</v>
      </c>
      <c r="AF115" s="9">
        <f t="shared" si="24"/>
        <v>7.4</v>
      </c>
      <c r="AG115" s="9">
        <f t="shared" si="25"/>
        <v>12.2</v>
      </c>
      <c r="AH115" s="9">
        <f t="shared" si="26"/>
        <v>3.5426759602866002E-2</v>
      </c>
      <c r="AI115" s="9">
        <f t="shared" si="27"/>
        <v>1.2550552959592585E-3</v>
      </c>
      <c r="AJ115" s="9">
        <f t="shared" si="28"/>
        <v>2.0225015873904368E-2</v>
      </c>
      <c r="AK115" s="9">
        <f t="shared" si="29"/>
        <v>4.0905126709968369E-4</v>
      </c>
      <c r="AL115" s="9">
        <f t="shared" si="30"/>
        <v>4.6611683982716201E-2</v>
      </c>
      <c r="AM115" s="9">
        <f t="shared" si="31"/>
        <v>2.1726490837046019E-3</v>
      </c>
      <c r="AN115" s="8" t="s">
        <v>463</v>
      </c>
    </row>
    <row r="116" spans="13:40" ht="23">
      <c r="M116" s="8" t="s">
        <v>693</v>
      </c>
      <c r="N116" s="8" t="s">
        <v>150</v>
      </c>
      <c r="O116" s="8"/>
      <c r="P116" s="8" t="s">
        <v>3692</v>
      </c>
      <c r="Q116" s="8"/>
      <c r="R116" s="8"/>
      <c r="S116" s="8"/>
      <c r="T116" s="8"/>
      <c r="U116" s="8"/>
      <c r="V116" s="8"/>
      <c r="W116" s="8" t="s">
        <v>693</v>
      </c>
      <c r="X116" s="8">
        <v>11.28</v>
      </c>
      <c r="Y116" s="8">
        <v>8.36</v>
      </c>
      <c r="Z116" s="9">
        <v>7.15</v>
      </c>
      <c r="AA116" s="8">
        <v>3.9</v>
      </c>
      <c r="AB116" s="8">
        <v>15009</v>
      </c>
      <c r="AC116" s="21" t="s">
        <v>693</v>
      </c>
      <c r="AD116" s="8" t="s">
        <v>3712</v>
      </c>
      <c r="AE116" s="8" t="s">
        <v>4083</v>
      </c>
      <c r="AF116" s="9">
        <f t="shared" si="24"/>
        <v>32.603999999999999</v>
      </c>
      <c r="AG116" s="9">
        <f t="shared" si="25"/>
        <v>28.274999999999999</v>
      </c>
      <c r="AH116" s="9">
        <f t="shared" si="26"/>
        <v>3.4541090612794353E-2</v>
      </c>
      <c r="AI116" s="9">
        <f t="shared" si="27"/>
        <v>1.1930869407212703E-3</v>
      </c>
      <c r="AJ116" s="9">
        <f t="shared" si="28"/>
        <v>8.9110326696321338E-2</v>
      </c>
      <c r="AK116" s="9">
        <f t="shared" si="29"/>
        <v>7.9406503239251199E-3</v>
      </c>
      <c r="AL116" s="9">
        <f t="shared" si="30"/>
        <v>0.10802830857469677</v>
      </c>
      <c r="AM116" s="9">
        <f t="shared" si="31"/>
        <v>1.1670115453509903E-2</v>
      </c>
      <c r="AN116" s="8" t="s">
        <v>693</v>
      </c>
    </row>
    <row r="117" spans="13:40" ht="23">
      <c r="M117" s="13" t="s">
        <v>2474</v>
      </c>
      <c r="N117" s="8" t="s">
        <v>150</v>
      </c>
      <c r="O117" s="8"/>
      <c r="P117" s="8" t="s">
        <v>3705</v>
      </c>
      <c r="Q117" s="8"/>
      <c r="R117" s="8"/>
      <c r="S117" s="8"/>
      <c r="T117" s="8"/>
      <c r="U117" s="8"/>
      <c r="V117" s="8"/>
      <c r="W117" s="13" t="s">
        <v>2474</v>
      </c>
      <c r="X117" s="8">
        <v>36.53</v>
      </c>
      <c r="Y117" s="8">
        <v>4.46</v>
      </c>
      <c r="Z117" s="9">
        <v>4.25</v>
      </c>
      <c r="AA117" s="8">
        <v>3.9</v>
      </c>
      <c r="AB117" s="8">
        <v>18998</v>
      </c>
      <c r="AC117" s="34" t="s">
        <v>2474</v>
      </c>
      <c r="AD117" s="8" t="s">
        <v>3712</v>
      </c>
      <c r="AE117" s="8" t="s">
        <v>4083</v>
      </c>
      <c r="AF117" s="9">
        <f t="shared" si="24"/>
        <v>17.393999999999998</v>
      </c>
      <c r="AG117" s="9">
        <f t="shared" si="25"/>
        <v>17.225000000000001</v>
      </c>
      <c r="AH117" s="9">
        <f t="shared" si="26"/>
        <v>3.4541090612794353E-2</v>
      </c>
      <c r="AI117" s="9">
        <f t="shared" si="27"/>
        <v>1.1930869407212703E-3</v>
      </c>
      <c r="AJ117" s="9">
        <f t="shared" si="28"/>
        <v>4.753971974468818E-2</v>
      </c>
      <c r="AK117" s="9">
        <f t="shared" si="29"/>
        <v>2.2600249534034953E-3</v>
      </c>
      <c r="AL117" s="9">
        <f t="shared" si="30"/>
        <v>6.5810348901826771E-2</v>
      </c>
      <c r="AM117" s="9">
        <f t="shared" si="31"/>
        <v>4.3310020225801717E-3</v>
      </c>
      <c r="AN117" s="13" t="s">
        <v>2474</v>
      </c>
    </row>
    <row r="118" spans="13:40" ht="23">
      <c r="M118" s="9" t="s">
        <v>3390</v>
      </c>
      <c r="N118" s="8" t="s">
        <v>1990</v>
      </c>
      <c r="O118" s="8"/>
      <c r="P118" s="8"/>
      <c r="Q118" s="8"/>
      <c r="R118" s="8"/>
      <c r="S118" s="8"/>
      <c r="T118" s="8"/>
      <c r="U118" s="8"/>
      <c r="V118" s="8"/>
      <c r="W118" s="9" t="s">
        <v>3390</v>
      </c>
      <c r="X118" s="8">
        <v>13.6</v>
      </c>
      <c r="Y118" s="8">
        <v>3.01</v>
      </c>
      <c r="Z118" s="9">
        <v>1.1100000000000001</v>
      </c>
      <c r="AA118" s="8">
        <v>3.9</v>
      </c>
      <c r="AB118" s="8"/>
      <c r="AC118" s="22" t="s">
        <v>3390</v>
      </c>
      <c r="AD118" s="8" t="s">
        <v>3712</v>
      </c>
      <c r="AE118" s="8" t="s">
        <v>4083</v>
      </c>
      <c r="AF118" s="9">
        <f t="shared" si="24"/>
        <v>11.738999999999999</v>
      </c>
      <c r="AG118" s="9">
        <f t="shared" si="25"/>
        <v>4.6150000000000002</v>
      </c>
      <c r="AH118" s="9">
        <f t="shared" si="26"/>
        <v>3.4541090612794353E-2</v>
      </c>
      <c r="AI118" s="9">
        <f t="shared" si="27"/>
        <v>1.1930869407212703E-3</v>
      </c>
      <c r="AJ118" s="9">
        <f t="shared" si="28"/>
        <v>3.2083981262670723E-2</v>
      </c>
      <c r="AK118" s="9">
        <f t="shared" si="29"/>
        <v>1.029381853663406E-3</v>
      </c>
      <c r="AL118" s="9">
        <f t="shared" si="30"/>
        <v>1.7632206686904531E-2</v>
      </c>
      <c r="AM118" s="9">
        <f t="shared" si="31"/>
        <v>3.1089471264972085E-4</v>
      </c>
      <c r="AN118" s="9" t="s">
        <v>3390</v>
      </c>
    </row>
    <row r="119" spans="13:40" ht="23">
      <c r="M119" s="8" t="s">
        <v>1147</v>
      </c>
      <c r="N119" s="8" t="s">
        <v>150</v>
      </c>
      <c r="O119" s="8"/>
      <c r="P119" s="8" t="s">
        <v>3691</v>
      </c>
      <c r="Q119" s="8"/>
      <c r="R119" s="8"/>
      <c r="S119" s="8"/>
      <c r="T119" s="8"/>
      <c r="U119" s="8"/>
      <c r="V119" s="8"/>
      <c r="W119" s="8" t="s">
        <v>1147</v>
      </c>
      <c r="X119" s="8">
        <v>51.75</v>
      </c>
      <c r="Y119" s="8">
        <v>2.68</v>
      </c>
      <c r="Z119" s="9">
        <v>3.14</v>
      </c>
      <c r="AA119" s="8">
        <v>3.7</v>
      </c>
      <c r="AB119" s="8">
        <v>26327</v>
      </c>
      <c r="AC119" s="21" t="s">
        <v>1147</v>
      </c>
      <c r="AD119" s="8" t="s">
        <v>3712</v>
      </c>
      <c r="AE119" s="8" t="s">
        <v>4083</v>
      </c>
      <c r="AF119" s="9">
        <f t="shared" si="24"/>
        <v>9.9160000000000004</v>
      </c>
      <c r="AG119" s="9">
        <f t="shared" si="25"/>
        <v>11.963333333333335</v>
      </c>
      <c r="AH119" s="9">
        <f t="shared" si="26"/>
        <v>3.2769752632651056E-2</v>
      </c>
      <c r="AI119" s="9">
        <f t="shared" si="27"/>
        <v>1.0738566876051408E-3</v>
      </c>
      <c r="AJ119" s="9">
        <f t="shared" si="28"/>
        <v>2.7101521271031853E-2</v>
      </c>
      <c r="AK119" s="9">
        <f t="shared" si="29"/>
        <v>7.3449245520419194E-4</v>
      </c>
      <c r="AL119" s="9">
        <f t="shared" si="30"/>
        <v>4.5707468255182647E-2</v>
      </c>
      <c r="AM119" s="9">
        <f t="shared" si="31"/>
        <v>2.0891726542985292E-3</v>
      </c>
      <c r="AN119" s="8" t="s">
        <v>1147</v>
      </c>
    </row>
    <row r="120" spans="13:40" ht="23">
      <c r="M120" s="9" t="s">
        <v>2372</v>
      </c>
      <c r="N120" s="8" t="s">
        <v>150</v>
      </c>
      <c r="O120" s="8"/>
      <c r="P120" s="8" t="s">
        <v>3691</v>
      </c>
      <c r="Q120" s="8"/>
      <c r="R120" s="8"/>
      <c r="S120" s="8"/>
      <c r="T120" s="8"/>
      <c r="U120" s="8"/>
      <c r="V120" s="8"/>
      <c r="W120" s="9" t="s">
        <v>2372</v>
      </c>
      <c r="X120" s="8">
        <v>40.56</v>
      </c>
      <c r="Y120" s="8">
        <v>3.36</v>
      </c>
      <c r="Z120" s="9">
        <v>5.32</v>
      </c>
      <c r="AA120" s="8">
        <v>3.6</v>
      </c>
      <c r="AB120" s="8">
        <v>26105</v>
      </c>
      <c r="AC120" s="22" t="s">
        <v>2372</v>
      </c>
      <c r="AD120" s="8" t="s">
        <v>3712</v>
      </c>
      <c r="AE120" s="8" t="s">
        <v>4083</v>
      </c>
      <c r="AF120" s="9">
        <f t="shared" si="24"/>
        <v>12.096</v>
      </c>
      <c r="AG120" s="9">
        <f t="shared" si="25"/>
        <v>19.920000000000002</v>
      </c>
      <c r="AH120" s="9">
        <f t="shared" si="26"/>
        <v>3.1884083642579407E-2</v>
      </c>
      <c r="AI120" s="9">
        <f t="shared" si="27"/>
        <v>1.0165947897269997E-3</v>
      </c>
      <c r="AJ120" s="9">
        <f t="shared" si="28"/>
        <v>3.305970162307395E-2</v>
      </c>
      <c r="AK120" s="9">
        <f t="shared" si="29"/>
        <v>1.0929438714066785E-3</v>
      </c>
      <c r="AL120" s="9">
        <f t="shared" si="30"/>
        <v>7.6106946306205486E-2</v>
      </c>
      <c r="AM120" s="9">
        <f t="shared" si="31"/>
        <v>5.7922672760556447E-3</v>
      </c>
      <c r="AN120" s="9" t="s">
        <v>2372</v>
      </c>
    </row>
    <row r="121" spans="13:40" ht="23">
      <c r="M121" s="8" t="s">
        <v>1015</v>
      </c>
      <c r="N121" s="8" t="s">
        <v>150</v>
      </c>
      <c r="O121" s="8"/>
      <c r="P121" s="8"/>
      <c r="Q121" s="8"/>
      <c r="R121" s="8"/>
      <c r="S121" s="8"/>
      <c r="T121" s="8"/>
      <c r="U121" s="8"/>
      <c r="V121" s="8"/>
      <c r="W121" s="8" t="s">
        <v>1015</v>
      </c>
      <c r="X121" s="8">
        <v>41.4</v>
      </c>
      <c r="Y121" s="8">
        <v>4.1399999999999997</v>
      </c>
      <c r="Z121" s="9">
        <v>2.36</v>
      </c>
      <c r="AA121" s="8">
        <v>3.6</v>
      </c>
      <c r="AB121" s="8">
        <v>22122</v>
      </c>
      <c r="AC121" s="21" t="s">
        <v>1015</v>
      </c>
      <c r="AD121" s="8" t="s">
        <v>3712</v>
      </c>
      <c r="AE121" s="8" t="s">
        <v>4083</v>
      </c>
      <c r="AF121" s="9">
        <f t="shared" si="24"/>
        <v>14.904</v>
      </c>
      <c r="AG121" s="9">
        <f t="shared" si="25"/>
        <v>9.3600000000000012</v>
      </c>
      <c r="AH121" s="9">
        <f t="shared" si="26"/>
        <v>3.1884083642579407E-2</v>
      </c>
      <c r="AI121" s="9">
        <f t="shared" si="27"/>
        <v>1.0165947897269997E-3</v>
      </c>
      <c r="AJ121" s="9">
        <f t="shared" si="28"/>
        <v>4.0734275214144688E-2</v>
      </c>
      <c r="AK121" s="9">
        <f t="shared" si="29"/>
        <v>1.6592811772216823E-3</v>
      </c>
      <c r="AL121" s="9">
        <f t="shared" si="30"/>
        <v>3.576109525231342E-2</v>
      </c>
      <c r="AM121" s="9">
        <f t="shared" si="31"/>
        <v>1.2788559336450334E-3</v>
      </c>
      <c r="AN121" s="8" t="s">
        <v>1015</v>
      </c>
    </row>
    <row r="122" spans="13:40" ht="23">
      <c r="M122" s="8" t="s">
        <v>652</v>
      </c>
      <c r="N122" s="8" t="s">
        <v>150</v>
      </c>
      <c r="O122" s="8"/>
      <c r="P122" s="8"/>
      <c r="Q122" s="8"/>
      <c r="R122" s="8"/>
      <c r="S122" s="8"/>
      <c r="T122" s="8"/>
      <c r="U122" s="8"/>
      <c r="V122" s="8"/>
      <c r="W122" s="8" t="s">
        <v>652</v>
      </c>
      <c r="X122" s="8">
        <v>25.65</v>
      </c>
      <c r="Y122" s="8">
        <v>1.91</v>
      </c>
      <c r="Z122" s="9">
        <v>0.37</v>
      </c>
      <c r="AA122" s="8">
        <v>3.6</v>
      </c>
      <c r="AB122" s="8"/>
      <c r="AC122" s="21" t="s">
        <v>652</v>
      </c>
      <c r="AD122" s="8" t="s">
        <v>3712</v>
      </c>
      <c r="AE122" s="8" t="s">
        <v>4083</v>
      </c>
      <c r="AF122" s="9">
        <f t="shared" si="24"/>
        <v>6.8759999999999994</v>
      </c>
      <c r="AG122" s="9">
        <f t="shared" si="25"/>
        <v>2.2200000000000002</v>
      </c>
      <c r="AH122" s="9">
        <f t="shared" si="26"/>
        <v>3.1884083642579407E-2</v>
      </c>
      <c r="AI122" s="9">
        <f t="shared" si="27"/>
        <v>1.0165947897269997E-3</v>
      </c>
      <c r="AJ122" s="9">
        <f t="shared" si="28"/>
        <v>1.879286610121168E-2</v>
      </c>
      <c r="AK122" s="9">
        <f t="shared" si="29"/>
        <v>3.5317181629807107E-4</v>
      </c>
      <c r="AL122" s="9">
        <f t="shared" si="30"/>
        <v>8.4817982329204906E-3</v>
      </c>
      <c r="AM122" s="9">
        <f t="shared" si="31"/>
        <v>7.1940901263973153E-5</v>
      </c>
      <c r="AN122" s="8" t="s">
        <v>652</v>
      </c>
    </row>
    <row r="123" spans="13:40" ht="23">
      <c r="M123" s="8" t="s">
        <v>1486</v>
      </c>
      <c r="N123" s="8" t="s">
        <v>150</v>
      </c>
      <c r="O123" s="8"/>
      <c r="P123" s="8"/>
      <c r="Q123" s="8"/>
      <c r="R123" s="8"/>
      <c r="S123" s="8"/>
      <c r="T123" s="8"/>
      <c r="U123" s="8"/>
      <c r="V123" s="8"/>
      <c r="W123" s="8" t="s">
        <v>1486</v>
      </c>
      <c r="X123" s="8">
        <v>28.91</v>
      </c>
      <c r="Y123" s="8">
        <v>8.23</v>
      </c>
      <c r="Z123" s="9">
        <v>21.29</v>
      </c>
      <c r="AA123" s="8">
        <v>3.5</v>
      </c>
      <c r="AB123" s="8">
        <v>15943</v>
      </c>
      <c r="AC123" s="21" t="s">
        <v>1486</v>
      </c>
      <c r="AD123" s="8" t="s">
        <v>3712</v>
      </c>
      <c r="AE123" s="8" t="s">
        <v>4083</v>
      </c>
      <c r="AF123" s="9">
        <f t="shared" si="24"/>
        <v>28.805</v>
      </c>
      <c r="AG123" s="9">
        <f t="shared" si="25"/>
        <v>75.191666666666663</v>
      </c>
      <c r="AH123" s="9">
        <f t="shared" si="26"/>
        <v>3.0998414652507751E-2</v>
      </c>
      <c r="AI123" s="9">
        <f t="shared" si="27"/>
        <v>9.6090171096880727E-4</v>
      </c>
      <c r="AJ123" s="9">
        <f t="shared" si="28"/>
        <v>7.8727240844299357E-2</v>
      </c>
      <c r="AK123" s="9">
        <f t="shared" si="29"/>
        <v>6.1979784509563172E-3</v>
      </c>
      <c r="AL123" s="9">
        <f t="shared" si="30"/>
        <v>0.28727952498363957</v>
      </c>
      <c r="AM123" s="9">
        <f t="shared" si="31"/>
        <v>8.2529525474825588E-2</v>
      </c>
      <c r="AN123" s="8" t="s">
        <v>1486</v>
      </c>
    </row>
    <row r="124" spans="13:40" ht="23">
      <c r="M124" s="9" t="s">
        <v>3493</v>
      </c>
      <c r="N124" s="8" t="s">
        <v>2027</v>
      </c>
      <c r="O124" s="8"/>
      <c r="P124" s="8"/>
      <c r="Q124" s="8"/>
      <c r="R124" s="8"/>
      <c r="S124" s="8"/>
      <c r="T124" s="8"/>
      <c r="U124" s="8"/>
      <c r="V124" s="8"/>
      <c r="W124" s="9" t="s">
        <v>3493</v>
      </c>
      <c r="X124" s="8">
        <v>11.61</v>
      </c>
      <c r="Y124" s="8">
        <v>14.69</v>
      </c>
      <c r="Z124" s="9">
        <v>10.53</v>
      </c>
      <c r="AA124" s="8">
        <v>3.4</v>
      </c>
      <c r="AB124" s="8">
        <v>14896</v>
      </c>
      <c r="AC124" s="22" t="s">
        <v>3493</v>
      </c>
      <c r="AD124" s="8" t="s">
        <v>3712</v>
      </c>
      <c r="AE124" s="8" t="s">
        <v>4083</v>
      </c>
      <c r="AF124" s="9">
        <f t="shared" si="24"/>
        <v>49.945999999999998</v>
      </c>
      <c r="AG124" s="9">
        <f t="shared" si="25"/>
        <v>37.00333333333333</v>
      </c>
      <c r="AH124" s="9">
        <f t="shared" si="26"/>
        <v>3.0112745662436102E-2</v>
      </c>
      <c r="AI124" s="9">
        <f t="shared" si="27"/>
        <v>9.0677745133056428E-4</v>
      </c>
      <c r="AJ124" s="9">
        <f t="shared" si="28"/>
        <v>0.13650792470784157</v>
      </c>
      <c r="AK124" s="9">
        <f t="shared" si="29"/>
        <v>1.8634413508041743E-2</v>
      </c>
      <c r="AL124" s="9">
        <f t="shared" si="30"/>
        <v>0.14137603931479031</v>
      </c>
      <c r="AM124" s="9">
        <f t="shared" si="31"/>
        <v>1.9987184492337138E-2</v>
      </c>
      <c r="AN124" s="9" t="s">
        <v>3493</v>
      </c>
    </row>
    <row r="125" spans="13:40" ht="23">
      <c r="M125" s="8" t="s">
        <v>1177</v>
      </c>
      <c r="N125" s="8" t="s">
        <v>150</v>
      </c>
      <c r="O125" s="8"/>
      <c r="P125" s="8"/>
      <c r="Q125" s="8"/>
      <c r="R125" s="8"/>
      <c r="S125" s="8"/>
      <c r="T125" s="8"/>
      <c r="U125" s="8"/>
      <c r="V125" s="8"/>
      <c r="W125" s="8" t="s">
        <v>1177</v>
      </c>
      <c r="X125" s="8">
        <v>11.95</v>
      </c>
      <c r="Y125" s="8">
        <v>3.41</v>
      </c>
      <c r="Z125" s="9">
        <v>3.2</v>
      </c>
      <c r="AA125" s="8">
        <v>3.4</v>
      </c>
      <c r="AB125" s="8">
        <v>31702</v>
      </c>
      <c r="AC125" s="21" t="s">
        <v>1177</v>
      </c>
      <c r="AD125" s="8" t="s">
        <v>3712</v>
      </c>
      <c r="AE125" s="8" t="s">
        <v>4083</v>
      </c>
      <c r="AF125" s="9">
        <f t="shared" si="24"/>
        <v>11.593999999999999</v>
      </c>
      <c r="AG125" s="9">
        <f t="shared" si="25"/>
        <v>10.211333333333334</v>
      </c>
      <c r="AH125" s="9">
        <f t="shared" si="26"/>
        <v>3.0112745662436102E-2</v>
      </c>
      <c r="AI125" s="9">
        <f t="shared" si="27"/>
        <v>9.0677745133056428E-4</v>
      </c>
      <c r="AJ125" s="9">
        <f t="shared" si="28"/>
        <v>3.1687680275952326E-2</v>
      </c>
      <c r="AK125" s="9">
        <f t="shared" si="29"/>
        <v>1.004109081270978E-3</v>
      </c>
      <c r="AL125" s="9">
        <f t="shared" si="30"/>
        <v>3.9013724784877822E-2</v>
      </c>
      <c r="AM125" s="9">
        <f t="shared" si="31"/>
        <v>1.5220707215901901E-3</v>
      </c>
      <c r="AN125" s="8" t="s">
        <v>1177</v>
      </c>
    </row>
    <row r="126" spans="13:40" ht="23">
      <c r="M126" s="9" t="s">
        <v>2364</v>
      </c>
      <c r="N126" s="8" t="s">
        <v>150</v>
      </c>
      <c r="O126" s="8"/>
      <c r="P126" s="8"/>
      <c r="Q126" s="8"/>
      <c r="R126" s="8"/>
      <c r="S126" s="8"/>
      <c r="T126" s="8"/>
      <c r="U126" s="8"/>
      <c r="V126" s="8"/>
      <c r="W126" s="9" t="s">
        <v>2364</v>
      </c>
      <c r="X126" s="8">
        <v>12.22</v>
      </c>
      <c r="Y126" s="8">
        <v>1.88</v>
      </c>
      <c r="Z126" s="9">
        <v>0.01</v>
      </c>
      <c r="AA126" s="8">
        <v>3.4</v>
      </c>
      <c r="AB126" s="8"/>
      <c r="AC126" s="22" t="s">
        <v>2364</v>
      </c>
      <c r="AD126" s="8" t="s">
        <v>3712</v>
      </c>
      <c r="AE126" s="8" t="s">
        <v>4083</v>
      </c>
      <c r="AF126" s="9">
        <f t="shared" si="24"/>
        <v>6.3919999999999995</v>
      </c>
      <c r="AG126" s="9">
        <f t="shared" si="25"/>
        <v>5.6666666666666664E-2</v>
      </c>
      <c r="AH126" s="9">
        <f t="shared" si="26"/>
        <v>3.0112745662436102E-2</v>
      </c>
      <c r="AI126" s="9">
        <f t="shared" si="27"/>
        <v>9.0677745133056428E-4</v>
      </c>
      <c r="AJ126" s="9">
        <f t="shared" si="28"/>
        <v>1.7470040738648204E-2</v>
      </c>
      <c r="AK126" s="9">
        <f t="shared" si="29"/>
        <v>3.0520232341002789E-4</v>
      </c>
      <c r="AL126" s="9">
        <f t="shared" si="30"/>
        <v>2.1650235729676925E-4</v>
      </c>
      <c r="AM126" s="9">
        <f t="shared" si="31"/>
        <v>4.6873270715057934E-8</v>
      </c>
      <c r="AN126" s="9" t="s">
        <v>2364</v>
      </c>
    </row>
    <row r="127" spans="13:40" ht="23">
      <c r="M127" s="8" t="s">
        <v>534</v>
      </c>
      <c r="N127" s="8" t="s">
        <v>150</v>
      </c>
      <c r="O127" s="8"/>
      <c r="P127" s="8"/>
      <c r="Q127" s="8"/>
      <c r="R127" s="8"/>
      <c r="S127" s="8"/>
      <c r="T127" s="8"/>
      <c r="U127" s="8"/>
      <c r="V127" s="8"/>
      <c r="W127" s="8" t="s">
        <v>534</v>
      </c>
      <c r="X127" s="8">
        <v>20.28</v>
      </c>
      <c r="Y127" s="8">
        <v>3.28</v>
      </c>
      <c r="Z127" s="9">
        <v>0.45</v>
      </c>
      <c r="AA127" s="8">
        <v>3.3</v>
      </c>
      <c r="AB127" s="8">
        <v>45398</v>
      </c>
      <c r="AC127" s="21" t="s">
        <v>534</v>
      </c>
      <c r="AD127" s="8" t="s">
        <v>3712</v>
      </c>
      <c r="AE127" s="8" t="s">
        <v>4083</v>
      </c>
      <c r="AF127" s="9">
        <f t="shared" si="24"/>
        <v>10.823999999999998</v>
      </c>
      <c r="AG127" s="9">
        <f t="shared" si="25"/>
        <v>2.4749999999999996</v>
      </c>
      <c r="AH127" s="9">
        <f t="shared" si="26"/>
        <v>2.922707667236445E-2</v>
      </c>
      <c r="AI127" s="9">
        <f t="shared" si="27"/>
        <v>8.5422201081227021E-4</v>
      </c>
      <c r="AJ127" s="9">
        <f t="shared" si="28"/>
        <v>2.9583185380964976E-2</v>
      </c>
      <c r="AK127" s="9">
        <f t="shared" si="29"/>
        <v>8.751648572845399E-4</v>
      </c>
      <c r="AL127" s="9">
        <f t="shared" si="30"/>
        <v>9.4560588407559491E-3</v>
      </c>
      <c r="AM127" s="9">
        <f t="shared" si="31"/>
        <v>8.9417048799838737E-5</v>
      </c>
      <c r="AN127" s="8" t="s">
        <v>534</v>
      </c>
    </row>
    <row r="128" spans="13:40" ht="23">
      <c r="M128" s="8" t="s">
        <v>731</v>
      </c>
      <c r="N128" s="8" t="s">
        <v>150</v>
      </c>
      <c r="O128" s="8"/>
      <c r="P128" s="8"/>
      <c r="Q128" s="8"/>
      <c r="R128" s="8"/>
      <c r="S128" s="8"/>
      <c r="T128" s="8"/>
      <c r="U128" s="8"/>
      <c r="V128" s="8"/>
      <c r="W128" s="8" t="s">
        <v>731</v>
      </c>
      <c r="X128" s="8">
        <v>15.5</v>
      </c>
      <c r="Y128" s="8">
        <v>6.52</v>
      </c>
      <c r="Z128" s="9">
        <v>8.16</v>
      </c>
      <c r="AA128" s="8">
        <v>3.2</v>
      </c>
      <c r="AB128" s="8">
        <v>21365</v>
      </c>
      <c r="AC128" s="21" t="s">
        <v>731</v>
      </c>
      <c r="AD128" s="8" t="s">
        <v>3712</v>
      </c>
      <c r="AE128" s="8" t="s">
        <v>4083</v>
      </c>
      <c r="AF128" s="9">
        <f t="shared" si="24"/>
        <v>20.864000000000001</v>
      </c>
      <c r="AG128" s="9">
        <f t="shared" si="25"/>
        <v>26.453333333333337</v>
      </c>
      <c r="AH128" s="9">
        <f t="shared" si="26"/>
        <v>2.8341407682292801E-2</v>
      </c>
      <c r="AI128" s="9">
        <f t="shared" si="27"/>
        <v>8.0323538941392538E-4</v>
      </c>
      <c r="AJ128" s="9">
        <f t="shared" si="28"/>
        <v>5.7023612323397393E-2</v>
      </c>
      <c r="AK128" s="9">
        <f t="shared" si="29"/>
        <v>3.2516923624091192E-3</v>
      </c>
      <c r="AL128" s="9">
        <f t="shared" si="30"/>
        <v>0.10106839455924477</v>
      </c>
      <c r="AM128" s="9">
        <f t="shared" si="31"/>
        <v>1.0214820378783178E-2</v>
      </c>
      <c r="AN128" s="8" t="s">
        <v>731</v>
      </c>
    </row>
    <row r="129" spans="13:40" ht="23">
      <c r="M129" s="8" t="s">
        <v>1111</v>
      </c>
      <c r="N129" s="8" t="s">
        <v>150</v>
      </c>
      <c r="O129" s="8"/>
      <c r="P129" s="8"/>
      <c r="Q129" s="8"/>
      <c r="R129" s="8"/>
      <c r="S129" s="8"/>
      <c r="T129" s="8"/>
      <c r="U129" s="8"/>
      <c r="V129" s="8"/>
      <c r="W129" s="8" t="s">
        <v>1111</v>
      </c>
      <c r="X129" s="8">
        <v>36.03</v>
      </c>
      <c r="Y129" s="8">
        <v>4.22</v>
      </c>
      <c r="Z129" s="9">
        <v>5.47</v>
      </c>
      <c r="AA129" s="8">
        <v>3.2</v>
      </c>
      <c r="AB129" s="8"/>
      <c r="AC129" s="21" t="s">
        <v>1111</v>
      </c>
      <c r="AD129" s="8" t="s">
        <v>3712</v>
      </c>
      <c r="AE129" s="8" t="s">
        <v>4083</v>
      </c>
      <c r="AF129" s="9">
        <f t="shared" si="24"/>
        <v>13.504</v>
      </c>
      <c r="AG129" s="9">
        <f t="shared" si="25"/>
        <v>18.506666666666668</v>
      </c>
      <c r="AH129" s="9">
        <f t="shared" si="26"/>
        <v>2.8341407682292801E-2</v>
      </c>
      <c r="AI129" s="9">
        <f t="shared" si="27"/>
        <v>8.0323538941392538E-4</v>
      </c>
      <c r="AJ129" s="9">
        <f t="shared" si="28"/>
        <v>3.6907920859622238E-2</v>
      </c>
      <c r="AK129" s="9">
        <f t="shared" si="29"/>
        <v>1.3621946221801383E-3</v>
      </c>
      <c r="AL129" s="9">
        <f t="shared" si="30"/>
        <v>7.0707122806568407E-2</v>
      </c>
      <c r="AM129" s="9">
        <f t="shared" si="31"/>
        <v>4.9994972155831463E-3</v>
      </c>
      <c r="AN129" s="8" t="s">
        <v>1111</v>
      </c>
    </row>
    <row r="130" spans="13:40" ht="23">
      <c r="M130" s="9" t="s">
        <v>3222</v>
      </c>
      <c r="N130" s="8" t="s">
        <v>1902</v>
      </c>
      <c r="O130" s="8"/>
      <c r="P130" s="8"/>
      <c r="Q130" s="8"/>
      <c r="R130" s="8"/>
      <c r="S130" s="8"/>
      <c r="T130" s="8"/>
      <c r="U130" s="8"/>
      <c r="V130" s="8"/>
      <c r="W130" s="9" t="s">
        <v>3222</v>
      </c>
      <c r="X130" s="8">
        <v>40.18</v>
      </c>
      <c r="Y130" s="8">
        <v>4.9400000000000004</v>
      </c>
      <c r="Z130" s="9">
        <v>2.3199999999999998</v>
      </c>
      <c r="AA130" s="8">
        <v>3.2</v>
      </c>
      <c r="AB130" s="8">
        <v>27276</v>
      </c>
      <c r="AC130" s="22" t="s">
        <v>3222</v>
      </c>
      <c r="AD130" s="8" t="s">
        <v>3712</v>
      </c>
      <c r="AE130" s="8" t="s">
        <v>4083</v>
      </c>
      <c r="AF130" s="9">
        <f t="shared" ref="AF130:AF161" si="32">(AA130*Y130)</f>
        <v>15.808000000000002</v>
      </c>
      <c r="AG130" s="9">
        <f t="shared" ref="AG130:AG161" si="33">((((RIGHT(Z130,2))/60)+(LEFT(Z130,2)))*AA130)</f>
        <v>8.1066666666666674</v>
      </c>
      <c r="AH130" s="9">
        <f t="shared" ref="AH130:AH161" si="34">(AA130/$AA$181)*100</f>
        <v>2.8341407682292801E-2</v>
      </c>
      <c r="AI130" s="9">
        <f t="shared" ref="AI130:AI161" si="35">(AH130*AH130)</f>
        <v>8.0323538941392538E-4</v>
      </c>
      <c r="AJ130" s="9">
        <f t="shared" ref="AJ130:AJ161" si="36">(AF130/$AF$181)*100</f>
        <v>4.3205006883064903E-2</v>
      </c>
      <c r="AK130" s="9">
        <f t="shared" ref="AK130:AK161" si="37">(AJ130*AJ130)</f>
        <v>1.8666726197656856E-3</v>
      </c>
      <c r="AL130" s="9">
        <f t="shared" ref="AL130:AL161" si="38">(AG130/$AG$181)*100</f>
        <v>3.0972572526220168E-2</v>
      </c>
      <c r="AM130" s="9">
        <f t="shared" ref="AM130:AM161" si="39">(AL130*AL130)</f>
        <v>9.593002488919684E-4</v>
      </c>
      <c r="AN130" s="9" t="s">
        <v>3222</v>
      </c>
    </row>
    <row r="131" spans="13:40" ht="23">
      <c r="M131" s="8" t="s">
        <v>712</v>
      </c>
      <c r="N131" s="8" t="s">
        <v>150</v>
      </c>
      <c r="O131" s="8"/>
      <c r="P131" s="8"/>
      <c r="Q131" s="8"/>
      <c r="R131" s="8"/>
      <c r="S131" s="8"/>
      <c r="T131" s="8"/>
      <c r="U131" s="8"/>
      <c r="V131" s="8"/>
      <c r="W131" s="8" t="s">
        <v>712</v>
      </c>
      <c r="X131" s="8">
        <v>11.35</v>
      </c>
      <c r="Y131" s="8">
        <v>2.74</v>
      </c>
      <c r="Z131" s="9">
        <v>1.1599999999999999</v>
      </c>
      <c r="AA131" s="8">
        <v>3.2</v>
      </c>
      <c r="AB131" s="8"/>
      <c r="AC131" s="21" t="s">
        <v>712</v>
      </c>
      <c r="AD131" s="8" t="s">
        <v>3712</v>
      </c>
      <c r="AE131" s="8" t="s">
        <v>4083</v>
      </c>
      <c r="AF131" s="9">
        <f t="shared" si="32"/>
        <v>8.7680000000000007</v>
      </c>
      <c r="AG131" s="9">
        <f t="shared" si="33"/>
        <v>4.0533333333333337</v>
      </c>
      <c r="AH131" s="9">
        <f t="shared" si="34"/>
        <v>2.8341407682292801E-2</v>
      </c>
      <c r="AI131" s="9">
        <f t="shared" si="35"/>
        <v>8.0323538941392538E-4</v>
      </c>
      <c r="AJ131" s="9">
        <f t="shared" si="36"/>
        <v>2.3963910700323447E-2</v>
      </c>
      <c r="AK131" s="9">
        <f t="shared" si="37"/>
        <v>5.7426901605307659E-4</v>
      </c>
      <c r="AL131" s="9">
        <f t="shared" si="38"/>
        <v>1.5486286263110084E-2</v>
      </c>
      <c r="AM131" s="9">
        <f t="shared" si="39"/>
        <v>2.398250622229921E-4</v>
      </c>
      <c r="AN131" s="8" t="s">
        <v>712</v>
      </c>
    </row>
    <row r="132" spans="13:40" ht="23">
      <c r="M132" s="9" t="s">
        <v>2606</v>
      </c>
      <c r="N132" s="8" t="s">
        <v>150</v>
      </c>
      <c r="O132" s="8"/>
      <c r="P132" s="8" t="s">
        <v>4008</v>
      </c>
      <c r="Q132" s="8"/>
      <c r="R132" s="8"/>
      <c r="S132" s="8"/>
      <c r="T132" s="8"/>
      <c r="U132" s="8"/>
      <c r="V132" s="8"/>
      <c r="W132" s="9" t="s">
        <v>2606</v>
      </c>
      <c r="X132" s="8">
        <v>10.210000000000001</v>
      </c>
      <c r="Y132" s="8">
        <v>8.5</v>
      </c>
      <c r="Z132" s="9">
        <v>9.56</v>
      </c>
      <c r="AA132" s="8">
        <v>3.1</v>
      </c>
      <c r="AB132" s="8">
        <v>26254</v>
      </c>
      <c r="AC132" s="22" t="s">
        <v>2606</v>
      </c>
      <c r="AD132" s="8" t="s">
        <v>3712</v>
      </c>
      <c r="AE132" s="8" t="s">
        <v>4083</v>
      </c>
      <c r="AF132" s="9">
        <f t="shared" si="32"/>
        <v>26.35</v>
      </c>
      <c r="AG132" s="9">
        <f t="shared" si="33"/>
        <v>30.793333333333337</v>
      </c>
      <c r="AH132" s="9">
        <f t="shared" si="34"/>
        <v>2.7455738692221152E-2</v>
      </c>
      <c r="AI132" s="9">
        <f t="shared" si="35"/>
        <v>7.538175871355297E-4</v>
      </c>
      <c r="AJ132" s="9">
        <f t="shared" si="36"/>
        <v>7.2017455172618927E-2</v>
      </c>
      <c r="AK132" s="9">
        <f t="shared" si="37"/>
        <v>5.1865138495401763E-3</v>
      </c>
      <c r="AL132" s="9">
        <f t="shared" si="38"/>
        <v>0.11764992804162086</v>
      </c>
      <c r="AM132" s="9">
        <f t="shared" si="39"/>
        <v>1.3841505568198567E-2</v>
      </c>
      <c r="AN132" s="9" t="s">
        <v>2606</v>
      </c>
    </row>
    <row r="133" spans="13:40" ht="23">
      <c r="M133" s="9" t="s">
        <v>2644</v>
      </c>
      <c r="N133" s="8" t="s">
        <v>150</v>
      </c>
      <c r="O133" s="8"/>
      <c r="P133" s="8"/>
      <c r="Q133" s="8"/>
      <c r="R133" s="8"/>
      <c r="S133" s="8"/>
      <c r="T133" s="8"/>
      <c r="U133" s="8"/>
      <c r="V133" s="8"/>
      <c r="W133" s="9" t="s">
        <v>2644</v>
      </c>
      <c r="X133" s="8">
        <v>27.54</v>
      </c>
      <c r="Y133" s="8">
        <v>8.07</v>
      </c>
      <c r="Z133" s="9">
        <v>8.07</v>
      </c>
      <c r="AA133" s="8">
        <v>3.1</v>
      </c>
      <c r="AB133" s="8"/>
      <c r="AC133" s="22" t="s">
        <v>2644</v>
      </c>
      <c r="AD133" s="8" t="s">
        <v>3712</v>
      </c>
      <c r="AE133" s="8" t="s">
        <v>4083</v>
      </c>
      <c r="AF133" s="9">
        <f t="shared" si="32"/>
        <v>25.017000000000003</v>
      </c>
      <c r="AG133" s="9">
        <f t="shared" si="33"/>
        <v>25.161666666666669</v>
      </c>
      <c r="AH133" s="9">
        <f t="shared" si="34"/>
        <v>2.7455738692221152E-2</v>
      </c>
      <c r="AI133" s="9">
        <f t="shared" si="35"/>
        <v>7.538175871355297E-4</v>
      </c>
      <c r="AJ133" s="9">
        <f t="shared" si="36"/>
        <v>6.8374219205062925E-2</v>
      </c>
      <c r="AK133" s="9">
        <f t="shared" si="37"/>
        <v>4.6750338519019954E-3</v>
      </c>
      <c r="AL133" s="9">
        <f t="shared" si="38"/>
        <v>9.6133414356156632E-2</v>
      </c>
      <c r="AM133" s="9">
        <f t="shared" si="39"/>
        <v>9.2416333557725026E-3</v>
      </c>
      <c r="AN133" s="9" t="s">
        <v>2644</v>
      </c>
    </row>
    <row r="134" spans="13:40" ht="23">
      <c r="M134" s="9" t="s">
        <v>2613</v>
      </c>
      <c r="N134" s="8" t="s">
        <v>150</v>
      </c>
      <c r="O134" s="8"/>
      <c r="P134" s="8"/>
      <c r="Q134" s="8"/>
      <c r="R134" s="8"/>
      <c r="S134" s="8"/>
      <c r="T134" s="8"/>
      <c r="U134" s="8"/>
      <c r="V134" s="8"/>
      <c r="W134" s="9" t="s">
        <v>2613</v>
      </c>
      <c r="X134" s="8">
        <v>29.68</v>
      </c>
      <c r="Y134" s="8">
        <v>2.73</v>
      </c>
      <c r="Z134" s="9">
        <v>1.39</v>
      </c>
      <c r="AA134" s="8">
        <v>3.1</v>
      </c>
      <c r="AB134" s="8">
        <v>29185</v>
      </c>
      <c r="AC134" s="22" t="s">
        <v>2613</v>
      </c>
      <c r="AD134" s="8" t="s">
        <v>3712</v>
      </c>
      <c r="AE134" s="8" t="s">
        <v>4083</v>
      </c>
      <c r="AF134" s="9">
        <f t="shared" si="32"/>
        <v>8.463000000000001</v>
      </c>
      <c r="AG134" s="9">
        <f t="shared" si="33"/>
        <v>5.1150000000000002</v>
      </c>
      <c r="AH134" s="9">
        <f t="shared" si="34"/>
        <v>2.7455738692221152E-2</v>
      </c>
      <c r="AI134" s="9">
        <f t="shared" si="35"/>
        <v>7.538175871355297E-4</v>
      </c>
      <c r="AJ134" s="9">
        <f t="shared" si="36"/>
        <v>2.3130312073088199E-2</v>
      </c>
      <c r="AK134" s="9">
        <f t="shared" si="37"/>
        <v>5.3501133659844969E-4</v>
      </c>
      <c r="AL134" s="9">
        <f t="shared" si="38"/>
        <v>1.9542521604228966E-2</v>
      </c>
      <c r="AM134" s="9">
        <f t="shared" si="39"/>
        <v>3.8191015065175589E-4</v>
      </c>
      <c r="AN134" s="9" t="s">
        <v>2613</v>
      </c>
    </row>
    <row r="135" spans="13:40" ht="23">
      <c r="M135" s="9" t="s">
        <v>3399</v>
      </c>
      <c r="N135" s="8" t="s">
        <v>1990</v>
      </c>
      <c r="O135" s="8"/>
      <c r="P135" s="8"/>
      <c r="Q135" s="8"/>
      <c r="R135" s="8"/>
      <c r="S135" s="8"/>
      <c r="T135" s="8"/>
      <c r="U135" s="8"/>
      <c r="V135" s="8"/>
      <c r="W135" s="9" t="s">
        <v>3399</v>
      </c>
      <c r="X135" s="8">
        <v>31.21</v>
      </c>
      <c r="Y135" s="8">
        <v>2.39</v>
      </c>
      <c r="Z135" s="9">
        <v>1.37</v>
      </c>
      <c r="AA135" s="8">
        <v>3</v>
      </c>
      <c r="AB135" s="8">
        <v>31796</v>
      </c>
      <c r="AC135" s="22" t="s">
        <v>3399</v>
      </c>
      <c r="AD135" s="8" t="s">
        <v>3712</v>
      </c>
      <c r="AE135" s="8" t="s">
        <v>4083</v>
      </c>
      <c r="AF135" s="9">
        <f t="shared" si="32"/>
        <v>7.17</v>
      </c>
      <c r="AG135" s="9">
        <f t="shared" si="33"/>
        <v>4.8499999999999996</v>
      </c>
      <c r="AH135" s="9">
        <f t="shared" si="34"/>
        <v>2.65700697021495E-2</v>
      </c>
      <c r="AI135" s="9">
        <f t="shared" si="35"/>
        <v>7.0596860397708283E-4</v>
      </c>
      <c r="AJ135" s="9">
        <f t="shared" si="36"/>
        <v>1.9596400515661392E-2</v>
      </c>
      <c r="AK135" s="9">
        <f t="shared" si="37"/>
        <v>3.8401891317021406E-4</v>
      </c>
      <c r="AL135" s="9">
        <f t="shared" si="38"/>
        <v>1.8530054698047013E-2</v>
      </c>
      <c r="AM135" s="9">
        <f t="shared" si="39"/>
        <v>3.4336292711261416E-4</v>
      </c>
      <c r="AN135" s="9" t="s">
        <v>3399</v>
      </c>
    </row>
    <row r="136" spans="13:40" ht="23">
      <c r="M136" s="8" t="s">
        <v>380</v>
      </c>
      <c r="N136" s="8" t="s">
        <v>150</v>
      </c>
      <c r="O136" s="8"/>
      <c r="P136" s="8"/>
      <c r="Q136" s="8"/>
      <c r="R136" s="8"/>
      <c r="S136" s="8"/>
      <c r="T136" s="8"/>
      <c r="U136" s="8"/>
      <c r="V136" s="8"/>
      <c r="W136" s="8" t="s">
        <v>380</v>
      </c>
      <c r="X136" s="8">
        <v>9.82</v>
      </c>
      <c r="Y136" s="8">
        <v>1.0900000000000001</v>
      </c>
      <c r="Z136" s="9">
        <v>0.01</v>
      </c>
      <c r="AA136" s="8">
        <v>3</v>
      </c>
      <c r="AB136" s="8">
        <v>148204</v>
      </c>
      <c r="AC136" s="21" t="s">
        <v>380</v>
      </c>
      <c r="AD136" s="8" t="s">
        <v>3712</v>
      </c>
      <c r="AE136" s="8" t="s">
        <v>4083</v>
      </c>
      <c r="AF136" s="9">
        <f t="shared" si="32"/>
        <v>3.2700000000000005</v>
      </c>
      <c r="AG136" s="9">
        <f t="shared" si="33"/>
        <v>0.05</v>
      </c>
      <c r="AH136" s="9">
        <f t="shared" si="34"/>
        <v>2.65700697021495E-2</v>
      </c>
      <c r="AI136" s="9">
        <f t="shared" si="35"/>
        <v>7.0596860397708283E-4</v>
      </c>
      <c r="AJ136" s="9">
        <f t="shared" si="36"/>
        <v>8.9372705280631477E-3</v>
      </c>
      <c r="AK136" s="9">
        <f t="shared" si="37"/>
        <v>7.9874804491786137E-5</v>
      </c>
      <c r="AL136" s="9">
        <f t="shared" si="38"/>
        <v>1.9103149173244348E-4</v>
      </c>
      <c r="AM136" s="9">
        <f t="shared" si="39"/>
        <v>3.6493030833522624E-8</v>
      </c>
      <c r="AN136" s="8" t="s">
        <v>380</v>
      </c>
    </row>
    <row r="137" spans="13:40" ht="23">
      <c r="M137" s="9" t="s">
        <v>3388</v>
      </c>
      <c r="N137" s="8" t="s">
        <v>1990</v>
      </c>
      <c r="O137" s="8"/>
      <c r="P137" s="8"/>
      <c r="Q137" s="8"/>
      <c r="R137" s="8"/>
      <c r="S137" s="8"/>
      <c r="T137" s="8"/>
      <c r="U137" s="8"/>
      <c r="V137" s="8"/>
      <c r="W137" s="9" t="s">
        <v>3388</v>
      </c>
      <c r="X137" s="8">
        <v>60.47</v>
      </c>
      <c r="Y137" s="8">
        <v>3.61</v>
      </c>
      <c r="Z137" s="9">
        <v>3.13</v>
      </c>
      <c r="AA137" s="8">
        <v>2.9</v>
      </c>
      <c r="AB137" s="8">
        <v>27385</v>
      </c>
      <c r="AC137" s="22" t="s">
        <v>3388</v>
      </c>
      <c r="AD137" s="8" t="s">
        <v>3712</v>
      </c>
      <c r="AE137" s="8" t="s">
        <v>4083</v>
      </c>
      <c r="AF137" s="9">
        <f t="shared" si="32"/>
        <v>10.468999999999999</v>
      </c>
      <c r="AG137" s="9">
        <f t="shared" si="33"/>
        <v>9.3283333333333331</v>
      </c>
      <c r="AH137" s="9">
        <f t="shared" si="34"/>
        <v>2.5684400712077851E-2</v>
      </c>
      <c r="AI137" s="9">
        <f t="shared" si="35"/>
        <v>6.596884399385852E-4</v>
      </c>
      <c r="AJ137" s="9">
        <f t="shared" si="36"/>
        <v>2.8612931241068215E-2</v>
      </c>
      <c r="AK137" s="9">
        <f t="shared" si="37"/>
        <v>8.1869983420609742E-4</v>
      </c>
      <c r="AL137" s="9">
        <f t="shared" si="38"/>
        <v>3.5640108640882864E-2</v>
      </c>
      <c r="AM137" s="9">
        <f t="shared" si="39"/>
        <v>1.2702173439339333E-3</v>
      </c>
      <c r="AN137" s="9" t="s">
        <v>3388</v>
      </c>
    </row>
    <row r="138" spans="13:40" ht="23">
      <c r="M138" s="8" t="s">
        <v>1404</v>
      </c>
      <c r="N138" s="8" t="s">
        <v>150</v>
      </c>
      <c r="O138" s="8"/>
      <c r="P138" s="8" t="s">
        <v>3691</v>
      </c>
      <c r="Q138" s="8"/>
      <c r="R138" s="8"/>
      <c r="S138" s="8"/>
      <c r="T138" s="8"/>
      <c r="U138" s="8"/>
      <c r="V138" s="8"/>
      <c r="W138" s="8" t="s">
        <v>1404</v>
      </c>
      <c r="X138" s="8">
        <v>29.69</v>
      </c>
      <c r="Y138" s="8">
        <v>3.43</v>
      </c>
      <c r="Z138" s="9">
        <v>2.44</v>
      </c>
      <c r="AA138" s="8">
        <v>2.9</v>
      </c>
      <c r="AB138" s="8">
        <v>33279</v>
      </c>
      <c r="AC138" s="21" t="s">
        <v>1404</v>
      </c>
      <c r="AD138" s="8" t="s">
        <v>3712</v>
      </c>
      <c r="AE138" s="8" t="s">
        <v>4083</v>
      </c>
      <c r="AF138" s="9">
        <f t="shared" si="32"/>
        <v>9.947000000000001</v>
      </c>
      <c r="AG138" s="9">
        <f t="shared" si="33"/>
        <v>7.9266666666666667</v>
      </c>
      <c r="AH138" s="9">
        <f t="shared" si="34"/>
        <v>2.5684400712077851E-2</v>
      </c>
      <c r="AI138" s="9">
        <f t="shared" si="35"/>
        <v>6.596884399385852E-4</v>
      </c>
      <c r="AJ138" s="9">
        <f t="shared" si="36"/>
        <v>2.7186247688881993E-2</v>
      </c>
      <c r="AK138" s="9">
        <f t="shared" si="37"/>
        <v>7.3909206340124151E-4</v>
      </c>
      <c r="AL138" s="9">
        <f t="shared" si="38"/>
        <v>3.0284859155983369E-2</v>
      </c>
      <c r="AM138" s="9">
        <f t="shared" si="39"/>
        <v>9.1717269409774971E-4</v>
      </c>
      <c r="AN138" s="8" t="s">
        <v>1404</v>
      </c>
    </row>
    <row r="139" spans="13:40" ht="23">
      <c r="M139" s="9" t="s">
        <v>2284</v>
      </c>
      <c r="N139" s="8" t="s">
        <v>150</v>
      </c>
      <c r="O139" s="8"/>
      <c r="P139" s="8"/>
      <c r="Q139" s="8"/>
      <c r="R139" s="8"/>
      <c r="S139" s="8"/>
      <c r="T139" s="8"/>
      <c r="U139" s="8"/>
      <c r="V139" s="8"/>
      <c r="W139" s="9" t="s">
        <v>2284</v>
      </c>
      <c r="X139" s="8">
        <v>13.69</v>
      </c>
      <c r="Y139" s="8">
        <v>2.42</v>
      </c>
      <c r="Z139" s="9">
        <v>1.05</v>
      </c>
      <c r="AA139" s="8">
        <v>2.9</v>
      </c>
      <c r="AB139" s="8">
        <v>82079</v>
      </c>
      <c r="AC139" s="22" t="s">
        <v>2284</v>
      </c>
      <c r="AD139" s="8" t="s">
        <v>3712</v>
      </c>
      <c r="AE139" s="8" t="s">
        <v>4083</v>
      </c>
      <c r="AF139" s="9">
        <f t="shared" si="32"/>
        <v>7.0179999999999998</v>
      </c>
      <c r="AG139" s="9">
        <f t="shared" si="33"/>
        <v>3.1416666666666662</v>
      </c>
      <c r="AH139" s="9">
        <f t="shared" si="34"/>
        <v>2.5684400712077851E-2</v>
      </c>
      <c r="AI139" s="9">
        <f t="shared" si="35"/>
        <v>6.596884399385852E-4</v>
      </c>
      <c r="AJ139" s="9">
        <f t="shared" si="36"/>
        <v>1.9180967757170386E-2</v>
      </c>
      <c r="AK139" s="9">
        <f t="shared" si="37"/>
        <v>3.6790952410160991E-4</v>
      </c>
      <c r="AL139" s="9">
        <f t="shared" si="38"/>
        <v>1.2003145397188528E-2</v>
      </c>
      <c r="AM139" s="9">
        <f t="shared" si="39"/>
        <v>1.4407549942604814E-4</v>
      </c>
      <c r="AN139" s="9" t="s">
        <v>2284</v>
      </c>
    </row>
    <row r="140" spans="13:40" ht="23">
      <c r="M140" s="8" t="s">
        <v>172</v>
      </c>
      <c r="N140" s="8" t="s">
        <v>150</v>
      </c>
      <c r="O140" s="8"/>
      <c r="P140" s="8" t="s">
        <v>3692</v>
      </c>
      <c r="Q140" s="8"/>
      <c r="R140" s="8"/>
      <c r="S140" s="8"/>
      <c r="T140" s="8"/>
      <c r="U140" s="8"/>
      <c r="V140" s="8"/>
      <c r="W140" s="8" t="s">
        <v>172</v>
      </c>
      <c r="X140" s="8">
        <v>48.35</v>
      </c>
      <c r="Y140" s="8">
        <v>4.79</v>
      </c>
      <c r="Z140" s="9">
        <v>5.1100000000000003</v>
      </c>
      <c r="AA140" s="8">
        <v>2.8</v>
      </c>
      <c r="AB140" s="8">
        <v>25044</v>
      </c>
      <c r="AC140" s="21" t="s">
        <v>172</v>
      </c>
      <c r="AD140" s="8" t="s">
        <v>3712</v>
      </c>
      <c r="AE140" s="8" t="s">
        <v>4083</v>
      </c>
      <c r="AF140" s="9">
        <f t="shared" si="32"/>
        <v>13.411999999999999</v>
      </c>
      <c r="AG140" s="9">
        <f t="shared" si="33"/>
        <v>14.513333333333334</v>
      </c>
      <c r="AH140" s="9">
        <f t="shared" si="34"/>
        <v>2.4798731722006199E-2</v>
      </c>
      <c r="AI140" s="9">
        <f t="shared" si="35"/>
        <v>6.1497709502003649E-4</v>
      </c>
      <c r="AJ140" s="9">
        <f t="shared" si="36"/>
        <v>3.6656474716325049E-2</v>
      </c>
      <c r="AK140" s="9">
        <f t="shared" si="37"/>
        <v>1.3436971386285776E-3</v>
      </c>
      <c r="AL140" s="9">
        <f t="shared" si="38"/>
        <v>5.5450074333537248E-2</v>
      </c>
      <c r="AM140" s="9">
        <f t="shared" si="39"/>
        <v>3.0747107435948064E-3</v>
      </c>
      <c r="AN140" s="8" t="s">
        <v>172</v>
      </c>
    </row>
    <row r="141" spans="13:40" ht="23">
      <c r="M141" s="9" t="s">
        <v>2193</v>
      </c>
      <c r="N141" s="8" t="s">
        <v>150</v>
      </c>
      <c r="O141" s="8"/>
      <c r="P141" s="8"/>
      <c r="Q141" s="8"/>
      <c r="R141" s="8"/>
      <c r="S141" s="8"/>
      <c r="T141" s="8"/>
      <c r="U141" s="8"/>
      <c r="V141" s="8"/>
      <c r="W141" s="9" t="s">
        <v>2193</v>
      </c>
      <c r="X141" s="8">
        <v>11.44</v>
      </c>
      <c r="Y141" s="8">
        <v>11.02</v>
      </c>
      <c r="Z141" s="9">
        <v>11.56</v>
      </c>
      <c r="AA141" s="8">
        <v>2.7</v>
      </c>
      <c r="AB141" s="8">
        <v>16975</v>
      </c>
      <c r="AC141" s="22" t="s">
        <v>2193</v>
      </c>
      <c r="AD141" s="8" t="s">
        <v>3712</v>
      </c>
      <c r="AE141" s="8" t="s">
        <v>4083</v>
      </c>
      <c r="AF141" s="9">
        <f t="shared" si="32"/>
        <v>29.754000000000001</v>
      </c>
      <c r="AG141" s="9">
        <f t="shared" si="33"/>
        <v>32.220000000000006</v>
      </c>
      <c r="AH141" s="9">
        <f t="shared" si="34"/>
        <v>2.3913062731934553E-2</v>
      </c>
      <c r="AI141" s="9">
        <f t="shared" si="35"/>
        <v>5.7183456922143725E-4</v>
      </c>
      <c r="AJ141" s="9">
        <f t="shared" si="36"/>
        <v>8.1320962474614941E-2</v>
      </c>
      <c r="AK141" s="9">
        <f t="shared" si="37"/>
        <v>6.6130989377977314E-3</v>
      </c>
      <c r="AL141" s="9">
        <f t="shared" si="38"/>
        <v>0.12310069327238658</v>
      </c>
      <c r="AM141" s="9">
        <f t="shared" si="39"/>
        <v>1.5153780684142203E-2</v>
      </c>
      <c r="AN141" s="9" t="s">
        <v>2193</v>
      </c>
    </row>
    <row r="142" spans="13:40" ht="23">
      <c r="M142" s="9" t="s">
        <v>2485</v>
      </c>
      <c r="N142" s="8" t="s">
        <v>150</v>
      </c>
      <c r="O142" s="8"/>
      <c r="P142" s="8"/>
      <c r="Q142" s="8"/>
      <c r="R142" s="8"/>
      <c r="S142" s="8"/>
      <c r="T142" s="8"/>
      <c r="U142" s="8"/>
      <c r="V142" s="8"/>
      <c r="W142" s="9" t="s">
        <v>2485</v>
      </c>
      <c r="X142" s="8">
        <v>37.229999999999997</v>
      </c>
      <c r="Y142" s="8">
        <v>2.77</v>
      </c>
      <c r="Z142" s="9">
        <v>2.54</v>
      </c>
      <c r="AA142" s="8">
        <v>2.7</v>
      </c>
      <c r="AB142" s="8">
        <v>32905</v>
      </c>
      <c r="AC142" s="22" t="s">
        <v>2485</v>
      </c>
      <c r="AD142" s="8" t="s">
        <v>3712</v>
      </c>
      <c r="AE142" s="8" t="s">
        <v>4083</v>
      </c>
      <c r="AF142" s="9">
        <f t="shared" si="32"/>
        <v>7.479000000000001</v>
      </c>
      <c r="AG142" s="9">
        <f t="shared" si="33"/>
        <v>7.83</v>
      </c>
      <c r="AH142" s="9">
        <f t="shared" si="34"/>
        <v>2.3913062731934553E-2</v>
      </c>
      <c r="AI142" s="9">
        <f t="shared" si="35"/>
        <v>5.7183456922143725E-4</v>
      </c>
      <c r="AJ142" s="9">
        <f t="shared" si="36"/>
        <v>2.0440931583909566E-2</v>
      </c>
      <c r="AK142" s="9">
        <f t="shared" si="37"/>
        <v>4.1783168401807164E-4</v>
      </c>
      <c r="AL142" s="9">
        <f t="shared" si="38"/>
        <v>2.9915531605300649E-2</v>
      </c>
      <c r="AM142" s="9">
        <f t="shared" si="39"/>
        <v>8.9493903122774205E-4</v>
      </c>
      <c r="AN142" s="9" t="s">
        <v>2485</v>
      </c>
    </row>
    <row r="143" spans="13:40" ht="23">
      <c r="M143" s="9" t="s">
        <v>2660</v>
      </c>
      <c r="N143" s="8" t="s">
        <v>150</v>
      </c>
      <c r="O143" s="8"/>
      <c r="P143" s="8"/>
      <c r="Q143" s="8"/>
      <c r="R143" s="8"/>
      <c r="S143" s="8"/>
      <c r="T143" s="8"/>
      <c r="U143" s="8"/>
      <c r="V143" s="8"/>
      <c r="W143" s="9" t="s">
        <v>2660</v>
      </c>
      <c r="X143" s="8">
        <v>9.39</v>
      </c>
      <c r="Y143" s="8">
        <v>7.05</v>
      </c>
      <c r="Z143" s="9">
        <v>6.38</v>
      </c>
      <c r="AA143" s="8">
        <v>2.5</v>
      </c>
      <c r="AB143" s="8">
        <v>27427</v>
      </c>
      <c r="AC143" s="22" t="s">
        <v>2660</v>
      </c>
      <c r="AD143" s="8" t="s">
        <v>3712</v>
      </c>
      <c r="AE143" s="8" t="s">
        <v>4083</v>
      </c>
      <c r="AF143" s="9">
        <f t="shared" si="32"/>
        <v>17.625</v>
      </c>
      <c r="AG143" s="9">
        <f t="shared" si="33"/>
        <v>16.583333333333332</v>
      </c>
      <c r="AH143" s="9">
        <f t="shared" si="34"/>
        <v>2.2141724751791252E-2</v>
      </c>
      <c r="AI143" s="9">
        <f t="shared" si="35"/>
        <v>4.9025597498408542E-4</v>
      </c>
      <c r="AJ143" s="9">
        <f t="shared" si="36"/>
        <v>4.8171068213184391E-2</v>
      </c>
      <c r="AK143" s="9">
        <f t="shared" si="37"/>
        <v>2.3204518127992635E-3</v>
      </c>
      <c r="AL143" s="9">
        <f t="shared" si="38"/>
        <v>6.3358778091260406E-2</v>
      </c>
      <c r="AM143" s="9">
        <f t="shared" si="39"/>
        <v>4.0143347612175799E-3</v>
      </c>
      <c r="AN143" s="9" t="s">
        <v>2660</v>
      </c>
    </row>
    <row r="144" spans="13:40" ht="23">
      <c r="M144" s="9" t="s">
        <v>2874</v>
      </c>
      <c r="N144" s="8" t="s">
        <v>1717</v>
      </c>
      <c r="O144" s="8"/>
      <c r="P144" s="8"/>
      <c r="Q144" s="8"/>
      <c r="R144" s="8"/>
      <c r="S144" s="8"/>
      <c r="T144" s="8"/>
      <c r="U144" s="8"/>
      <c r="V144" s="8"/>
      <c r="W144" s="9" t="s">
        <v>2874</v>
      </c>
      <c r="X144" s="8">
        <v>44.12</v>
      </c>
      <c r="Y144" s="8">
        <v>1.79</v>
      </c>
      <c r="Z144" s="9">
        <v>4.07</v>
      </c>
      <c r="AA144" s="8">
        <v>2.5</v>
      </c>
      <c r="AB144" s="8">
        <v>43797</v>
      </c>
      <c r="AC144" s="22" t="s">
        <v>2874</v>
      </c>
      <c r="AD144" s="8" t="s">
        <v>3712</v>
      </c>
      <c r="AE144" s="8" t="s">
        <v>4083</v>
      </c>
      <c r="AF144" s="9">
        <f t="shared" si="32"/>
        <v>4.4749999999999996</v>
      </c>
      <c r="AG144" s="9">
        <f t="shared" si="33"/>
        <v>10.291666666666666</v>
      </c>
      <c r="AH144" s="9">
        <f t="shared" si="34"/>
        <v>2.2141724751791252E-2</v>
      </c>
      <c r="AI144" s="9">
        <f t="shared" si="35"/>
        <v>4.9025597498408542E-4</v>
      </c>
      <c r="AJ144" s="9">
        <f t="shared" si="36"/>
        <v>1.2230668383205679E-2</v>
      </c>
      <c r="AK144" s="9">
        <f t="shared" si="37"/>
        <v>1.4958924909994702E-4</v>
      </c>
      <c r="AL144" s="9">
        <f t="shared" si="38"/>
        <v>3.9320648714927943E-2</v>
      </c>
      <c r="AM144" s="9">
        <f t="shared" si="39"/>
        <v>1.5461134153627646E-3</v>
      </c>
      <c r="AN144" s="9" t="s">
        <v>2874</v>
      </c>
    </row>
    <row r="145" spans="13:40" ht="23">
      <c r="M145" s="9" t="s">
        <v>3386</v>
      </c>
      <c r="N145" s="8" t="s">
        <v>1990</v>
      </c>
      <c r="O145" s="8"/>
      <c r="P145" s="8"/>
      <c r="Q145" s="8"/>
      <c r="R145" s="8"/>
      <c r="S145" s="8"/>
      <c r="T145" s="8"/>
      <c r="U145" s="8"/>
      <c r="V145" s="8"/>
      <c r="W145" s="9" t="s">
        <v>3386</v>
      </c>
      <c r="X145" s="8">
        <v>42.55</v>
      </c>
      <c r="Y145" s="8">
        <v>1.65</v>
      </c>
      <c r="Z145" s="9">
        <v>1.06</v>
      </c>
      <c r="AA145" s="8">
        <v>2.5</v>
      </c>
      <c r="AB145" s="8">
        <v>45605</v>
      </c>
      <c r="AC145" s="22" t="s">
        <v>3386</v>
      </c>
      <c r="AD145" s="8" t="s">
        <v>3712</v>
      </c>
      <c r="AE145" s="8" t="s">
        <v>4083</v>
      </c>
      <c r="AF145" s="9">
        <f t="shared" si="32"/>
        <v>4.125</v>
      </c>
      <c r="AG145" s="9">
        <f t="shared" si="33"/>
        <v>2.75</v>
      </c>
      <c r="AH145" s="9">
        <f t="shared" si="34"/>
        <v>2.2141724751791252E-2</v>
      </c>
      <c r="AI145" s="9">
        <f t="shared" si="35"/>
        <v>4.9025597498408542E-4</v>
      </c>
      <c r="AJ145" s="9">
        <f t="shared" si="36"/>
        <v>1.127407979457507E-2</v>
      </c>
      <c r="AK145" s="9">
        <f t="shared" si="37"/>
        <v>1.2710487521444585E-4</v>
      </c>
      <c r="AL145" s="9">
        <f t="shared" si="38"/>
        <v>1.050673204528439E-2</v>
      </c>
      <c r="AM145" s="9">
        <f t="shared" si="39"/>
        <v>1.1039141827140591E-4</v>
      </c>
      <c r="AN145" s="9" t="s">
        <v>3386</v>
      </c>
    </row>
    <row r="146" spans="13:40" ht="23">
      <c r="M146" s="8" t="s">
        <v>661</v>
      </c>
      <c r="N146" s="8" t="s">
        <v>150</v>
      </c>
      <c r="O146" s="8"/>
      <c r="P146" s="8" t="s">
        <v>3693</v>
      </c>
      <c r="Q146" s="8"/>
      <c r="R146" s="8"/>
      <c r="S146" s="8"/>
      <c r="T146" s="8"/>
      <c r="U146" s="8"/>
      <c r="V146" s="8"/>
      <c r="W146" s="8" t="s">
        <v>661</v>
      </c>
      <c r="X146" s="8">
        <v>20.95</v>
      </c>
      <c r="Y146" s="8">
        <v>5.17</v>
      </c>
      <c r="Z146" s="9">
        <v>4.4400000000000004</v>
      </c>
      <c r="AA146" s="8">
        <v>2.4</v>
      </c>
      <c r="AB146" s="8">
        <v>29181</v>
      </c>
      <c r="AC146" s="21" t="s">
        <v>661</v>
      </c>
      <c r="AD146" s="8" t="s">
        <v>3712</v>
      </c>
      <c r="AE146" s="8" t="s">
        <v>4083</v>
      </c>
      <c r="AF146" s="9">
        <f t="shared" si="32"/>
        <v>12.407999999999999</v>
      </c>
      <c r="AG146" s="9">
        <f t="shared" si="33"/>
        <v>11.36</v>
      </c>
      <c r="AH146" s="9">
        <f t="shared" si="34"/>
        <v>2.12560557617196E-2</v>
      </c>
      <c r="AI146" s="9">
        <f t="shared" si="35"/>
        <v>4.51819906545333E-4</v>
      </c>
      <c r="AJ146" s="9">
        <f t="shared" si="36"/>
        <v>3.3912432022081808E-2</v>
      </c>
      <c r="AK146" s="9">
        <f t="shared" si="37"/>
        <v>1.1500530456523197E-3</v>
      </c>
      <c r="AL146" s="9">
        <f t="shared" si="38"/>
        <v>4.3402354921611153E-2</v>
      </c>
      <c r="AM146" s="9">
        <f t="shared" si="39"/>
        <v>1.8837644127415037E-3</v>
      </c>
      <c r="AN146" s="8" t="s">
        <v>661</v>
      </c>
    </row>
    <row r="147" spans="13:40" ht="23">
      <c r="M147" s="8" t="s">
        <v>742</v>
      </c>
      <c r="N147" s="8" t="s">
        <v>150</v>
      </c>
      <c r="O147" s="8"/>
      <c r="P147" s="8"/>
      <c r="Q147" s="8"/>
      <c r="R147" s="8"/>
      <c r="S147" s="8"/>
      <c r="T147" s="8"/>
      <c r="U147" s="8"/>
      <c r="V147" s="8"/>
      <c r="W147" s="8" t="s">
        <v>742</v>
      </c>
      <c r="X147" s="8">
        <v>23.38</v>
      </c>
      <c r="Y147" s="8">
        <v>4.3600000000000003</v>
      </c>
      <c r="Z147" s="9">
        <v>3.44</v>
      </c>
      <c r="AA147" s="8">
        <v>2.2999999999999998</v>
      </c>
      <c r="AB147" s="8">
        <v>29857</v>
      </c>
      <c r="AC147" s="21" t="s">
        <v>742</v>
      </c>
      <c r="AD147" s="8" t="s">
        <v>3712</v>
      </c>
      <c r="AE147" s="8" t="s">
        <v>4083</v>
      </c>
      <c r="AF147" s="9">
        <f t="shared" si="32"/>
        <v>10.028</v>
      </c>
      <c r="AG147" s="9">
        <f t="shared" si="33"/>
        <v>8.586666666666666</v>
      </c>
      <c r="AH147" s="9">
        <f t="shared" si="34"/>
        <v>2.0370386771647948E-2</v>
      </c>
      <c r="AI147" s="9">
        <f t="shared" si="35"/>
        <v>4.1495265722652972E-4</v>
      </c>
      <c r="AJ147" s="9">
        <f t="shared" si="36"/>
        <v>2.740762961939365E-2</v>
      </c>
      <c r="AK147" s="9">
        <f t="shared" si="37"/>
        <v>7.511781613538641E-4</v>
      </c>
      <c r="AL147" s="9">
        <f t="shared" si="38"/>
        <v>3.2806474846851619E-2</v>
      </c>
      <c r="AM147" s="9">
        <f t="shared" si="39"/>
        <v>1.0762647918771079E-3</v>
      </c>
      <c r="AN147" s="8" t="s">
        <v>742</v>
      </c>
    </row>
    <row r="148" spans="13:40" ht="23">
      <c r="M148" s="9" t="s">
        <v>2247</v>
      </c>
      <c r="N148" s="8" t="s">
        <v>150</v>
      </c>
      <c r="O148" s="8" t="s">
        <v>4163</v>
      </c>
      <c r="P148" s="8" t="s">
        <v>3693</v>
      </c>
      <c r="Q148" s="8"/>
      <c r="R148" s="8"/>
      <c r="S148" s="8"/>
      <c r="T148" s="8"/>
      <c r="U148" s="8"/>
      <c r="V148" s="8"/>
      <c r="W148" s="9" t="s">
        <v>2247</v>
      </c>
      <c r="X148" s="8">
        <v>68.09</v>
      </c>
      <c r="Y148" s="8">
        <v>1.93</v>
      </c>
      <c r="Z148" s="9">
        <v>1.56</v>
      </c>
      <c r="AA148" s="8">
        <v>2.2999999999999998</v>
      </c>
      <c r="AB148" s="8">
        <v>43126</v>
      </c>
      <c r="AC148" s="22" t="s">
        <v>2247</v>
      </c>
      <c r="AD148" s="8" t="s">
        <v>3712</v>
      </c>
      <c r="AE148" s="8" t="s">
        <v>4083</v>
      </c>
      <c r="AF148" s="9">
        <f t="shared" si="32"/>
        <v>4.4389999999999992</v>
      </c>
      <c r="AG148" s="9">
        <f t="shared" si="33"/>
        <v>4.4466666666666663</v>
      </c>
      <c r="AH148" s="9">
        <f t="shared" si="34"/>
        <v>2.0370386771647948E-2</v>
      </c>
      <c r="AI148" s="9">
        <f t="shared" si="35"/>
        <v>4.1495265722652972E-4</v>
      </c>
      <c r="AJ148" s="9">
        <f t="shared" si="36"/>
        <v>1.2132276414089387E-2</v>
      </c>
      <c r="AK148" s="9">
        <f t="shared" si="37"/>
        <v>1.4719213098786962E-4</v>
      </c>
      <c r="AL148" s="9">
        <f t="shared" si="38"/>
        <v>1.6989067331405303E-2</v>
      </c>
      <c r="AM148" s="9">
        <f t="shared" si="39"/>
        <v>2.8862840879102287E-4</v>
      </c>
      <c r="AN148" s="9" t="s">
        <v>2247</v>
      </c>
    </row>
    <row r="149" spans="13:40" ht="23">
      <c r="M149" s="8" t="s">
        <v>1669</v>
      </c>
      <c r="N149" s="8" t="s">
        <v>1614</v>
      </c>
      <c r="O149" s="8"/>
      <c r="P149" s="8"/>
      <c r="Q149" s="8"/>
      <c r="R149" s="8"/>
      <c r="S149" s="8"/>
      <c r="T149" s="8"/>
      <c r="U149" s="8"/>
      <c r="V149" s="8"/>
      <c r="W149" s="8" t="s">
        <v>1669</v>
      </c>
      <c r="X149" s="8">
        <v>22.74</v>
      </c>
      <c r="Y149" s="8">
        <v>2.0499999999999998</v>
      </c>
      <c r="Z149" s="9">
        <v>1.3</v>
      </c>
      <c r="AA149" s="8">
        <v>2.2999999999999998</v>
      </c>
      <c r="AB149" s="8">
        <v>39097</v>
      </c>
      <c r="AC149" s="21" t="s">
        <v>1669</v>
      </c>
      <c r="AD149" s="8" t="s">
        <v>4497</v>
      </c>
      <c r="AE149" s="8" t="s">
        <v>4083</v>
      </c>
      <c r="AF149" s="9">
        <f t="shared" si="32"/>
        <v>4.714999999999999</v>
      </c>
      <c r="AG149" s="9">
        <f t="shared" si="33"/>
        <v>2.3114999999999997</v>
      </c>
      <c r="AH149" s="9">
        <f t="shared" si="34"/>
        <v>2.0370386771647948E-2</v>
      </c>
      <c r="AI149" s="9">
        <f t="shared" si="35"/>
        <v>4.1495265722652972E-4</v>
      </c>
      <c r="AJ149" s="9">
        <f t="shared" si="36"/>
        <v>1.2886614843980957E-2</v>
      </c>
      <c r="AK149" s="9">
        <f t="shared" si="37"/>
        <v>1.6606484213711035E-4</v>
      </c>
      <c r="AL149" s="9">
        <f t="shared" si="38"/>
        <v>8.8313858627908602E-3</v>
      </c>
      <c r="AM149" s="9">
        <f t="shared" si="39"/>
        <v>7.799337625750227E-5</v>
      </c>
      <c r="AN149" s="8" t="s">
        <v>1669</v>
      </c>
    </row>
    <row r="150" spans="13:40" ht="23">
      <c r="M150" s="9" t="s">
        <v>2154</v>
      </c>
      <c r="N150" s="8" t="s">
        <v>150</v>
      </c>
      <c r="O150" s="8"/>
      <c r="P150" s="8"/>
      <c r="Q150" s="8"/>
      <c r="R150" s="8"/>
      <c r="S150" s="8"/>
      <c r="T150" s="8"/>
      <c r="U150" s="8"/>
      <c r="V150" s="8"/>
      <c r="W150" s="9" t="s">
        <v>2154</v>
      </c>
      <c r="X150" s="8">
        <v>29.57</v>
      </c>
      <c r="Y150" s="8">
        <v>4.5999999999999996</v>
      </c>
      <c r="Z150" s="9">
        <v>4.0199999999999996</v>
      </c>
      <c r="AA150" s="8">
        <v>2.2000000000000002</v>
      </c>
      <c r="AB150" s="8">
        <v>28290</v>
      </c>
      <c r="AC150" s="22" t="s">
        <v>2154</v>
      </c>
      <c r="AD150" s="8" t="s">
        <v>3712</v>
      </c>
      <c r="AE150" s="8" t="s">
        <v>4083</v>
      </c>
      <c r="AF150" s="9">
        <f t="shared" si="32"/>
        <v>10.119999999999999</v>
      </c>
      <c r="AG150" s="9">
        <f t="shared" si="33"/>
        <v>8.8733333333333331</v>
      </c>
      <c r="AH150" s="9">
        <f t="shared" si="34"/>
        <v>1.9484717781576302E-2</v>
      </c>
      <c r="AI150" s="9">
        <f t="shared" si="35"/>
        <v>3.7965422702767573E-4</v>
      </c>
      <c r="AJ150" s="9">
        <f t="shared" si="36"/>
        <v>2.7659075762690836E-2</v>
      </c>
      <c r="AK150" s="9">
        <f t="shared" si="37"/>
        <v>7.6502447204627165E-4</v>
      </c>
      <c r="AL150" s="9">
        <f t="shared" si="38"/>
        <v>3.3901722066117627E-2</v>
      </c>
      <c r="AM150" s="9">
        <f t="shared" si="39"/>
        <v>1.1493267590482869E-3</v>
      </c>
      <c r="AN150" s="9" t="s">
        <v>2154</v>
      </c>
    </row>
    <row r="151" spans="13:40" ht="23">
      <c r="M151" s="8" t="s">
        <v>649</v>
      </c>
      <c r="N151" s="8" t="s">
        <v>150</v>
      </c>
      <c r="O151" s="8"/>
      <c r="P151" s="8"/>
      <c r="Q151" s="8"/>
      <c r="R151" s="8"/>
      <c r="S151" s="8"/>
      <c r="T151" s="8"/>
      <c r="U151" s="8"/>
      <c r="V151" s="8"/>
      <c r="W151" s="8" t="s">
        <v>649</v>
      </c>
      <c r="X151" s="8">
        <v>30.52</v>
      </c>
      <c r="Y151" s="8">
        <v>3.23</v>
      </c>
      <c r="Z151" s="9">
        <v>3.27</v>
      </c>
      <c r="AA151" s="8">
        <v>2.2000000000000002</v>
      </c>
      <c r="AB151" s="8">
        <v>36412</v>
      </c>
      <c r="AC151" s="21" t="s">
        <v>649</v>
      </c>
      <c r="AD151" s="8" t="s">
        <v>3712</v>
      </c>
      <c r="AE151" s="8" t="s">
        <v>4083</v>
      </c>
      <c r="AF151" s="9">
        <f t="shared" si="32"/>
        <v>7.1060000000000008</v>
      </c>
      <c r="AG151" s="9">
        <f t="shared" si="33"/>
        <v>7.5900000000000007</v>
      </c>
      <c r="AH151" s="9">
        <f t="shared" si="34"/>
        <v>1.9484717781576302E-2</v>
      </c>
      <c r="AI151" s="9">
        <f t="shared" si="35"/>
        <v>3.7965422702767573E-4</v>
      </c>
      <c r="AJ151" s="9">
        <f t="shared" si="36"/>
        <v>1.9421481459454656E-2</v>
      </c>
      <c r="AK151" s="9">
        <f t="shared" si="37"/>
        <v>3.7719394207994092E-4</v>
      </c>
      <c r="AL151" s="9">
        <f t="shared" si="38"/>
        <v>2.8998580444984923E-2</v>
      </c>
      <c r="AM151" s="9">
        <f t="shared" si="39"/>
        <v>8.4091766782426198E-4</v>
      </c>
      <c r="AN151" s="8" t="s">
        <v>649</v>
      </c>
    </row>
    <row r="152" spans="13:40" ht="23">
      <c r="M152" s="8" t="s">
        <v>913</v>
      </c>
      <c r="N152" s="8" t="s">
        <v>150</v>
      </c>
      <c r="O152" s="8"/>
      <c r="P152" s="8"/>
      <c r="Q152" s="8"/>
      <c r="R152" s="8"/>
      <c r="S152" s="8"/>
      <c r="T152" s="8"/>
      <c r="U152" s="8"/>
      <c r="V152" s="8"/>
      <c r="W152" s="8" t="s">
        <v>913</v>
      </c>
      <c r="X152" s="8">
        <v>62.22</v>
      </c>
      <c r="Y152" s="8">
        <v>1.56</v>
      </c>
      <c r="Z152" s="9">
        <v>1.29</v>
      </c>
      <c r="AA152" s="8">
        <v>2.2000000000000002</v>
      </c>
      <c r="AB152" s="8">
        <v>49701</v>
      </c>
      <c r="AC152" s="21" t="s">
        <v>913</v>
      </c>
      <c r="AD152" s="8" t="s">
        <v>3712</v>
      </c>
      <c r="AE152" s="8" t="s">
        <v>4083</v>
      </c>
      <c r="AF152" s="9">
        <f t="shared" si="32"/>
        <v>3.4320000000000004</v>
      </c>
      <c r="AG152" s="9">
        <f t="shared" si="33"/>
        <v>3.2633333333333336</v>
      </c>
      <c r="AH152" s="9">
        <f t="shared" si="34"/>
        <v>1.9484717781576302E-2</v>
      </c>
      <c r="AI152" s="9">
        <f t="shared" si="35"/>
        <v>3.7965422702767573E-4</v>
      </c>
      <c r="AJ152" s="9">
        <f t="shared" si="36"/>
        <v>9.3800343890864581E-3</v>
      </c>
      <c r="AK152" s="9">
        <f t="shared" si="37"/>
        <v>8.798504514044457E-5</v>
      </c>
      <c r="AL152" s="9">
        <f t="shared" si="38"/>
        <v>1.2467988693737476E-2</v>
      </c>
      <c r="AM152" s="9">
        <f t="shared" si="39"/>
        <v>1.5545074206716554E-4</v>
      </c>
      <c r="AN152" s="8" t="s">
        <v>913</v>
      </c>
    </row>
    <row r="153" spans="13:40" ht="23">
      <c r="M153" s="8" t="s">
        <v>1005</v>
      </c>
      <c r="N153" s="8" t="s">
        <v>150</v>
      </c>
      <c r="O153" s="8"/>
      <c r="P153" s="8"/>
      <c r="Q153" s="8"/>
      <c r="R153" s="8"/>
      <c r="S153" s="8"/>
      <c r="T153" s="8"/>
      <c r="U153" s="8"/>
      <c r="V153" s="8"/>
      <c r="W153" s="8" t="s">
        <v>1005</v>
      </c>
      <c r="X153" s="8">
        <v>18.84</v>
      </c>
      <c r="Y153" s="8">
        <v>4.3899999999999997</v>
      </c>
      <c r="Z153" s="9">
        <v>5.52</v>
      </c>
      <c r="AA153" s="8">
        <v>2.1</v>
      </c>
      <c r="AB153" s="8">
        <v>35151</v>
      </c>
      <c r="AC153" s="21" t="s">
        <v>1005</v>
      </c>
      <c r="AD153" s="8" t="s">
        <v>3712</v>
      </c>
      <c r="AE153" s="8" t="s">
        <v>4083</v>
      </c>
      <c r="AF153" s="9">
        <f t="shared" si="32"/>
        <v>9.2189999999999994</v>
      </c>
      <c r="AG153" s="9">
        <f t="shared" si="33"/>
        <v>12.320000000000002</v>
      </c>
      <c r="AH153" s="9">
        <f t="shared" si="34"/>
        <v>1.8599048791504653E-2</v>
      </c>
      <c r="AI153" s="9">
        <f t="shared" si="35"/>
        <v>3.4592461594877072E-4</v>
      </c>
      <c r="AJ153" s="9">
        <f t="shared" si="36"/>
        <v>2.5196543424530315E-2</v>
      </c>
      <c r="AK153" s="9">
        <f t="shared" si="37"/>
        <v>6.3486580054424187E-4</v>
      </c>
      <c r="AL153" s="9">
        <f t="shared" si="38"/>
        <v>4.7070159562874074E-2</v>
      </c>
      <c r="AM153" s="9">
        <f t="shared" si="39"/>
        <v>2.2155999212744256E-3</v>
      </c>
      <c r="AN153" s="8" t="s">
        <v>1005</v>
      </c>
    </row>
    <row r="154" spans="13:40" ht="23">
      <c r="M154" s="9" t="s">
        <v>2632</v>
      </c>
      <c r="N154" s="8" t="s">
        <v>150</v>
      </c>
      <c r="O154" s="8"/>
      <c r="P154" s="8"/>
      <c r="Q154" s="8"/>
      <c r="R154" s="8"/>
      <c r="S154" s="8"/>
      <c r="T154" s="8"/>
      <c r="U154" s="8"/>
      <c r="V154" s="8"/>
      <c r="W154" s="9" t="s">
        <v>2632</v>
      </c>
      <c r="X154" s="8">
        <v>21.67</v>
      </c>
      <c r="Y154" s="8">
        <v>5.9</v>
      </c>
      <c r="Z154" s="9">
        <v>5.59</v>
      </c>
      <c r="AA154" s="8">
        <v>2</v>
      </c>
      <c r="AB154" s="8">
        <v>29366</v>
      </c>
      <c r="AC154" s="22" t="s">
        <v>2632</v>
      </c>
      <c r="AD154" s="8" t="s">
        <v>3712</v>
      </c>
      <c r="AE154" s="8" t="s">
        <v>4083</v>
      </c>
      <c r="AF154" s="9">
        <f t="shared" si="32"/>
        <v>11.8</v>
      </c>
      <c r="AG154" s="9">
        <f t="shared" si="33"/>
        <v>11.966666666666667</v>
      </c>
      <c r="AH154" s="9">
        <f t="shared" si="34"/>
        <v>1.7713379801433001E-2</v>
      </c>
      <c r="AI154" s="9">
        <f t="shared" si="35"/>
        <v>3.1376382398981464E-4</v>
      </c>
      <c r="AJ154" s="9">
        <f t="shared" si="36"/>
        <v>3.2250700988117775E-2</v>
      </c>
      <c r="AK154" s="9">
        <f t="shared" si="37"/>
        <v>1.0401077142249808E-3</v>
      </c>
      <c r="AL154" s="9">
        <f t="shared" si="38"/>
        <v>4.5720203687964804E-2</v>
      </c>
      <c r="AM154" s="9">
        <f t="shared" si="39"/>
        <v>2.0903370252689903E-3</v>
      </c>
      <c r="AN154" s="9" t="s">
        <v>2632</v>
      </c>
    </row>
    <row r="155" spans="13:40" ht="23">
      <c r="M155" s="9" t="s">
        <v>2393</v>
      </c>
      <c r="N155" s="8" t="s">
        <v>150</v>
      </c>
      <c r="O155" s="8"/>
      <c r="P155" s="8"/>
      <c r="Q155" s="8"/>
      <c r="R155" s="8"/>
      <c r="S155" s="8"/>
      <c r="T155" s="8"/>
      <c r="U155" s="8"/>
      <c r="V155" s="8"/>
      <c r="W155" s="9" t="s">
        <v>2393</v>
      </c>
      <c r="X155" s="8">
        <v>13.83</v>
      </c>
      <c r="Y155" s="8">
        <v>5.26</v>
      </c>
      <c r="Z155" s="9">
        <v>5.23</v>
      </c>
      <c r="AA155" s="8">
        <v>2</v>
      </c>
      <c r="AB155" s="8">
        <v>37676</v>
      </c>
      <c r="AC155" s="22" t="s">
        <v>2393</v>
      </c>
      <c r="AD155" s="8" t="s">
        <v>3712</v>
      </c>
      <c r="AE155" s="8" t="s">
        <v>4083</v>
      </c>
      <c r="AF155" s="9">
        <f t="shared" si="32"/>
        <v>10.52</v>
      </c>
      <c r="AG155" s="9">
        <f t="shared" si="33"/>
        <v>10.766666666666667</v>
      </c>
      <c r="AH155" s="9">
        <f t="shared" si="34"/>
        <v>1.7713379801433001E-2</v>
      </c>
      <c r="AI155" s="9">
        <f t="shared" si="35"/>
        <v>3.1376382398981464E-4</v>
      </c>
      <c r="AJ155" s="9">
        <f t="shared" si="36"/>
        <v>2.8752319863982967E-2</v>
      </c>
      <c r="AK155" s="9">
        <f t="shared" si="37"/>
        <v>8.2669589756078949E-4</v>
      </c>
      <c r="AL155" s="9">
        <f t="shared" si="38"/>
        <v>4.1135447886386158E-2</v>
      </c>
      <c r="AM155" s="9">
        <f t="shared" si="39"/>
        <v>1.6921250728135914E-3</v>
      </c>
      <c r="AN155" s="9" t="s">
        <v>2393</v>
      </c>
    </row>
    <row r="156" spans="13:40" ht="23">
      <c r="M156" s="8" t="s">
        <v>5067</v>
      </c>
      <c r="N156" s="8" t="s">
        <v>150</v>
      </c>
      <c r="O156" s="8"/>
      <c r="P156" s="8"/>
      <c r="Q156" s="8"/>
      <c r="R156" s="8"/>
      <c r="S156" s="8"/>
      <c r="T156" s="8"/>
      <c r="U156" s="8"/>
      <c r="V156" s="8"/>
      <c r="W156" s="8" t="s">
        <v>5067</v>
      </c>
      <c r="X156" s="8">
        <v>17.57</v>
      </c>
      <c r="Y156" s="8">
        <v>3.5</v>
      </c>
      <c r="Z156" s="9">
        <v>5.22</v>
      </c>
      <c r="AA156" s="8">
        <v>2</v>
      </c>
      <c r="AB156" s="8">
        <v>40495</v>
      </c>
      <c r="AC156" s="21" t="s">
        <v>5067</v>
      </c>
      <c r="AD156" s="8" t="s">
        <v>3712</v>
      </c>
      <c r="AE156" s="8" t="s">
        <v>4083</v>
      </c>
      <c r="AF156" s="9">
        <f t="shared" si="32"/>
        <v>7</v>
      </c>
      <c r="AG156" s="9">
        <f t="shared" si="33"/>
        <v>10.733333333333333</v>
      </c>
      <c r="AH156" s="9">
        <f t="shared" si="34"/>
        <v>1.7713379801433001E-2</v>
      </c>
      <c r="AI156" s="9">
        <f t="shared" si="35"/>
        <v>3.1376382398981464E-4</v>
      </c>
      <c r="AJ156" s="9">
        <f t="shared" si="36"/>
        <v>1.913177177261224E-2</v>
      </c>
      <c r="AK156" s="9">
        <f t="shared" si="37"/>
        <v>3.6602469115932249E-4</v>
      </c>
      <c r="AL156" s="9">
        <f t="shared" si="38"/>
        <v>4.1008093558564523E-2</v>
      </c>
      <c r="AM156" s="9">
        <f t="shared" si="39"/>
        <v>1.6816637373079811E-3</v>
      </c>
      <c r="AN156" s="8" t="s">
        <v>5067</v>
      </c>
    </row>
    <row r="157" spans="13:40" ht="23">
      <c r="M157" s="9" t="s">
        <v>3608</v>
      </c>
      <c r="N157" s="8" t="s">
        <v>2084</v>
      </c>
      <c r="O157" s="8"/>
      <c r="P157" s="8"/>
      <c r="Q157" s="8"/>
      <c r="R157" s="8"/>
      <c r="S157" s="8"/>
      <c r="T157" s="8"/>
      <c r="U157" s="8"/>
      <c r="V157" s="8"/>
      <c r="W157" s="9" t="s">
        <v>3608</v>
      </c>
      <c r="X157" s="8">
        <v>34.950000000000003</v>
      </c>
      <c r="Y157" s="8">
        <v>6</v>
      </c>
      <c r="Z157" s="9">
        <v>4.12</v>
      </c>
      <c r="AA157" s="8">
        <v>2</v>
      </c>
      <c r="AB157" s="8">
        <v>30586</v>
      </c>
      <c r="AC157" s="22" t="s">
        <v>3608</v>
      </c>
      <c r="AD157" s="8" t="s">
        <v>3712</v>
      </c>
      <c r="AE157" s="8" t="s">
        <v>4083</v>
      </c>
      <c r="AF157" s="9">
        <f t="shared" si="32"/>
        <v>12</v>
      </c>
      <c r="AG157" s="9">
        <f t="shared" si="33"/>
        <v>8.4</v>
      </c>
      <c r="AH157" s="9">
        <f t="shared" si="34"/>
        <v>1.7713379801433001E-2</v>
      </c>
      <c r="AI157" s="9">
        <f t="shared" si="35"/>
        <v>3.1376382398981464E-4</v>
      </c>
      <c r="AJ157" s="9">
        <f t="shared" si="36"/>
        <v>3.2797323038763843E-2</v>
      </c>
      <c r="AK157" s="9">
        <f t="shared" si="37"/>
        <v>1.0756643985090294E-3</v>
      </c>
      <c r="AL157" s="9">
        <f t="shared" si="38"/>
        <v>3.2093290611050498E-2</v>
      </c>
      <c r="AM157" s="9">
        <f t="shared" si="39"/>
        <v>1.0299793022453421E-3</v>
      </c>
      <c r="AN157" s="9" t="s">
        <v>3608</v>
      </c>
    </row>
    <row r="158" spans="13:40" ht="23">
      <c r="M158" s="9" t="s">
        <v>2594</v>
      </c>
      <c r="N158" s="8" t="s">
        <v>150</v>
      </c>
      <c r="O158" s="8"/>
      <c r="P158" s="8"/>
      <c r="Q158" s="8"/>
      <c r="R158" s="8"/>
      <c r="S158" s="8"/>
      <c r="T158" s="8"/>
      <c r="U158" s="8"/>
      <c r="V158" s="8"/>
      <c r="W158" s="9" t="s">
        <v>2594</v>
      </c>
      <c r="X158" s="8">
        <v>25.45</v>
      </c>
      <c r="Y158" s="8">
        <v>2.59</v>
      </c>
      <c r="Z158" s="9">
        <v>3.54</v>
      </c>
      <c r="AA158" s="8">
        <v>1.9</v>
      </c>
      <c r="AB158" s="8">
        <v>39139</v>
      </c>
      <c r="AC158" s="22" t="s">
        <v>2594</v>
      </c>
      <c r="AD158" s="8" t="s">
        <v>3712</v>
      </c>
      <c r="AE158" s="8" t="s">
        <v>4083</v>
      </c>
      <c r="AF158" s="9">
        <f t="shared" si="32"/>
        <v>4.9209999999999994</v>
      </c>
      <c r="AG158" s="9">
        <f t="shared" si="33"/>
        <v>7.4099999999999993</v>
      </c>
      <c r="AH158" s="9">
        <f t="shared" si="34"/>
        <v>1.6827710811361352E-2</v>
      </c>
      <c r="AI158" s="9">
        <f t="shared" si="35"/>
        <v>2.8317185115080774E-4</v>
      </c>
      <c r="AJ158" s="9">
        <f t="shared" si="36"/>
        <v>1.3449635556146401E-2</v>
      </c>
      <c r="AK158" s="9">
        <f t="shared" si="37"/>
        <v>1.8089269659315752E-4</v>
      </c>
      <c r="AL158" s="9">
        <f t="shared" si="38"/>
        <v>2.8310867074748117E-2</v>
      </c>
      <c r="AM158" s="9">
        <f t="shared" si="39"/>
        <v>8.0150519452405701E-4</v>
      </c>
      <c r="AN158" s="9" t="s">
        <v>2594</v>
      </c>
    </row>
    <row r="159" spans="13:40" ht="23">
      <c r="M159" s="8" t="s">
        <v>1230</v>
      </c>
      <c r="N159" s="8" t="s">
        <v>150</v>
      </c>
      <c r="O159" s="8"/>
      <c r="P159" s="8" t="s">
        <v>3691</v>
      </c>
      <c r="Q159" s="8"/>
      <c r="R159" s="8"/>
      <c r="S159" s="8"/>
      <c r="T159" s="8"/>
      <c r="U159" s="8"/>
      <c r="V159" s="8"/>
      <c r="W159" s="8" t="s">
        <v>1230</v>
      </c>
      <c r="X159" s="8">
        <v>25.82</v>
      </c>
      <c r="Y159" s="8">
        <v>2.61</v>
      </c>
      <c r="Z159" s="9">
        <v>2.58</v>
      </c>
      <c r="AA159" s="8">
        <v>1.9</v>
      </c>
      <c r="AB159" s="8">
        <v>41059</v>
      </c>
      <c r="AC159" s="21" t="s">
        <v>1230</v>
      </c>
      <c r="AD159" s="8" t="s">
        <v>3712</v>
      </c>
      <c r="AE159" s="8" t="s">
        <v>4083</v>
      </c>
      <c r="AF159" s="9">
        <f t="shared" si="32"/>
        <v>4.9589999999999996</v>
      </c>
      <c r="AG159" s="9">
        <f t="shared" si="33"/>
        <v>5.6366666666666667</v>
      </c>
      <c r="AH159" s="9">
        <f t="shared" si="34"/>
        <v>1.6827710811361352E-2</v>
      </c>
      <c r="AI159" s="9">
        <f t="shared" si="35"/>
        <v>2.8317185115080774E-4</v>
      </c>
      <c r="AJ159" s="9">
        <f t="shared" si="36"/>
        <v>1.3553493745769156E-2</v>
      </c>
      <c r="AK159" s="9">
        <f t="shared" si="37"/>
        <v>1.8369719271660363E-4</v>
      </c>
      <c r="AL159" s="9">
        <f t="shared" si="38"/>
        <v>2.153561683463746E-2</v>
      </c>
      <c r="AM159" s="9">
        <f t="shared" si="39"/>
        <v>4.6378279244832038E-4</v>
      </c>
      <c r="AN159" s="8" t="s">
        <v>1230</v>
      </c>
    </row>
    <row r="160" spans="13:40" ht="23">
      <c r="M160" s="8" t="s">
        <v>752</v>
      </c>
      <c r="N160" s="8" t="s">
        <v>150</v>
      </c>
      <c r="O160" s="8"/>
      <c r="P160" s="8"/>
      <c r="Q160" s="8"/>
      <c r="R160" s="8"/>
      <c r="S160" s="8"/>
      <c r="T160" s="8"/>
      <c r="U160" s="8"/>
      <c r="V160" s="8"/>
      <c r="W160" s="8" t="s">
        <v>752</v>
      </c>
      <c r="X160" s="8">
        <v>24.02</v>
      </c>
      <c r="Y160" s="8">
        <v>3.04</v>
      </c>
      <c r="Z160" s="9">
        <v>2.39</v>
      </c>
      <c r="AA160" s="8">
        <v>1.9</v>
      </c>
      <c r="AB160" s="8">
        <v>43670</v>
      </c>
      <c r="AC160" s="21" t="s">
        <v>752</v>
      </c>
      <c r="AD160" s="8" t="s">
        <v>3712</v>
      </c>
      <c r="AE160" s="8" t="s">
        <v>4083</v>
      </c>
      <c r="AF160" s="9">
        <f t="shared" si="32"/>
        <v>5.7759999999999998</v>
      </c>
      <c r="AG160" s="9">
        <f t="shared" si="33"/>
        <v>5.0349999999999993</v>
      </c>
      <c r="AH160" s="9">
        <f t="shared" si="34"/>
        <v>1.6827710811361352E-2</v>
      </c>
      <c r="AI160" s="9">
        <f t="shared" si="35"/>
        <v>2.8317185115080774E-4</v>
      </c>
      <c r="AJ160" s="9">
        <f t="shared" si="36"/>
        <v>1.5786444822658327E-2</v>
      </c>
      <c r="AK160" s="9">
        <f t="shared" si="37"/>
        <v>2.4921184013883588E-4</v>
      </c>
      <c r="AL160" s="9">
        <f t="shared" si="38"/>
        <v>1.9236871217457055E-2</v>
      </c>
      <c r="AM160" s="9">
        <f t="shared" si="39"/>
        <v>3.7005721423702767E-4</v>
      </c>
      <c r="AN160" s="8" t="s">
        <v>752</v>
      </c>
    </row>
    <row r="161" spans="13:40" ht="23">
      <c r="M161" s="8" t="s">
        <v>1076</v>
      </c>
      <c r="N161" s="8" t="s">
        <v>150</v>
      </c>
      <c r="O161" s="8"/>
      <c r="P161" s="8"/>
      <c r="Q161" s="8"/>
      <c r="R161" s="8"/>
      <c r="S161" s="8"/>
      <c r="T161" s="8"/>
      <c r="U161" s="8"/>
      <c r="V161" s="8"/>
      <c r="W161" s="8" t="s">
        <v>1076</v>
      </c>
      <c r="X161" s="8">
        <v>41.66</v>
      </c>
      <c r="Y161" s="8">
        <v>15.28</v>
      </c>
      <c r="Z161" s="9">
        <v>10.23</v>
      </c>
      <c r="AA161" s="8">
        <v>1.8</v>
      </c>
      <c r="AB161" s="8">
        <v>24498</v>
      </c>
      <c r="AC161" s="21" t="s">
        <v>1076</v>
      </c>
      <c r="AD161" s="8" t="s">
        <v>3712</v>
      </c>
      <c r="AE161" s="8" t="s">
        <v>4083</v>
      </c>
      <c r="AF161" s="9">
        <f t="shared" si="32"/>
        <v>27.503999999999998</v>
      </c>
      <c r="AG161" s="9">
        <f t="shared" si="33"/>
        <v>18.690000000000001</v>
      </c>
      <c r="AH161" s="9">
        <f t="shared" si="34"/>
        <v>1.5942041821289703E-2</v>
      </c>
      <c r="AI161" s="9">
        <f t="shared" si="35"/>
        <v>2.5414869743174993E-4</v>
      </c>
      <c r="AJ161" s="9">
        <f t="shared" si="36"/>
        <v>7.5171464404846719E-2</v>
      </c>
      <c r="AK161" s="9">
        <f t="shared" si="37"/>
        <v>5.6507490607691372E-3</v>
      </c>
      <c r="AL161" s="9">
        <f t="shared" si="38"/>
        <v>7.140757160958737E-2</v>
      </c>
      <c r="AM161" s="9">
        <f t="shared" si="39"/>
        <v>5.0990412831783483E-3</v>
      </c>
      <c r="AN161" s="8" t="s">
        <v>1076</v>
      </c>
    </row>
    <row r="162" spans="13:40" ht="23">
      <c r="M162" s="9" t="s">
        <v>2182</v>
      </c>
      <c r="N162" s="8" t="s">
        <v>150</v>
      </c>
      <c r="O162" s="8"/>
      <c r="P162" s="8"/>
      <c r="Q162" s="8"/>
      <c r="R162" s="8"/>
      <c r="S162" s="8"/>
      <c r="T162" s="8"/>
      <c r="U162" s="8"/>
      <c r="V162" s="8"/>
      <c r="W162" s="9" t="s">
        <v>2182</v>
      </c>
      <c r="X162" s="8">
        <v>39.229999999999997</v>
      </c>
      <c r="Y162" s="8">
        <v>7.55</v>
      </c>
      <c r="Z162" s="9">
        <v>6.01</v>
      </c>
      <c r="AA162" s="8">
        <v>1.8</v>
      </c>
      <c r="AB162" s="8">
        <v>33006</v>
      </c>
      <c r="AC162" s="22" t="s">
        <v>2182</v>
      </c>
      <c r="AD162" s="8" t="s">
        <v>3712</v>
      </c>
      <c r="AE162" s="8" t="s">
        <v>4083</v>
      </c>
      <c r="AF162" s="9">
        <f t="shared" ref="AF162:AF180" si="40">(AA162*Y162)</f>
        <v>13.59</v>
      </c>
      <c r="AG162" s="9">
        <f t="shared" ref="AG162:AG180" si="41">((((RIGHT(Z162,2))/60)+(LEFT(Z162,2)))*AA162)</f>
        <v>10.83</v>
      </c>
      <c r="AH162" s="9">
        <f t="shared" ref="AH162:AH180" si="42">(AA162/$AA$181)*100</f>
        <v>1.5942041821289703E-2</v>
      </c>
      <c r="AI162" s="9">
        <f t="shared" ref="AI162:AI180" si="43">(AH162*AH162)</f>
        <v>2.5414869743174993E-4</v>
      </c>
      <c r="AJ162" s="9">
        <f t="shared" ref="AJ162:AJ180" si="44">(AF162/$AF$181)*100</f>
        <v>3.7142968341400046E-2</v>
      </c>
      <c r="AK162" s="9">
        <f t="shared" ref="AK162:AK180" si="45">(AJ162*AJ162)</f>
        <v>1.3796000972102461E-3</v>
      </c>
      <c r="AL162" s="9">
        <f t="shared" ref="AL162:AL180" si="46">(AG162/$AG$181)*100</f>
        <v>4.1377421109247255E-2</v>
      </c>
      <c r="AM162" s="9">
        <f t="shared" ref="AM162:AM180" si="47">(AL162*AL162)</f>
        <v>1.7120909776519803E-3</v>
      </c>
      <c r="AN162" s="9" t="s">
        <v>2182</v>
      </c>
    </row>
    <row r="163" spans="13:40" ht="23">
      <c r="M163" s="9" t="s">
        <v>2250</v>
      </c>
      <c r="N163" s="8" t="s">
        <v>150</v>
      </c>
      <c r="O163" s="8"/>
      <c r="P163" s="8" t="s">
        <v>3691</v>
      </c>
      <c r="Q163" s="8"/>
      <c r="R163" s="8"/>
      <c r="S163" s="8"/>
      <c r="T163" s="8"/>
      <c r="U163" s="8"/>
      <c r="V163" s="8"/>
      <c r="W163" s="9" t="s">
        <v>2250</v>
      </c>
      <c r="X163" s="8">
        <v>34</v>
      </c>
      <c r="Y163" s="8">
        <v>5.54</v>
      </c>
      <c r="Z163" s="9">
        <v>8.34</v>
      </c>
      <c r="AA163" s="8">
        <v>1.7</v>
      </c>
      <c r="AB163" s="8">
        <v>33811</v>
      </c>
      <c r="AC163" s="22" t="s">
        <v>2250</v>
      </c>
      <c r="AD163" s="8" t="s">
        <v>3712</v>
      </c>
      <c r="AE163" s="8" t="s">
        <v>4083</v>
      </c>
      <c r="AF163" s="9">
        <f t="shared" si="40"/>
        <v>9.4179999999999993</v>
      </c>
      <c r="AG163" s="9">
        <f t="shared" si="41"/>
        <v>14.563333333333333</v>
      </c>
      <c r="AH163" s="9">
        <f t="shared" si="42"/>
        <v>1.5056372831218051E-2</v>
      </c>
      <c r="AI163" s="9">
        <f t="shared" si="43"/>
        <v>2.2669436283264107E-4</v>
      </c>
      <c r="AJ163" s="9">
        <f t="shared" si="44"/>
        <v>2.5740432364923151E-2</v>
      </c>
      <c r="AK163" s="9">
        <f t="shared" si="45"/>
        <v>6.6256985833318329E-4</v>
      </c>
      <c r="AL163" s="9">
        <f t="shared" si="46"/>
        <v>5.5641105825269696E-2</v>
      </c>
      <c r="AM163" s="9">
        <f t="shared" si="47"/>
        <v>3.0959326574588612E-3</v>
      </c>
      <c r="AN163" s="9" t="s">
        <v>2250</v>
      </c>
    </row>
    <row r="164" spans="13:40" ht="23">
      <c r="M164" s="8" t="s">
        <v>1994</v>
      </c>
      <c r="N164" s="8" t="s">
        <v>1990</v>
      </c>
      <c r="O164" s="8"/>
      <c r="P164" s="8" t="s">
        <v>3700</v>
      </c>
      <c r="Q164" s="8"/>
      <c r="R164" s="8"/>
      <c r="S164" s="8"/>
      <c r="T164" s="8"/>
      <c r="U164" s="8"/>
      <c r="V164" s="8"/>
      <c r="W164" s="8" t="s">
        <v>1994</v>
      </c>
      <c r="X164" s="8">
        <v>32.74</v>
      </c>
      <c r="Y164" s="8">
        <v>4.71</v>
      </c>
      <c r="Z164" s="9">
        <v>6.24</v>
      </c>
      <c r="AA164" s="8">
        <v>1.7</v>
      </c>
      <c r="AB164" s="8">
        <v>37146</v>
      </c>
      <c r="AC164" s="21" t="s">
        <v>1994</v>
      </c>
      <c r="AD164" s="8" t="s">
        <v>3712</v>
      </c>
      <c r="AE164" s="8" t="s">
        <v>4083</v>
      </c>
      <c r="AF164" s="9">
        <f t="shared" si="40"/>
        <v>8.0069999999999997</v>
      </c>
      <c r="AG164" s="9">
        <f t="shared" si="41"/>
        <v>10.88</v>
      </c>
      <c r="AH164" s="9">
        <f t="shared" si="42"/>
        <v>1.5056372831218051E-2</v>
      </c>
      <c r="AI164" s="9">
        <f t="shared" si="43"/>
        <v>2.2669436283264107E-4</v>
      </c>
      <c r="AJ164" s="9">
        <f t="shared" si="44"/>
        <v>2.1884013797615169E-2</v>
      </c>
      <c r="AK164" s="9">
        <f t="shared" si="45"/>
        <v>4.789100598942111E-4</v>
      </c>
      <c r="AL164" s="9">
        <f t="shared" si="46"/>
        <v>4.1568452600979702E-2</v>
      </c>
      <c r="AM164" s="9">
        <f t="shared" si="47"/>
        <v>1.7279362516398962E-3</v>
      </c>
      <c r="AN164" s="8" t="s">
        <v>1994</v>
      </c>
    </row>
    <row r="165" spans="13:40" ht="23">
      <c r="M165" s="9" t="s">
        <v>2688</v>
      </c>
      <c r="N165" s="8" t="s">
        <v>1614</v>
      </c>
      <c r="O165" s="8"/>
      <c r="P165" s="8"/>
      <c r="Q165" s="8"/>
      <c r="R165" s="8"/>
      <c r="S165" s="8"/>
      <c r="T165" s="8"/>
      <c r="U165" s="8"/>
      <c r="V165" s="8"/>
      <c r="W165" s="9" t="s">
        <v>2688</v>
      </c>
      <c r="X165" s="8">
        <v>7.5</v>
      </c>
      <c r="Y165" s="8">
        <v>3.62</v>
      </c>
      <c r="Z165" s="9">
        <v>5.54</v>
      </c>
      <c r="AA165" s="8">
        <v>1.7</v>
      </c>
      <c r="AB165" s="8">
        <v>53824</v>
      </c>
      <c r="AC165" s="22" t="s">
        <v>2688</v>
      </c>
      <c r="AD165" s="8" t="s">
        <v>3712</v>
      </c>
      <c r="AE165" s="8" t="s">
        <v>4083</v>
      </c>
      <c r="AF165" s="9">
        <f t="shared" si="40"/>
        <v>6.1539999999999999</v>
      </c>
      <c r="AG165" s="9">
        <f t="shared" si="41"/>
        <v>10.030000000000001</v>
      </c>
      <c r="AH165" s="9">
        <f t="shared" si="42"/>
        <v>1.5056372831218051E-2</v>
      </c>
      <c r="AI165" s="9">
        <f t="shared" si="43"/>
        <v>2.2669436283264107E-4</v>
      </c>
      <c r="AJ165" s="9">
        <f t="shared" si="44"/>
        <v>1.6819560498379387E-2</v>
      </c>
      <c r="AK165" s="9">
        <f t="shared" si="45"/>
        <v>2.8289761535864425E-4</v>
      </c>
      <c r="AL165" s="9">
        <f t="shared" si="46"/>
        <v>3.8320917241528162E-2</v>
      </c>
      <c r="AM165" s="9">
        <f t="shared" si="47"/>
        <v>1.4684926982320504E-3</v>
      </c>
      <c r="AN165" s="9" t="s">
        <v>2688</v>
      </c>
    </row>
    <row r="166" spans="13:40" ht="23">
      <c r="M166" s="8" t="s">
        <v>476</v>
      </c>
      <c r="N166" s="8" t="s">
        <v>150</v>
      </c>
      <c r="O166" s="8"/>
      <c r="P166" s="8"/>
      <c r="Q166" s="8"/>
      <c r="R166" s="8"/>
      <c r="S166" s="8"/>
      <c r="T166" s="8"/>
      <c r="U166" s="8"/>
      <c r="V166" s="8"/>
      <c r="W166" s="8" t="s">
        <v>476</v>
      </c>
      <c r="X166" s="8">
        <v>41.39</v>
      </c>
      <c r="Y166" s="8">
        <v>1.67</v>
      </c>
      <c r="Z166" s="9">
        <v>1.3</v>
      </c>
      <c r="AA166" s="8">
        <v>1.7</v>
      </c>
      <c r="AB166" s="8">
        <v>58241</v>
      </c>
      <c r="AC166" s="21" t="s">
        <v>476</v>
      </c>
      <c r="AD166" s="8" t="s">
        <v>3712</v>
      </c>
      <c r="AE166" s="8" t="s">
        <v>4083</v>
      </c>
      <c r="AF166" s="9">
        <f t="shared" si="40"/>
        <v>2.839</v>
      </c>
      <c r="AG166" s="9">
        <f t="shared" si="41"/>
        <v>1.7084999999999997</v>
      </c>
      <c r="AH166" s="9">
        <f t="shared" si="42"/>
        <v>1.5056372831218051E-2</v>
      </c>
      <c r="AI166" s="9">
        <f t="shared" si="43"/>
        <v>2.2669436283264107E-4</v>
      </c>
      <c r="AJ166" s="9">
        <f t="shared" si="44"/>
        <v>7.7593000089208782E-3</v>
      </c>
      <c r="AK166" s="9">
        <f t="shared" si="45"/>
        <v>6.020673662843954E-5</v>
      </c>
      <c r="AL166" s="9">
        <f t="shared" si="46"/>
        <v>6.5275460724975917E-3</v>
      </c>
      <c r="AM166" s="9">
        <f t="shared" si="47"/>
        <v>4.2608857728578737E-5</v>
      </c>
      <c r="AN166" s="8" t="s">
        <v>476</v>
      </c>
    </row>
    <row r="167" spans="13:40" ht="23">
      <c r="M167" s="8" t="s">
        <v>288</v>
      </c>
      <c r="N167" s="8" t="s">
        <v>150</v>
      </c>
      <c r="O167" s="8"/>
      <c r="P167" s="8"/>
      <c r="Q167" s="8"/>
      <c r="R167" s="8"/>
      <c r="S167" s="8"/>
      <c r="T167" s="8"/>
      <c r="U167" s="8"/>
      <c r="V167" s="8"/>
      <c r="W167" s="8" t="s">
        <v>288</v>
      </c>
      <c r="X167" s="8">
        <v>59.62</v>
      </c>
      <c r="Y167" s="8">
        <v>1.71</v>
      </c>
      <c r="Z167" s="9">
        <v>0.38</v>
      </c>
      <c r="AA167" s="8">
        <v>1.7</v>
      </c>
      <c r="AB167" s="8">
        <v>54148</v>
      </c>
      <c r="AC167" s="21" t="s">
        <v>288</v>
      </c>
      <c r="AD167" s="8" t="s">
        <v>3712</v>
      </c>
      <c r="AE167" s="8" t="s">
        <v>4083</v>
      </c>
      <c r="AF167" s="9">
        <f t="shared" si="40"/>
        <v>2.907</v>
      </c>
      <c r="AG167" s="9">
        <f t="shared" si="41"/>
        <v>1.0766666666666667</v>
      </c>
      <c r="AH167" s="9">
        <f t="shared" si="42"/>
        <v>1.5056372831218051E-2</v>
      </c>
      <c r="AI167" s="9">
        <f t="shared" si="43"/>
        <v>2.2669436283264107E-4</v>
      </c>
      <c r="AJ167" s="9">
        <f t="shared" si="44"/>
        <v>7.9451515061405402E-3</v>
      </c>
      <c r="AK167" s="9">
        <f t="shared" si="45"/>
        <v>6.3125432455527297E-5</v>
      </c>
      <c r="AL167" s="9">
        <f t="shared" si="46"/>
        <v>4.1135447886386164E-3</v>
      </c>
      <c r="AM167" s="9">
        <f t="shared" si="47"/>
        <v>1.6921250728135918E-5</v>
      </c>
      <c r="AN167" s="8" t="s">
        <v>288</v>
      </c>
    </row>
    <row r="168" spans="13:40" ht="23">
      <c r="M168" s="9" t="s">
        <v>2680</v>
      </c>
      <c r="N168" s="8" t="s">
        <v>150</v>
      </c>
      <c r="O168" s="8"/>
      <c r="P168" s="8"/>
      <c r="Q168" s="8"/>
      <c r="R168" s="8"/>
      <c r="S168" s="8"/>
      <c r="T168" s="8"/>
      <c r="U168" s="8"/>
      <c r="V168" s="8"/>
      <c r="W168" s="9" t="s">
        <v>2680</v>
      </c>
      <c r="X168" s="8">
        <v>30.71</v>
      </c>
      <c r="Y168" s="8">
        <v>2.11</v>
      </c>
      <c r="Z168" s="9">
        <v>2.21</v>
      </c>
      <c r="AA168" s="8">
        <v>1.6</v>
      </c>
      <c r="AB168" s="8">
        <v>54559</v>
      </c>
      <c r="AC168" s="22" t="s">
        <v>2680</v>
      </c>
      <c r="AD168" s="8" t="s">
        <v>3712</v>
      </c>
      <c r="AE168" s="8" t="s">
        <v>4083</v>
      </c>
      <c r="AF168" s="9">
        <f t="shared" si="40"/>
        <v>3.3759999999999999</v>
      </c>
      <c r="AG168" s="9">
        <f t="shared" si="41"/>
        <v>3.7600000000000002</v>
      </c>
      <c r="AH168" s="9">
        <f t="shared" si="42"/>
        <v>1.4170703841146401E-2</v>
      </c>
      <c r="AI168" s="9">
        <f t="shared" si="43"/>
        <v>2.0080884735348135E-4</v>
      </c>
      <c r="AJ168" s="9">
        <f t="shared" si="44"/>
        <v>9.2269802149055596E-3</v>
      </c>
      <c r="AK168" s="9">
        <f t="shared" si="45"/>
        <v>8.5137163886258644E-5</v>
      </c>
      <c r="AL168" s="9">
        <f t="shared" si="46"/>
        <v>1.4365568178279747E-2</v>
      </c>
      <c r="AM168" s="9">
        <f t="shared" si="47"/>
        <v>2.063695490848037E-4</v>
      </c>
      <c r="AN168" s="9" t="s">
        <v>2680</v>
      </c>
    </row>
    <row r="169" spans="13:40" ht="23">
      <c r="M169" s="8" t="s">
        <v>821</v>
      </c>
      <c r="N169" s="8" t="s">
        <v>150</v>
      </c>
      <c r="O169" s="8"/>
      <c r="P169" s="8" t="s">
        <v>3691</v>
      </c>
      <c r="Q169" s="8"/>
      <c r="R169" s="8"/>
      <c r="S169" s="8"/>
      <c r="T169" s="8"/>
      <c r="U169" s="8"/>
      <c r="V169" s="8"/>
      <c r="W169" s="8" t="s">
        <v>821</v>
      </c>
      <c r="X169" s="8">
        <v>62.94</v>
      </c>
      <c r="Y169" s="8">
        <v>2.16</v>
      </c>
      <c r="Z169" s="9">
        <v>1.03</v>
      </c>
      <c r="AA169" s="8">
        <v>1.6</v>
      </c>
      <c r="AB169" s="8"/>
      <c r="AC169" s="21" t="s">
        <v>821</v>
      </c>
      <c r="AD169" s="8" t="s">
        <v>3712</v>
      </c>
      <c r="AE169" s="8" t="s">
        <v>4083</v>
      </c>
      <c r="AF169" s="9">
        <f t="shared" si="40"/>
        <v>3.4560000000000004</v>
      </c>
      <c r="AG169" s="9">
        <f t="shared" si="41"/>
        <v>1.6800000000000002</v>
      </c>
      <c r="AH169" s="9">
        <f t="shared" si="42"/>
        <v>1.4170703841146401E-2</v>
      </c>
      <c r="AI169" s="9">
        <f t="shared" si="43"/>
        <v>2.0080884735348135E-4</v>
      </c>
      <c r="AJ169" s="9">
        <f t="shared" si="44"/>
        <v>9.4456290351639868E-3</v>
      </c>
      <c r="AK169" s="9">
        <f t="shared" si="45"/>
        <v>8.9219907869932946E-5</v>
      </c>
      <c r="AL169" s="9">
        <f t="shared" si="46"/>
        <v>6.4186581222101004E-3</v>
      </c>
      <c r="AM169" s="9">
        <f t="shared" si="47"/>
        <v>4.1199172089813689E-5</v>
      </c>
      <c r="AN169" s="8" t="s">
        <v>821</v>
      </c>
    </row>
    <row r="170" spans="13:40" ht="23">
      <c r="M170" s="9" t="s">
        <v>2402</v>
      </c>
      <c r="N170" s="8" t="s">
        <v>150</v>
      </c>
      <c r="O170" s="8"/>
      <c r="P170" s="8"/>
      <c r="Q170" s="8"/>
      <c r="R170" s="8"/>
      <c r="S170" s="8"/>
      <c r="T170" s="8"/>
      <c r="U170" s="8"/>
      <c r="V170" s="8"/>
      <c r="W170" s="9" t="s">
        <v>2402</v>
      </c>
      <c r="X170" s="8">
        <v>47.91</v>
      </c>
      <c r="Y170" s="8">
        <v>2.1</v>
      </c>
      <c r="Z170" s="9">
        <v>0.19</v>
      </c>
      <c r="AA170" s="8">
        <v>1.6</v>
      </c>
      <c r="AB170" s="8">
        <v>50636</v>
      </c>
      <c r="AC170" s="22" t="s">
        <v>2402</v>
      </c>
      <c r="AD170" s="8" t="s">
        <v>3712</v>
      </c>
      <c r="AE170" s="8" t="s">
        <v>4083</v>
      </c>
      <c r="AF170" s="9">
        <f t="shared" si="40"/>
        <v>3.3600000000000003</v>
      </c>
      <c r="AG170" s="9">
        <f t="shared" si="41"/>
        <v>0.50666666666666671</v>
      </c>
      <c r="AH170" s="9">
        <f t="shared" si="42"/>
        <v>1.4170703841146401E-2</v>
      </c>
      <c r="AI170" s="9">
        <f t="shared" si="43"/>
        <v>2.0080884735348135E-4</v>
      </c>
      <c r="AJ170" s="9">
        <f t="shared" si="44"/>
        <v>9.1832504508538755E-3</v>
      </c>
      <c r="AK170" s="9">
        <f t="shared" si="45"/>
        <v>8.4332088843107911E-5</v>
      </c>
      <c r="AL170" s="9">
        <f t="shared" si="46"/>
        <v>1.9357857828887605E-3</v>
      </c>
      <c r="AM170" s="9">
        <f t="shared" si="47"/>
        <v>3.7472665972342516E-6</v>
      </c>
      <c r="AN170" s="9" t="s">
        <v>2402</v>
      </c>
    </row>
    <row r="171" spans="13:40" ht="23">
      <c r="M171" s="9" t="s">
        <v>4666</v>
      </c>
      <c r="N171" s="8" t="s">
        <v>150</v>
      </c>
      <c r="O171" s="8"/>
      <c r="P171" s="8"/>
      <c r="Q171" s="8"/>
      <c r="R171" s="8"/>
      <c r="S171" s="8"/>
      <c r="T171" s="8"/>
      <c r="U171" s="8"/>
      <c r="V171" s="8"/>
      <c r="W171" s="9" t="s">
        <v>4666</v>
      </c>
      <c r="X171" s="8">
        <v>27.68</v>
      </c>
      <c r="Y171" s="8">
        <v>3.41</v>
      </c>
      <c r="Z171" s="9">
        <v>1.26</v>
      </c>
      <c r="AA171" s="8">
        <v>1.5</v>
      </c>
      <c r="AB171" s="8">
        <v>45872</v>
      </c>
      <c r="AC171" s="22" t="s">
        <v>4666</v>
      </c>
      <c r="AD171" s="8" t="s">
        <v>3712</v>
      </c>
      <c r="AE171" s="8" t="s">
        <v>4083</v>
      </c>
      <c r="AF171" s="9">
        <f t="shared" si="40"/>
        <v>5.1150000000000002</v>
      </c>
      <c r="AG171" s="9">
        <f t="shared" si="41"/>
        <v>2.15</v>
      </c>
      <c r="AH171" s="9">
        <f t="shared" si="42"/>
        <v>1.328503485107475E-2</v>
      </c>
      <c r="AI171" s="9">
        <f t="shared" si="43"/>
        <v>1.7649215099427071E-4</v>
      </c>
      <c r="AJ171" s="9">
        <f t="shared" si="44"/>
        <v>1.3979858945273088E-2</v>
      </c>
      <c r="AK171" s="9">
        <f t="shared" si="45"/>
        <v>1.95436456129732E-4</v>
      </c>
      <c r="AL171" s="9">
        <f t="shared" si="46"/>
        <v>8.2143541444950688E-3</v>
      </c>
      <c r="AM171" s="9">
        <f t="shared" si="47"/>
        <v>6.7475614011183315E-5</v>
      </c>
      <c r="AN171" s="9" t="s">
        <v>4666</v>
      </c>
    </row>
    <row r="172" spans="13:40" ht="23">
      <c r="M172" s="9" t="s">
        <v>5098</v>
      </c>
      <c r="N172" s="8" t="s">
        <v>1717</v>
      </c>
      <c r="O172" s="8"/>
      <c r="P172" s="8"/>
      <c r="Q172" s="8"/>
      <c r="R172" s="8"/>
      <c r="S172" s="8"/>
      <c r="T172" s="8"/>
      <c r="U172" s="8"/>
      <c r="V172" s="8"/>
      <c r="W172" s="9" t="s">
        <v>5098</v>
      </c>
      <c r="X172" s="8">
        <v>22.71</v>
      </c>
      <c r="Y172" s="8">
        <v>2.4500000000000002</v>
      </c>
      <c r="Z172" s="9">
        <v>2.36</v>
      </c>
      <c r="AA172" s="8">
        <v>1.3</v>
      </c>
      <c r="AB172" s="8">
        <v>80408</v>
      </c>
      <c r="AC172" s="22" t="s">
        <v>5098</v>
      </c>
      <c r="AD172" s="8" t="s">
        <v>4497</v>
      </c>
      <c r="AE172" s="8" t="s">
        <v>4083</v>
      </c>
      <c r="AF172" s="9">
        <f t="shared" si="40"/>
        <v>3.1850000000000005</v>
      </c>
      <c r="AG172" s="9">
        <f t="shared" si="41"/>
        <v>3.3800000000000003</v>
      </c>
      <c r="AH172" s="9">
        <f t="shared" si="42"/>
        <v>1.1513696870931451E-2</v>
      </c>
      <c r="AI172" s="9">
        <f t="shared" si="43"/>
        <v>1.3256521563569668E-4</v>
      </c>
      <c r="AJ172" s="9">
        <f t="shared" si="44"/>
        <v>8.7049561565385701E-3</v>
      </c>
      <c r="AK172" s="9">
        <f t="shared" si="45"/>
        <v>7.577626168725875E-5</v>
      </c>
      <c r="AL172" s="9">
        <f t="shared" si="46"/>
        <v>1.2913728841113178E-2</v>
      </c>
      <c r="AM172" s="9">
        <f t="shared" si="47"/>
        <v>1.6676439258179831E-4</v>
      </c>
      <c r="AN172" s="9" t="s">
        <v>5098</v>
      </c>
    </row>
    <row r="173" spans="13:40" ht="23">
      <c r="M173" s="9" t="s">
        <v>3374</v>
      </c>
      <c r="N173" s="8" t="s">
        <v>1964</v>
      </c>
      <c r="O173" s="8"/>
      <c r="P173" s="8"/>
      <c r="Q173" s="8"/>
      <c r="R173" s="8"/>
      <c r="S173" s="8"/>
      <c r="T173" s="8"/>
      <c r="U173" s="8"/>
      <c r="V173" s="8"/>
      <c r="W173" s="9" t="s">
        <v>3374</v>
      </c>
      <c r="X173" s="8">
        <v>47.94</v>
      </c>
      <c r="Y173" s="8">
        <v>1.63</v>
      </c>
      <c r="Z173" s="9">
        <v>0.49</v>
      </c>
      <c r="AA173" s="8">
        <v>1.3</v>
      </c>
      <c r="AB173" s="8">
        <v>61664</v>
      </c>
      <c r="AC173" s="22" t="s">
        <v>3374</v>
      </c>
      <c r="AD173" s="8" t="s">
        <v>3712</v>
      </c>
      <c r="AE173" s="8" t="s">
        <v>4083</v>
      </c>
      <c r="AF173" s="9">
        <f t="shared" si="40"/>
        <v>2.1189999999999998</v>
      </c>
      <c r="AG173" s="9">
        <f t="shared" si="41"/>
        <v>1.0616666666666668</v>
      </c>
      <c r="AH173" s="9">
        <f t="shared" si="42"/>
        <v>1.1513696870931451E-2</v>
      </c>
      <c r="AI173" s="9">
        <f t="shared" si="43"/>
        <v>1.3256521563569668E-4</v>
      </c>
      <c r="AJ173" s="9">
        <f t="shared" si="44"/>
        <v>5.7914606265950476E-3</v>
      </c>
      <c r="AK173" s="9">
        <f t="shared" si="45"/>
        <v>3.3541016189400701E-5</v>
      </c>
      <c r="AL173" s="9">
        <f t="shared" si="46"/>
        <v>4.0562353411188832E-3</v>
      </c>
      <c r="AM173" s="9">
        <f t="shared" si="47"/>
        <v>1.6453045142541821E-5</v>
      </c>
      <c r="AN173" s="9" t="s">
        <v>3374</v>
      </c>
    </row>
    <row r="174" spans="13:40" ht="23">
      <c r="M174" s="8" t="s">
        <v>1205</v>
      </c>
      <c r="N174" s="8" t="s">
        <v>150</v>
      </c>
      <c r="O174" s="8"/>
      <c r="P174" s="8"/>
      <c r="Q174" s="8"/>
      <c r="R174" s="8"/>
      <c r="S174" s="8"/>
      <c r="T174" s="8"/>
      <c r="U174" s="8"/>
      <c r="V174" s="8"/>
      <c r="W174" s="8" t="s">
        <v>1205</v>
      </c>
      <c r="X174" s="8">
        <v>58.39</v>
      </c>
      <c r="Y174" s="8">
        <v>1.82</v>
      </c>
      <c r="Z174" s="9">
        <v>0.24</v>
      </c>
      <c r="AA174" s="8">
        <v>1.3</v>
      </c>
      <c r="AB174" s="8">
        <v>62570</v>
      </c>
      <c r="AC174" s="21" t="s">
        <v>1205</v>
      </c>
      <c r="AD174" s="8" t="s">
        <v>3712</v>
      </c>
      <c r="AE174" s="8" t="s">
        <v>4083</v>
      </c>
      <c r="AF174" s="9">
        <f t="shared" si="40"/>
        <v>2.3660000000000001</v>
      </c>
      <c r="AG174" s="9">
        <f t="shared" si="41"/>
        <v>0.52</v>
      </c>
      <c r="AH174" s="9">
        <f t="shared" si="42"/>
        <v>1.1513696870931451E-2</v>
      </c>
      <c r="AI174" s="9">
        <f t="shared" si="43"/>
        <v>1.3256521563569668E-4</v>
      </c>
      <c r="AJ174" s="9">
        <f t="shared" si="44"/>
        <v>6.4665388591429373E-3</v>
      </c>
      <c r="AK174" s="9">
        <f t="shared" si="45"/>
        <v>4.1816124816805641E-5</v>
      </c>
      <c r="AL174" s="9">
        <f t="shared" si="46"/>
        <v>1.9867275140174122E-3</v>
      </c>
      <c r="AM174" s="9">
        <f t="shared" si="47"/>
        <v>3.9470862149538066E-6</v>
      </c>
      <c r="AN174" s="8" t="s">
        <v>1205</v>
      </c>
    </row>
    <row r="175" spans="13:40" ht="23">
      <c r="M175" s="8" t="s">
        <v>4665</v>
      </c>
      <c r="N175" s="8" t="s">
        <v>150</v>
      </c>
      <c r="O175" s="8"/>
      <c r="P175" s="8"/>
      <c r="Q175" s="8"/>
      <c r="R175" s="8"/>
      <c r="S175" s="8"/>
      <c r="T175" s="8"/>
      <c r="U175" s="8"/>
      <c r="V175" s="8"/>
      <c r="W175" s="8" t="s">
        <v>4665</v>
      </c>
      <c r="X175" s="8">
        <v>9.69</v>
      </c>
      <c r="Y175" s="8">
        <v>3.89</v>
      </c>
      <c r="Z175" s="9">
        <v>5.48</v>
      </c>
      <c r="AA175" s="8">
        <v>1.2</v>
      </c>
      <c r="AB175" s="8">
        <v>47660</v>
      </c>
      <c r="AC175" s="21" t="s">
        <v>4665</v>
      </c>
      <c r="AD175" s="8" t="s">
        <v>3712</v>
      </c>
      <c r="AE175" s="8" t="s">
        <v>4083</v>
      </c>
      <c r="AF175" s="9">
        <f t="shared" si="40"/>
        <v>4.6680000000000001</v>
      </c>
      <c r="AG175" s="9">
        <f t="shared" si="41"/>
        <v>6.96</v>
      </c>
      <c r="AH175" s="9">
        <f t="shared" si="42"/>
        <v>1.06280278808598E-2</v>
      </c>
      <c r="AI175" s="9">
        <f t="shared" si="43"/>
        <v>1.1295497663633325E-4</v>
      </c>
      <c r="AJ175" s="9">
        <f t="shared" si="44"/>
        <v>1.2758158662079135E-2</v>
      </c>
      <c r="AK175" s="9">
        <f t="shared" si="45"/>
        <v>1.6277061244678487E-4</v>
      </c>
      <c r="AL175" s="9">
        <f t="shared" si="46"/>
        <v>2.6591583649156127E-2</v>
      </c>
      <c r="AM175" s="9">
        <f t="shared" si="47"/>
        <v>7.0711232097006745E-4</v>
      </c>
      <c r="AN175" s="8" t="s">
        <v>4665</v>
      </c>
    </row>
    <row r="176" spans="13:40" ht="23">
      <c r="M176" s="8" t="s">
        <v>561</v>
      </c>
      <c r="N176" s="8" t="s">
        <v>150</v>
      </c>
      <c r="O176" s="8"/>
      <c r="P176" s="8"/>
      <c r="Q176" s="8"/>
      <c r="R176" s="8"/>
      <c r="S176" s="8"/>
      <c r="T176" s="8"/>
      <c r="U176" s="8"/>
      <c r="V176" s="8"/>
      <c r="W176" s="8" t="s">
        <v>561</v>
      </c>
      <c r="X176" s="8">
        <v>20.3</v>
      </c>
      <c r="Y176" s="8">
        <v>2.59</v>
      </c>
      <c r="Z176" s="9">
        <v>3.18</v>
      </c>
      <c r="AA176" s="8">
        <v>1.2</v>
      </c>
      <c r="AB176" s="8">
        <v>63541</v>
      </c>
      <c r="AC176" s="21" t="s">
        <v>561</v>
      </c>
      <c r="AD176" s="8" t="s">
        <v>3712</v>
      </c>
      <c r="AE176" s="8" t="s">
        <v>4083</v>
      </c>
      <c r="AF176" s="9">
        <f t="shared" si="40"/>
        <v>3.1079999999999997</v>
      </c>
      <c r="AG176" s="9">
        <f t="shared" si="41"/>
        <v>3.9599999999999995</v>
      </c>
      <c r="AH176" s="9">
        <f t="shared" si="42"/>
        <v>1.06280278808598E-2</v>
      </c>
      <c r="AI176" s="9">
        <f t="shared" si="43"/>
        <v>1.1295497663633325E-4</v>
      </c>
      <c r="AJ176" s="9">
        <f t="shared" si="44"/>
        <v>8.4945066670398337E-3</v>
      </c>
      <c r="AK176" s="9">
        <f t="shared" si="45"/>
        <v>7.2156643516384187E-5</v>
      </c>
      <c r="AL176" s="9">
        <f t="shared" si="46"/>
        <v>1.5129694145209519E-2</v>
      </c>
      <c r="AM176" s="9">
        <f t="shared" si="47"/>
        <v>2.289076449275872E-4</v>
      </c>
      <c r="AN176" s="8" t="s">
        <v>561</v>
      </c>
    </row>
    <row r="177" spans="13:40" ht="23">
      <c r="M177" s="8" t="s">
        <v>880</v>
      </c>
      <c r="N177" s="8" t="s">
        <v>150</v>
      </c>
      <c r="O177" s="8"/>
      <c r="P177" s="8"/>
      <c r="Q177" s="8"/>
      <c r="R177" s="8"/>
      <c r="S177" s="8"/>
      <c r="T177" s="8"/>
      <c r="U177" s="8"/>
      <c r="V177" s="8"/>
      <c r="W177" s="8" t="s">
        <v>880</v>
      </c>
      <c r="X177" s="8">
        <v>59.94</v>
      </c>
      <c r="Y177" s="8">
        <v>2.12</v>
      </c>
      <c r="Z177" s="9">
        <v>0.24</v>
      </c>
      <c r="AA177" s="8">
        <v>1.2</v>
      </c>
      <c r="AB177" s="8">
        <v>68420</v>
      </c>
      <c r="AC177" s="21" t="s">
        <v>880</v>
      </c>
      <c r="AD177" s="8" t="s">
        <v>3712</v>
      </c>
      <c r="AE177" s="8" t="s">
        <v>4083</v>
      </c>
      <c r="AF177" s="9">
        <f t="shared" si="40"/>
        <v>2.544</v>
      </c>
      <c r="AG177" s="9">
        <f t="shared" si="41"/>
        <v>0.48</v>
      </c>
      <c r="AH177" s="9">
        <f t="shared" si="42"/>
        <v>1.06280278808598E-2</v>
      </c>
      <c r="AI177" s="9">
        <f t="shared" si="43"/>
        <v>1.1295497663633325E-4</v>
      </c>
      <c r="AJ177" s="9">
        <f t="shared" si="44"/>
        <v>6.9530324842179336E-3</v>
      </c>
      <c r="AK177" s="9">
        <f t="shared" si="45"/>
        <v>4.8344660726589811E-5</v>
      </c>
      <c r="AL177" s="9">
        <f t="shared" si="46"/>
        <v>1.833902320631457E-3</v>
      </c>
      <c r="AM177" s="9">
        <f t="shared" si="47"/>
        <v>3.3631977216174433E-6</v>
      </c>
      <c r="AN177" s="8" t="s">
        <v>880</v>
      </c>
    </row>
    <row r="178" spans="13:40" ht="23">
      <c r="M178" s="9" t="s">
        <v>3521</v>
      </c>
      <c r="N178" s="8" t="s">
        <v>2041</v>
      </c>
      <c r="O178" s="8"/>
      <c r="P178" s="8"/>
      <c r="Q178" s="8"/>
      <c r="R178" s="8"/>
      <c r="S178" s="8"/>
      <c r="T178" s="8"/>
      <c r="U178" s="8"/>
      <c r="V178" s="8"/>
      <c r="W178" s="9" t="s">
        <v>3521</v>
      </c>
      <c r="X178" s="8">
        <v>63.09</v>
      </c>
      <c r="Y178" s="8">
        <v>3.5</v>
      </c>
      <c r="Z178" s="9">
        <v>3.29</v>
      </c>
      <c r="AA178" s="8">
        <v>1.1000000000000001</v>
      </c>
      <c r="AB178" s="8">
        <v>66163</v>
      </c>
      <c r="AC178" s="22" t="s">
        <v>3521</v>
      </c>
      <c r="AD178" s="8" t="s">
        <v>3712</v>
      </c>
      <c r="AE178" s="8" t="s">
        <v>4083</v>
      </c>
      <c r="AF178" s="9">
        <f t="shared" si="40"/>
        <v>3.8500000000000005</v>
      </c>
      <c r="AG178" s="9">
        <f t="shared" si="41"/>
        <v>3.831666666666667</v>
      </c>
      <c r="AH178" s="9">
        <f t="shared" si="42"/>
        <v>9.7423588907881511E-3</v>
      </c>
      <c r="AI178" s="9">
        <f t="shared" si="43"/>
        <v>9.4913556756918933E-5</v>
      </c>
      <c r="AJ178" s="9">
        <f t="shared" si="44"/>
        <v>1.0522474474936733E-2</v>
      </c>
      <c r="AK178" s="9">
        <f t="shared" si="45"/>
        <v>1.1072246907569506E-4</v>
      </c>
      <c r="AL178" s="9">
        <f t="shared" si="46"/>
        <v>1.4639379983096251E-2</v>
      </c>
      <c r="AM178" s="9">
        <f t="shared" si="47"/>
        <v>2.1431144628947918E-4</v>
      </c>
      <c r="AN178" s="9" t="s">
        <v>3521</v>
      </c>
    </row>
    <row r="179" spans="13:40" ht="23">
      <c r="M179" s="9" t="s">
        <v>2179</v>
      </c>
      <c r="N179" s="8" t="s">
        <v>150</v>
      </c>
      <c r="O179" s="8"/>
      <c r="P179" s="8"/>
      <c r="Q179" s="8"/>
      <c r="R179" s="8"/>
      <c r="S179" s="8"/>
      <c r="T179" s="8"/>
      <c r="U179" s="8"/>
      <c r="V179" s="8"/>
      <c r="W179" s="9" t="s">
        <v>2179</v>
      </c>
      <c r="X179" s="8">
        <v>29.8</v>
      </c>
      <c r="Y179" s="8">
        <v>2</v>
      </c>
      <c r="Z179" s="9">
        <v>2.5299999999999998</v>
      </c>
      <c r="AA179" s="8">
        <v>1.1000000000000001</v>
      </c>
      <c r="AB179" s="8">
        <v>97901</v>
      </c>
      <c r="AC179" s="22" t="s">
        <v>2179</v>
      </c>
      <c r="AD179" s="8" t="s">
        <v>3712</v>
      </c>
      <c r="AE179" s="8" t="s">
        <v>4083</v>
      </c>
      <c r="AF179" s="9">
        <f t="shared" si="40"/>
        <v>2.2000000000000002</v>
      </c>
      <c r="AG179" s="9">
        <f t="shared" si="41"/>
        <v>3.1716666666666669</v>
      </c>
      <c r="AH179" s="9">
        <f t="shared" si="42"/>
        <v>9.7423588907881511E-3</v>
      </c>
      <c r="AI179" s="9">
        <f t="shared" si="43"/>
        <v>9.4913556756918933E-5</v>
      </c>
      <c r="AJ179" s="9">
        <f t="shared" si="44"/>
        <v>6.0128425571067045E-3</v>
      </c>
      <c r="AK179" s="9">
        <f t="shared" si="45"/>
        <v>3.6154275616553492E-5</v>
      </c>
      <c r="AL179" s="9">
        <f t="shared" si="46"/>
        <v>1.2117764292227997E-2</v>
      </c>
      <c r="AM179" s="9">
        <f t="shared" si="47"/>
        <v>1.4684021144199588E-4</v>
      </c>
      <c r="AN179" s="9" t="s">
        <v>2179</v>
      </c>
    </row>
    <row r="180" spans="13:40" ht="23">
      <c r="M180" s="9" t="s">
        <v>2629</v>
      </c>
      <c r="N180" s="8" t="s">
        <v>150</v>
      </c>
      <c r="O180" s="8"/>
      <c r="P180" s="8"/>
      <c r="Q180" s="8"/>
      <c r="R180" s="8"/>
      <c r="S180" s="8"/>
      <c r="T180" s="8"/>
      <c r="U180" s="8"/>
      <c r="V180" s="8"/>
      <c r="W180" s="9" t="s">
        <v>2629</v>
      </c>
      <c r="X180" s="8">
        <v>41.98</v>
      </c>
      <c r="Y180" s="8">
        <v>2.06</v>
      </c>
      <c r="Z180" s="9">
        <v>0.34</v>
      </c>
      <c r="AA180" s="8">
        <v>1.1000000000000001</v>
      </c>
      <c r="AB180" s="8">
        <v>82008</v>
      </c>
      <c r="AC180" s="22" t="s">
        <v>2629</v>
      </c>
      <c r="AD180" s="8" t="s">
        <v>3712</v>
      </c>
      <c r="AE180" s="8" t="s">
        <v>4083</v>
      </c>
      <c r="AF180" s="9">
        <f t="shared" si="40"/>
        <v>2.2660000000000005</v>
      </c>
      <c r="AG180" s="9">
        <f t="shared" si="41"/>
        <v>0.62333333333333341</v>
      </c>
      <c r="AH180" s="9">
        <f t="shared" si="42"/>
        <v>9.7423588907881511E-3</v>
      </c>
      <c r="AI180" s="9">
        <f t="shared" si="43"/>
        <v>9.4913556756918933E-5</v>
      </c>
      <c r="AJ180" s="9">
        <f t="shared" si="44"/>
        <v>6.1932278338199063E-3</v>
      </c>
      <c r="AK180" s="9">
        <f t="shared" si="45"/>
        <v>3.8356071001601608E-5</v>
      </c>
      <c r="AL180" s="9">
        <f t="shared" si="46"/>
        <v>2.381525930264462E-3</v>
      </c>
      <c r="AM180" s="9">
        <f t="shared" si="47"/>
        <v>5.6716657565220113E-6</v>
      </c>
      <c r="AN180" s="9" t="s">
        <v>2629</v>
      </c>
    </row>
    <row r="181" spans="13:40" ht="23"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9"/>
      <c r="AA181" s="8">
        <f>SUBTOTAL(109,Table1363243[ترافیک کل])</f>
        <v>11290.900000000007</v>
      </c>
      <c r="AB181" s="8"/>
      <c r="AC181" s="8"/>
      <c r="AD181" s="8"/>
      <c r="AE181" s="8"/>
      <c r="AF181" s="9">
        <f>SUBTOTAL(109,Table1363243[[مجموع صفحات  مشاهده شده   ]])</f>
        <v>36588.35199999997</v>
      </c>
      <c r="AG181" s="9">
        <f>SUBTOTAL(109,Table1363243[[مجموع زمان حضور در سایت ]])</f>
        <v>26173.695000000018</v>
      </c>
      <c r="AH181" s="9">
        <f>SUBTOTAL(109,Table1363243[سهم سایت از کل ترافیک طبقه بندی])</f>
        <v>99.999999999999986</v>
      </c>
      <c r="AI181" s="9">
        <f>SUBTOTAL(109,Table1363243[شاخص هرفیندال هیرشمن (ترافیک)])</f>
        <v>506.31472988821344</v>
      </c>
      <c r="AJ181" s="9">
        <f>SUBTOTAL(109,Table1363243[سهم سایت از کل صفحات مشاهده شده در طبقه بندی])</f>
        <v>100.00000000000003</v>
      </c>
      <c r="AK181" s="9">
        <f>SUBTOTAL(109,Table1363243[شاخص هرفیندال -هیرشمن (صفحات مشاهده شده )])</f>
        <v>504.28671702197107</v>
      </c>
      <c r="AL181" s="9">
        <f>SUBTOTAL(109,Table1363243[سهم سایت از کل زمان حضور در طبقه بندی])</f>
        <v>99.999999999999957</v>
      </c>
      <c r="AM181" s="9">
        <f>SUBTOTAL(109,Table1363243[شاخص هرفیندال هیرشمن (زمان حضور)])</f>
        <v>798.23957307879277</v>
      </c>
      <c r="AN181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{DD3B6DC5-BB7C-4D98-BC4C-7564368B81CE}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{D1E65312-C334-46A4-BCA6-BABB2B5FCD41}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{7EF02773-63E4-4411-AD6F-45ACA5572E96}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{2E2585F5-C4D0-4B62-86FB-7617C04C598B}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{4B8B5119-CCA3-4835-B604-B385D345829C}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{EE817A35-9014-4F19-8717-0F0390847E32}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D3B6DC5-BB7C-4D98-BC4C-7564368B81C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D1E65312-C334-46A4-BCA6-BABB2B5FCD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EF02773-63E4-4411-AD6F-45ACA5572E9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E2585F5-C4D0-4B62-86FB-7617C04C598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4B8B5119-CCA3-4835-B604-B385D34582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EE817A35-9014-4F19-8717-0F0390847E3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30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214</v>
      </c>
      <c r="N2" s="8" t="s">
        <v>150</v>
      </c>
      <c r="O2" s="8"/>
      <c r="P2" s="8" t="s">
        <v>3692</v>
      </c>
      <c r="Q2" s="8"/>
      <c r="R2" s="8"/>
      <c r="S2" s="8"/>
      <c r="T2" s="8"/>
      <c r="U2" s="8"/>
      <c r="V2" s="8"/>
      <c r="W2" s="8" t="s">
        <v>214</v>
      </c>
      <c r="X2" s="8">
        <v>37.17</v>
      </c>
      <c r="Y2" s="8">
        <v>3.69</v>
      </c>
      <c r="Z2" s="9">
        <v>3.57</v>
      </c>
      <c r="AA2" s="8">
        <v>1099.5</v>
      </c>
      <c r="AB2" s="8">
        <v>578</v>
      </c>
      <c r="AC2" s="21" t="s">
        <v>214</v>
      </c>
      <c r="AD2" s="8" t="s">
        <v>3718</v>
      </c>
      <c r="AE2" s="8" t="s">
        <v>4083</v>
      </c>
      <c r="AF2" s="9">
        <f t="shared" ref="AF2:AF65" si="0">(AA2*Y2)</f>
        <v>4057.1549999999997</v>
      </c>
      <c r="AG2" s="9">
        <f t="shared" ref="AG2:AG65" si="1">((((RIGHT(Z2,2))/60)+(LEFT(Z2,2)))*AA2)</f>
        <v>4343.0250000000005</v>
      </c>
      <c r="AH2" s="9">
        <f t="shared" ref="AH2:AH65" si="2">(AA2/$AA$230)*100</f>
        <v>9.4169136161976006</v>
      </c>
      <c r="AI2" s="9">
        <f t="shared" ref="AI2:AI65" si="3">(AH2*AH2)</f>
        <v>88.678262054927771</v>
      </c>
      <c r="AJ2" s="9">
        <f t="shared" ref="AJ2:AJ65" si="4">(AF2/$AF$230)*100</f>
        <v>12.121557517311851</v>
      </c>
      <c r="AK2" s="9">
        <f t="shared" ref="AK2:AK65" si="5">(AJ2*AJ2)</f>
        <v>146.93215664549945</v>
      </c>
      <c r="AL2" s="9">
        <f t="shared" ref="AL2:AL65" si="6">(AG2/$AG$230)*100</f>
        <v>18.678426567304733</v>
      </c>
      <c r="AM2" s="9">
        <f t="shared" ref="AM2:AM65" si="7">(AL2*AL2)</f>
        <v>348.88361903019529</v>
      </c>
      <c r="AN2" s="8" t="s">
        <v>214</v>
      </c>
    </row>
    <row r="3" spans="8:40" ht="23">
      <c r="M3" s="8" t="s">
        <v>4996</v>
      </c>
      <c r="N3" s="8" t="s">
        <v>2017</v>
      </c>
      <c r="O3" s="8"/>
      <c r="P3" s="8"/>
      <c r="Q3" s="8"/>
      <c r="R3" s="8"/>
      <c r="S3" s="8"/>
      <c r="T3" s="8"/>
      <c r="U3" s="8"/>
      <c r="V3" s="8"/>
      <c r="W3" s="8" t="s">
        <v>4996</v>
      </c>
      <c r="X3" s="8">
        <v>53.8</v>
      </c>
      <c r="Y3" s="8">
        <v>1.22</v>
      </c>
      <c r="Z3" s="9">
        <v>0.25</v>
      </c>
      <c r="AA3" s="8">
        <v>416.2</v>
      </c>
      <c r="AB3" s="8">
        <v>3803</v>
      </c>
      <c r="AC3" s="21" t="s">
        <v>4996</v>
      </c>
      <c r="AD3" s="8" t="s">
        <v>3718</v>
      </c>
      <c r="AE3" s="8" t="s">
        <v>4083</v>
      </c>
      <c r="AF3" s="9">
        <f t="shared" si="0"/>
        <v>507.76399999999995</v>
      </c>
      <c r="AG3" s="9">
        <f t="shared" si="1"/>
        <v>173.41666666666666</v>
      </c>
      <c r="AH3" s="9">
        <f t="shared" si="2"/>
        <v>3.5646379691327343</v>
      </c>
      <c r="AI3" s="9">
        <f t="shared" si="3"/>
        <v>12.706643850982745</v>
      </c>
      <c r="AJ3" s="9">
        <f t="shared" si="4"/>
        <v>1.51704594259286</v>
      </c>
      <c r="AK3" s="9">
        <f t="shared" si="5"/>
        <v>2.301428391937459</v>
      </c>
      <c r="AL3" s="9">
        <f t="shared" si="6"/>
        <v>0.74582818977097642</v>
      </c>
      <c r="AM3" s="9">
        <f t="shared" si="7"/>
        <v>0.55625968865705167</v>
      </c>
      <c r="AN3" s="8" t="s">
        <v>4996</v>
      </c>
    </row>
    <row r="4" spans="8:40" ht="23">
      <c r="M4" s="8" t="s">
        <v>538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538</v>
      </c>
      <c r="X4" s="8">
        <v>31.35</v>
      </c>
      <c r="Y4" s="8">
        <v>3.9</v>
      </c>
      <c r="Z4" s="9">
        <v>2.29</v>
      </c>
      <c r="AA4" s="8">
        <v>399.7</v>
      </c>
      <c r="AB4" s="8">
        <v>1903</v>
      </c>
      <c r="AC4" s="21" t="s">
        <v>538</v>
      </c>
      <c r="AD4" s="8" t="s">
        <v>4176</v>
      </c>
      <c r="AE4" s="8" t="s">
        <v>4083</v>
      </c>
      <c r="AF4" s="9">
        <f t="shared" si="0"/>
        <v>1558.83</v>
      </c>
      <c r="AG4" s="9">
        <f t="shared" si="1"/>
        <v>992.58833333333337</v>
      </c>
      <c r="AH4" s="9">
        <f t="shared" si="2"/>
        <v>3.4233200294626474</v>
      </c>
      <c r="AI4" s="9">
        <f t="shared" si="3"/>
        <v>11.719120024120141</v>
      </c>
      <c r="AJ4" s="9">
        <f t="shared" si="4"/>
        <v>4.6573146711701261</v>
      </c>
      <c r="AK4" s="9">
        <f t="shared" si="5"/>
        <v>21.690579946296499</v>
      </c>
      <c r="AL4" s="9">
        <f t="shared" si="6"/>
        <v>4.2689112532693354</v>
      </c>
      <c r="AM4" s="9">
        <f t="shared" si="7"/>
        <v>18.223603288289567</v>
      </c>
      <c r="AN4" s="8" t="s">
        <v>538</v>
      </c>
    </row>
    <row r="5" spans="8:40" ht="23">
      <c r="M5" s="9" t="s">
        <v>2204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9" t="s">
        <v>2204</v>
      </c>
      <c r="X5" s="8">
        <v>26.87</v>
      </c>
      <c r="Y5" s="8">
        <v>1.98</v>
      </c>
      <c r="Z5" s="9">
        <v>0.21</v>
      </c>
      <c r="AA5" s="8">
        <v>395.6</v>
      </c>
      <c r="AB5" s="8">
        <v>4281</v>
      </c>
      <c r="AC5" s="22" t="s">
        <v>2204</v>
      </c>
      <c r="AD5" s="8" t="s">
        <v>4176</v>
      </c>
      <c r="AE5" s="8" t="s">
        <v>4083</v>
      </c>
      <c r="AF5" s="9">
        <f t="shared" si="0"/>
        <v>783.28800000000001</v>
      </c>
      <c r="AG5" s="9">
        <f t="shared" si="1"/>
        <v>138.46</v>
      </c>
      <c r="AH5" s="9">
        <f t="shared" si="2"/>
        <v>3.3882046626355349</v>
      </c>
      <c r="AI5" s="9">
        <f t="shared" si="3"/>
        <v>11.479930835905179</v>
      </c>
      <c r="AJ5" s="9">
        <f t="shared" si="4"/>
        <v>2.3402286934120502</v>
      </c>
      <c r="AK5" s="9">
        <f t="shared" si="5"/>
        <v>5.4766703374690717</v>
      </c>
      <c r="AL5" s="9">
        <f t="shared" si="6"/>
        <v>0.59548700330046755</v>
      </c>
      <c r="AM5" s="9">
        <f t="shared" si="7"/>
        <v>0.35460477109977107</v>
      </c>
      <c r="AN5" s="9" t="s">
        <v>2204</v>
      </c>
    </row>
    <row r="6" spans="8:40" ht="23">
      <c r="M6" s="9" t="s">
        <v>3461</v>
      </c>
      <c r="N6" s="8" t="s">
        <v>2017</v>
      </c>
      <c r="O6" s="8"/>
      <c r="P6" s="8"/>
      <c r="Q6" s="8"/>
      <c r="R6" s="8"/>
      <c r="S6" s="8"/>
      <c r="T6" s="8"/>
      <c r="U6" s="8"/>
      <c r="V6" s="8"/>
      <c r="W6" s="9" t="s">
        <v>3461</v>
      </c>
      <c r="X6" s="8">
        <v>44.42</v>
      </c>
      <c r="Y6" s="8">
        <v>1.41</v>
      </c>
      <c r="Z6" s="9">
        <v>1.08</v>
      </c>
      <c r="AA6" s="8">
        <v>387.9</v>
      </c>
      <c r="AB6" s="8">
        <v>2829</v>
      </c>
      <c r="AC6" s="22" t="s">
        <v>3461</v>
      </c>
      <c r="AD6" s="8" t="s">
        <v>3718</v>
      </c>
      <c r="AE6" s="8" t="s">
        <v>4083</v>
      </c>
      <c r="AF6" s="9">
        <f t="shared" si="0"/>
        <v>546.93899999999996</v>
      </c>
      <c r="AG6" s="9">
        <f t="shared" si="1"/>
        <v>439.61999999999995</v>
      </c>
      <c r="AH6" s="9">
        <f t="shared" si="2"/>
        <v>3.3222562907894946</v>
      </c>
      <c r="AI6" s="9">
        <f t="shared" si="3"/>
        <v>11.03738686169037</v>
      </c>
      <c r="AJ6" s="9">
        <f t="shared" si="4"/>
        <v>1.6340890468717677</v>
      </c>
      <c r="AK6" s="9">
        <f t="shared" si="5"/>
        <v>2.6702470131062821</v>
      </c>
      <c r="AL6" s="9">
        <f t="shared" si="6"/>
        <v>1.8907120929579049</v>
      </c>
      <c r="AM6" s="9">
        <f t="shared" si="7"/>
        <v>3.5747922184572611</v>
      </c>
      <c r="AN6" s="9" t="s">
        <v>3461</v>
      </c>
    </row>
    <row r="7" spans="8:40" ht="23">
      <c r="M7" s="8" t="s">
        <v>682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682</v>
      </c>
      <c r="X7" s="8">
        <v>29.33</v>
      </c>
      <c r="Y7" s="8">
        <v>1.35</v>
      </c>
      <c r="Z7" s="9">
        <v>0.3</v>
      </c>
      <c r="AA7" s="8">
        <v>323.39999999999998</v>
      </c>
      <c r="AB7" s="8">
        <v>4490</v>
      </c>
      <c r="AC7" s="21" t="s">
        <v>682</v>
      </c>
      <c r="AD7" s="8" t="s">
        <v>4176</v>
      </c>
      <c r="AE7" s="8" t="s">
        <v>4083</v>
      </c>
      <c r="AF7" s="9">
        <f t="shared" si="0"/>
        <v>436.59</v>
      </c>
      <c r="AG7" s="9">
        <f t="shared" si="1"/>
        <v>1.617</v>
      </c>
      <c r="AH7" s="9">
        <f t="shared" si="2"/>
        <v>2.7698316175337006</v>
      </c>
      <c r="AI7" s="9">
        <f t="shared" si="3"/>
        <v>7.6719671894893562</v>
      </c>
      <c r="AJ7" s="9">
        <f t="shared" si="4"/>
        <v>1.3043994613178893</v>
      </c>
      <c r="AK7" s="9">
        <f t="shared" si="5"/>
        <v>1.7014579546863997</v>
      </c>
      <c r="AL7" s="9">
        <f t="shared" si="6"/>
        <v>6.9543729910216383E-3</v>
      </c>
      <c r="AM7" s="9">
        <f t="shared" si="7"/>
        <v>4.8363303698251251E-5</v>
      </c>
      <c r="AN7" s="8" t="s">
        <v>682</v>
      </c>
    </row>
    <row r="8" spans="8:40" ht="23">
      <c r="M8" s="8" t="s">
        <v>1380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1380</v>
      </c>
      <c r="X8" s="8">
        <v>37.22</v>
      </c>
      <c r="Y8" s="8">
        <v>2.91</v>
      </c>
      <c r="Z8" s="9">
        <v>1.25</v>
      </c>
      <c r="AA8" s="8">
        <v>299.2</v>
      </c>
      <c r="AB8" s="8">
        <v>1875</v>
      </c>
      <c r="AC8" s="21" t="s">
        <v>1380</v>
      </c>
      <c r="AD8" s="8" t="s">
        <v>3718</v>
      </c>
      <c r="AE8" s="8" t="s">
        <v>4083</v>
      </c>
      <c r="AF8" s="9">
        <f t="shared" si="0"/>
        <v>870.67200000000003</v>
      </c>
      <c r="AG8" s="9">
        <f t="shared" si="1"/>
        <v>423.86666666666667</v>
      </c>
      <c r="AH8" s="9">
        <f t="shared" si="2"/>
        <v>2.5625653060175733</v>
      </c>
      <c r="AI8" s="9">
        <f t="shared" si="3"/>
        <v>6.5667409476049388</v>
      </c>
      <c r="AJ8" s="9">
        <f t="shared" si="4"/>
        <v>2.6013057738028111</v>
      </c>
      <c r="AK8" s="9">
        <f t="shared" si="5"/>
        <v>6.7667917288198423</v>
      </c>
      <c r="AL8" s="9">
        <f t="shared" si="6"/>
        <v>1.8229603577371911</v>
      </c>
      <c r="AM8" s="9">
        <f t="shared" si="7"/>
        <v>3.3231844658813077</v>
      </c>
      <c r="AN8" s="8" t="s">
        <v>1380</v>
      </c>
    </row>
    <row r="9" spans="8:40" ht="23">
      <c r="M9" s="8" t="s">
        <v>2018</v>
      </c>
      <c r="N9" s="8" t="s">
        <v>2017</v>
      </c>
      <c r="O9" s="8"/>
      <c r="P9" s="8"/>
      <c r="Q9" s="8"/>
      <c r="R9" s="8"/>
      <c r="S9" s="8"/>
      <c r="T9" s="8"/>
      <c r="U9" s="8"/>
      <c r="V9" s="8"/>
      <c r="W9" s="8" t="s">
        <v>2018</v>
      </c>
      <c r="X9" s="8">
        <v>9.15</v>
      </c>
      <c r="Y9" s="8">
        <v>1.73</v>
      </c>
      <c r="Z9" s="9">
        <v>0.39</v>
      </c>
      <c r="AA9" s="8">
        <v>289.8</v>
      </c>
      <c r="AB9" s="8">
        <v>3315</v>
      </c>
      <c r="AC9" s="21" t="s">
        <v>2018</v>
      </c>
      <c r="AD9" s="8" t="s">
        <v>3718</v>
      </c>
      <c r="AE9" s="8" t="s">
        <v>4083</v>
      </c>
      <c r="AF9" s="9">
        <f t="shared" si="0"/>
        <v>501.35400000000004</v>
      </c>
      <c r="AG9" s="9">
        <f t="shared" si="1"/>
        <v>188.37</v>
      </c>
      <c r="AH9" s="9">
        <f t="shared" si="2"/>
        <v>2.4820569040237057</v>
      </c>
      <c r="AI9" s="9">
        <f t="shared" si="3"/>
        <v>6.1606064748117433</v>
      </c>
      <c r="AJ9" s="9">
        <f t="shared" si="4"/>
        <v>1.4978947926649011</v>
      </c>
      <c r="AK9" s="9">
        <f t="shared" si="5"/>
        <v>2.2436888098926269</v>
      </c>
      <c r="AL9" s="9">
        <f t="shared" si="6"/>
        <v>0.81013929518784533</v>
      </c>
      <c r="AM9" s="9">
        <f t="shared" si="7"/>
        <v>0.65632567760745875</v>
      </c>
      <c r="AN9" s="8" t="s">
        <v>2018</v>
      </c>
    </row>
    <row r="10" spans="8:40" ht="23">
      <c r="M10" s="8" t="s">
        <v>531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8" t="s">
        <v>531</v>
      </c>
      <c r="X10" s="8">
        <v>51.21</v>
      </c>
      <c r="Y10" s="8">
        <v>1.1000000000000001</v>
      </c>
      <c r="Z10" s="9">
        <v>0.08</v>
      </c>
      <c r="AA10" s="8">
        <v>287.3</v>
      </c>
      <c r="AB10" s="8">
        <v>5518</v>
      </c>
      <c r="AC10" s="21" t="s">
        <v>531</v>
      </c>
      <c r="AD10" s="8" t="s">
        <v>3718</v>
      </c>
      <c r="AE10" s="8" t="s">
        <v>4083</v>
      </c>
      <c r="AF10" s="9">
        <f t="shared" si="0"/>
        <v>316.03000000000003</v>
      </c>
      <c r="AG10" s="9">
        <f t="shared" si="1"/>
        <v>38.306666666666665</v>
      </c>
      <c r="AH10" s="9">
        <f t="shared" si="2"/>
        <v>2.4606450949827838</v>
      </c>
      <c r="AI10" s="9">
        <f t="shared" si="3"/>
        <v>6.0547742834628329</v>
      </c>
      <c r="AJ10" s="9">
        <f t="shared" si="4"/>
        <v>0.94420248232962878</v>
      </c>
      <c r="AK10" s="9">
        <f t="shared" si="5"/>
        <v>0.89151832763743299</v>
      </c>
      <c r="AL10" s="9">
        <f t="shared" si="6"/>
        <v>0.16474882377410976</v>
      </c>
      <c r="AM10" s="9">
        <f t="shared" si="7"/>
        <v>2.7142174934952676E-2</v>
      </c>
      <c r="AN10" s="8" t="s">
        <v>531</v>
      </c>
    </row>
    <row r="11" spans="8:40" ht="23">
      <c r="M11" s="8" t="s">
        <v>2024</v>
      </c>
      <c r="N11" s="8" t="s">
        <v>2017</v>
      </c>
      <c r="O11" s="8"/>
      <c r="P11" s="8" t="s">
        <v>3691</v>
      </c>
      <c r="Q11" s="8"/>
      <c r="R11" s="8"/>
      <c r="S11" s="8"/>
      <c r="T11" s="8"/>
      <c r="U11" s="8"/>
      <c r="V11" s="8"/>
      <c r="W11" s="8" t="s">
        <v>2024</v>
      </c>
      <c r="X11" s="8">
        <v>17.170000000000002</v>
      </c>
      <c r="Y11" s="8">
        <v>5.04</v>
      </c>
      <c r="Z11" s="9">
        <v>7.1</v>
      </c>
      <c r="AA11" s="8">
        <v>267.7</v>
      </c>
      <c r="AB11" s="8">
        <v>924</v>
      </c>
      <c r="AC11" s="21" t="s">
        <v>2024</v>
      </c>
      <c r="AD11" s="8" t="s">
        <v>3718</v>
      </c>
      <c r="AE11" s="8" t="s">
        <v>4083</v>
      </c>
      <c r="AF11" s="9">
        <f t="shared" si="0"/>
        <v>1349.2079999999999</v>
      </c>
      <c r="AG11" s="9">
        <f t="shared" si="1"/>
        <v>1874.3461666666667</v>
      </c>
      <c r="AH11" s="9">
        <f t="shared" si="2"/>
        <v>2.2927765121019532</v>
      </c>
      <c r="AI11" s="9">
        <f t="shared" si="3"/>
        <v>5.256824134446398</v>
      </c>
      <c r="AJ11" s="9">
        <f t="shared" si="4"/>
        <v>4.0310272530424118</v>
      </c>
      <c r="AK11" s="9">
        <f t="shared" si="5"/>
        <v>16.249180714770652</v>
      </c>
      <c r="AL11" s="9">
        <f t="shared" si="6"/>
        <v>8.0611641046948712</v>
      </c>
      <c r="AM11" s="9">
        <f t="shared" si="7"/>
        <v>64.98236672282107</v>
      </c>
      <c r="AN11" s="8" t="s">
        <v>2024</v>
      </c>
    </row>
    <row r="12" spans="8:40" ht="23">
      <c r="M12" s="9" t="s">
        <v>2875</v>
      </c>
      <c r="N12" s="8" t="s">
        <v>1717</v>
      </c>
      <c r="O12" s="8"/>
      <c r="P12" s="8"/>
      <c r="Q12" s="8"/>
      <c r="R12" s="8"/>
      <c r="S12" s="8"/>
      <c r="T12" s="8"/>
      <c r="U12" s="8"/>
      <c r="V12" s="8"/>
      <c r="W12" s="9" t="s">
        <v>2875</v>
      </c>
      <c r="X12" s="8">
        <v>34.17</v>
      </c>
      <c r="Y12" s="8">
        <v>1.2</v>
      </c>
      <c r="Z12" s="9">
        <v>0.11</v>
      </c>
      <c r="AA12" s="8">
        <v>251</v>
      </c>
      <c r="AB12" s="8">
        <v>9133</v>
      </c>
      <c r="AC12" s="22" t="s">
        <v>2875</v>
      </c>
      <c r="AD12" s="8" t="s">
        <v>4176</v>
      </c>
      <c r="AE12" s="8" t="s">
        <v>4083</v>
      </c>
      <c r="AF12" s="9">
        <f t="shared" si="0"/>
        <v>301.2</v>
      </c>
      <c r="AG12" s="9">
        <f t="shared" si="1"/>
        <v>46.016666666666666</v>
      </c>
      <c r="AH12" s="9">
        <f t="shared" si="2"/>
        <v>2.1497456277085925</v>
      </c>
      <c r="AI12" s="9">
        <f t="shared" si="3"/>
        <v>4.6214062638522098</v>
      </c>
      <c r="AJ12" s="9">
        <f t="shared" si="4"/>
        <v>0.89989490769130831</v>
      </c>
      <c r="AK12" s="9">
        <f t="shared" si="5"/>
        <v>0.80981084488874833</v>
      </c>
      <c r="AL12" s="9">
        <f t="shared" si="6"/>
        <v>0.19790789350866567</v>
      </c>
      <c r="AM12" s="9">
        <f t="shared" si="7"/>
        <v>3.916753431303735E-2</v>
      </c>
      <c r="AN12" s="9" t="s">
        <v>2875</v>
      </c>
    </row>
    <row r="13" spans="8:40" ht="23">
      <c r="M13" s="9" t="s">
        <v>3479</v>
      </c>
      <c r="N13" s="8" t="s">
        <v>2017</v>
      </c>
      <c r="O13" s="8"/>
      <c r="P13" s="8" t="s">
        <v>3691</v>
      </c>
      <c r="Q13" s="8"/>
      <c r="R13" s="8"/>
      <c r="S13" s="8"/>
      <c r="T13" s="8"/>
      <c r="U13" s="8"/>
      <c r="V13" s="8"/>
      <c r="W13" s="9" t="s">
        <v>3479</v>
      </c>
      <c r="X13" s="8">
        <v>23.28</v>
      </c>
      <c r="Y13" s="8">
        <v>1.74</v>
      </c>
      <c r="Z13" s="9">
        <v>1.57</v>
      </c>
      <c r="AA13" s="8">
        <v>229</v>
      </c>
      <c r="AB13" s="8">
        <v>4079</v>
      </c>
      <c r="AC13" s="22" t="s">
        <v>3479</v>
      </c>
      <c r="AD13" s="8" t="s">
        <v>3718</v>
      </c>
      <c r="AE13" s="8" t="s">
        <v>4083</v>
      </c>
      <c r="AF13" s="9">
        <f t="shared" si="0"/>
        <v>398.46</v>
      </c>
      <c r="AG13" s="9">
        <f t="shared" si="1"/>
        <v>446.55</v>
      </c>
      <c r="AH13" s="9">
        <f t="shared" si="2"/>
        <v>1.9613217081484768</v>
      </c>
      <c r="AI13" s="9">
        <f t="shared" si="3"/>
        <v>3.8467828428544588</v>
      </c>
      <c r="AJ13" s="9">
        <f t="shared" si="4"/>
        <v>1.1904785023860514</v>
      </c>
      <c r="AK13" s="9">
        <f t="shared" si="5"/>
        <v>1.4172390646433357</v>
      </c>
      <c r="AL13" s="9">
        <f t="shared" si="6"/>
        <v>1.9205165486337119</v>
      </c>
      <c r="AM13" s="9">
        <f t="shared" si="7"/>
        <v>3.6883838135759448</v>
      </c>
      <c r="AN13" s="9" t="s">
        <v>3479</v>
      </c>
    </row>
    <row r="14" spans="8:40" ht="23">
      <c r="M14" s="9" t="s">
        <v>2864</v>
      </c>
      <c r="N14" s="8" t="s">
        <v>1717</v>
      </c>
      <c r="O14" s="8"/>
      <c r="P14" s="8"/>
      <c r="Q14" s="8"/>
      <c r="R14" s="8"/>
      <c r="S14" s="8"/>
      <c r="T14" s="8"/>
      <c r="U14" s="8"/>
      <c r="V14" s="8"/>
      <c r="W14" s="9" t="s">
        <v>2864</v>
      </c>
      <c r="X14" s="8">
        <v>38.58</v>
      </c>
      <c r="Y14" s="8">
        <v>1.47</v>
      </c>
      <c r="Z14" s="9">
        <v>0.12</v>
      </c>
      <c r="AA14" s="8">
        <v>214.4</v>
      </c>
      <c r="AB14" s="8">
        <v>10462</v>
      </c>
      <c r="AC14" s="22" t="s">
        <v>2864</v>
      </c>
      <c r="AD14" s="8" t="s">
        <v>4176</v>
      </c>
      <c r="AE14" s="8" t="s">
        <v>4083</v>
      </c>
      <c r="AF14" s="9">
        <f t="shared" si="0"/>
        <v>315.16800000000001</v>
      </c>
      <c r="AG14" s="9">
        <f t="shared" si="1"/>
        <v>42.88</v>
      </c>
      <c r="AH14" s="9">
        <f t="shared" si="2"/>
        <v>1.8362767433494913</v>
      </c>
      <c r="AI14" s="9">
        <f t="shared" si="3"/>
        <v>3.3719122781662136</v>
      </c>
      <c r="AJ14" s="9">
        <f t="shared" si="4"/>
        <v>0.94162708588065824</v>
      </c>
      <c r="AK14" s="9">
        <f t="shared" si="5"/>
        <v>0.88666156886410052</v>
      </c>
      <c r="AL14" s="9">
        <f t="shared" si="6"/>
        <v>0.18441775748609018</v>
      </c>
      <c r="AM14" s="9">
        <f t="shared" si="7"/>
        <v>3.4009909276198375E-2</v>
      </c>
      <c r="AN14" s="9" t="s">
        <v>2864</v>
      </c>
    </row>
    <row r="15" spans="8:40" ht="23">
      <c r="M15" s="8" t="s">
        <v>795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795</v>
      </c>
      <c r="X15" s="8">
        <v>26.43</v>
      </c>
      <c r="Y15" s="8">
        <v>3.1</v>
      </c>
      <c r="Z15" s="9">
        <v>2.27</v>
      </c>
      <c r="AA15" s="8">
        <v>201</v>
      </c>
      <c r="AB15" s="8">
        <v>1830</v>
      </c>
      <c r="AC15" s="21" t="s">
        <v>795</v>
      </c>
      <c r="AD15" s="8" t="s">
        <v>4375</v>
      </c>
      <c r="AE15" s="8" t="s">
        <v>4083</v>
      </c>
      <c r="AF15" s="9">
        <f t="shared" si="0"/>
        <v>623.1</v>
      </c>
      <c r="AG15" s="9">
        <f t="shared" si="1"/>
        <v>492.45000000000005</v>
      </c>
      <c r="AH15" s="9">
        <f t="shared" si="2"/>
        <v>1.721509446890148</v>
      </c>
      <c r="AI15" s="9">
        <f t="shared" si="3"/>
        <v>2.9635947757320231</v>
      </c>
      <c r="AJ15" s="9">
        <f t="shared" si="4"/>
        <v>1.8616351825446686</v>
      </c>
      <c r="AK15" s="9">
        <f t="shared" si="5"/>
        <v>3.4656855528881216</v>
      </c>
      <c r="AL15" s="9">
        <f t="shared" si="6"/>
        <v>2.1179226836293172</v>
      </c>
      <c r="AM15" s="9">
        <f t="shared" si="7"/>
        <v>4.4855964938316086</v>
      </c>
      <c r="AN15" s="8" t="s">
        <v>795</v>
      </c>
    </row>
    <row r="16" spans="8:40" ht="23">
      <c r="M16" s="8" t="s">
        <v>4967</v>
      </c>
      <c r="N16" s="8" t="s">
        <v>2017</v>
      </c>
      <c r="O16" s="8"/>
      <c r="P16" s="8"/>
      <c r="Q16" s="8"/>
      <c r="R16" s="8"/>
      <c r="S16" s="8"/>
      <c r="T16" s="8"/>
      <c r="U16" s="8"/>
      <c r="V16" s="8"/>
      <c r="W16" s="8" t="s">
        <v>4967</v>
      </c>
      <c r="X16" s="8">
        <v>28.83</v>
      </c>
      <c r="Y16" s="8">
        <v>1.64</v>
      </c>
      <c r="Z16" s="9">
        <v>2.1</v>
      </c>
      <c r="AA16" s="8">
        <v>200</v>
      </c>
      <c r="AB16" s="8">
        <v>4607</v>
      </c>
      <c r="AC16" s="21" t="s">
        <v>4967</v>
      </c>
      <c r="AD16" s="8" t="s">
        <v>3718</v>
      </c>
      <c r="AE16" s="8" t="s">
        <v>4083</v>
      </c>
      <c r="AF16" s="9">
        <f t="shared" si="0"/>
        <v>328</v>
      </c>
      <c r="AG16" s="9">
        <f t="shared" si="1"/>
        <v>400.33333333333331</v>
      </c>
      <c r="AH16" s="9">
        <f t="shared" si="2"/>
        <v>1.7129447232737789</v>
      </c>
      <c r="AI16" s="9">
        <f t="shared" si="3"/>
        <v>2.9341796249914829</v>
      </c>
      <c r="AJ16" s="9">
        <f t="shared" si="4"/>
        <v>0.97996523812333702</v>
      </c>
      <c r="AK16" s="9">
        <f t="shared" si="5"/>
        <v>0.96033186793012859</v>
      </c>
      <c r="AL16" s="9">
        <f t="shared" si="6"/>
        <v>1.7217484976740849</v>
      </c>
      <c r="AM16" s="9">
        <f t="shared" si="7"/>
        <v>2.9644178892429682</v>
      </c>
      <c r="AN16" s="8" t="s">
        <v>4967</v>
      </c>
    </row>
    <row r="17" spans="13:40" ht="23">
      <c r="M17" s="8" t="s">
        <v>1554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1554</v>
      </c>
      <c r="X17" s="8">
        <v>13.05</v>
      </c>
      <c r="Y17" s="8">
        <v>3.71</v>
      </c>
      <c r="Z17" s="9">
        <v>3.06</v>
      </c>
      <c r="AA17" s="8">
        <v>195.5</v>
      </c>
      <c r="AB17" s="8">
        <v>8027</v>
      </c>
      <c r="AC17" s="21" t="s">
        <v>1554</v>
      </c>
      <c r="AD17" s="8" t="s">
        <v>3718</v>
      </c>
      <c r="AE17" s="8" t="s">
        <v>4083</v>
      </c>
      <c r="AF17" s="9">
        <f t="shared" si="0"/>
        <v>725.30499999999995</v>
      </c>
      <c r="AG17" s="9">
        <f t="shared" si="1"/>
        <v>606.05000000000007</v>
      </c>
      <c r="AH17" s="9">
        <f t="shared" si="2"/>
        <v>1.6744034670001191</v>
      </c>
      <c r="AI17" s="9">
        <f t="shared" si="3"/>
        <v>2.8036269703020191</v>
      </c>
      <c r="AJ17" s="9">
        <f t="shared" si="4"/>
        <v>2.1669929482836796</v>
      </c>
      <c r="AK17" s="9">
        <f t="shared" si="5"/>
        <v>4.6958584379111938</v>
      </c>
      <c r="AL17" s="9">
        <f t="shared" si="6"/>
        <v>2.6064921157753025</v>
      </c>
      <c r="AM17" s="9">
        <f t="shared" si="7"/>
        <v>6.7938011495988126</v>
      </c>
      <c r="AN17" s="8" t="s">
        <v>1554</v>
      </c>
    </row>
    <row r="18" spans="13:40" ht="23">
      <c r="M18" s="9" t="s">
        <v>2342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9" t="s">
        <v>2342</v>
      </c>
      <c r="X18" s="8">
        <v>29.92</v>
      </c>
      <c r="Y18" s="8">
        <v>1.85</v>
      </c>
      <c r="Z18" s="9">
        <v>0.24</v>
      </c>
      <c r="AA18" s="8">
        <v>181.3</v>
      </c>
      <c r="AB18" s="8">
        <v>4694</v>
      </c>
      <c r="AC18" s="22" t="s">
        <v>2342</v>
      </c>
      <c r="AD18" s="8" t="s">
        <v>4375</v>
      </c>
      <c r="AE18" s="8" t="s">
        <v>4083</v>
      </c>
      <c r="AF18" s="9">
        <f t="shared" si="0"/>
        <v>335.40500000000003</v>
      </c>
      <c r="AG18" s="9">
        <f t="shared" si="1"/>
        <v>72.52000000000001</v>
      </c>
      <c r="AH18" s="9">
        <f t="shared" si="2"/>
        <v>1.5527843916476807</v>
      </c>
      <c r="AI18" s="9">
        <f t="shared" si="3"/>
        <v>2.4111393669446577</v>
      </c>
      <c r="AJ18" s="9">
        <f t="shared" si="4"/>
        <v>1.0020891484535301</v>
      </c>
      <c r="AK18" s="9">
        <f t="shared" si="5"/>
        <v>1.0041826614483211</v>
      </c>
      <c r="AL18" s="9">
        <f t="shared" si="6"/>
        <v>0.31189309171854623</v>
      </c>
      <c r="AM18" s="9">
        <f t="shared" si="7"/>
        <v>9.7277300661753496E-2</v>
      </c>
      <c r="AN18" s="9" t="s">
        <v>2342</v>
      </c>
    </row>
    <row r="19" spans="13:40" ht="23">
      <c r="M19" s="8" t="s">
        <v>2020</v>
      </c>
      <c r="N19" s="8" t="s">
        <v>2017</v>
      </c>
      <c r="O19" s="8"/>
      <c r="P19" s="8"/>
      <c r="Q19" s="8"/>
      <c r="R19" s="8"/>
      <c r="S19" s="8"/>
      <c r="T19" s="8"/>
      <c r="U19" s="8"/>
      <c r="V19" s="8"/>
      <c r="W19" s="8" t="s">
        <v>2020</v>
      </c>
      <c r="X19" s="8">
        <v>32.71</v>
      </c>
      <c r="Y19" s="8">
        <v>1.71</v>
      </c>
      <c r="Z19" s="9">
        <v>3.52</v>
      </c>
      <c r="AA19" s="8">
        <v>179.5</v>
      </c>
      <c r="AB19" s="8">
        <v>5079</v>
      </c>
      <c r="AC19" s="21" t="s">
        <v>2020</v>
      </c>
      <c r="AD19" s="8" t="s">
        <v>3718</v>
      </c>
      <c r="AE19" s="8" t="s">
        <v>4083</v>
      </c>
      <c r="AF19" s="9">
        <f t="shared" si="0"/>
        <v>306.94499999999999</v>
      </c>
      <c r="AG19" s="9">
        <f t="shared" si="1"/>
        <v>694.06666666666672</v>
      </c>
      <c r="AH19" s="9">
        <f t="shared" si="2"/>
        <v>1.5373678891382165</v>
      </c>
      <c r="AI19" s="9">
        <f t="shared" si="3"/>
        <v>2.3635000265532957</v>
      </c>
      <c r="AJ19" s="9">
        <f t="shared" si="4"/>
        <v>0.91705923785295029</v>
      </c>
      <c r="AK19" s="9">
        <f t="shared" si="5"/>
        <v>0.8409976457314341</v>
      </c>
      <c r="AL19" s="9">
        <f t="shared" si="6"/>
        <v>2.9850330739858286</v>
      </c>
      <c r="AM19" s="9">
        <f t="shared" si="7"/>
        <v>8.9104224527892857</v>
      </c>
      <c r="AN19" s="8" t="s">
        <v>2020</v>
      </c>
    </row>
    <row r="20" spans="13:40" ht="23">
      <c r="M20" s="8" t="s">
        <v>2026</v>
      </c>
      <c r="N20" s="8" t="s">
        <v>2017</v>
      </c>
      <c r="O20" s="8"/>
      <c r="P20" s="8" t="s">
        <v>4667</v>
      </c>
      <c r="Q20" s="8"/>
      <c r="R20" s="8"/>
      <c r="S20" s="8"/>
      <c r="T20" s="8"/>
      <c r="U20" s="8"/>
      <c r="V20" s="8"/>
      <c r="W20" s="8" t="s">
        <v>2026</v>
      </c>
      <c r="X20" s="8">
        <v>30.19</v>
      </c>
      <c r="Y20" s="8">
        <v>2.25</v>
      </c>
      <c r="Z20" s="9">
        <v>0.42</v>
      </c>
      <c r="AA20" s="8">
        <v>157.9</v>
      </c>
      <c r="AB20" s="8">
        <v>6971</v>
      </c>
      <c r="AC20" s="21" t="s">
        <v>2026</v>
      </c>
      <c r="AD20" s="8" t="s">
        <v>3718</v>
      </c>
      <c r="AE20" s="8" t="s">
        <v>4083</v>
      </c>
      <c r="AF20" s="9">
        <f t="shared" si="0"/>
        <v>355.27500000000003</v>
      </c>
      <c r="AG20" s="9">
        <f t="shared" si="1"/>
        <v>110.53</v>
      </c>
      <c r="AH20" s="9">
        <f t="shared" si="2"/>
        <v>1.3523698590246487</v>
      </c>
      <c r="AI20" s="9">
        <f t="shared" si="3"/>
        <v>1.8289042355983482</v>
      </c>
      <c r="AJ20" s="9">
        <f t="shared" si="4"/>
        <v>1.0614547255313067</v>
      </c>
      <c r="AK20" s="9">
        <f t="shared" si="5"/>
        <v>1.1266861343527417</v>
      </c>
      <c r="AL20" s="9">
        <f t="shared" si="6"/>
        <v>0.47536601527373007</v>
      </c>
      <c r="AM20" s="9">
        <f t="shared" si="7"/>
        <v>0.22597284847722418</v>
      </c>
      <c r="AN20" s="8" t="s">
        <v>2026</v>
      </c>
    </row>
    <row r="21" spans="13:40" ht="23">
      <c r="M21" s="8" t="s">
        <v>85</v>
      </c>
      <c r="N21" s="8" t="s">
        <v>90</v>
      </c>
      <c r="O21" s="8"/>
      <c r="P21" s="8" t="s">
        <v>3692</v>
      </c>
      <c r="Q21" s="8"/>
      <c r="R21" s="8"/>
      <c r="S21" s="8"/>
      <c r="T21" s="8"/>
      <c r="U21" s="8"/>
      <c r="V21" s="8"/>
      <c r="W21" s="8" t="s">
        <v>85</v>
      </c>
      <c r="X21" s="8">
        <v>26.08</v>
      </c>
      <c r="Y21" s="8">
        <v>2.04</v>
      </c>
      <c r="Z21" s="9">
        <v>1.18</v>
      </c>
      <c r="AA21" s="8">
        <v>157.80000000000001</v>
      </c>
      <c r="AB21" s="8">
        <v>4526</v>
      </c>
      <c r="AC21" s="21" t="s">
        <v>85</v>
      </c>
      <c r="AD21" s="8" t="s">
        <v>4375</v>
      </c>
      <c r="AE21" s="8" t="s">
        <v>4083</v>
      </c>
      <c r="AF21" s="9">
        <f t="shared" si="0"/>
        <v>321.91200000000003</v>
      </c>
      <c r="AG21" s="9">
        <f t="shared" si="1"/>
        <v>205.14000000000001</v>
      </c>
      <c r="AH21" s="9">
        <f t="shared" si="2"/>
        <v>1.3515133866630118</v>
      </c>
      <c r="AI21" s="9">
        <f t="shared" si="3"/>
        <v>1.8265884343293237</v>
      </c>
      <c r="AJ21" s="9">
        <f t="shared" si="4"/>
        <v>0.96177612724012096</v>
      </c>
      <c r="AK21" s="9">
        <f t="shared" si="5"/>
        <v>0.92501331892900529</v>
      </c>
      <c r="AL21" s="9">
        <f t="shared" si="6"/>
        <v>0.88226349745094557</v>
      </c>
      <c r="AM21" s="9">
        <f t="shared" si="7"/>
        <v>0.77838887893437458</v>
      </c>
      <c r="AN21" s="8" t="s">
        <v>85</v>
      </c>
    </row>
    <row r="22" spans="13:40" ht="23">
      <c r="M22" s="9" t="s">
        <v>3467</v>
      </c>
      <c r="N22" s="8" t="s">
        <v>2017</v>
      </c>
      <c r="O22" s="8"/>
      <c r="P22" s="8"/>
      <c r="Q22" s="8"/>
      <c r="R22" s="8"/>
      <c r="S22" s="8"/>
      <c r="T22" s="8"/>
      <c r="U22" s="8"/>
      <c r="V22" s="8"/>
      <c r="W22" s="9" t="s">
        <v>3467</v>
      </c>
      <c r="X22" s="8">
        <v>16.79</v>
      </c>
      <c r="Y22" s="8">
        <v>1.85</v>
      </c>
      <c r="Z22" s="9">
        <v>4.28</v>
      </c>
      <c r="AA22" s="8">
        <v>154</v>
      </c>
      <c r="AB22" s="8">
        <v>10063</v>
      </c>
      <c r="AC22" s="22" t="s">
        <v>3467</v>
      </c>
      <c r="AD22" s="8" t="s">
        <v>3718</v>
      </c>
      <c r="AE22" s="8" t="s">
        <v>4083</v>
      </c>
      <c r="AF22" s="9">
        <f t="shared" si="0"/>
        <v>284.90000000000003</v>
      </c>
      <c r="AG22" s="9">
        <f t="shared" si="1"/>
        <v>687.86666666666667</v>
      </c>
      <c r="AH22" s="9">
        <f t="shared" si="2"/>
        <v>1.3189674369208098</v>
      </c>
      <c r="AI22" s="9">
        <f t="shared" si="3"/>
        <v>1.7396750996574502</v>
      </c>
      <c r="AJ22" s="9">
        <f t="shared" si="4"/>
        <v>0.85119541567481327</v>
      </c>
      <c r="AK22" s="9">
        <f t="shared" si="5"/>
        <v>0.72453363566581819</v>
      </c>
      <c r="AL22" s="9">
        <f t="shared" si="6"/>
        <v>2.9583681930060299</v>
      </c>
      <c r="AM22" s="9">
        <f t="shared" si="7"/>
        <v>8.7519423653897626</v>
      </c>
      <c r="AN22" s="9" t="s">
        <v>3467</v>
      </c>
    </row>
    <row r="23" spans="13:40" ht="23">
      <c r="M23" s="9" t="s">
        <v>3337</v>
      </c>
      <c r="N23" s="8" t="s">
        <v>1964</v>
      </c>
      <c r="O23" s="8"/>
      <c r="P23" s="8" t="s">
        <v>3691</v>
      </c>
      <c r="Q23" s="8"/>
      <c r="R23" s="8"/>
      <c r="S23" s="8"/>
      <c r="T23" s="8"/>
      <c r="U23" s="8"/>
      <c r="V23" s="8"/>
      <c r="W23" s="9" t="s">
        <v>3337</v>
      </c>
      <c r="X23" s="8">
        <v>25.57</v>
      </c>
      <c r="Y23" s="8">
        <v>5.0199999999999996</v>
      </c>
      <c r="Z23" s="9">
        <v>2.56</v>
      </c>
      <c r="AA23" s="8">
        <v>153.80000000000001</v>
      </c>
      <c r="AB23" s="8">
        <v>5084</v>
      </c>
      <c r="AC23" s="22" t="s">
        <v>3337</v>
      </c>
      <c r="AD23" s="8" t="s">
        <v>3718</v>
      </c>
      <c r="AE23" s="8" t="s">
        <v>4083</v>
      </c>
      <c r="AF23" s="9">
        <f t="shared" si="0"/>
        <v>772.07600000000002</v>
      </c>
      <c r="AG23" s="9">
        <f t="shared" si="1"/>
        <v>451.14666666666676</v>
      </c>
      <c r="AH23" s="9">
        <f t="shared" si="2"/>
        <v>1.3172544921975362</v>
      </c>
      <c r="AI23" s="9">
        <f t="shared" si="3"/>
        <v>1.7351593972145889</v>
      </c>
      <c r="AJ23" s="9">
        <f t="shared" si="4"/>
        <v>2.3067306133820535</v>
      </c>
      <c r="AK23" s="9">
        <f t="shared" si="5"/>
        <v>5.3210061227139454</v>
      </c>
      <c r="AL23" s="9">
        <f t="shared" si="6"/>
        <v>1.9402858340483049</v>
      </c>
      <c r="AM23" s="9">
        <f t="shared" si="7"/>
        <v>3.7647091178085264</v>
      </c>
      <c r="AN23" s="9" t="s">
        <v>3337</v>
      </c>
    </row>
    <row r="24" spans="13:40" ht="23">
      <c r="M24" s="8" t="s">
        <v>1369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1369</v>
      </c>
      <c r="X24" s="8">
        <v>1.66</v>
      </c>
      <c r="Y24" s="8">
        <v>2.99</v>
      </c>
      <c r="Z24" s="9">
        <v>0.1</v>
      </c>
      <c r="AA24" s="8">
        <v>151.30000000000001</v>
      </c>
      <c r="AB24" s="8">
        <v>18165</v>
      </c>
      <c r="AC24" s="21" t="s">
        <v>1369</v>
      </c>
      <c r="AD24" s="8" t="s">
        <v>3718</v>
      </c>
      <c r="AE24" s="8" t="s">
        <v>4083</v>
      </c>
      <c r="AF24" s="9">
        <f t="shared" si="0"/>
        <v>452.38700000000006</v>
      </c>
      <c r="AG24" s="9">
        <f t="shared" si="1"/>
        <v>0.25216666666666671</v>
      </c>
      <c r="AH24" s="9">
        <f t="shared" si="2"/>
        <v>1.2958426831566139</v>
      </c>
      <c r="AI24" s="9">
        <f t="shared" si="3"/>
        <v>1.6792082594905324</v>
      </c>
      <c r="AJ24" s="9">
        <f t="shared" si="4"/>
        <v>1.3515961407893355</v>
      </c>
      <c r="AK24" s="9">
        <f t="shared" si="5"/>
        <v>1.8268121277966254</v>
      </c>
      <c r="AL24" s="9">
        <f t="shared" si="6"/>
        <v>1.0845151860869656E-3</v>
      </c>
      <c r="AM24" s="9">
        <f t="shared" si="7"/>
        <v>1.1761731888532455E-6</v>
      </c>
      <c r="AN24" s="8" t="s">
        <v>1369</v>
      </c>
    </row>
    <row r="25" spans="13:40" ht="23">
      <c r="M25" s="9" t="s">
        <v>3209</v>
      </c>
      <c r="N25" s="8" t="s">
        <v>1902</v>
      </c>
      <c r="O25" s="8"/>
      <c r="P25" s="8" t="s">
        <v>3691</v>
      </c>
      <c r="Q25" s="8"/>
      <c r="R25" s="8"/>
      <c r="S25" s="8"/>
      <c r="T25" s="8"/>
      <c r="U25" s="8"/>
      <c r="V25" s="8"/>
      <c r="W25" s="9" t="s">
        <v>3209</v>
      </c>
      <c r="X25" s="8">
        <v>1.1499999999999999</v>
      </c>
      <c r="Y25" s="8">
        <v>12.11</v>
      </c>
      <c r="Z25" s="9">
        <v>2.31</v>
      </c>
      <c r="AA25" s="8">
        <v>150.30000000000001</v>
      </c>
      <c r="AB25" s="8">
        <v>5011</v>
      </c>
      <c r="AC25" s="22" t="s">
        <v>3209</v>
      </c>
      <c r="AD25" s="8" t="s">
        <v>3718</v>
      </c>
      <c r="AE25" s="8" t="s">
        <v>4083</v>
      </c>
      <c r="AF25" s="9">
        <f t="shared" si="0"/>
        <v>1820.133</v>
      </c>
      <c r="AG25" s="9">
        <f t="shared" si="1"/>
        <v>378.255</v>
      </c>
      <c r="AH25" s="9">
        <f t="shared" si="2"/>
        <v>1.287277959540245</v>
      </c>
      <c r="AI25" s="9">
        <f t="shared" si="3"/>
        <v>1.6570845451180967</v>
      </c>
      <c r="AJ25" s="9">
        <f t="shared" si="4"/>
        <v>5.438009355979097</v>
      </c>
      <c r="AK25" s="9">
        <f t="shared" si="5"/>
        <v>29.571945755716193</v>
      </c>
      <c r="AL25" s="9">
        <f t="shared" si="6"/>
        <v>1.6267942830667219</v>
      </c>
      <c r="AM25" s="9">
        <f t="shared" si="7"/>
        <v>2.6464596394185698</v>
      </c>
      <c r="AN25" s="9" t="s">
        <v>3209</v>
      </c>
    </row>
    <row r="26" spans="13:40" ht="23">
      <c r="M26" s="9" t="s">
        <v>3469</v>
      </c>
      <c r="N26" s="8" t="s">
        <v>2017</v>
      </c>
      <c r="O26" s="8"/>
      <c r="P26" s="8"/>
      <c r="Q26" s="8"/>
      <c r="R26" s="8"/>
      <c r="S26" s="8"/>
      <c r="T26" s="8"/>
      <c r="U26" s="8"/>
      <c r="V26" s="8"/>
      <c r="W26" s="9" t="s">
        <v>3469</v>
      </c>
      <c r="X26" s="8">
        <v>9.35</v>
      </c>
      <c r="Y26" s="8">
        <v>3.27</v>
      </c>
      <c r="Z26" s="9">
        <v>2.52</v>
      </c>
      <c r="AA26" s="8">
        <v>146.19999999999999</v>
      </c>
      <c r="AB26" s="8">
        <v>3636</v>
      </c>
      <c r="AC26" s="22" t="s">
        <v>3469</v>
      </c>
      <c r="AD26" s="8" t="s">
        <v>3718</v>
      </c>
      <c r="AE26" s="8" t="s">
        <v>4083</v>
      </c>
      <c r="AF26" s="9">
        <f t="shared" si="0"/>
        <v>478.07399999999996</v>
      </c>
      <c r="AG26" s="9">
        <f t="shared" si="1"/>
        <v>419.10666666666663</v>
      </c>
      <c r="AH26" s="9">
        <f t="shared" si="2"/>
        <v>1.2521625927131323</v>
      </c>
      <c r="AI26" s="9">
        <f t="shared" si="3"/>
        <v>1.5679111585900738</v>
      </c>
      <c r="AJ26" s="9">
        <f t="shared" si="4"/>
        <v>1.4283411623493176</v>
      </c>
      <c r="AK26" s="9">
        <f t="shared" si="5"/>
        <v>2.0401584760613996</v>
      </c>
      <c r="AL26" s="9">
        <f t="shared" si="6"/>
        <v>1.8024886104043136</v>
      </c>
      <c r="AM26" s="9">
        <f t="shared" si="7"/>
        <v>3.2489651906372736</v>
      </c>
      <c r="AN26" s="9" t="s">
        <v>3469</v>
      </c>
    </row>
    <row r="27" spans="13:40" ht="23">
      <c r="M27" s="9" t="s">
        <v>2293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9" t="s">
        <v>2293</v>
      </c>
      <c r="X27" s="8">
        <v>38.07</v>
      </c>
      <c r="Y27" s="8">
        <v>1.24</v>
      </c>
      <c r="Z27" s="9">
        <v>0.14000000000000001</v>
      </c>
      <c r="AA27" s="8">
        <v>144.6</v>
      </c>
      <c r="AB27" s="8">
        <v>6417</v>
      </c>
      <c r="AC27" s="22" t="s">
        <v>2293</v>
      </c>
      <c r="AD27" s="8" t="s">
        <v>4176</v>
      </c>
      <c r="AE27" s="8" t="s">
        <v>4083</v>
      </c>
      <c r="AF27" s="9">
        <f t="shared" si="0"/>
        <v>179.304</v>
      </c>
      <c r="AG27" s="9">
        <f t="shared" si="1"/>
        <v>33.74</v>
      </c>
      <c r="AH27" s="9">
        <f t="shared" si="2"/>
        <v>1.2384590349269422</v>
      </c>
      <c r="AI27" s="9">
        <f t="shared" si="3"/>
        <v>1.5337807811921731</v>
      </c>
      <c r="AJ27" s="9">
        <f t="shared" si="4"/>
        <v>0.535706362977033</v>
      </c>
      <c r="AK27" s="9">
        <f t="shared" si="5"/>
        <v>0.28698130733408062</v>
      </c>
      <c r="AL27" s="9">
        <f t="shared" si="6"/>
        <v>0.14510856197716143</v>
      </c>
      <c r="AM27" s="9">
        <f t="shared" si="7"/>
        <v>2.10564947590797E-2</v>
      </c>
      <c r="AN27" s="9" t="s">
        <v>2293</v>
      </c>
    </row>
    <row r="28" spans="13:40" ht="23">
      <c r="M28" s="8" t="s">
        <v>1301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1301</v>
      </c>
      <c r="X28" s="8">
        <v>11.36</v>
      </c>
      <c r="Y28" s="8">
        <v>3.01</v>
      </c>
      <c r="Z28" s="9">
        <v>0.35</v>
      </c>
      <c r="AA28" s="8">
        <v>130.6</v>
      </c>
      <c r="AB28" s="8">
        <v>17822</v>
      </c>
      <c r="AC28" s="21" t="s">
        <v>1301</v>
      </c>
      <c r="AD28" s="8" t="s">
        <v>4176</v>
      </c>
      <c r="AE28" s="8" t="s">
        <v>4083</v>
      </c>
      <c r="AF28" s="9">
        <f t="shared" si="0"/>
        <v>393.10599999999994</v>
      </c>
      <c r="AG28" s="9">
        <f t="shared" si="1"/>
        <v>76.183333333333337</v>
      </c>
      <c r="AH28" s="9">
        <f t="shared" si="2"/>
        <v>1.1185529042977778</v>
      </c>
      <c r="AI28" s="9">
        <f t="shared" si="3"/>
        <v>1.2511605997129935</v>
      </c>
      <c r="AJ28" s="9">
        <f t="shared" si="4"/>
        <v>1.1744823624930258</v>
      </c>
      <c r="AK28" s="9">
        <f t="shared" si="5"/>
        <v>1.3794088198071994</v>
      </c>
      <c r="AL28" s="9">
        <f t="shared" si="6"/>
        <v>0.32764830902865294</v>
      </c>
      <c r="AM28" s="9">
        <f t="shared" si="7"/>
        <v>0.10735341440933566</v>
      </c>
      <c r="AN28" s="8" t="s">
        <v>1301</v>
      </c>
    </row>
    <row r="29" spans="13:40" ht="23">
      <c r="M29" s="8" t="s">
        <v>610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610</v>
      </c>
      <c r="X29" s="8">
        <v>19.989999999999998</v>
      </c>
      <c r="Y29" s="8">
        <v>2.14</v>
      </c>
      <c r="Z29" s="9">
        <v>0.45</v>
      </c>
      <c r="AA29" s="8">
        <v>124.7</v>
      </c>
      <c r="AB29" s="8">
        <v>5840</v>
      </c>
      <c r="AC29" s="21" t="s">
        <v>610</v>
      </c>
      <c r="AD29" s="8" t="s">
        <v>3718</v>
      </c>
      <c r="AE29" s="8" t="s">
        <v>4083</v>
      </c>
      <c r="AF29" s="9">
        <f t="shared" si="0"/>
        <v>266.858</v>
      </c>
      <c r="AG29" s="9">
        <f t="shared" si="1"/>
        <v>93.525000000000006</v>
      </c>
      <c r="AH29" s="9">
        <f t="shared" si="2"/>
        <v>1.0680210349612012</v>
      </c>
      <c r="AI29" s="9">
        <f t="shared" si="3"/>
        <v>1.1406689311195952</v>
      </c>
      <c r="AJ29" s="9">
        <f t="shared" si="4"/>
        <v>0.79729135218023617</v>
      </c>
      <c r="AK29" s="9">
        <f t="shared" si="5"/>
        <v>0.63567350026138936</v>
      </c>
      <c r="AL29" s="9">
        <f t="shared" si="6"/>
        <v>0.40223112800575056</v>
      </c>
      <c r="AM29" s="9">
        <f t="shared" si="7"/>
        <v>0.16178988033677849</v>
      </c>
      <c r="AN29" s="8" t="s">
        <v>610</v>
      </c>
    </row>
    <row r="30" spans="13:40" ht="23">
      <c r="M30" s="8" t="s">
        <v>1122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1122</v>
      </c>
      <c r="X30" s="8">
        <v>26.5</v>
      </c>
      <c r="Y30" s="8">
        <v>3.25</v>
      </c>
      <c r="Z30" s="9">
        <v>0.3</v>
      </c>
      <c r="AA30" s="8">
        <v>123.3</v>
      </c>
      <c r="AB30" s="8">
        <v>5494</v>
      </c>
      <c r="AC30" s="21" t="s">
        <v>1122</v>
      </c>
      <c r="AD30" s="8" t="s">
        <v>4375</v>
      </c>
      <c r="AE30" s="8" t="s">
        <v>4083</v>
      </c>
      <c r="AF30" s="9">
        <f t="shared" si="0"/>
        <v>400.72499999999997</v>
      </c>
      <c r="AG30" s="9">
        <f t="shared" si="1"/>
        <v>0.61650000000000005</v>
      </c>
      <c r="AH30" s="9">
        <f t="shared" si="2"/>
        <v>1.0560304218982848</v>
      </c>
      <c r="AI30" s="9">
        <f t="shared" si="3"/>
        <v>1.1152002519746693</v>
      </c>
      <c r="AJ30" s="9">
        <f t="shared" si="4"/>
        <v>1.1972456403871163</v>
      </c>
      <c r="AK30" s="9">
        <f t="shared" si="5"/>
        <v>1.4333971234259564</v>
      </c>
      <c r="AL30" s="9">
        <f t="shared" si="6"/>
        <v>2.6514353425880271E-3</v>
      </c>
      <c r="AM30" s="9">
        <f t="shared" si="7"/>
        <v>7.0301093759248885E-6</v>
      </c>
      <c r="AN30" s="8" t="s">
        <v>1122</v>
      </c>
    </row>
    <row r="31" spans="13:40" ht="23">
      <c r="M31" s="8" t="s">
        <v>2022</v>
      </c>
      <c r="N31" s="8" t="s">
        <v>2017</v>
      </c>
      <c r="O31" s="8"/>
      <c r="P31" s="8"/>
      <c r="Q31" s="8"/>
      <c r="R31" s="8"/>
      <c r="S31" s="8"/>
      <c r="T31" s="8"/>
      <c r="U31" s="8"/>
      <c r="V31" s="8"/>
      <c r="W31" s="8" t="s">
        <v>2022</v>
      </c>
      <c r="X31" s="8">
        <v>28.2</v>
      </c>
      <c r="Y31" s="8">
        <v>1.78</v>
      </c>
      <c r="Z31" s="9">
        <v>1.26</v>
      </c>
      <c r="AA31" s="8">
        <v>121.9</v>
      </c>
      <c r="AB31" s="8">
        <v>4796</v>
      </c>
      <c r="AC31" s="21" t="s">
        <v>2022</v>
      </c>
      <c r="AD31" s="8" t="s">
        <v>3718</v>
      </c>
      <c r="AE31" s="8" t="s">
        <v>4083</v>
      </c>
      <c r="AF31" s="9">
        <f t="shared" si="0"/>
        <v>216.982</v>
      </c>
      <c r="AG31" s="9">
        <f t="shared" si="1"/>
        <v>174.72333333333333</v>
      </c>
      <c r="AH31" s="9">
        <f t="shared" si="2"/>
        <v>1.0440398088353684</v>
      </c>
      <c r="AI31" s="9">
        <f t="shared" si="3"/>
        <v>1.0900191224329925</v>
      </c>
      <c r="AJ31" s="9">
        <f t="shared" si="4"/>
        <v>0.64827688200755451</v>
      </c>
      <c r="AK31" s="9">
        <f t="shared" si="5"/>
        <v>0.42026291574543673</v>
      </c>
      <c r="AL31" s="9">
        <f t="shared" si="6"/>
        <v>0.75144788511725658</v>
      </c>
      <c r="AM31" s="9">
        <f t="shared" si="7"/>
        <v>0.56467392404719763</v>
      </c>
      <c r="AN31" s="8" t="s">
        <v>2022</v>
      </c>
    </row>
    <row r="32" spans="13:40" ht="23">
      <c r="M32" s="8" t="s">
        <v>1499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1499</v>
      </c>
      <c r="X32" s="8">
        <v>11.67</v>
      </c>
      <c r="Y32" s="8">
        <v>3.36</v>
      </c>
      <c r="Z32" s="9">
        <v>3.05</v>
      </c>
      <c r="AA32" s="8">
        <v>114.7</v>
      </c>
      <c r="AB32" s="8">
        <v>4956</v>
      </c>
      <c r="AC32" s="21" t="s">
        <v>1499</v>
      </c>
      <c r="AD32" s="8" t="s">
        <v>4176</v>
      </c>
      <c r="AE32" s="8" t="s">
        <v>4083</v>
      </c>
      <c r="AF32" s="9">
        <f t="shared" si="0"/>
        <v>385.392</v>
      </c>
      <c r="AG32" s="9">
        <f t="shared" si="1"/>
        <v>353.65833333333336</v>
      </c>
      <c r="AH32" s="9">
        <f t="shared" si="2"/>
        <v>0.9823737987975123</v>
      </c>
      <c r="AI32" s="9">
        <f t="shared" si="3"/>
        <v>0.96505828056385523</v>
      </c>
      <c r="AJ32" s="9">
        <f t="shared" si="4"/>
        <v>1.1514352532037471</v>
      </c>
      <c r="AK32" s="9">
        <f t="shared" si="5"/>
        <v>1.3258031423203771</v>
      </c>
      <c r="AL32" s="9">
        <f t="shared" si="6"/>
        <v>1.5210092525560055</v>
      </c>
      <c r="AM32" s="9">
        <f t="shared" si="7"/>
        <v>2.3134691463609784</v>
      </c>
      <c r="AN32" s="8" t="s">
        <v>1499</v>
      </c>
    </row>
    <row r="33" spans="13:40" ht="23">
      <c r="M33" s="9" t="s">
        <v>3466</v>
      </c>
      <c r="N33" s="8" t="s">
        <v>2017</v>
      </c>
      <c r="O33" s="8"/>
      <c r="P33" s="8"/>
      <c r="Q33" s="8"/>
      <c r="R33" s="8"/>
      <c r="S33" s="8"/>
      <c r="T33" s="8"/>
      <c r="U33" s="8"/>
      <c r="V33" s="8"/>
      <c r="W33" s="9" t="s">
        <v>3466</v>
      </c>
      <c r="X33" s="8">
        <v>34.159999999999997</v>
      </c>
      <c r="Y33" s="8">
        <v>1.07</v>
      </c>
      <c r="Z33" s="9">
        <v>0.06</v>
      </c>
      <c r="AA33" s="8">
        <v>108.3</v>
      </c>
      <c r="AB33" s="8">
        <v>16093</v>
      </c>
      <c r="AC33" s="22" t="s">
        <v>3466</v>
      </c>
      <c r="AD33" s="8" t="s">
        <v>3718</v>
      </c>
      <c r="AE33" s="8" t="s">
        <v>4083</v>
      </c>
      <c r="AF33" s="9">
        <f t="shared" si="0"/>
        <v>115.881</v>
      </c>
      <c r="AG33" s="9">
        <f t="shared" si="1"/>
        <v>10.83</v>
      </c>
      <c r="AH33" s="9">
        <f t="shared" si="2"/>
        <v>0.92755956765275127</v>
      </c>
      <c r="AI33" s="9">
        <f t="shared" si="3"/>
        <v>0.86036675154415887</v>
      </c>
      <c r="AJ33" s="9">
        <f t="shared" si="4"/>
        <v>0.34621753585051956</v>
      </c>
      <c r="AK33" s="9">
        <f t="shared" si="5"/>
        <v>0.1198665821304058</v>
      </c>
      <c r="AL33" s="9">
        <f t="shared" si="6"/>
        <v>4.6577525969551233E-2</v>
      </c>
      <c r="AM33" s="9">
        <f t="shared" si="7"/>
        <v>2.1694659254442193E-3</v>
      </c>
      <c r="AN33" s="9" t="s">
        <v>3466</v>
      </c>
    </row>
    <row r="34" spans="13:40" ht="23">
      <c r="M34" s="9" t="s">
        <v>3232</v>
      </c>
      <c r="N34" s="8" t="s">
        <v>1902</v>
      </c>
      <c r="O34" s="8"/>
      <c r="P34" s="8"/>
      <c r="Q34" s="8"/>
      <c r="R34" s="8"/>
      <c r="S34" s="8"/>
      <c r="T34" s="8"/>
      <c r="U34" s="8"/>
      <c r="V34" s="8"/>
      <c r="W34" s="9" t="s">
        <v>3232</v>
      </c>
      <c r="X34" s="8">
        <v>29.01</v>
      </c>
      <c r="Y34" s="8">
        <v>1.55</v>
      </c>
      <c r="Z34" s="9">
        <v>0.43</v>
      </c>
      <c r="AA34" s="8">
        <v>104.6</v>
      </c>
      <c r="AB34" s="8">
        <v>9972</v>
      </c>
      <c r="AC34" s="22" t="s">
        <v>3232</v>
      </c>
      <c r="AD34" s="8" t="s">
        <v>4375</v>
      </c>
      <c r="AE34" s="8" t="s">
        <v>4083</v>
      </c>
      <c r="AF34" s="9">
        <f t="shared" si="0"/>
        <v>162.13</v>
      </c>
      <c r="AG34" s="9">
        <f t="shared" si="1"/>
        <v>74.963333333333324</v>
      </c>
      <c r="AH34" s="9">
        <f t="shared" si="2"/>
        <v>0.89587009027218645</v>
      </c>
      <c r="AI34" s="9">
        <f t="shared" si="3"/>
        <v>0.80258321864429549</v>
      </c>
      <c r="AJ34" s="9">
        <f t="shared" si="4"/>
        <v>0.48439562212480675</v>
      </c>
      <c r="AK34" s="9">
        <f t="shared" si="5"/>
        <v>0.23463911873367857</v>
      </c>
      <c r="AL34" s="9">
        <f t="shared" si="6"/>
        <v>0.32240134857778929</v>
      </c>
      <c r="AM34" s="9">
        <f t="shared" si="7"/>
        <v>0.10394262956477719</v>
      </c>
      <c r="AN34" s="9" t="s">
        <v>3232</v>
      </c>
    </row>
    <row r="35" spans="13:40" ht="23">
      <c r="M35" s="8" t="s">
        <v>1355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8" t="s">
        <v>1355</v>
      </c>
      <c r="X35" s="8">
        <v>21.29</v>
      </c>
      <c r="Y35" s="8">
        <v>1.21</v>
      </c>
      <c r="Z35" s="9">
        <v>0.28999999999999998</v>
      </c>
      <c r="AA35" s="8">
        <v>100.1</v>
      </c>
      <c r="AB35" s="8">
        <v>19254</v>
      </c>
      <c r="AC35" s="21" t="s">
        <v>1355</v>
      </c>
      <c r="AD35" s="8" t="s">
        <v>3718</v>
      </c>
      <c r="AE35" s="8" t="s">
        <v>4083</v>
      </c>
      <c r="AF35" s="9">
        <f t="shared" si="0"/>
        <v>121.121</v>
      </c>
      <c r="AG35" s="9">
        <f t="shared" si="1"/>
        <v>48.381666666666668</v>
      </c>
      <c r="AH35" s="9">
        <f t="shared" si="2"/>
        <v>0.85732883399852644</v>
      </c>
      <c r="AI35" s="9">
        <f t="shared" si="3"/>
        <v>0.73501272960527286</v>
      </c>
      <c r="AJ35" s="9">
        <f t="shared" si="4"/>
        <v>0.36187307806931923</v>
      </c>
      <c r="AK35" s="9">
        <f t="shared" si="5"/>
        <v>0.1309521246313636</v>
      </c>
      <c r="AL35" s="9">
        <f t="shared" si="6"/>
        <v>0.20807925536628233</v>
      </c>
      <c r="AM35" s="9">
        <f t="shared" si="7"/>
        <v>4.3296976513786535E-2</v>
      </c>
      <c r="AN35" s="8" t="s">
        <v>1355</v>
      </c>
    </row>
    <row r="36" spans="13:40" ht="23">
      <c r="M36" s="24" t="s">
        <v>5104</v>
      </c>
      <c r="N36" s="8" t="s">
        <v>150</v>
      </c>
      <c r="O36" s="24"/>
      <c r="P36" s="24"/>
      <c r="Q36" s="24"/>
      <c r="R36" s="24"/>
      <c r="S36" s="24"/>
      <c r="T36" s="24"/>
      <c r="U36" s="24"/>
      <c r="V36" s="24"/>
      <c r="W36" s="24" t="s">
        <v>5104</v>
      </c>
      <c r="X36" s="24">
        <v>21.1</v>
      </c>
      <c r="Y36" s="24">
        <v>6.69</v>
      </c>
      <c r="Z36" s="25">
        <v>0.38</v>
      </c>
      <c r="AA36" s="24">
        <v>97.1</v>
      </c>
      <c r="AB36" s="24">
        <v>6354</v>
      </c>
      <c r="AC36" s="21" t="s">
        <v>5104</v>
      </c>
      <c r="AD36" s="8" t="s">
        <v>3718</v>
      </c>
      <c r="AE36" s="8" t="s">
        <v>4083</v>
      </c>
      <c r="AF36" s="25">
        <f t="shared" si="0"/>
        <v>649.59900000000005</v>
      </c>
      <c r="AG36" s="25">
        <f t="shared" si="1"/>
        <v>61.496666666666663</v>
      </c>
      <c r="AH36" s="25">
        <f t="shared" si="2"/>
        <v>0.83163466314941958</v>
      </c>
      <c r="AI36" s="25">
        <f t="shared" si="3"/>
        <v>0.69161621295164855</v>
      </c>
      <c r="AJ36" s="25">
        <f t="shared" si="4"/>
        <v>1.9408062156087855</v>
      </c>
      <c r="AK36" s="25">
        <f t="shared" si="5"/>
        <v>3.7667287665456959</v>
      </c>
      <c r="AL36" s="25">
        <f t="shared" si="6"/>
        <v>0.26448408021306574</v>
      </c>
      <c r="AM36" s="25">
        <f t="shared" si="7"/>
        <v>6.9951828686151393E-2</v>
      </c>
      <c r="AN36" s="24" t="s">
        <v>5104</v>
      </c>
    </row>
    <row r="37" spans="13:40" ht="23">
      <c r="M37" s="8" t="s">
        <v>134</v>
      </c>
      <c r="N37" s="8" t="s">
        <v>150</v>
      </c>
      <c r="O37" s="8"/>
      <c r="P37" s="8" t="s">
        <v>3691</v>
      </c>
      <c r="Q37" s="8"/>
      <c r="R37" s="8"/>
      <c r="S37" s="8"/>
      <c r="T37" s="8"/>
      <c r="U37" s="8"/>
      <c r="V37" s="8"/>
      <c r="W37" s="8" t="s">
        <v>134</v>
      </c>
      <c r="X37" s="8">
        <v>6.76</v>
      </c>
      <c r="Y37" s="8">
        <v>2.97</v>
      </c>
      <c r="Z37" s="9">
        <v>0.54</v>
      </c>
      <c r="AA37" s="8">
        <v>94.9</v>
      </c>
      <c r="AB37" s="8">
        <v>4832</v>
      </c>
      <c r="AC37" s="21" t="s">
        <v>134</v>
      </c>
      <c r="AD37" s="8" t="s">
        <v>3718</v>
      </c>
      <c r="AE37" s="8" t="s">
        <v>4083</v>
      </c>
      <c r="AF37" s="9">
        <f t="shared" si="0"/>
        <v>281.85300000000001</v>
      </c>
      <c r="AG37" s="9">
        <f t="shared" si="1"/>
        <v>85.410000000000011</v>
      </c>
      <c r="AH37" s="9">
        <f t="shared" si="2"/>
        <v>0.81279227119340824</v>
      </c>
      <c r="AI37" s="9">
        <f t="shared" si="3"/>
        <v>0.66063127611173889</v>
      </c>
      <c r="AJ37" s="9">
        <f t="shared" si="4"/>
        <v>0.84209189713651489</v>
      </c>
      <c r="AK37" s="9">
        <f t="shared" si="5"/>
        <v>0.70911876322297474</v>
      </c>
      <c r="AL37" s="9">
        <f t="shared" si="6"/>
        <v>0.36733023943299825</v>
      </c>
      <c r="AM37" s="9">
        <f t="shared" si="7"/>
        <v>0.13493150480190383</v>
      </c>
      <c r="AN37" s="8" t="s">
        <v>134</v>
      </c>
    </row>
    <row r="38" spans="13:40" ht="23">
      <c r="M38" s="9" t="s">
        <v>3095</v>
      </c>
      <c r="N38" s="8" t="s">
        <v>1814</v>
      </c>
      <c r="O38" s="8"/>
      <c r="P38" s="8"/>
      <c r="Q38" s="8"/>
      <c r="R38" s="8"/>
      <c r="S38" s="8"/>
      <c r="T38" s="8"/>
      <c r="U38" s="8"/>
      <c r="V38" s="8"/>
      <c r="W38" s="9" t="s">
        <v>3095</v>
      </c>
      <c r="X38" s="8">
        <v>31.88</v>
      </c>
      <c r="Y38" s="8">
        <v>1.1000000000000001</v>
      </c>
      <c r="Z38" s="9">
        <v>0.09</v>
      </c>
      <c r="AA38" s="8">
        <v>94</v>
      </c>
      <c r="AB38" s="8">
        <v>30471</v>
      </c>
      <c r="AC38" s="22" t="s">
        <v>3095</v>
      </c>
      <c r="AD38" s="8" t="s">
        <v>3718</v>
      </c>
      <c r="AE38" s="8" t="s">
        <v>4083</v>
      </c>
      <c r="AF38" s="9">
        <f t="shared" si="0"/>
        <v>103.4</v>
      </c>
      <c r="AG38" s="9">
        <f t="shared" si="1"/>
        <v>14.1</v>
      </c>
      <c r="AH38" s="9">
        <f t="shared" si="2"/>
        <v>0.80508401993867607</v>
      </c>
      <c r="AI38" s="9">
        <f t="shared" si="3"/>
        <v>0.64816027916061858</v>
      </c>
      <c r="AJ38" s="9">
        <f t="shared" si="4"/>
        <v>0.30892806592058858</v>
      </c>
      <c r="AK38" s="9">
        <f t="shared" si="5"/>
        <v>9.5436549913435517E-2</v>
      </c>
      <c r="AL38" s="9">
        <f t="shared" si="6"/>
        <v>6.0641100292767529E-2</v>
      </c>
      <c r="AM38" s="9">
        <f t="shared" si="7"/>
        <v>3.6773430447174901E-3</v>
      </c>
      <c r="AN38" s="9" t="s">
        <v>3095</v>
      </c>
    </row>
    <row r="39" spans="13:40" ht="23">
      <c r="M39" s="8" t="s">
        <v>1048</v>
      </c>
      <c r="N39" s="8" t="s">
        <v>150</v>
      </c>
      <c r="O39" s="8"/>
      <c r="P39" s="8"/>
      <c r="Q39" s="8"/>
      <c r="R39" s="8"/>
      <c r="S39" s="8"/>
      <c r="T39" s="8"/>
      <c r="U39" s="8"/>
      <c r="V39" s="8"/>
      <c r="W39" s="8" t="s">
        <v>1048</v>
      </c>
      <c r="X39" s="8">
        <v>18.440000000000001</v>
      </c>
      <c r="Y39" s="8">
        <v>2.76</v>
      </c>
      <c r="Z39" s="9">
        <v>1.4</v>
      </c>
      <c r="AA39" s="8">
        <v>91.1</v>
      </c>
      <c r="AB39" s="8">
        <v>4115</v>
      </c>
      <c r="AC39" s="21" t="s">
        <v>1048</v>
      </c>
      <c r="AD39" s="8" t="s">
        <v>4375</v>
      </c>
      <c r="AE39" s="8" t="s">
        <v>4083</v>
      </c>
      <c r="AF39" s="9">
        <f t="shared" si="0"/>
        <v>251.43599999999998</v>
      </c>
      <c r="AG39" s="9">
        <f t="shared" si="1"/>
        <v>91.707333333333324</v>
      </c>
      <c r="AH39" s="9">
        <f t="shared" si="2"/>
        <v>0.7802463214512062</v>
      </c>
      <c r="AI39" s="9">
        <f t="shared" si="3"/>
        <v>0.60878432213813904</v>
      </c>
      <c r="AJ39" s="9">
        <f t="shared" si="4"/>
        <v>0.75121505979505898</v>
      </c>
      <c r="AK39" s="9">
        <f t="shared" si="5"/>
        <v>0.56432406606289409</v>
      </c>
      <c r="AL39" s="9">
        <f t="shared" si="6"/>
        <v>0.39441373037226446</v>
      </c>
      <c r="AM39" s="9">
        <f t="shared" si="7"/>
        <v>0.15556219070616534</v>
      </c>
      <c r="AN39" s="8" t="s">
        <v>1048</v>
      </c>
    </row>
    <row r="40" spans="13:40" ht="23">
      <c r="M40" s="8" t="s">
        <v>868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8" t="s">
        <v>868</v>
      </c>
      <c r="X40" s="8">
        <v>21.75</v>
      </c>
      <c r="Y40" s="8">
        <v>3.98</v>
      </c>
      <c r="Z40" s="9">
        <v>3.04</v>
      </c>
      <c r="AA40" s="8">
        <v>90.1</v>
      </c>
      <c r="AB40" s="8">
        <v>3711</v>
      </c>
      <c r="AC40" s="21" t="s">
        <v>868</v>
      </c>
      <c r="AD40" s="8" t="s">
        <v>3718</v>
      </c>
      <c r="AE40" s="8" t="s">
        <v>4083</v>
      </c>
      <c r="AF40" s="9">
        <f t="shared" si="0"/>
        <v>358.59799999999996</v>
      </c>
      <c r="AG40" s="9">
        <f t="shared" si="1"/>
        <v>276.30666666666667</v>
      </c>
      <c r="AH40" s="9">
        <f t="shared" si="2"/>
        <v>0.77168159783483736</v>
      </c>
      <c r="AI40" s="9">
        <f t="shared" si="3"/>
        <v>0.5954924884369277</v>
      </c>
      <c r="AJ40" s="9">
        <f t="shared" si="4"/>
        <v>1.0713828489650987</v>
      </c>
      <c r="AK40" s="9">
        <f t="shared" si="5"/>
        <v>1.1478612090565716</v>
      </c>
      <c r="AL40" s="9">
        <f t="shared" si="6"/>
        <v>1.1883361904179872</v>
      </c>
      <c r="AM40" s="9">
        <f t="shared" si="7"/>
        <v>1.4121429014571347</v>
      </c>
      <c r="AN40" s="8" t="s">
        <v>868</v>
      </c>
    </row>
    <row r="41" spans="13:40" ht="23">
      <c r="M41" s="9" t="s">
        <v>2316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9" t="s">
        <v>2316</v>
      </c>
      <c r="X41" s="8">
        <v>29.69</v>
      </c>
      <c r="Y41" s="8">
        <v>1.36</v>
      </c>
      <c r="Z41" s="9">
        <v>0.24</v>
      </c>
      <c r="AA41" s="8">
        <v>85.9</v>
      </c>
      <c r="AB41" s="8">
        <v>11455</v>
      </c>
      <c r="AC41" s="22" t="s">
        <v>2316</v>
      </c>
      <c r="AD41" s="8" t="s">
        <v>3718</v>
      </c>
      <c r="AE41" s="8" t="s">
        <v>4083</v>
      </c>
      <c r="AF41" s="9">
        <f t="shared" si="0"/>
        <v>116.82400000000001</v>
      </c>
      <c r="AG41" s="9">
        <f t="shared" si="1"/>
        <v>34.360000000000007</v>
      </c>
      <c r="AH41" s="9">
        <f t="shared" si="2"/>
        <v>0.73570975864608812</v>
      </c>
      <c r="AI41" s="9">
        <f t="shared" si="3"/>
        <v>0.54126884896708527</v>
      </c>
      <c r="AJ41" s="9">
        <f t="shared" si="4"/>
        <v>0.34903493591012419</v>
      </c>
      <c r="AK41" s="9">
        <f t="shared" si="5"/>
        <v>0.1218253864857845</v>
      </c>
      <c r="AL41" s="9">
        <f t="shared" si="6"/>
        <v>0.1477750500751413</v>
      </c>
      <c r="AM41" s="9">
        <f t="shared" si="7"/>
        <v>2.1837465424710521E-2</v>
      </c>
      <c r="AN41" s="9" t="s">
        <v>2316</v>
      </c>
    </row>
    <row r="42" spans="13:40" ht="23">
      <c r="M42" s="9" t="s">
        <v>2325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9" t="s">
        <v>2325</v>
      </c>
      <c r="X42" s="8">
        <v>16.48</v>
      </c>
      <c r="Y42" s="8">
        <v>5.46</v>
      </c>
      <c r="Z42" s="9">
        <v>9.43</v>
      </c>
      <c r="AA42" s="8">
        <v>83.3</v>
      </c>
      <c r="AB42" s="8">
        <v>8433</v>
      </c>
      <c r="AC42" s="22" t="s">
        <v>2325</v>
      </c>
      <c r="AD42" s="8" t="s">
        <v>3718</v>
      </c>
      <c r="AE42" s="8" t="s">
        <v>4083</v>
      </c>
      <c r="AF42" s="9">
        <f t="shared" si="0"/>
        <v>454.81799999999998</v>
      </c>
      <c r="AG42" s="9">
        <f t="shared" si="1"/>
        <v>809.39833333333331</v>
      </c>
      <c r="AH42" s="9">
        <f t="shared" si="2"/>
        <v>0.71344147724352891</v>
      </c>
      <c r="AI42" s="9">
        <f t="shared" si="3"/>
        <v>0.50899874145142876</v>
      </c>
      <c r="AJ42" s="9">
        <f t="shared" si="4"/>
        <v>1.3588592368072556</v>
      </c>
      <c r="AK42" s="9">
        <f t="shared" si="5"/>
        <v>1.8464984254563972</v>
      </c>
      <c r="AL42" s="9">
        <f t="shared" si="6"/>
        <v>3.4810500360613865</v>
      </c>
      <c r="AM42" s="9">
        <f t="shared" si="7"/>
        <v>12.117709353562981</v>
      </c>
      <c r="AN42" s="9" t="s">
        <v>2325</v>
      </c>
    </row>
    <row r="43" spans="13:40" ht="23">
      <c r="M43" s="9" t="s">
        <v>5075</v>
      </c>
      <c r="N43" s="8" t="s">
        <v>2041</v>
      </c>
      <c r="O43" s="8"/>
      <c r="P43" s="8"/>
      <c r="Q43" s="8"/>
      <c r="R43" s="8"/>
      <c r="S43" s="8"/>
      <c r="T43" s="8"/>
      <c r="U43" s="8"/>
      <c r="V43" s="8"/>
      <c r="W43" s="9" t="s">
        <v>5075</v>
      </c>
      <c r="X43" s="8">
        <v>24.52</v>
      </c>
      <c r="Y43" s="8">
        <v>1.24</v>
      </c>
      <c r="Z43" s="9">
        <v>0.18</v>
      </c>
      <c r="AA43" s="8">
        <v>81.8</v>
      </c>
      <c r="AB43" s="8">
        <v>19670</v>
      </c>
      <c r="AC43" s="22" t="s">
        <v>5075</v>
      </c>
      <c r="AD43" s="8" t="s">
        <v>3718</v>
      </c>
      <c r="AE43" s="8" t="s">
        <v>4083</v>
      </c>
      <c r="AF43" s="9">
        <f t="shared" si="0"/>
        <v>101.432</v>
      </c>
      <c r="AG43" s="9">
        <f t="shared" si="1"/>
        <v>24.54</v>
      </c>
      <c r="AH43" s="9">
        <f t="shared" si="2"/>
        <v>0.70059439181897554</v>
      </c>
      <c r="AI43" s="9">
        <f t="shared" si="3"/>
        <v>0.49083250184820021</v>
      </c>
      <c r="AJ43" s="9">
        <f t="shared" si="4"/>
        <v>0.30304827449184857</v>
      </c>
      <c r="AK43" s="9">
        <f t="shared" si="5"/>
        <v>9.1838256672486795E-2</v>
      </c>
      <c r="AL43" s="9">
        <f t="shared" si="6"/>
        <v>0.10554131923294433</v>
      </c>
      <c r="AM43" s="9">
        <f t="shared" si="7"/>
        <v>1.1138970065430263E-2</v>
      </c>
      <c r="AN43" s="9" t="s">
        <v>5075</v>
      </c>
    </row>
    <row r="44" spans="13:40" ht="23">
      <c r="M44" s="8" t="s">
        <v>801</v>
      </c>
      <c r="N44" s="8" t="s">
        <v>150</v>
      </c>
      <c r="O44" s="8"/>
      <c r="P44" s="8"/>
      <c r="Q44" s="8"/>
      <c r="R44" s="8"/>
      <c r="S44" s="8"/>
      <c r="T44" s="8"/>
      <c r="U44" s="8"/>
      <c r="V44" s="8"/>
      <c r="W44" s="8" t="s">
        <v>801</v>
      </c>
      <c r="X44" s="8">
        <v>31.83</v>
      </c>
      <c r="Y44" s="8">
        <v>1.05</v>
      </c>
      <c r="Z44" s="9">
        <v>0.04</v>
      </c>
      <c r="AA44" s="8">
        <v>72.3</v>
      </c>
      <c r="AB44" s="8">
        <v>33945</v>
      </c>
      <c r="AC44" s="21" t="s">
        <v>801</v>
      </c>
      <c r="AD44" s="8" t="s">
        <v>3718</v>
      </c>
      <c r="AE44" s="8" t="s">
        <v>4083</v>
      </c>
      <c r="AF44" s="9">
        <f t="shared" si="0"/>
        <v>75.915000000000006</v>
      </c>
      <c r="AG44" s="9">
        <f t="shared" si="1"/>
        <v>4.8199999999999994</v>
      </c>
      <c r="AH44" s="9">
        <f t="shared" si="2"/>
        <v>0.6192295174634711</v>
      </c>
      <c r="AI44" s="9">
        <f t="shared" si="3"/>
        <v>0.38344519529804327</v>
      </c>
      <c r="AJ44" s="9">
        <f t="shared" si="4"/>
        <v>0.22681116174430835</v>
      </c>
      <c r="AK44" s="9">
        <f t="shared" si="5"/>
        <v>5.1443303091802804E-2</v>
      </c>
      <c r="AL44" s="9">
        <f t="shared" si="6"/>
        <v>2.0729794568165916E-2</v>
      </c>
      <c r="AM44" s="9">
        <f t="shared" si="7"/>
        <v>4.2972438283836115E-4</v>
      </c>
      <c r="AN44" s="8" t="s">
        <v>801</v>
      </c>
    </row>
    <row r="45" spans="13:40" ht="23">
      <c r="M45" s="8" t="s">
        <v>564</v>
      </c>
      <c r="N45" s="8" t="s">
        <v>150</v>
      </c>
      <c r="O45" s="8"/>
      <c r="P45" s="8"/>
      <c r="Q45" s="8"/>
      <c r="R45" s="8"/>
      <c r="S45" s="8"/>
      <c r="T45" s="8"/>
      <c r="U45" s="8"/>
      <c r="V45" s="8"/>
      <c r="W45" s="8" t="s">
        <v>564</v>
      </c>
      <c r="X45" s="8">
        <v>44.01</v>
      </c>
      <c r="Y45" s="8">
        <v>3.26</v>
      </c>
      <c r="Z45" s="9">
        <v>3.04</v>
      </c>
      <c r="AA45" s="8">
        <v>72.2</v>
      </c>
      <c r="AB45" s="8">
        <v>3349</v>
      </c>
      <c r="AC45" s="21" t="s">
        <v>564</v>
      </c>
      <c r="AD45" s="8" t="s">
        <v>3718</v>
      </c>
      <c r="AE45" s="8" t="s">
        <v>4083</v>
      </c>
      <c r="AF45" s="9">
        <f t="shared" si="0"/>
        <v>235.37199999999999</v>
      </c>
      <c r="AG45" s="9">
        <f t="shared" si="1"/>
        <v>221.41333333333336</v>
      </c>
      <c r="AH45" s="9">
        <f t="shared" si="2"/>
        <v>0.61837304510183422</v>
      </c>
      <c r="AI45" s="9">
        <f t="shared" si="3"/>
        <v>0.38238522290851512</v>
      </c>
      <c r="AJ45" s="9">
        <f t="shared" si="4"/>
        <v>0.70322066471818923</v>
      </c>
      <c r="AK45" s="9">
        <f t="shared" si="5"/>
        <v>0.49451930328669191</v>
      </c>
      <c r="AL45" s="9">
        <f t="shared" si="6"/>
        <v>0.95225164204415857</v>
      </c>
      <c r="AM45" s="9">
        <f t="shared" si="7"/>
        <v>0.90678318977579631</v>
      </c>
      <c r="AN45" s="8" t="s">
        <v>564</v>
      </c>
    </row>
    <row r="46" spans="13:40" ht="23">
      <c r="M46" s="8" t="s">
        <v>330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330</v>
      </c>
      <c r="X46" s="8">
        <v>2.1</v>
      </c>
      <c r="Y46" s="8">
        <v>1.95</v>
      </c>
      <c r="Z46" s="9">
        <v>2.34</v>
      </c>
      <c r="AA46" s="8">
        <v>70.099999999999994</v>
      </c>
      <c r="AB46" s="8">
        <v>20522</v>
      </c>
      <c r="AC46" s="21" t="s">
        <v>330</v>
      </c>
      <c r="AD46" s="8" t="s">
        <v>3718</v>
      </c>
      <c r="AE46" s="8" t="s">
        <v>4083</v>
      </c>
      <c r="AF46" s="9">
        <f t="shared" si="0"/>
        <v>136.69499999999999</v>
      </c>
      <c r="AG46" s="9">
        <f t="shared" si="1"/>
        <v>179.92333333333329</v>
      </c>
      <c r="AH46" s="9">
        <f t="shared" si="2"/>
        <v>0.60038712550745954</v>
      </c>
      <c r="AI46" s="9">
        <f t="shared" si="3"/>
        <v>0.36046470047510998</v>
      </c>
      <c r="AJ46" s="9">
        <f t="shared" si="4"/>
        <v>0.40840350068679737</v>
      </c>
      <c r="AK46" s="9">
        <f t="shared" si="5"/>
        <v>0.16679341937323089</v>
      </c>
      <c r="AL46" s="9">
        <f t="shared" si="6"/>
        <v>0.77381197884224873</v>
      </c>
      <c r="AM46" s="9">
        <f t="shared" si="7"/>
        <v>0.59878497859975677</v>
      </c>
      <c r="AN46" s="8" t="s">
        <v>330</v>
      </c>
    </row>
    <row r="47" spans="13:40" ht="23">
      <c r="M47" s="8" t="s">
        <v>216</v>
      </c>
      <c r="N47" s="8" t="s">
        <v>150</v>
      </c>
      <c r="O47" s="8"/>
      <c r="P47" s="8"/>
      <c r="Q47" s="8"/>
      <c r="R47" s="8"/>
      <c r="S47" s="8"/>
      <c r="T47" s="8"/>
      <c r="U47" s="8"/>
      <c r="V47" s="8"/>
      <c r="W47" s="8" t="s">
        <v>216</v>
      </c>
      <c r="X47" s="8">
        <v>12.66</v>
      </c>
      <c r="Y47" s="8">
        <v>3.3</v>
      </c>
      <c r="Z47" s="9">
        <v>0.56999999999999995</v>
      </c>
      <c r="AA47" s="8">
        <v>68.599999999999994</v>
      </c>
      <c r="AB47" s="8">
        <v>7264</v>
      </c>
      <c r="AC47" s="21" t="s">
        <v>216</v>
      </c>
      <c r="AD47" s="8" t="s">
        <v>3718</v>
      </c>
      <c r="AE47" s="8" t="s">
        <v>4083</v>
      </c>
      <c r="AF47" s="9">
        <f t="shared" si="0"/>
        <v>226.37999999999997</v>
      </c>
      <c r="AG47" s="9">
        <f t="shared" si="1"/>
        <v>65.169999999999987</v>
      </c>
      <c r="AH47" s="9">
        <f t="shared" si="2"/>
        <v>0.58754004008290617</v>
      </c>
      <c r="AI47" s="9">
        <f t="shared" si="3"/>
        <v>0.345203298700623</v>
      </c>
      <c r="AJ47" s="9">
        <f t="shared" si="4"/>
        <v>0.67635527623890546</v>
      </c>
      <c r="AK47" s="9">
        <f t="shared" si="5"/>
        <v>0.45745645969620613</v>
      </c>
      <c r="AL47" s="9">
        <f t="shared" si="6"/>
        <v>0.28028230539572047</v>
      </c>
      <c r="AM47" s="9">
        <f t="shared" si="7"/>
        <v>7.8558170717939912E-2</v>
      </c>
      <c r="AN47" s="8" t="s">
        <v>216</v>
      </c>
    </row>
    <row r="48" spans="13:40" ht="23">
      <c r="M48" s="8" t="s">
        <v>1528</v>
      </c>
      <c r="N48" s="8" t="s">
        <v>150</v>
      </c>
      <c r="O48" s="8"/>
      <c r="P48" s="8"/>
      <c r="Q48" s="8"/>
      <c r="R48" s="8"/>
      <c r="S48" s="8"/>
      <c r="T48" s="8"/>
      <c r="U48" s="8"/>
      <c r="V48" s="8"/>
      <c r="W48" s="8" t="s">
        <v>1528</v>
      </c>
      <c r="X48" s="8">
        <v>28.84</v>
      </c>
      <c r="Y48" s="8">
        <v>1.05</v>
      </c>
      <c r="Z48" s="9">
        <v>0.02</v>
      </c>
      <c r="AA48" s="8">
        <v>66.5</v>
      </c>
      <c r="AB48" s="8">
        <v>38022</v>
      </c>
      <c r="AC48" s="21" t="s">
        <v>1528</v>
      </c>
      <c r="AD48" s="8" t="s">
        <v>3718</v>
      </c>
      <c r="AE48" s="8" t="s">
        <v>4083</v>
      </c>
      <c r="AF48" s="9">
        <f t="shared" si="0"/>
        <v>69.825000000000003</v>
      </c>
      <c r="AG48" s="9">
        <f t="shared" si="1"/>
        <v>2.2166666666666668</v>
      </c>
      <c r="AH48" s="9">
        <f t="shared" si="2"/>
        <v>0.56955412048853149</v>
      </c>
      <c r="AI48" s="9">
        <f t="shared" si="3"/>
        <v>0.32439189616546465</v>
      </c>
      <c r="AJ48" s="9">
        <f t="shared" si="4"/>
        <v>0.2086160754632988</v>
      </c>
      <c r="AK48" s="9">
        <f t="shared" si="5"/>
        <v>4.352066694170878E-2</v>
      </c>
      <c r="AL48" s="9">
        <f t="shared" si="6"/>
        <v>9.5334117481537597E-3</v>
      </c>
      <c r="AM48" s="9">
        <f t="shared" si="7"/>
        <v>9.0885939559836123E-5</v>
      </c>
      <c r="AN48" s="8" t="s">
        <v>1528</v>
      </c>
    </row>
    <row r="49" spans="13:40" ht="23">
      <c r="M49" s="8" t="s">
        <v>729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8" t="s">
        <v>729</v>
      </c>
      <c r="X49" s="8">
        <v>2.25</v>
      </c>
      <c r="Y49" s="8">
        <v>2.42</v>
      </c>
      <c r="Z49" s="9">
        <v>0.36</v>
      </c>
      <c r="AA49" s="8">
        <v>65.099999999999994</v>
      </c>
      <c r="AB49" s="8">
        <v>12475</v>
      </c>
      <c r="AC49" s="21" t="s">
        <v>729</v>
      </c>
      <c r="AD49" s="8" t="s">
        <v>3718</v>
      </c>
      <c r="AE49" s="8" t="s">
        <v>4083</v>
      </c>
      <c r="AF49" s="9">
        <f t="shared" si="0"/>
        <v>157.54199999999997</v>
      </c>
      <c r="AG49" s="9">
        <f t="shared" si="1"/>
        <v>39.059999999999995</v>
      </c>
      <c r="AH49" s="9">
        <f t="shared" si="2"/>
        <v>0.557563507425615</v>
      </c>
      <c r="AI49" s="9">
        <f t="shared" si="3"/>
        <v>0.31087706481275384</v>
      </c>
      <c r="AJ49" s="9">
        <f t="shared" si="4"/>
        <v>0.47068805958666687</v>
      </c>
      <c r="AK49" s="9">
        <f t="shared" si="5"/>
        <v>0.22154724943746165</v>
      </c>
      <c r="AL49" s="9">
        <f t="shared" si="6"/>
        <v>0.16798875017273043</v>
      </c>
      <c r="AM49" s="9">
        <f t="shared" si="7"/>
        <v>2.8220220184596041E-2</v>
      </c>
      <c r="AN49" s="8" t="s">
        <v>729</v>
      </c>
    </row>
    <row r="50" spans="13:40" ht="23">
      <c r="M50" s="8" t="s">
        <v>349</v>
      </c>
      <c r="N50" s="8" t="s">
        <v>150</v>
      </c>
      <c r="O50" s="8"/>
      <c r="P50" s="8"/>
      <c r="Q50" s="8"/>
      <c r="R50" s="8"/>
      <c r="S50" s="8"/>
      <c r="T50" s="8"/>
      <c r="U50" s="8"/>
      <c r="V50" s="8"/>
      <c r="W50" s="8" t="s">
        <v>349</v>
      </c>
      <c r="X50" s="8">
        <v>7.4</v>
      </c>
      <c r="Y50" s="8">
        <v>3.63</v>
      </c>
      <c r="Z50" s="9">
        <v>3.39</v>
      </c>
      <c r="AA50" s="8">
        <v>64.3</v>
      </c>
      <c r="AB50" s="8">
        <v>6103</v>
      </c>
      <c r="AC50" s="21" t="s">
        <v>349</v>
      </c>
      <c r="AD50" s="8" t="s">
        <v>4371</v>
      </c>
      <c r="AE50" s="8" t="s">
        <v>4083</v>
      </c>
      <c r="AF50" s="9">
        <f t="shared" si="0"/>
        <v>233.40899999999999</v>
      </c>
      <c r="AG50" s="9">
        <f t="shared" si="1"/>
        <v>234.69499999999999</v>
      </c>
      <c r="AH50" s="9">
        <f t="shared" si="2"/>
        <v>0.55071172853251993</v>
      </c>
      <c r="AI50" s="9">
        <f t="shared" si="3"/>
        <v>0.30328340794327591</v>
      </c>
      <c r="AJ50" s="9">
        <f t="shared" si="4"/>
        <v>0.6973558117839328</v>
      </c>
      <c r="AK50" s="9">
        <f t="shared" si="5"/>
        <v>0.48630512822882793</v>
      </c>
      <c r="AL50" s="9">
        <f t="shared" si="6"/>
        <v>1.0093732647667431</v>
      </c>
      <c r="AM50" s="9">
        <f t="shared" si="7"/>
        <v>1.0188343876258736</v>
      </c>
      <c r="AN50" s="8" t="s">
        <v>349</v>
      </c>
    </row>
    <row r="51" spans="13:40" ht="23">
      <c r="M51" s="9" t="s">
        <v>5026</v>
      </c>
      <c r="N51" s="8" t="s">
        <v>150</v>
      </c>
      <c r="O51" s="8"/>
      <c r="P51" s="8"/>
      <c r="Q51" s="8"/>
      <c r="R51" s="8"/>
      <c r="S51" s="8"/>
      <c r="T51" s="8"/>
      <c r="U51" s="8"/>
      <c r="V51" s="8"/>
      <c r="W51" s="9" t="s">
        <v>5026</v>
      </c>
      <c r="X51" s="8">
        <v>38.520000000000003</v>
      </c>
      <c r="Y51" s="8">
        <v>1.36</v>
      </c>
      <c r="Z51" s="9">
        <v>0.32</v>
      </c>
      <c r="AA51" s="8">
        <v>61.6</v>
      </c>
      <c r="AB51" s="8">
        <v>11999</v>
      </c>
      <c r="AC51" s="22" t="s">
        <v>5026</v>
      </c>
      <c r="AD51" s="8" t="s">
        <v>4375</v>
      </c>
      <c r="AE51" s="8" t="s">
        <v>4083</v>
      </c>
      <c r="AF51" s="9">
        <f t="shared" si="0"/>
        <v>83.77600000000001</v>
      </c>
      <c r="AG51" s="9">
        <f t="shared" si="1"/>
        <v>32.853333333333332</v>
      </c>
      <c r="AH51" s="9">
        <f t="shared" si="2"/>
        <v>0.52758697476832395</v>
      </c>
      <c r="AI51" s="9">
        <f t="shared" si="3"/>
        <v>0.2783480159451921</v>
      </c>
      <c r="AJ51" s="9">
        <f t="shared" si="4"/>
        <v>0.25029746277140452</v>
      </c>
      <c r="AK51" s="9">
        <f t="shared" si="5"/>
        <v>6.2648819869802627E-2</v>
      </c>
      <c r="AL51" s="9">
        <f t="shared" si="6"/>
        <v>0.14129519727789994</v>
      </c>
      <c r="AM51" s="9">
        <f t="shared" si="7"/>
        <v>1.996433277380066E-2</v>
      </c>
      <c r="AN51" s="9" t="s">
        <v>5026</v>
      </c>
    </row>
    <row r="52" spans="13:40" ht="23">
      <c r="M52" s="9" t="s">
        <v>2380</v>
      </c>
      <c r="N52" s="8" t="s">
        <v>150</v>
      </c>
      <c r="O52" s="8"/>
      <c r="P52" s="8"/>
      <c r="Q52" s="8"/>
      <c r="R52" s="8"/>
      <c r="S52" s="8"/>
      <c r="T52" s="8"/>
      <c r="U52" s="8"/>
      <c r="V52" s="8"/>
      <c r="W52" s="9" t="s">
        <v>2380</v>
      </c>
      <c r="X52" s="8">
        <v>0.65</v>
      </c>
      <c r="Y52" s="8">
        <v>3.2</v>
      </c>
      <c r="Z52" s="9">
        <v>0.28999999999999998</v>
      </c>
      <c r="AA52" s="8">
        <v>61.5</v>
      </c>
      <c r="AB52" s="8">
        <v>16300</v>
      </c>
      <c r="AC52" s="22" t="s">
        <v>2380</v>
      </c>
      <c r="AD52" s="8" t="s">
        <v>3718</v>
      </c>
      <c r="AE52" s="8" t="s">
        <v>4083</v>
      </c>
      <c r="AF52" s="9">
        <f t="shared" si="0"/>
        <v>196.8</v>
      </c>
      <c r="AG52" s="9">
        <f t="shared" si="1"/>
        <v>29.725000000000001</v>
      </c>
      <c r="AH52" s="9">
        <f t="shared" si="2"/>
        <v>0.52673050240668706</v>
      </c>
      <c r="AI52" s="9">
        <f t="shared" si="3"/>
        <v>0.27744502216560096</v>
      </c>
      <c r="AJ52" s="9">
        <f t="shared" si="4"/>
        <v>0.58797914287400221</v>
      </c>
      <c r="AK52" s="9">
        <f t="shared" si="5"/>
        <v>0.3457194724548463</v>
      </c>
      <c r="AL52" s="9">
        <f t="shared" si="6"/>
        <v>0.12784090114911451</v>
      </c>
      <c r="AM52" s="9">
        <f t="shared" si="7"/>
        <v>1.6343296006617665E-2</v>
      </c>
      <c r="AN52" s="9" t="s">
        <v>2380</v>
      </c>
    </row>
    <row r="53" spans="13:40" ht="23">
      <c r="M53" s="9" t="s">
        <v>2314</v>
      </c>
      <c r="N53" s="8" t="s">
        <v>150</v>
      </c>
      <c r="O53" s="8"/>
      <c r="P53" s="8"/>
      <c r="Q53" s="8"/>
      <c r="R53" s="8"/>
      <c r="S53" s="8"/>
      <c r="T53" s="8"/>
      <c r="U53" s="8"/>
      <c r="V53" s="8"/>
      <c r="W53" s="9" t="s">
        <v>2314</v>
      </c>
      <c r="X53" s="8">
        <v>22.24</v>
      </c>
      <c r="Y53" s="8">
        <v>2.13</v>
      </c>
      <c r="Z53" s="9">
        <v>0.45</v>
      </c>
      <c r="AA53" s="8">
        <v>61.3</v>
      </c>
      <c r="AB53" s="8">
        <v>6373</v>
      </c>
      <c r="AC53" s="22" t="s">
        <v>2314</v>
      </c>
      <c r="AD53" s="8" t="s">
        <v>4176</v>
      </c>
      <c r="AE53" s="8" t="s">
        <v>4083</v>
      </c>
      <c r="AF53" s="9">
        <f t="shared" si="0"/>
        <v>130.56899999999999</v>
      </c>
      <c r="AG53" s="9">
        <f t="shared" si="1"/>
        <v>45.974999999999994</v>
      </c>
      <c r="AH53" s="9">
        <f t="shared" si="2"/>
        <v>0.52501755768341329</v>
      </c>
      <c r="AI53" s="9">
        <f t="shared" si="3"/>
        <v>0.27564343587585621</v>
      </c>
      <c r="AJ53" s="9">
        <f t="shared" si="4"/>
        <v>0.39010085724550603</v>
      </c>
      <c r="AK53" s="9">
        <f t="shared" si="5"/>
        <v>0.15217867882367866</v>
      </c>
      <c r="AL53" s="9">
        <f t="shared" si="6"/>
        <v>0.19772869403971538</v>
      </c>
      <c r="AM53" s="9">
        <f t="shared" si="7"/>
        <v>3.909663644665138E-2</v>
      </c>
      <c r="AN53" s="9" t="s">
        <v>2314</v>
      </c>
    </row>
    <row r="54" spans="13:40" ht="23">
      <c r="M54" s="9" t="s">
        <v>5048</v>
      </c>
      <c r="N54" s="8" t="s">
        <v>150</v>
      </c>
      <c r="O54" s="8"/>
      <c r="P54" s="8"/>
      <c r="Q54" s="8"/>
      <c r="R54" s="8"/>
      <c r="S54" s="8"/>
      <c r="T54" s="8"/>
      <c r="U54" s="8"/>
      <c r="V54" s="8"/>
      <c r="W54" s="9" t="s">
        <v>5048</v>
      </c>
      <c r="X54" s="8">
        <v>6.42</v>
      </c>
      <c r="Y54" s="8">
        <v>2.7</v>
      </c>
      <c r="Z54" s="9">
        <v>2.42</v>
      </c>
      <c r="AA54" s="8">
        <v>60</v>
      </c>
      <c r="AB54" s="8">
        <v>12044</v>
      </c>
      <c r="AC54" s="22" t="s">
        <v>5048</v>
      </c>
      <c r="AD54" s="8" t="s">
        <v>3718</v>
      </c>
      <c r="AE54" s="8" t="s">
        <v>4083</v>
      </c>
      <c r="AF54" s="9">
        <f t="shared" si="0"/>
        <v>162</v>
      </c>
      <c r="AG54" s="9">
        <f t="shared" si="1"/>
        <v>162</v>
      </c>
      <c r="AH54" s="9">
        <f t="shared" si="2"/>
        <v>0.51388341698213369</v>
      </c>
      <c r="AI54" s="9">
        <f t="shared" si="3"/>
        <v>0.26407616624923347</v>
      </c>
      <c r="AJ54" s="9">
        <f t="shared" si="4"/>
        <v>0.48400722126823353</v>
      </c>
      <c r="AK54" s="9">
        <f t="shared" si="5"/>
        <v>0.23426299023979677</v>
      </c>
      <c r="AL54" s="9">
        <f t="shared" si="6"/>
        <v>0.69672753527860565</v>
      </c>
      <c r="AM54" s="9">
        <f t="shared" si="7"/>
        <v>0.48542925841540069</v>
      </c>
      <c r="AN54" s="9" t="s">
        <v>5048</v>
      </c>
    </row>
    <row r="55" spans="13:40" ht="23">
      <c r="M55" s="9" t="s">
        <v>3050</v>
      </c>
      <c r="N55" s="8" t="s">
        <v>1814</v>
      </c>
      <c r="O55" s="8"/>
      <c r="P55" s="8"/>
      <c r="Q55" s="8"/>
      <c r="R55" s="8"/>
      <c r="S55" s="8"/>
      <c r="T55" s="8"/>
      <c r="U55" s="8"/>
      <c r="V55" s="8"/>
      <c r="W55" s="9" t="s">
        <v>3050</v>
      </c>
      <c r="X55" s="8">
        <v>27.91</v>
      </c>
      <c r="Y55" s="8">
        <v>1.29</v>
      </c>
      <c r="Z55" s="9">
        <v>0.14000000000000001</v>
      </c>
      <c r="AA55" s="8">
        <v>59.8</v>
      </c>
      <c r="AB55" s="8">
        <v>18856</v>
      </c>
      <c r="AC55" s="22" t="s">
        <v>3050</v>
      </c>
      <c r="AD55" s="8" t="s">
        <v>3718</v>
      </c>
      <c r="AE55" s="8" t="s">
        <v>4083</v>
      </c>
      <c r="AF55" s="9">
        <f t="shared" si="0"/>
        <v>77.141999999999996</v>
      </c>
      <c r="AG55" s="9">
        <f t="shared" si="1"/>
        <v>13.953333333333333</v>
      </c>
      <c r="AH55" s="9">
        <f t="shared" si="2"/>
        <v>0.51217047225885992</v>
      </c>
      <c r="AI55" s="9">
        <f t="shared" si="3"/>
        <v>0.26231859265386359</v>
      </c>
      <c r="AJ55" s="9">
        <f t="shared" si="4"/>
        <v>0.23047706829058068</v>
      </c>
      <c r="AK55" s="9">
        <f t="shared" si="5"/>
        <v>5.311967900782099E-2</v>
      </c>
      <c r="AL55" s="9">
        <f t="shared" si="6"/>
        <v>6.0010318162062613E-2</v>
      </c>
      <c r="AM55" s="9">
        <f t="shared" si="7"/>
        <v>3.6012382859119821E-3</v>
      </c>
      <c r="AN55" s="9" t="s">
        <v>3050</v>
      </c>
    </row>
    <row r="56" spans="13:40" ht="23">
      <c r="M56" s="8" t="s">
        <v>2095</v>
      </c>
      <c r="N56" s="8" t="s">
        <v>2093</v>
      </c>
      <c r="O56" s="8"/>
      <c r="P56" s="8"/>
      <c r="Q56" s="8"/>
      <c r="R56" s="8"/>
      <c r="S56" s="8"/>
      <c r="T56" s="8"/>
      <c r="U56" s="8"/>
      <c r="V56" s="8"/>
      <c r="W56" s="8" t="s">
        <v>2095</v>
      </c>
      <c r="X56" s="8">
        <v>51.46</v>
      </c>
      <c r="Y56" s="8">
        <v>1.26</v>
      </c>
      <c r="Z56" s="9">
        <v>0.17</v>
      </c>
      <c r="AA56" s="8">
        <v>57.4</v>
      </c>
      <c r="AB56" s="8">
        <v>17959</v>
      </c>
      <c r="AC56" s="21" t="s">
        <v>2095</v>
      </c>
      <c r="AD56" s="8" t="s">
        <v>3718</v>
      </c>
      <c r="AE56" s="8" t="s">
        <v>4083</v>
      </c>
      <c r="AF56" s="9">
        <f t="shared" si="0"/>
        <v>72.323999999999998</v>
      </c>
      <c r="AG56" s="9">
        <f t="shared" si="1"/>
        <v>16.263333333333332</v>
      </c>
      <c r="AH56" s="9">
        <f t="shared" si="2"/>
        <v>0.49161513557957459</v>
      </c>
      <c r="AI56" s="9">
        <f t="shared" si="3"/>
        <v>0.2416854415309235</v>
      </c>
      <c r="AJ56" s="9">
        <f t="shared" si="4"/>
        <v>0.21608233500619578</v>
      </c>
      <c r="AK56" s="9">
        <f t="shared" si="5"/>
        <v>4.6691575501729823E-2</v>
      </c>
      <c r="AL56" s="9">
        <f t="shared" si="6"/>
        <v>6.9945136720664949E-2</v>
      </c>
      <c r="AM56" s="9">
        <f t="shared" si="7"/>
        <v>4.8923221508725126E-3</v>
      </c>
      <c r="AN56" s="8" t="s">
        <v>2095</v>
      </c>
    </row>
    <row r="57" spans="13:40" ht="23">
      <c r="M57" s="8" t="s">
        <v>1707</v>
      </c>
      <c r="N57" s="8" t="s">
        <v>1614</v>
      </c>
      <c r="O57" s="8"/>
      <c r="P57" s="8"/>
      <c r="Q57" s="8"/>
      <c r="R57" s="8"/>
      <c r="S57" s="8"/>
      <c r="T57" s="8"/>
      <c r="U57" s="8"/>
      <c r="V57" s="8"/>
      <c r="W57" s="8" t="s">
        <v>1707</v>
      </c>
      <c r="X57" s="8">
        <v>0.56000000000000005</v>
      </c>
      <c r="Y57" s="8">
        <v>2.25</v>
      </c>
      <c r="Z57" s="9">
        <v>0.53</v>
      </c>
      <c r="AA57" s="8">
        <v>57.3</v>
      </c>
      <c r="AB57" s="8">
        <v>21729</v>
      </c>
      <c r="AC57" s="21" t="s">
        <v>1707</v>
      </c>
      <c r="AD57" s="8" t="s">
        <v>4371</v>
      </c>
      <c r="AE57" s="8" t="s">
        <v>4083</v>
      </c>
      <c r="AF57" s="9">
        <f t="shared" si="0"/>
        <v>128.92499999999998</v>
      </c>
      <c r="AG57" s="9">
        <f t="shared" si="1"/>
        <v>50.614999999999995</v>
      </c>
      <c r="AH57" s="9">
        <f t="shared" si="2"/>
        <v>0.49075866321793771</v>
      </c>
      <c r="AI57" s="9">
        <f t="shared" si="3"/>
        <v>0.24084406552345722</v>
      </c>
      <c r="AJ57" s="9">
        <f t="shared" si="4"/>
        <v>0.38518908025930243</v>
      </c>
      <c r="AK57" s="9">
        <f t="shared" si="5"/>
        <v>0.14837062755100733</v>
      </c>
      <c r="AL57" s="9">
        <f t="shared" si="6"/>
        <v>0.21768434690201616</v>
      </c>
      <c r="AM57" s="9">
        <f t="shared" si="7"/>
        <v>4.7386474886157312E-2</v>
      </c>
      <c r="AN57" s="8" t="s">
        <v>1707</v>
      </c>
    </row>
    <row r="58" spans="13:40" ht="23">
      <c r="M58" s="8" t="s">
        <v>1557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8" t="s">
        <v>1557</v>
      </c>
      <c r="X58" s="8">
        <v>12.57</v>
      </c>
      <c r="Y58" s="8">
        <v>1.83</v>
      </c>
      <c r="Z58" s="9">
        <v>0.28000000000000003</v>
      </c>
      <c r="AA58" s="8">
        <v>56.2</v>
      </c>
      <c r="AB58" s="8">
        <v>38809</v>
      </c>
      <c r="AC58" s="21" t="s">
        <v>1557</v>
      </c>
      <c r="AD58" s="8" t="s">
        <v>4371</v>
      </c>
      <c r="AE58" s="8" t="s">
        <v>4083</v>
      </c>
      <c r="AF58" s="9">
        <f t="shared" si="0"/>
        <v>102.846</v>
      </c>
      <c r="AG58" s="9">
        <f t="shared" si="1"/>
        <v>26.22666666666667</v>
      </c>
      <c r="AH58" s="9">
        <f t="shared" si="2"/>
        <v>0.48133746723993187</v>
      </c>
      <c r="AI58" s="9">
        <f t="shared" si="3"/>
        <v>0.2316857573689525</v>
      </c>
      <c r="AJ58" s="9">
        <f t="shared" si="4"/>
        <v>0.30727288073180709</v>
      </c>
      <c r="AK58" s="9">
        <f t="shared" si="5"/>
        <v>9.4416623233223348E-2</v>
      </c>
      <c r="AL58" s="9">
        <f t="shared" si="6"/>
        <v>0.11279531373605083</v>
      </c>
      <c r="AM58" s="9">
        <f t="shared" si="7"/>
        <v>1.2722782800814136E-2</v>
      </c>
      <c r="AN58" s="8" t="s">
        <v>1557</v>
      </c>
    </row>
    <row r="59" spans="13:40" ht="23">
      <c r="M59" s="9" t="s">
        <v>2244</v>
      </c>
      <c r="N59" s="8" t="s">
        <v>150</v>
      </c>
      <c r="O59" s="8"/>
      <c r="P59" s="8"/>
      <c r="Q59" s="8"/>
      <c r="R59" s="8"/>
      <c r="S59" s="8"/>
      <c r="T59" s="8"/>
      <c r="U59" s="8"/>
      <c r="V59" s="8"/>
      <c r="W59" s="9" t="s">
        <v>2244</v>
      </c>
      <c r="X59" s="8">
        <v>31.53</v>
      </c>
      <c r="Y59" s="8">
        <v>1.35</v>
      </c>
      <c r="Z59" s="9">
        <v>0.23</v>
      </c>
      <c r="AA59" s="8">
        <v>54.9</v>
      </c>
      <c r="AB59" s="8">
        <v>21316</v>
      </c>
      <c r="AC59" s="22" t="s">
        <v>2244</v>
      </c>
      <c r="AD59" s="8" t="s">
        <v>4375</v>
      </c>
      <c r="AE59" s="8" t="s">
        <v>4083</v>
      </c>
      <c r="AF59" s="9">
        <f t="shared" si="0"/>
        <v>74.115000000000009</v>
      </c>
      <c r="AG59" s="9">
        <f t="shared" si="1"/>
        <v>21.045000000000002</v>
      </c>
      <c r="AH59" s="9">
        <f t="shared" si="2"/>
        <v>0.47020332653865232</v>
      </c>
      <c r="AI59" s="9">
        <f t="shared" si="3"/>
        <v>0.22109116828801451</v>
      </c>
      <c r="AJ59" s="9">
        <f t="shared" si="4"/>
        <v>0.22143330373021686</v>
      </c>
      <c r="AK59" s="9">
        <f t="shared" si="5"/>
        <v>4.9032708000878472E-2</v>
      </c>
      <c r="AL59" s="9">
        <f t="shared" si="6"/>
        <v>9.0510067777396647E-2</v>
      </c>
      <c r="AM59" s="9">
        <f t="shared" si="7"/>
        <v>8.192072369068935E-3</v>
      </c>
      <c r="AN59" s="9" t="s">
        <v>2244</v>
      </c>
    </row>
    <row r="60" spans="13:40" ht="23">
      <c r="M60" s="8" t="s">
        <v>5025</v>
      </c>
      <c r="N60" s="8" t="s">
        <v>150</v>
      </c>
      <c r="O60" s="8"/>
      <c r="P60" s="8"/>
      <c r="Q60" s="8"/>
      <c r="R60" s="8"/>
      <c r="S60" s="8"/>
      <c r="T60" s="8"/>
      <c r="U60" s="8"/>
      <c r="V60" s="8"/>
      <c r="W60" s="8" t="s">
        <v>5025</v>
      </c>
      <c r="X60" s="8">
        <v>1.1000000000000001</v>
      </c>
      <c r="Y60" s="8">
        <v>6.92</v>
      </c>
      <c r="Z60" s="9">
        <v>3.46</v>
      </c>
      <c r="AA60" s="8">
        <v>53.2</v>
      </c>
      <c r="AB60" s="8">
        <v>24878</v>
      </c>
      <c r="AC60" s="21" t="s">
        <v>5025</v>
      </c>
      <c r="AD60" s="8" t="s">
        <v>4176</v>
      </c>
      <c r="AE60" s="8" t="s">
        <v>4083</v>
      </c>
      <c r="AF60" s="9">
        <f t="shared" si="0"/>
        <v>368.14400000000001</v>
      </c>
      <c r="AG60" s="9">
        <f t="shared" si="1"/>
        <v>200.38666666666668</v>
      </c>
      <c r="AH60" s="9">
        <f t="shared" si="2"/>
        <v>0.45564329639082529</v>
      </c>
      <c r="AI60" s="9">
        <f t="shared" si="3"/>
        <v>0.20761081354589747</v>
      </c>
      <c r="AJ60" s="9">
        <f t="shared" si="4"/>
        <v>1.0999034226331639</v>
      </c>
      <c r="AK60" s="9">
        <f t="shared" si="5"/>
        <v>1.2097875391201482</v>
      </c>
      <c r="AL60" s="9">
        <f t="shared" si="6"/>
        <v>0.86182042203309994</v>
      </c>
      <c r="AM60" s="9">
        <f t="shared" si="7"/>
        <v>0.74273443983331044</v>
      </c>
      <c r="AN60" s="8" t="s">
        <v>5025</v>
      </c>
    </row>
    <row r="61" spans="13:40" ht="23">
      <c r="M61" s="9" t="s">
        <v>2599</v>
      </c>
      <c r="N61" s="8" t="s">
        <v>150</v>
      </c>
      <c r="O61" s="8"/>
      <c r="P61" s="8" t="s">
        <v>3691</v>
      </c>
      <c r="Q61" s="8"/>
      <c r="R61" s="8"/>
      <c r="S61" s="8"/>
      <c r="T61" s="8"/>
      <c r="U61" s="8"/>
      <c r="V61" s="8"/>
      <c r="W61" s="9" t="s">
        <v>2599</v>
      </c>
      <c r="X61" s="8">
        <v>3.13</v>
      </c>
      <c r="Y61" s="8">
        <v>3.31</v>
      </c>
      <c r="Z61" s="9">
        <v>2.42</v>
      </c>
      <c r="AA61" s="8">
        <v>51.1</v>
      </c>
      <c r="AB61" s="8">
        <v>9740</v>
      </c>
      <c r="AC61" s="22" t="s">
        <v>2599</v>
      </c>
      <c r="AD61" s="8" t="s">
        <v>3718</v>
      </c>
      <c r="AE61" s="8" t="s">
        <v>4083</v>
      </c>
      <c r="AF61" s="9">
        <f t="shared" si="0"/>
        <v>169.14100000000002</v>
      </c>
      <c r="AG61" s="9">
        <f t="shared" si="1"/>
        <v>137.97</v>
      </c>
      <c r="AH61" s="9">
        <f t="shared" si="2"/>
        <v>0.4376573767964505</v>
      </c>
      <c r="AI61" s="9">
        <f t="shared" si="3"/>
        <v>0.19154397946435026</v>
      </c>
      <c r="AJ61" s="9">
        <f t="shared" si="4"/>
        <v>0.50534237908969315</v>
      </c>
      <c r="AK61" s="9">
        <f t="shared" si="5"/>
        <v>0.25537092010403112</v>
      </c>
      <c r="AL61" s="9">
        <f t="shared" si="6"/>
        <v>0.59337961754561241</v>
      </c>
      <c r="AM61" s="9">
        <f t="shared" si="7"/>
        <v>0.35209937051857726</v>
      </c>
      <c r="AN61" s="9" t="s">
        <v>2599</v>
      </c>
    </row>
    <row r="62" spans="13:40" ht="23">
      <c r="M62" s="9" t="s">
        <v>3049</v>
      </c>
      <c r="N62" s="8" t="s">
        <v>1814</v>
      </c>
      <c r="O62" s="8"/>
      <c r="P62" s="8"/>
      <c r="Q62" s="8"/>
      <c r="R62" s="8"/>
      <c r="S62" s="8"/>
      <c r="T62" s="8"/>
      <c r="U62" s="8"/>
      <c r="V62" s="8"/>
      <c r="W62" s="9" t="s">
        <v>3049</v>
      </c>
      <c r="X62" s="8">
        <v>28.65</v>
      </c>
      <c r="Y62" s="8">
        <v>1.29</v>
      </c>
      <c r="Z62" s="9">
        <v>0.26</v>
      </c>
      <c r="AA62" s="8">
        <v>49.3</v>
      </c>
      <c r="AB62" s="8">
        <v>15748</v>
      </c>
      <c r="AC62" s="22" t="s">
        <v>3049</v>
      </c>
      <c r="AD62" s="8" t="s">
        <v>3718</v>
      </c>
      <c r="AE62" s="8" t="s">
        <v>4083</v>
      </c>
      <c r="AF62" s="9">
        <f t="shared" si="0"/>
        <v>63.597000000000001</v>
      </c>
      <c r="AG62" s="9">
        <f t="shared" si="1"/>
        <v>21.363333333333333</v>
      </c>
      <c r="AH62" s="9">
        <f t="shared" si="2"/>
        <v>0.42224087428698648</v>
      </c>
      <c r="AI62" s="9">
        <f t="shared" si="3"/>
        <v>0.17828735591863873</v>
      </c>
      <c r="AJ62" s="9">
        <f t="shared" si="4"/>
        <v>0.19000868673454227</v>
      </c>
      <c r="AK62" s="9">
        <f t="shared" si="5"/>
        <v>3.6103301034585422E-2</v>
      </c>
      <c r="AL62" s="9">
        <f t="shared" si="6"/>
        <v>9.1879151720176619E-2</v>
      </c>
      <c r="AM62" s="9">
        <f t="shared" si="7"/>
        <v>8.4417785208192337E-3</v>
      </c>
      <c r="AN62" s="9" t="s">
        <v>3049</v>
      </c>
    </row>
    <row r="63" spans="13:40" ht="23">
      <c r="M63" s="8" t="s">
        <v>237</v>
      </c>
      <c r="N63" s="8" t="s">
        <v>150</v>
      </c>
      <c r="O63" s="8"/>
      <c r="P63" s="8"/>
      <c r="Q63" s="8"/>
      <c r="R63" s="8"/>
      <c r="S63" s="8"/>
      <c r="T63" s="8"/>
      <c r="U63" s="8"/>
      <c r="V63" s="8"/>
      <c r="W63" s="8" t="s">
        <v>237</v>
      </c>
      <c r="X63" s="8">
        <v>36.51</v>
      </c>
      <c r="Y63" s="8">
        <v>1.99</v>
      </c>
      <c r="Z63" s="9">
        <v>1.25</v>
      </c>
      <c r="AA63" s="8">
        <v>48.4</v>
      </c>
      <c r="AB63" s="8">
        <v>13116</v>
      </c>
      <c r="AC63" s="21" t="s">
        <v>237</v>
      </c>
      <c r="AD63" s="8" t="s">
        <v>3718</v>
      </c>
      <c r="AE63" s="8" t="s">
        <v>4083</v>
      </c>
      <c r="AF63" s="9">
        <f t="shared" si="0"/>
        <v>96.316000000000003</v>
      </c>
      <c r="AG63" s="9">
        <f t="shared" si="1"/>
        <v>68.566666666666663</v>
      </c>
      <c r="AH63" s="9">
        <f t="shared" si="2"/>
        <v>0.41453262303225452</v>
      </c>
      <c r="AI63" s="9">
        <f t="shared" si="3"/>
        <v>0.17183729555800123</v>
      </c>
      <c r="AJ63" s="9">
        <f t="shared" si="4"/>
        <v>0.28776320693624186</v>
      </c>
      <c r="AK63" s="9">
        <f t="shared" si="5"/>
        <v>8.2807663266230347E-2</v>
      </c>
      <c r="AL63" s="9">
        <f t="shared" si="6"/>
        <v>0.29489064610454557</v>
      </c>
      <c r="AM63" s="9">
        <f t="shared" si="7"/>
        <v>8.696049315995634E-2</v>
      </c>
      <c r="AN63" s="8" t="s">
        <v>237</v>
      </c>
    </row>
    <row r="64" spans="13:40" ht="23">
      <c r="M64" s="9" t="s">
        <v>3513</v>
      </c>
      <c r="N64" s="8" t="s">
        <v>2041</v>
      </c>
      <c r="O64" s="8"/>
      <c r="P64" s="8"/>
      <c r="Q64" s="8"/>
      <c r="R64" s="8"/>
      <c r="S64" s="8"/>
      <c r="T64" s="8"/>
      <c r="U64" s="8"/>
      <c r="V64" s="8"/>
      <c r="W64" s="9" t="s">
        <v>3513</v>
      </c>
      <c r="X64" s="8">
        <v>2.16</v>
      </c>
      <c r="Y64" s="8">
        <v>3.45</v>
      </c>
      <c r="Z64" s="9">
        <v>2.42</v>
      </c>
      <c r="AA64" s="8">
        <v>47.8</v>
      </c>
      <c r="AB64" s="8">
        <v>48882</v>
      </c>
      <c r="AC64" s="22" t="s">
        <v>3513</v>
      </c>
      <c r="AD64" s="8" t="s">
        <v>4176</v>
      </c>
      <c r="AE64" s="8" t="s">
        <v>4083</v>
      </c>
      <c r="AF64" s="9">
        <f t="shared" si="0"/>
        <v>164.91</v>
      </c>
      <c r="AG64" s="9">
        <f t="shared" si="1"/>
        <v>129.06</v>
      </c>
      <c r="AH64" s="9">
        <f t="shared" si="2"/>
        <v>0.40939378886243316</v>
      </c>
      <c r="AI64" s="9">
        <f t="shared" si="3"/>
        <v>0.16760327435913849</v>
      </c>
      <c r="AJ64" s="9">
        <f t="shared" si="4"/>
        <v>0.49270142505768139</v>
      </c>
      <c r="AK64" s="9">
        <f t="shared" si="5"/>
        <v>0.24275469425387003</v>
      </c>
      <c r="AL64" s="9">
        <f t="shared" si="6"/>
        <v>0.55505960310528912</v>
      </c>
      <c r="AM64" s="9">
        <f t="shared" si="7"/>
        <v>0.30809116299940109</v>
      </c>
      <c r="AN64" s="9" t="s">
        <v>3513</v>
      </c>
    </row>
    <row r="65" spans="13:40" ht="23">
      <c r="M65" s="9" t="s">
        <v>2180</v>
      </c>
      <c r="N65" s="8" t="s">
        <v>150</v>
      </c>
      <c r="O65" s="8"/>
      <c r="P65" s="8"/>
      <c r="Q65" s="8"/>
      <c r="R65" s="8"/>
      <c r="S65" s="8"/>
      <c r="T65" s="8"/>
      <c r="U65" s="8"/>
      <c r="V65" s="8"/>
      <c r="W65" s="9" t="s">
        <v>2180</v>
      </c>
      <c r="X65" s="8">
        <v>13.78</v>
      </c>
      <c r="Y65" s="8">
        <v>4.8899999999999997</v>
      </c>
      <c r="Z65" s="9">
        <v>1.07</v>
      </c>
      <c r="AA65" s="8">
        <v>45.9</v>
      </c>
      <c r="AB65" s="8">
        <v>7601</v>
      </c>
      <c r="AC65" s="22" t="s">
        <v>2180</v>
      </c>
      <c r="AD65" s="8" t="s">
        <v>4176</v>
      </c>
      <c r="AE65" s="8" t="s">
        <v>4083</v>
      </c>
      <c r="AF65" s="9">
        <f t="shared" si="0"/>
        <v>224.45099999999996</v>
      </c>
      <c r="AG65" s="9">
        <f t="shared" si="1"/>
        <v>51.255000000000003</v>
      </c>
      <c r="AH65" s="9">
        <f t="shared" si="2"/>
        <v>0.39312081399133225</v>
      </c>
      <c r="AI65" s="9">
        <f t="shared" si="3"/>
        <v>0.15454397439320766</v>
      </c>
      <c r="AJ65" s="9">
        <f t="shared" si="4"/>
        <v>0.67059200506713745</v>
      </c>
      <c r="AK65" s="9">
        <f t="shared" si="5"/>
        <v>0.4496936372599637</v>
      </c>
      <c r="AL65" s="9">
        <f t="shared" si="6"/>
        <v>0.2204368507450922</v>
      </c>
      <c r="AM65" s="9">
        <f t="shared" si="7"/>
        <v>4.8592405166414054E-2</v>
      </c>
      <c r="AN65" s="9" t="s">
        <v>2180</v>
      </c>
    </row>
    <row r="66" spans="13:40" ht="23">
      <c r="M66" s="9" t="s">
        <v>2541</v>
      </c>
      <c r="N66" s="8" t="s">
        <v>150</v>
      </c>
      <c r="O66" s="8"/>
      <c r="P66" s="8"/>
      <c r="Q66" s="8"/>
      <c r="R66" s="8"/>
      <c r="S66" s="8"/>
      <c r="T66" s="8"/>
      <c r="U66" s="8"/>
      <c r="V66" s="8"/>
      <c r="W66" s="9" t="s">
        <v>2541</v>
      </c>
      <c r="X66" s="8">
        <v>7.97</v>
      </c>
      <c r="Y66" s="8">
        <v>3.82</v>
      </c>
      <c r="Z66" s="9">
        <v>6.03</v>
      </c>
      <c r="AA66" s="8">
        <v>44.3</v>
      </c>
      <c r="AB66" s="8">
        <v>4636</v>
      </c>
      <c r="AC66" s="22" t="s">
        <v>2541</v>
      </c>
      <c r="AD66" s="8" t="s">
        <v>3718</v>
      </c>
      <c r="AE66" s="8" t="s">
        <v>4083</v>
      </c>
      <c r="AF66" s="9">
        <f t="shared" ref="AF66:AF129" si="8">(AA66*Y66)</f>
        <v>169.22599999999997</v>
      </c>
      <c r="AG66" s="9">
        <f t="shared" ref="AG66:AG129" si="9">((((RIGHT(Z66,2))/60)+(LEFT(Z66,2)))*AA66)</f>
        <v>268.01499999999999</v>
      </c>
      <c r="AH66" s="9">
        <f t="shared" ref="AH66:AH129" si="10">(AA66/$AA$230)*100</f>
        <v>0.37941725620514205</v>
      </c>
      <c r="AI66" s="9">
        <f t="shared" ref="AI66:AI129" si="11">(AH66*AH66)</f>
        <v>0.14395745430623841</v>
      </c>
      <c r="AJ66" s="9">
        <f t="shared" ref="AJ66:AJ129" si="12">(AF66/$AF$230)*100</f>
        <v>0.50559633349591404</v>
      </c>
      <c r="AK66" s="9">
        <f t="shared" ref="AK66:AK129" si="13">(AJ66*AJ66)</f>
        <v>0.25562765244451152</v>
      </c>
      <c r="AL66" s="9">
        <f t="shared" ref="AL66:AL129" si="14">(AG66/$AG$230)*100</f>
        <v>1.1526754960968857</v>
      </c>
      <c r="AM66" s="9">
        <f t="shared" ref="AM66:AM129" si="15">(AL66*AL66)</f>
        <v>1.3286607993022015</v>
      </c>
      <c r="AN66" s="9" t="s">
        <v>2541</v>
      </c>
    </row>
    <row r="67" spans="13:40" ht="23">
      <c r="M67" s="8" t="s">
        <v>1608</v>
      </c>
      <c r="N67" s="8" t="s">
        <v>150</v>
      </c>
      <c r="O67" s="8"/>
      <c r="P67" s="8"/>
      <c r="Q67" s="8"/>
      <c r="R67" s="8"/>
      <c r="S67" s="8"/>
      <c r="T67" s="8"/>
      <c r="U67" s="8"/>
      <c r="V67" s="8"/>
      <c r="W67" s="8" t="s">
        <v>1608</v>
      </c>
      <c r="X67" s="8">
        <v>4.68</v>
      </c>
      <c r="Y67" s="8">
        <v>2.58</v>
      </c>
      <c r="Z67" s="9">
        <v>1.26</v>
      </c>
      <c r="AA67" s="8">
        <v>42.7</v>
      </c>
      <c r="AB67" s="8">
        <v>8974</v>
      </c>
      <c r="AC67" s="21" t="s">
        <v>1608</v>
      </c>
      <c r="AD67" s="8" t="s">
        <v>4176</v>
      </c>
      <c r="AE67" s="8" t="s">
        <v>4083</v>
      </c>
      <c r="AF67" s="9">
        <f t="shared" si="8"/>
        <v>110.16600000000001</v>
      </c>
      <c r="AG67" s="9">
        <f t="shared" si="9"/>
        <v>61.20333333333334</v>
      </c>
      <c r="AH67" s="9">
        <f t="shared" si="10"/>
        <v>0.36571369841895185</v>
      </c>
      <c r="AI67" s="9">
        <f t="shared" si="11"/>
        <v>0.13374650921126807</v>
      </c>
      <c r="AJ67" s="9">
        <f t="shared" si="12"/>
        <v>0.32914283665577915</v>
      </c>
      <c r="AK67" s="9">
        <f t="shared" si="13"/>
        <v>0.10833500692181292</v>
      </c>
      <c r="AL67" s="9">
        <f t="shared" si="14"/>
        <v>0.26322251595165597</v>
      </c>
      <c r="AM67" s="9">
        <f t="shared" si="15"/>
        <v>6.928609290391978E-2</v>
      </c>
      <c r="AN67" s="8" t="s">
        <v>1608</v>
      </c>
    </row>
    <row r="68" spans="13:40" ht="23">
      <c r="M68" s="8" t="s">
        <v>5054</v>
      </c>
      <c r="N68" s="8" t="s">
        <v>150</v>
      </c>
      <c r="O68" s="8"/>
      <c r="P68" s="8"/>
      <c r="Q68" s="8"/>
      <c r="R68" s="8"/>
      <c r="S68" s="8"/>
      <c r="T68" s="8"/>
      <c r="U68" s="8"/>
      <c r="V68" s="8"/>
      <c r="W68" s="8" t="s">
        <v>5054</v>
      </c>
      <c r="X68" s="8">
        <v>46.19</v>
      </c>
      <c r="Y68" s="8">
        <v>1.0900000000000001</v>
      </c>
      <c r="Z68" s="9">
        <v>0.06</v>
      </c>
      <c r="AA68" s="8">
        <v>40</v>
      </c>
      <c r="AB68" s="8">
        <v>41649</v>
      </c>
      <c r="AC68" s="21" t="s">
        <v>5054</v>
      </c>
      <c r="AD68" s="8" t="s">
        <v>3718</v>
      </c>
      <c r="AE68" s="8" t="s">
        <v>4083</v>
      </c>
      <c r="AF68" s="9">
        <f t="shared" si="8"/>
        <v>43.6</v>
      </c>
      <c r="AG68" s="9">
        <f t="shared" si="9"/>
        <v>4</v>
      </c>
      <c r="AH68" s="9">
        <f t="shared" si="10"/>
        <v>0.34258894465475581</v>
      </c>
      <c r="AI68" s="9">
        <f t="shared" si="11"/>
        <v>0.11736718499965934</v>
      </c>
      <c r="AJ68" s="9">
        <f t="shared" si="12"/>
        <v>0.13026367189688262</v>
      </c>
      <c r="AK68" s="9">
        <f t="shared" si="13"/>
        <v>1.6968624216058686E-2</v>
      </c>
      <c r="AL68" s="9">
        <f t="shared" si="14"/>
        <v>1.7203149019224828E-2</v>
      </c>
      <c r="AM68" s="9">
        <f t="shared" si="15"/>
        <v>2.9594833617765617E-4</v>
      </c>
      <c r="AN68" s="8" t="s">
        <v>5054</v>
      </c>
    </row>
    <row r="69" spans="13:40" ht="23">
      <c r="M69" s="8" t="s">
        <v>1605</v>
      </c>
      <c r="N69" s="8" t="s">
        <v>150</v>
      </c>
      <c r="O69" s="8"/>
      <c r="P69" s="8"/>
      <c r="Q69" s="8"/>
      <c r="R69" s="8"/>
      <c r="S69" s="8"/>
      <c r="T69" s="8"/>
      <c r="U69" s="8"/>
      <c r="V69" s="8"/>
      <c r="W69" s="8" t="s">
        <v>1605</v>
      </c>
      <c r="X69" s="8">
        <v>5.64</v>
      </c>
      <c r="Y69" s="8">
        <v>2.63</v>
      </c>
      <c r="Z69" s="9">
        <v>0.54</v>
      </c>
      <c r="AA69" s="8">
        <v>39.700000000000003</v>
      </c>
      <c r="AB69" s="8">
        <v>12865</v>
      </c>
      <c r="AC69" s="21" t="s">
        <v>1605</v>
      </c>
      <c r="AD69" s="8" t="s">
        <v>3718</v>
      </c>
      <c r="AE69" s="8" t="s">
        <v>4083</v>
      </c>
      <c r="AF69" s="9">
        <f t="shared" si="8"/>
        <v>104.411</v>
      </c>
      <c r="AG69" s="9">
        <f t="shared" si="9"/>
        <v>35.730000000000004</v>
      </c>
      <c r="AH69" s="9">
        <f t="shared" si="10"/>
        <v>0.34001952756984516</v>
      </c>
      <c r="AI69" s="9">
        <f t="shared" si="11"/>
        <v>0.11561327912882069</v>
      </c>
      <c r="AJ69" s="9">
        <f t="shared" si="12"/>
        <v>0.31194862950516994</v>
      </c>
      <c r="AK69" s="9">
        <f t="shared" si="13"/>
        <v>9.7311947450153785E-2</v>
      </c>
      <c r="AL69" s="9">
        <f t="shared" si="14"/>
        <v>0.15366712861422582</v>
      </c>
      <c r="AM69" s="9">
        <f t="shared" si="15"/>
        <v>2.3613586416541019E-2</v>
      </c>
      <c r="AN69" s="8" t="s">
        <v>1605</v>
      </c>
    </row>
    <row r="70" spans="13:40" ht="23">
      <c r="M70" s="9" t="s">
        <v>2304</v>
      </c>
      <c r="N70" s="8" t="s">
        <v>150</v>
      </c>
      <c r="O70" s="8"/>
      <c r="P70" s="8"/>
      <c r="Q70" s="8"/>
      <c r="R70" s="8"/>
      <c r="S70" s="8"/>
      <c r="T70" s="8"/>
      <c r="U70" s="8"/>
      <c r="V70" s="8"/>
      <c r="W70" s="9" t="s">
        <v>2304</v>
      </c>
      <c r="X70" s="8">
        <v>5.42</v>
      </c>
      <c r="Y70" s="8">
        <v>1.24</v>
      </c>
      <c r="Z70" s="9">
        <v>0.17</v>
      </c>
      <c r="AA70" s="8">
        <v>33.799999999999997</v>
      </c>
      <c r="AB70" s="8">
        <v>21850</v>
      </c>
      <c r="AC70" s="22" t="s">
        <v>2304</v>
      </c>
      <c r="AD70" s="8" t="s">
        <v>3718</v>
      </c>
      <c r="AE70" s="8" t="s">
        <v>4083</v>
      </c>
      <c r="AF70" s="9">
        <f t="shared" si="8"/>
        <v>41.911999999999999</v>
      </c>
      <c r="AG70" s="9">
        <f t="shared" si="9"/>
        <v>9.5766666666666662</v>
      </c>
      <c r="AH70" s="9">
        <f t="shared" si="10"/>
        <v>0.28948765823326861</v>
      </c>
      <c r="AI70" s="9">
        <f t="shared" si="11"/>
        <v>8.3803104269381729E-2</v>
      </c>
      <c r="AJ70" s="9">
        <f t="shared" si="12"/>
        <v>0.12522043615922346</v>
      </c>
      <c r="AK70" s="9">
        <f t="shared" si="13"/>
        <v>1.5680157631906159E-2</v>
      </c>
      <c r="AL70" s="9">
        <f t="shared" si="14"/>
        <v>4.1187205943527441E-2</v>
      </c>
      <c r="AM70" s="9">
        <f t="shared" si="15"/>
        <v>1.6963859334345422E-3</v>
      </c>
      <c r="AN70" s="9" t="s">
        <v>2304</v>
      </c>
    </row>
    <row r="71" spans="13:40" ht="23">
      <c r="M71" s="9" t="s">
        <v>2335</v>
      </c>
      <c r="N71" s="8" t="s">
        <v>150</v>
      </c>
      <c r="O71" s="8"/>
      <c r="P71" s="8"/>
      <c r="Q71" s="8"/>
      <c r="R71" s="8"/>
      <c r="S71" s="8"/>
      <c r="T71" s="8"/>
      <c r="U71" s="8"/>
      <c r="V71" s="8"/>
      <c r="W71" s="9" t="s">
        <v>2335</v>
      </c>
      <c r="X71" s="8">
        <v>65.650000000000006</v>
      </c>
      <c r="Y71" s="8">
        <v>1.29</v>
      </c>
      <c r="Z71" s="9">
        <v>0.31</v>
      </c>
      <c r="AA71" s="8">
        <v>33</v>
      </c>
      <c r="AB71" s="8">
        <v>20004</v>
      </c>
      <c r="AC71" s="22" t="s">
        <v>2335</v>
      </c>
      <c r="AD71" s="8" t="s">
        <v>4176</v>
      </c>
      <c r="AE71" s="8" t="s">
        <v>4083</v>
      </c>
      <c r="AF71" s="9">
        <f t="shared" si="8"/>
        <v>42.57</v>
      </c>
      <c r="AG71" s="9">
        <f t="shared" si="9"/>
        <v>17.05</v>
      </c>
      <c r="AH71" s="9">
        <f t="shared" si="10"/>
        <v>0.28263587934017353</v>
      </c>
      <c r="AI71" s="9">
        <f t="shared" si="11"/>
        <v>7.9883040290393129E-2</v>
      </c>
      <c r="AJ71" s="9">
        <f t="shared" si="12"/>
        <v>0.12718634203326359</v>
      </c>
      <c r="AK71" s="9">
        <f t="shared" si="13"/>
        <v>1.6176365599802314E-2</v>
      </c>
      <c r="AL71" s="9">
        <f t="shared" si="14"/>
        <v>7.3328422694445838E-2</v>
      </c>
      <c r="AM71" s="9">
        <f t="shared" si="15"/>
        <v>5.3770575748553198E-3</v>
      </c>
      <c r="AN71" s="9" t="s">
        <v>2335</v>
      </c>
    </row>
    <row r="72" spans="13:40" ht="23">
      <c r="M72" s="9" t="s">
        <v>2448</v>
      </c>
      <c r="N72" s="8" t="s">
        <v>150</v>
      </c>
      <c r="O72" s="8"/>
      <c r="P72" s="8"/>
      <c r="Q72" s="8"/>
      <c r="R72" s="8"/>
      <c r="S72" s="8"/>
      <c r="T72" s="8"/>
      <c r="U72" s="8"/>
      <c r="V72" s="8"/>
      <c r="W72" s="9" t="s">
        <v>2448</v>
      </c>
      <c r="X72" s="8">
        <v>14.31</v>
      </c>
      <c r="Y72" s="8">
        <v>3.8</v>
      </c>
      <c r="Z72" s="9">
        <v>2.4900000000000002</v>
      </c>
      <c r="AA72" s="8">
        <v>31.6</v>
      </c>
      <c r="AB72" s="8">
        <v>9855</v>
      </c>
      <c r="AC72" s="22" t="s">
        <v>2448</v>
      </c>
      <c r="AD72" s="8" t="s">
        <v>4176</v>
      </c>
      <c r="AE72" s="8" t="s">
        <v>4083</v>
      </c>
      <c r="AF72" s="9">
        <f t="shared" si="8"/>
        <v>120.08</v>
      </c>
      <c r="AG72" s="9">
        <f t="shared" si="9"/>
        <v>89.006666666666661</v>
      </c>
      <c r="AH72" s="9">
        <f t="shared" si="10"/>
        <v>0.2706452662772571</v>
      </c>
      <c r="AI72" s="9">
        <f t="shared" si="11"/>
        <v>7.3248860158287396E-2</v>
      </c>
      <c r="AJ72" s="9">
        <f t="shared" si="12"/>
        <v>0.35876288351783631</v>
      </c>
      <c r="AK72" s="9">
        <f t="shared" si="13"/>
        <v>0.12871080659003259</v>
      </c>
      <c r="AL72" s="9">
        <f t="shared" si="14"/>
        <v>0.38279873759278449</v>
      </c>
      <c r="AM72" s="9">
        <f t="shared" si="15"/>
        <v>0.14653487350262948</v>
      </c>
      <c r="AN72" s="9" t="s">
        <v>2448</v>
      </c>
    </row>
    <row r="73" spans="13:40" ht="23">
      <c r="M73" s="8" t="s">
        <v>346</v>
      </c>
      <c r="N73" s="8" t="s">
        <v>150</v>
      </c>
      <c r="O73" s="8"/>
      <c r="P73" s="8"/>
      <c r="Q73" s="8"/>
      <c r="R73" s="8"/>
      <c r="S73" s="8"/>
      <c r="T73" s="8"/>
      <c r="U73" s="8"/>
      <c r="V73" s="8"/>
      <c r="W73" s="8" t="s">
        <v>346</v>
      </c>
      <c r="X73" s="8">
        <v>19.600000000000001</v>
      </c>
      <c r="Y73" s="8">
        <v>4.6399999999999997</v>
      </c>
      <c r="Z73" s="9">
        <v>4.1900000000000004</v>
      </c>
      <c r="AA73" s="8">
        <v>30.9</v>
      </c>
      <c r="AB73" s="8">
        <v>3485</v>
      </c>
      <c r="AC73" s="21" t="s">
        <v>346</v>
      </c>
      <c r="AD73" s="8" t="s">
        <v>3718</v>
      </c>
      <c r="AE73" s="8" t="s">
        <v>4083</v>
      </c>
      <c r="AF73" s="9">
        <f t="shared" si="8"/>
        <v>143.37599999999998</v>
      </c>
      <c r="AG73" s="9">
        <f t="shared" si="9"/>
        <v>133.38499999999999</v>
      </c>
      <c r="AH73" s="9">
        <f t="shared" si="10"/>
        <v>0.26464995974579886</v>
      </c>
      <c r="AI73" s="9">
        <f t="shared" si="11"/>
        <v>7.0039601193452955E-2</v>
      </c>
      <c r="AJ73" s="9">
        <f t="shared" si="12"/>
        <v>0.42836431701576683</v>
      </c>
      <c r="AK73" s="9">
        <f t="shared" si="13"/>
        <v>0.18349598809238438</v>
      </c>
      <c r="AL73" s="9">
        <f t="shared" si="14"/>
        <v>0.57366050798232593</v>
      </c>
      <c r="AM73" s="9">
        <f t="shared" si="15"/>
        <v>0.32908637841854022</v>
      </c>
      <c r="AN73" s="8" t="s">
        <v>346</v>
      </c>
    </row>
    <row r="74" spans="13:40" ht="23">
      <c r="M74" s="8" t="s">
        <v>1272</v>
      </c>
      <c r="N74" s="8" t="s">
        <v>150</v>
      </c>
      <c r="O74" s="8"/>
      <c r="P74" s="8"/>
      <c r="Q74" s="8"/>
      <c r="R74" s="8"/>
      <c r="S74" s="8"/>
      <c r="T74" s="8"/>
      <c r="U74" s="8"/>
      <c r="V74" s="8"/>
      <c r="W74" s="8" t="s">
        <v>1272</v>
      </c>
      <c r="X74" s="8">
        <v>47.47</v>
      </c>
      <c r="Y74" s="8">
        <v>2.13</v>
      </c>
      <c r="Z74" s="9">
        <v>1.1299999999999999</v>
      </c>
      <c r="AA74" s="8">
        <v>30.3</v>
      </c>
      <c r="AB74" s="8">
        <v>6285</v>
      </c>
      <c r="AC74" s="21" t="s">
        <v>1272</v>
      </c>
      <c r="AD74" s="8" t="s">
        <v>3718</v>
      </c>
      <c r="AE74" s="8" t="s">
        <v>4083</v>
      </c>
      <c r="AF74" s="9">
        <f t="shared" si="8"/>
        <v>64.539000000000001</v>
      </c>
      <c r="AG74" s="9">
        <f t="shared" si="9"/>
        <v>36.865000000000002</v>
      </c>
      <c r="AH74" s="9">
        <f t="shared" si="10"/>
        <v>0.2595111255759775</v>
      </c>
      <c r="AI74" s="9">
        <f t="shared" si="11"/>
        <v>6.7346024297710763E-2</v>
      </c>
      <c r="AJ74" s="9">
        <f t="shared" si="12"/>
        <v>0.19282309909525014</v>
      </c>
      <c r="AK74" s="9">
        <f t="shared" si="13"/>
        <v>3.7180747544696656E-2</v>
      </c>
      <c r="AL74" s="9">
        <f t="shared" si="14"/>
        <v>0.15854852214843085</v>
      </c>
      <c r="AM74" s="9">
        <f t="shared" si="15"/>
        <v>2.5137633875451468E-2</v>
      </c>
      <c r="AN74" s="8" t="s">
        <v>1272</v>
      </c>
    </row>
    <row r="75" spans="13:40" ht="23">
      <c r="M75" s="9" t="s">
        <v>2991</v>
      </c>
      <c r="N75" s="8" t="s">
        <v>1717</v>
      </c>
      <c r="O75" s="8"/>
      <c r="P75" s="8"/>
      <c r="Q75" s="8"/>
      <c r="R75" s="8"/>
      <c r="S75" s="8"/>
      <c r="T75" s="8"/>
      <c r="U75" s="8"/>
      <c r="V75" s="8"/>
      <c r="W75" s="9" t="s">
        <v>2991</v>
      </c>
      <c r="X75" s="8">
        <v>25.09</v>
      </c>
      <c r="Y75" s="8">
        <v>1.05</v>
      </c>
      <c r="Z75" s="9">
        <v>0.05</v>
      </c>
      <c r="AA75" s="8">
        <v>30.3</v>
      </c>
      <c r="AB75" s="8">
        <v>68142</v>
      </c>
      <c r="AC75" s="22" t="s">
        <v>2991</v>
      </c>
      <c r="AD75" s="8" t="s">
        <v>4176</v>
      </c>
      <c r="AE75" s="8" t="s">
        <v>4083</v>
      </c>
      <c r="AF75" s="9">
        <f t="shared" si="8"/>
        <v>31.815000000000001</v>
      </c>
      <c r="AG75" s="9">
        <f t="shared" si="9"/>
        <v>2.5249999999999999</v>
      </c>
      <c r="AH75" s="9">
        <f t="shared" si="10"/>
        <v>0.2595111255759775</v>
      </c>
      <c r="AI75" s="9">
        <f t="shared" si="11"/>
        <v>6.7346024297710763E-2</v>
      </c>
      <c r="AJ75" s="9">
        <f t="shared" si="12"/>
        <v>9.5053640399066983E-2</v>
      </c>
      <c r="AK75" s="9">
        <f t="shared" si="13"/>
        <v>9.0351945531151386E-3</v>
      </c>
      <c r="AL75" s="9">
        <f t="shared" si="14"/>
        <v>1.0859487818385674E-2</v>
      </c>
      <c r="AM75" s="9">
        <f t="shared" si="15"/>
        <v>1.1792847567766685E-4</v>
      </c>
      <c r="AN75" s="9" t="s">
        <v>2991</v>
      </c>
    </row>
    <row r="76" spans="13:40" ht="23">
      <c r="M76" s="24" t="s">
        <v>391</v>
      </c>
      <c r="N76" s="8" t="s">
        <v>150</v>
      </c>
      <c r="O76" s="24"/>
      <c r="P76" s="24"/>
      <c r="Q76" s="24"/>
      <c r="R76" s="24"/>
      <c r="S76" s="24"/>
      <c r="T76" s="24"/>
      <c r="U76" s="24"/>
      <c r="V76" s="24"/>
      <c r="W76" s="24" t="s">
        <v>391</v>
      </c>
      <c r="X76" s="24">
        <v>2.5499999999999998</v>
      </c>
      <c r="Y76" s="24">
        <v>2.95</v>
      </c>
      <c r="Z76" s="25">
        <v>1.04</v>
      </c>
      <c r="AA76" s="24">
        <v>28</v>
      </c>
      <c r="AB76" s="24">
        <v>36268</v>
      </c>
      <c r="AC76" s="21" t="s">
        <v>391</v>
      </c>
      <c r="AD76" s="8" t="s">
        <v>3718</v>
      </c>
      <c r="AE76" s="8" t="s">
        <v>4083</v>
      </c>
      <c r="AF76" s="25">
        <f t="shared" si="8"/>
        <v>82.600000000000009</v>
      </c>
      <c r="AG76" s="25">
        <f t="shared" si="9"/>
        <v>29.866666666666667</v>
      </c>
      <c r="AH76" s="25">
        <f t="shared" si="10"/>
        <v>0.23981226125832905</v>
      </c>
      <c r="AI76" s="25">
        <f t="shared" si="11"/>
        <v>5.7509920649833068E-2</v>
      </c>
      <c r="AJ76" s="25">
        <f t="shared" si="12"/>
        <v>0.24678392886886474</v>
      </c>
      <c r="AK76" s="25">
        <f t="shared" si="13"/>
        <v>6.0902307547952894E-2</v>
      </c>
      <c r="AL76" s="25">
        <f t="shared" si="14"/>
        <v>0.12845017934354541</v>
      </c>
      <c r="AM76" s="25">
        <f t="shared" si="15"/>
        <v>1.6499448573388982E-2</v>
      </c>
      <c r="AN76" s="24" t="s">
        <v>391</v>
      </c>
    </row>
    <row r="77" spans="13:40" ht="23">
      <c r="M77" s="9" t="s">
        <v>2228</v>
      </c>
      <c r="N77" s="8" t="s">
        <v>150</v>
      </c>
      <c r="O77" s="8"/>
      <c r="P77" s="8"/>
      <c r="Q77" s="8"/>
      <c r="R77" s="8"/>
      <c r="S77" s="8"/>
      <c r="T77" s="8"/>
      <c r="U77" s="8"/>
      <c r="V77" s="8"/>
      <c r="W77" s="9" t="s">
        <v>2228</v>
      </c>
      <c r="X77" s="8">
        <v>26.95</v>
      </c>
      <c r="Y77" s="8">
        <v>2.27</v>
      </c>
      <c r="Z77" s="9">
        <v>3.18</v>
      </c>
      <c r="AA77" s="8">
        <v>27.8</v>
      </c>
      <c r="AB77" s="8">
        <v>9337</v>
      </c>
      <c r="AC77" s="22" t="s">
        <v>2228</v>
      </c>
      <c r="AD77" s="8" t="s">
        <v>3718</v>
      </c>
      <c r="AE77" s="8" t="s">
        <v>4083</v>
      </c>
      <c r="AF77" s="9">
        <f t="shared" si="8"/>
        <v>63.106000000000002</v>
      </c>
      <c r="AG77" s="9">
        <f t="shared" si="9"/>
        <v>91.74</v>
      </c>
      <c r="AH77" s="9">
        <f t="shared" si="10"/>
        <v>0.23809931653505528</v>
      </c>
      <c r="AI77" s="9">
        <f t="shared" si="11"/>
        <v>5.669128453446045E-2</v>
      </c>
      <c r="AJ77" s="9">
        <f t="shared" si="12"/>
        <v>0.18854172657625398</v>
      </c>
      <c r="AK77" s="9">
        <f t="shared" si="13"/>
        <v>3.5547982660354915E-2</v>
      </c>
      <c r="AL77" s="9">
        <f t="shared" si="14"/>
        <v>0.39455422275592145</v>
      </c>
      <c r="AM77" s="9">
        <f t="shared" si="15"/>
        <v>0.15567303469452928</v>
      </c>
      <c r="AN77" s="9" t="s">
        <v>2228</v>
      </c>
    </row>
    <row r="78" spans="13:40" ht="23">
      <c r="M78" s="8" t="s">
        <v>1466</v>
      </c>
      <c r="N78" s="8" t="s">
        <v>150</v>
      </c>
      <c r="O78" s="8"/>
      <c r="P78" s="8"/>
      <c r="Q78" s="8"/>
      <c r="R78" s="8"/>
      <c r="S78" s="8"/>
      <c r="T78" s="8"/>
      <c r="U78" s="8"/>
      <c r="V78" s="8"/>
      <c r="W78" s="8" t="s">
        <v>1466</v>
      </c>
      <c r="X78" s="8">
        <v>10.199999999999999</v>
      </c>
      <c r="Y78" s="8">
        <v>2.29</v>
      </c>
      <c r="Z78" s="9">
        <v>1.03</v>
      </c>
      <c r="AA78" s="8">
        <v>27.5</v>
      </c>
      <c r="AB78" s="8">
        <v>13484</v>
      </c>
      <c r="AC78" s="21" t="s">
        <v>1466</v>
      </c>
      <c r="AD78" s="8" t="s">
        <v>3718</v>
      </c>
      <c r="AE78" s="8" t="s">
        <v>4083</v>
      </c>
      <c r="AF78" s="9">
        <f t="shared" si="8"/>
        <v>62.975000000000001</v>
      </c>
      <c r="AG78" s="9">
        <f t="shared" si="9"/>
        <v>28.875</v>
      </c>
      <c r="AH78" s="9">
        <f t="shared" si="10"/>
        <v>0.2355298994501446</v>
      </c>
      <c r="AI78" s="9">
        <f t="shared" si="11"/>
        <v>5.5474333534995229E-2</v>
      </c>
      <c r="AJ78" s="9">
        <f t="shared" si="12"/>
        <v>0.18815033802078399</v>
      </c>
      <c r="AK78" s="9">
        <f t="shared" si="13"/>
        <v>3.5400549697335269E-2</v>
      </c>
      <c r="AL78" s="9">
        <f t="shared" si="14"/>
        <v>0.12418523198252925</v>
      </c>
      <c r="AM78" s="9">
        <f t="shared" si="15"/>
        <v>1.5421971842554604E-2</v>
      </c>
      <c r="AN78" s="8" t="s">
        <v>1466</v>
      </c>
    </row>
    <row r="79" spans="13:40" ht="23">
      <c r="M79" s="9" t="s">
        <v>5055</v>
      </c>
      <c r="N79" s="8" t="s">
        <v>1614</v>
      </c>
      <c r="O79" s="8"/>
      <c r="P79" s="8"/>
      <c r="Q79" s="8"/>
      <c r="R79" s="8"/>
      <c r="S79" s="8"/>
      <c r="T79" s="8"/>
      <c r="U79" s="8"/>
      <c r="V79" s="8"/>
      <c r="W79" s="9" t="s">
        <v>5055</v>
      </c>
      <c r="X79" s="8">
        <v>23.06</v>
      </c>
      <c r="Y79" s="8">
        <v>1.36</v>
      </c>
      <c r="Z79" s="9">
        <v>0.23</v>
      </c>
      <c r="AA79" s="8">
        <v>27.5</v>
      </c>
      <c r="AB79" s="8">
        <v>25140</v>
      </c>
      <c r="AC79" s="22" t="s">
        <v>5055</v>
      </c>
      <c r="AD79" s="8" t="s">
        <v>3718</v>
      </c>
      <c r="AE79" s="8" t="s">
        <v>4083</v>
      </c>
      <c r="AF79" s="9">
        <f t="shared" si="8"/>
        <v>37.400000000000006</v>
      </c>
      <c r="AG79" s="9">
        <f t="shared" si="9"/>
        <v>10.541666666666668</v>
      </c>
      <c r="AH79" s="9">
        <f t="shared" si="10"/>
        <v>0.2355298994501446</v>
      </c>
      <c r="AI79" s="9">
        <f t="shared" si="11"/>
        <v>5.5474333534995229E-2</v>
      </c>
      <c r="AJ79" s="9">
        <f t="shared" si="12"/>
        <v>0.11173993873723417</v>
      </c>
      <c r="AK79" s="9">
        <f t="shared" si="13"/>
        <v>1.2485813909000847E-2</v>
      </c>
      <c r="AL79" s="9">
        <f t="shared" si="14"/>
        <v>4.5337465644415445E-2</v>
      </c>
      <c r="AM79" s="9">
        <f t="shared" si="15"/>
        <v>2.0554857910585508E-3</v>
      </c>
      <c r="AN79" s="9" t="s">
        <v>5055</v>
      </c>
    </row>
    <row r="80" spans="13:40" ht="23">
      <c r="M80" s="8" t="s">
        <v>713</v>
      </c>
      <c r="N80" s="8" t="s">
        <v>150</v>
      </c>
      <c r="O80" s="8"/>
      <c r="P80" s="8"/>
      <c r="Q80" s="8"/>
      <c r="R80" s="8"/>
      <c r="S80" s="8"/>
      <c r="T80" s="8"/>
      <c r="U80" s="8"/>
      <c r="V80" s="8"/>
      <c r="W80" s="8" t="s">
        <v>713</v>
      </c>
      <c r="X80" s="8">
        <v>5.44</v>
      </c>
      <c r="Y80" s="8">
        <v>4.93</v>
      </c>
      <c r="Z80" s="9">
        <v>0.51</v>
      </c>
      <c r="AA80" s="8">
        <v>26.8</v>
      </c>
      <c r="AB80" s="8">
        <v>16057</v>
      </c>
      <c r="AC80" s="21" t="s">
        <v>713</v>
      </c>
      <c r="AD80" s="8" t="s">
        <v>3718</v>
      </c>
      <c r="AE80" s="8" t="s">
        <v>4083</v>
      </c>
      <c r="AF80" s="9">
        <f t="shared" si="8"/>
        <v>132.124</v>
      </c>
      <c r="AG80" s="9">
        <f t="shared" si="9"/>
        <v>22.78</v>
      </c>
      <c r="AH80" s="9">
        <f t="shared" si="10"/>
        <v>0.22953459291868641</v>
      </c>
      <c r="AI80" s="9">
        <f t="shared" si="11"/>
        <v>5.2686129346347088E-2</v>
      </c>
      <c r="AJ80" s="9">
        <f t="shared" si="12"/>
        <v>0.39474672902990171</v>
      </c>
      <c r="AK80" s="9">
        <f t="shared" si="13"/>
        <v>0.15582498007980664</v>
      </c>
      <c r="AL80" s="9">
        <f t="shared" si="14"/>
        <v>9.7971933664485408E-2</v>
      </c>
      <c r="AM80" s="9">
        <f t="shared" si="15"/>
        <v>9.5984997859583296E-3</v>
      </c>
      <c r="AN80" s="8" t="s">
        <v>713</v>
      </c>
    </row>
    <row r="81" spans="13:40" ht="23">
      <c r="M81" s="9" t="s">
        <v>2964</v>
      </c>
      <c r="N81" s="8" t="s">
        <v>1717</v>
      </c>
      <c r="O81" s="8"/>
      <c r="P81" s="8"/>
      <c r="Q81" s="8"/>
      <c r="R81" s="8"/>
      <c r="S81" s="8"/>
      <c r="T81" s="8"/>
      <c r="U81" s="8"/>
      <c r="V81" s="8"/>
      <c r="W81" s="9" t="s">
        <v>2964</v>
      </c>
      <c r="X81" s="8">
        <v>30.12</v>
      </c>
      <c r="Y81" s="8">
        <v>2.83</v>
      </c>
      <c r="Z81" s="9">
        <v>2.36</v>
      </c>
      <c r="AA81" s="8">
        <v>26</v>
      </c>
      <c r="AB81" s="8">
        <v>7096</v>
      </c>
      <c r="AC81" s="22" t="s">
        <v>2964</v>
      </c>
      <c r="AD81" s="8" t="s">
        <v>4176</v>
      </c>
      <c r="AE81" s="8" t="s">
        <v>4083</v>
      </c>
      <c r="AF81" s="9">
        <f t="shared" si="8"/>
        <v>73.58</v>
      </c>
      <c r="AG81" s="9">
        <f t="shared" si="9"/>
        <v>67.600000000000009</v>
      </c>
      <c r="AH81" s="9">
        <f t="shared" si="10"/>
        <v>0.22268281402559126</v>
      </c>
      <c r="AI81" s="9">
        <f t="shared" si="11"/>
        <v>4.9587635662356064E-2</v>
      </c>
      <c r="AJ81" s="9">
        <f t="shared" si="12"/>
        <v>0.21983488482047298</v>
      </c>
      <c r="AK81" s="9">
        <f t="shared" si="13"/>
        <v>4.8327376584030621E-2</v>
      </c>
      <c r="AL81" s="9">
        <f t="shared" si="14"/>
        <v>0.29073321842489963</v>
      </c>
      <c r="AM81" s="9">
        <f t="shared" si="15"/>
        <v>8.4525804295700405E-2</v>
      </c>
      <c r="AN81" s="9" t="s">
        <v>2964</v>
      </c>
    </row>
    <row r="82" spans="13:40" ht="23">
      <c r="M82" s="8" t="s">
        <v>54</v>
      </c>
      <c r="N82" s="8" t="s">
        <v>23</v>
      </c>
      <c r="O82" s="8"/>
      <c r="P82" s="8"/>
      <c r="Q82" s="8"/>
      <c r="R82" s="8"/>
      <c r="S82" s="8"/>
      <c r="T82" s="8"/>
      <c r="U82" s="8"/>
      <c r="V82" s="8"/>
      <c r="W82" s="8" t="s">
        <v>54</v>
      </c>
      <c r="X82" s="8">
        <v>20.260000000000002</v>
      </c>
      <c r="Y82" s="8">
        <v>3.26</v>
      </c>
      <c r="Z82" s="9">
        <v>1.34</v>
      </c>
      <c r="AA82" s="8">
        <v>25.4</v>
      </c>
      <c r="AB82" s="8">
        <v>7269</v>
      </c>
      <c r="AC82" s="21" t="s">
        <v>54</v>
      </c>
      <c r="AD82" s="8" t="s">
        <v>4375</v>
      </c>
      <c r="AE82" s="8" t="s">
        <v>4083</v>
      </c>
      <c r="AF82" s="9">
        <f t="shared" si="8"/>
        <v>82.803999999999988</v>
      </c>
      <c r="AG82" s="9">
        <f t="shared" si="9"/>
        <v>39.793333333333329</v>
      </c>
      <c r="AH82" s="9">
        <f t="shared" si="10"/>
        <v>0.2175439798557699</v>
      </c>
      <c r="AI82" s="9">
        <f t="shared" si="11"/>
        <v>4.7325383171487621E-2</v>
      </c>
      <c r="AJ82" s="9">
        <f t="shared" si="12"/>
        <v>0.24739341944379506</v>
      </c>
      <c r="AK82" s="9">
        <f t="shared" si="13"/>
        <v>6.1203503984093514E-2</v>
      </c>
      <c r="AL82" s="9">
        <f t="shared" si="14"/>
        <v>0.17114266082625501</v>
      </c>
      <c r="AM82" s="9">
        <f t="shared" si="15"/>
        <v>2.9289810354690561E-2</v>
      </c>
      <c r="AN82" s="8" t="s">
        <v>54</v>
      </c>
    </row>
    <row r="83" spans="13:40" ht="23">
      <c r="M83" s="9" t="s">
        <v>5040</v>
      </c>
      <c r="N83" s="8" t="s">
        <v>150</v>
      </c>
      <c r="O83" s="8"/>
      <c r="P83" s="8"/>
      <c r="Q83" s="8"/>
      <c r="R83" s="8"/>
      <c r="S83" s="8"/>
      <c r="T83" s="8"/>
      <c r="U83" s="8"/>
      <c r="V83" s="8"/>
      <c r="W83" s="9" t="s">
        <v>5040</v>
      </c>
      <c r="X83" s="8">
        <v>1.69</v>
      </c>
      <c r="Y83" s="8">
        <v>1.34</v>
      </c>
      <c r="Z83" s="9">
        <v>0.08</v>
      </c>
      <c r="AA83" s="8">
        <v>25.3</v>
      </c>
      <c r="AB83" s="8">
        <v>45738</v>
      </c>
      <c r="AC83" s="22" t="s">
        <v>5040</v>
      </c>
      <c r="AD83" s="8" t="s">
        <v>3718</v>
      </c>
      <c r="AE83" s="8" t="s">
        <v>4083</v>
      </c>
      <c r="AF83" s="9">
        <f t="shared" si="8"/>
        <v>33.902000000000001</v>
      </c>
      <c r="AG83" s="9">
        <f t="shared" si="9"/>
        <v>3.3733333333333335</v>
      </c>
      <c r="AH83" s="9">
        <f t="shared" si="10"/>
        <v>0.21668750749413304</v>
      </c>
      <c r="AI83" s="9">
        <f t="shared" si="11"/>
        <v>4.6953475904019965E-2</v>
      </c>
      <c r="AJ83" s="9">
        <f t="shared" si="12"/>
        <v>0.10128896799651638</v>
      </c>
      <c r="AK83" s="9">
        <f t="shared" si="13"/>
        <v>1.0259455037799318E-2</v>
      </c>
      <c r="AL83" s="9">
        <f t="shared" si="14"/>
        <v>1.4507989006212941E-2</v>
      </c>
      <c r="AM83" s="9">
        <f t="shared" si="15"/>
        <v>2.1048174500439554E-4</v>
      </c>
      <c r="AN83" s="9" t="s">
        <v>5040</v>
      </c>
    </row>
    <row r="84" spans="13:40" ht="23">
      <c r="M84" s="8" t="s">
        <v>409</v>
      </c>
      <c r="N84" s="8" t="s">
        <v>150</v>
      </c>
      <c r="O84" s="8"/>
      <c r="P84" s="8"/>
      <c r="Q84" s="8"/>
      <c r="R84" s="8"/>
      <c r="S84" s="8"/>
      <c r="T84" s="8"/>
      <c r="U84" s="8"/>
      <c r="V84" s="8"/>
      <c r="W84" s="8" t="s">
        <v>409</v>
      </c>
      <c r="X84" s="8">
        <v>14.52</v>
      </c>
      <c r="Y84" s="8">
        <v>2.4</v>
      </c>
      <c r="Z84" s="9">
        <v>3.35</v>
      </c>
      <c r="AA84" s="8">
        <v>24.9</v>
      </c>
      <c r="AB84" s="8">
        <v>13730</v>
      </c>
      <c r="AC84" s="21" t="s">
        <v>409</v>
      </c>
      <c r="AD84" s="8" t="s">
        <v>3718</v>
      </c>
      <c r="AE84" s="8" t="s">
        <v>4083</v>
      </c>
      <c r="AF84" s="9">
        <f t="shared" si="8"/>
        <v>59.759999999999991</v>
      </c>
      <c r="AG84" s="9">
        <f t="shared" si="9"/>
        <v>89.224999999999994</v>
      </c>
      <c r="AH84" s="9">
        <f t="shared" si="10"/>
        <v>0.21326161804758548</v>
      </c>
      <c r="AI84" s="9">
        <f t="shared" si="11"/>
        <v>4.5480517732274232E-2</v>
      </c>
      <c r="AJ84" s="9">
        <f t="shared" si="12"/>
        <v>0.17854488606783722</v>
      </c>
      <c r="AK84" s="9">
        <f t="shared" si="13"/>
        <v>3.1878276340976973E-2</v>
      </c>
      <c r="AL84" s="9">
        <f t="shared" si="14"/>
        <v>0.38373774281008383</v>
      </c>
      <c r="AM84" s="9">
        <f t="shared" si="15"/>
        <v>0.14725465525697803</v>
      </c>
      <c r="AN84" s="8" t="s">
        <v>409</v>
      </c>
    </row>
    <row r="85" spans="13:40" ht="23">
      <c r="M85" s="8" t="s">
        <v>310</v>
      </c>
      <c r="N85" s="8" t="s">
        <v>150</v>
      </c>
      <c r="O85" s="8"/>
      <c r="P85" s="8"/>
      <c r="Q85" s="8"/>
      <c r="R85" s="8"/>
      <c r="S85" s="8"/>
      <c r="T85" s="8"/>
      <c r="U85" s="8"/>
      <c r="V85" s="8"/>
      <c r="W85" s="8" t="s">
        <v>310</v>
      </c>
      <c r="X85" s="8">
        <v>6.85</v>
      </c>
      <c r="Y85" s="8">
        <v>4</v>
      </c>
      <c r="Z85" s="9">
        <v>0.39</v>
      </c>
      <c r="AA85" s="8">
        <v>24.7</v>
      </c>
      <c r="AB85" s="8">
        <v>18866</v>
      </c>
      <c r="AC85" s="21" t="s">
        <v>310</v>
      </c>
      <c r="AD85" s="8" t="s">
        <v>3718</v>
      </c>
      <c r="AE85" s="8" t="s">
        <v>4083</v>
      </c>
      <c r="AF85" s="9">
        <f t="shared" si="8"/>
        <v>98.8</v>
      </c>
      <c r="AG85" s="9">
        <f t="shared" si="9"/>
        <v>16.055</v>
      </c>
      <c r="AH85" s="9">
        <f t="shared" si="10"/>
        <v>0.21154867332431171</v>
      </c>
      <c r="AI85" s="9">
        <f t="shared" si="11"/>
        <v>4.4752841185276351E-2</v>
      </c>
      <c r="AJ85" s="9">
        <f t="shared" si="12"/>
        <v>0.29518465099568808</v>
      </c>
      <c r="AK85" s="9">
        <f t="shared" si="13"/>
        <v>8.7133978183446176E-2</v>
      </c>
      <c r="AL85" s="9">
        <f t="shared" si="14"/>
        <v>6.9049139375913657E-2</v>
      </c>
      <c r="AM85" s="9">
        <f t="shared" si="15"/>
        <v>4.7677836485543502E-3</v>
      </c>
      <c r="AN85" s="8" t="s">
        <v>310</v>
      </c>
    </row>
    <row r="86" spans="13:40" ht="23">
      <c r="M86" s="9" t="s">
        <v>2799</v>
      </c>
      <c r="N86" s="8" t="s">
        <v>1614</v>
      </c>
      <c r="O86" s="8"/>
      <c r="P86" s="8"/>
      <c r="Q86" s="8"/>
      <c r="R86" s="8"/>
      <c r="S86" s="8"/>
      <c r="T86" s="8"/>
      <c r="U86" s="8"/>
      <c r="V86" s="8"/>
      <c r="W86" s="9" t="s">
        <v>2799</v>
      </c>
      <c r="X86" s="8">
        <v>31.11</v>
      </c>
      <c r="Y86" s="8">
        <v>4.62</v>
      </c>
      <c r="Z86" s="9">
        <v>5.2</v>
      </c>
      <c r="AA86" s="8">
        <v>24.2</v>
      </c>
      <c r="AB86" s="8">
        <v>10892</v>
      </c>
      <c r="AC86" s="22" t="s">
        <v>2799</v>
      </c>
      <c r="AD86" s="8" t="s">
        <v>4371</v>
      </c>
      <c r="AE86" s="8" t="s">
        <v>4083</v>
      </c>
      <c r="AF86" s="9">
        <f t="shared" si="8"/>
        <v>111.804</v>
      </c>
      <c r="AG86" s="9">
        <f t="shared" si="9"/>
        <v>121.08066666666666</v>
      </c>
      <c r="AH86" s="9">
        <f t="shared" si="10"/>
        <v>0.20726631151612726</v>
      </c>
      <c r="AI86" s="9">
        <f t="shared" si="11"/>
        <v>4.2959323889500307E-2</v>
      </c>
      <c r="AJ86" s="9">
        <f t="shared" si="12"/>
        <v>0.33403668744860238</v>
      </c>
      <c r="AK86" s="9">
        <f t="shared" si="13"/>
        <v>0.11158050856163527</v>
      </c>
      <c r="AL86" s="9">
        <f t="shared" si="14"/>
        <v>0.52074218800343874</v>
      </c>
      <c r="AM86" s="9">
        <f t="shared" si="15"/>
        <v>0.27117242636660877</v>
      </c>
      <c r="AN86" s="9" t="s">
        <v>2799</v>
      </c>
    </row>
    <row r="87" spans="13:40" ht="23">
      <c r="M87" s="8" t="s">
        <v>1906</v>
      </c>
      <c r="N87" s="8" t="s">
        <v>1902</v>
      </c>
      <c r="O87" s="8"/>
      <c r="P87" s="8"/>
      <c r="Q87" s="8"/>
      <c r="R87" s="8"/>
      <c r="S87" s="8"/>
      <c r="T87" s="8"/>
      <c r="U87" s="8"/>
      <c r="V87" s="8"/>
      <c r="W87" s="8" t="s">
        <v>1906</v>
      </c>
      <c r="X87" s="8">
        <v>2.04</v>
      </c>
      <c r="Y87" s="8">
        <v>1.03</v>
      </c>
      <c r="Z87" s="9">
        <v>0.01</v>
      </c>
      <c r="AA87" s="8">
        <v>24.1</v>
      </c>
      <c r="AB87" s="8">
        <v>77108</v>
      </c>
      <c r="AC87" s="21" t="s">
        <v>1906</v>
      </c>
      <c r="AD87" s="8" t="s">
        <v>3718</v>
      </c>
      <c r="AE87" s="8" t="s">
        <v>4083</v>
      </c>
      <c r="AF87" s="9">
        <f t="shared" si="8"/>
        <v>24.823</v>
      </c>
      <c r="AG87" s="9">
        <f t="shared" si="9"/>
        <v>0.40166666666666667</v>
      </c>
      <c r="AH87" s="9">
        <f t="shared" si="10"/>
        <v>0.2064098391544904</v>
      </c>
      <c r="AI87" s="9">
        <f t="shared" si="11"/>
        <v>4.26050216997826E-2</v>
      </c>
      <c r="AJ87" s="9">
        <f t="shared" si="12"/>
        <v>7.4163649713218274E-2</v>
      </c>
      <c r="AK87" s="9">
        <f t="shared" si="13"/>
        <v>5.5002469387849407E-3</v>
      </c>
      <c r="AL87" s="9">
        <f t="shared" si="14"/>
        <v>1.7274828806804932E-3</v>
      </c>
      <c r="AM87" s="9">
        <f t="shared" si="15"/>
        <v>2.9841971030441752E-6</v>
      </c>
      <c r="AN87" s="8" t="s">
        <v>1906</v>
      </c>
    </row>
    <row r="88" spans="13:40" ht="23">
      <c r="M88" s="8" t="s">
        <v>258</v>
      </c>
      <c r="N88" s="8" t="s">
        <v>150</v>
      </c>
      <c r="O88" s="8"/>
      <c r="P88" s="8" t="s">
        <v>3691</v>
      </c>
      <c r="Q88" s="8"/>
      <c r="R88" s="8"/>
      <c r="S88" s="8"/>
      <c r="T88" s="8"/>
      <c r="U88" s="8"/>
      <c r="V88" s="8"/>
      <c r="W88" s="8" t="s">
        <v>258</v>
      </c>
      <c r="X88" s="8">
        <v>13.47</v>
      </c>
      <c r="Y88" s="8">
        <v>3.17</v>
      </c>
      <c r="Z88" s="9">
        <v>1.1599999999999999</v>
      </c>
      <c r="AA88" s="8">
        <v>24</v>
      </c>
      <c r="AB88" s="8">
        <v>14036</v>
      </c>
      <c r="AC88" s="21" t="s">
        <v>258</v>
      </c>
      <c r="AD88" s="8" t="s">
        <v>3718</v>
      </c>
      <c r="AE88" s="8" t="s">
        <v>4083</v>
      </c>
      <c r="AF88" s="9">
        <f t="shared" si="8"/>
        <v>76.08</v>
      </c>
      <c r="AG88" s="9">
        <f t="shared" si="9"/>
        <v>30.4</v>
      </c>
      <c r="AH88" s="9">
        <f t="shared" si="10"/>
        <v>0.20555336679285349</v>
      </c>
      <c r="AI88" s="9">
        <f t="shared" si="11"/>
        <v>4.2252186599877367E-2</v>
      </c>
      <c r="AJ88" s="9">
        <f t="shared" si="12"/>
        <v>0.22730413206226668</v>
      </c>
      <c r="AK88" s="9">
        <f t="shared" si="13"/>
        <v>5.1667168452580375E-2</v>
      </c>
      <c r="AL88" s="9">
        <f t="shared" si="14"/>
        <v>0.13074393254610869</v>
      </c>
      <c r="AM88" s="9">
        <f t="shared" si="15"/>
        <v>1.7093975897621419E-2</v>
      </c>
      <c r="AN88" s="8" t="s">
        <v>258</v>
      </c>
    </row>
    <row r="89" spans="13:40" ht="23">
      <c r="M89" s="8" t="s">
        <v>1274</v>
      </c>
      <c r="N89" s="8" t="s">
        <v>150</v>
      </c>
      <c r="O89" s="8"/>
      <c r="P89" s="8"/>
      <c r="Q89" s="8"/>
      <c r="R89" s="8"/>
      <c r="S89" s="8"/>
      <c r="T89" s="8"/>
      <c r="U89" s="8"/>
      <c r="V89" s="8"/>
      <c r="W89" s="8" t="s">
        <v>1274</v>
      </c>
      <c r="X89" s="8">
        <v>22.94</v>
      </c>
      <c r="Y89" s="8">
        <v>2.42</v>
      </c>
      <c r="Z89" s="9">
        <v>4.05</v>
      </c>
      <c r="AA89" s="8">
        <v>23.9</v>
      </c>
      <c r="AB89" s="8">
        <v>11587</v>
      </c>
      <c r="AC89" s="21" t="s">
        <v>1274</v>
      </c>
      <c r="AD89" s="8" t="s">
        <v>3718</v>
      </c>
      <c r="AE89" s="8" t="s">
        <v>4083</v>
      </c>
      <c r="AF89" s="9">
        <f t="shared" si="8"/>
        <v>57.837999999999994</v>
      </c>
      <c r="AG89" s="9">
        <f t="shared" si="9"/>
        <v>97.591666666666654</v>
      </c>
      <c r="AH89" s="9">
        <f t="shared" si="10"/>
        <v>0.20469689443121658</v>
      </c>
      <c r="AI89" s="9">
        <f t="shared" si="11"/>
        <v>4.1900818589784623E-2</v>
      </c>
      <c r="AJ89" s="9">
        <f t="shared" si="12"/>
        <v>0.1728025287883462</v>
      </c>
      <c r="AK89" s="9">
        <f t="shared" si="13"/>
        <v>2.9860713955647218E-2</v>
      </c>
      <c r="AL89" s="9">
        <f t="shared" si="14"/>
        <v>0.41972099617529574</v>
      </c>
      <c r="AM89" s="9">
        <f t="shared" si="15"/>
        <v>0.17616571463038261</v>
      </c>
      <c r="AN89" s="8" t="s">
        <v>1274</v>
      </c>
    </row>
    <row r="90" spans="13:40" ht="23">
      <c r="M90" s="8" t="s">
        <v>326</v>
      </c>
      <c r="N90" s="8" t="s">
        <v>150</v>
      </c>
      <c r="O90" s="8"/>
      <c r="P90" s="8"/>
      <c r="Q90" s="8"/>
      <c r="R90" s="8"/>
      <c r="S90" s="8"/>
      <c r="T90" s="8"/>
      <c r="U90" s="8"/>
      <c r="V90" s="8"/>
      <c r="W90" s="8" t="s">
        <v>326</v>
      </c>
      <c r="X90" s="8">
        <v>21.23</v>
      </c>
      <c r="Y90" s="8">
        <v>3.88</v>
      </c>
      <c r="Z90" s="9">
        <v>3.15</v>
      </c>
      <c r="AA90" s="8">
        <v>23.7</v>
      </c>
      <c r="AB90" s="8">
        <v>5835</v>
      </c>
      <c r="AC90" s="21" t="s">
        <v>326</v>
      </c>
      <c r="AD90" s="8" t="s">
        <v>3718</v>
      </c>
      <c r="AE90" s="8" t="s">
        <v>4083</v>
      </c>
      <c r="AF90" s="9">
        <f t="shared" si="8"/>
        <v>91.955999999999989</v>
      </c>
      <c r="AG90" s="9">
        <f t="shared" si="9"/>
        <v>77.024999999999991</v>
      </c>
      <c r="AH90" s="9">
        <f t="shared" si="10"/>
        <v>0.20298394970794281</v>
      </c>
      <c r="AI90" s="9">
        <f t="shared" si="11"/>
        <v>4.1202483839036658E-2</v>
      </c>
      <c r="AJ90" s="9">
        <f t="shared" si="12"/>
        <v>0.27473683974655355</v>
      </c>
      <c r="AK90" s="9">
        <f t="shared" si="13"/>
        <v>7.5480331113923452E-2</v>
      </c>
      <c r="AL90" s="9">
        <f t="shared" si="14"/>
        <v>0.33126813830144808</v>
      </c>
      <c r="AM90" s="9">
        <f t="shared" si="15"/>
        <v>0.10973857945370734</v>
      </c>
      <c r="AN90" s="8" t="s">
        <v>326</v>
      </c>
    </row>
    <row r="91" spans="13:40" ht="23">
      <c r="M91" s="8" t="s">
        <v>2005</v>
      </c>
      <c r="N91" s="8" t="s">
        <v>2003</v>
      </c>
      <c r="O91" s="8"/>
      <c r="P91" s="8"/>
      <c r="Q91" s="8"/>
      <c r="R91" s="8"/>
      <c r="S91" s="8"/>
      <c r="T91" s="8"/>
      <c r="U91" s="8"/>
      <c r="V91" s="8"/>
      <c r="W91" s="8" t="s">
        <v>2005</v>
      </c>
      <c r="X91" s="8">
        <v>24</v>
      </c>
      <c r="Y91" s="8">
        <v>1.55</v>
      </c>
      <c r="Z91" s="9">
        <v>0.05</v>
      </c>
      <c r="AA91" s="8">
        <v>22.2</v>
      </c>
      <c r="AB91" s="8">
        <v>22874</v>
      </c>
      <c r="AC91" s="21" t="s">
        <v>2005</v>
      </c>
      <c r="AD91" s="8" t="s">
        <v>3718</v>
      </c>
      <c r="AE91" s="8" t="s">
        <v>4083</v>
      </c>
      <c r="AF91" s="9">
        <f t="shared" si="8"/>
        <v>34.409999999999997</v>
      </c>
      <c r="AG91" s="9">
        <f t="shared" si="9"/>
        <v>1.8499999999999999</v>
      </c>
      <c r="AH91" s="9">
        <f t="shared" si="10"/>
        <v>0.19013686428338947</v>
      </c>
      <c r="AI91" s="9">
        <f t="shared" si="11"/>
        <v>3.6152027159520067E-2</v>
      </c>
      <c r="AJ91" s="9">
        <f t="shared" si="12"/>
        <v>0.10280671903604886</v>
      </c>
      <c r="AK91" s="9">
        <f t="shared" si="13"/>
        <v>1.0569221478957091E-2</v>
      </c>
      <c r="AL91" s="9">
        <f t="shared" si="14"/>
        <v>7.9564564213914831E-3</v>
      </c>
      <c r="AM91" s="9">
        <f t="shared" si="15"/>
        <v>6.3305198785501763E-5</v>
      </c>
      <c r="AN91" s="8" t="s">
        <v>2005</v>
      </c>
    </row>
    <row r="92" spans="13:40" ht="23">
      <c r="M92" s="8" t="s">
        <v>4976</v>
      </c>
      <c r="N92" s="8" t="s">
        <v>150</v>
      </c>
      <c r="O92" s="8"/>
      <c r="P92" s="8"/>
      <c r="Q92" s="8"/>
      <c r="R92" s="8"/>
      <c r="S92" s="8"/>
      <c r="T92" s="8"/>
      <c r="U92" s="8"/>
      <c r="V92" s="8"/>
      <c r="W92" s="8" t="s">
        <v>4976</v>
      </c>
      <c r="X92" s="8">
        <v>9.7100000000000009</v>
      </c>
      <c r="Y92" s="8">
        <v>3.3</v>
      </c>
      <c r="Z92" s="9">
        <v>1.3</v>
      </c>
      <c r="AA92" s="8">
        <v>22.1</v>
      </c>
      <c r="AB92" s="8">
        <v>16668</v>
      </c>
      <c r="AC92" s="21" t="s">
        <v>4976</v>
      </c>
      <c r="AD92" s="8" t="s">
        <v>3718</v>
      </c>
      <c r="AE92" s="8" t="s">
        <v>4083</v>
      </c>
      <c r="AF92" s="9">
        <f t="shared" si="8"/>
        <v>72.930000000000007</v>
      </c>
      <c r="AG92" s="9">
        <f t="shared" si="9"/>
        <v>22.2105</v>
      </c>
      <c r="AH92" s="9">
        <f t="shared" si="10"/>
        <v>0.18928039192175258</v>
      </c>
      <c r="AI92" s="9">
        <f t="shared" si="11"/>
        <v>3.5827066766052261E-2</v>
      </c>
      <c r="AJ92" s="9">
        <f t="shared" si="12"/>
        <v>0.21789288053760664</v>
      </c>
      <c r="AK92" s="9">
        <f t="shared" si="13"/>
        <v>4.7477307388975716E-2</v>
      </c>
      <c r="AL92" s="9">
        <f t="shared" si="14"/>
        <v>9.5522635322873278E-2</v>
      </c>
      <c r="AM92" s="9">
        <f t="shared" si="15"/>
        <v>9.1245738590266384E-3</v>
      </c>
      <c r="AN92" s="8" t="s">
        <v>4976</v>
      </c>
    </row>
    <row r="93" spans="13:40" ht="23">
      <c r="M93" s="8" t="s">
        <v>192</v>
      </c>
      <c r="N93" s="8" t="s">
        <v>150</v>
      </c>
      <c r="O93" s="8"/>
      <c r="P93" s="8"/>
      <c r="Q93" s="8"/>
      <c r="R93" s="8"/>
      <c r="S93" s="8"/>
      <c r="T93" s="8"/>
      <c r="U93" s="8"/>
      <c r="V93" s="8"/>
      <c r="W93" s="8" t="s">
        <v>192</v>
      </c>
      <c r="X93" s="8">
        <v>21.13</v>
      </c>
      <c r="Y93" s="8">
        <v>18.010000000000002</v>
      </c>
      <c r="Z93" s="9">
        <v>1.07</v>
      </c>
      <c r="AA93" s="8">
        <v>21.9</v>
      </c>
      <c r="AB93" s="8">
        <v>17124</v>
      </c>
      <c r="AC93" s="21" t="s">
        <v>192</v>
      </c>
      <c r="AD93" s="8" t="s">
        <v>4375</v>
      </c>
      <c r="AE93" s="8" t="s">
        <v>4083</v>
      </c>
      <c r="AF93" s="9">
        <f t="shared" si="8"/>
        <v>394.41899999999998</v>
      </c>
      <c r="AG93" s="9">
        <f t="shared" si="9"/>
        <v>24.454999999999998</v>
      </c>
      <c r="AH93" s="9">
        <f t="shared" si="10"/>
        <v>0.18756744719847879</v>
      </c>
      <c r="AI93" s="9">
        <f t="shared" si="11"/>
        <v>3.5181547248554129E-2</v>
      </c>
      <c r="AJ93" s="9">
        <f t="shared" si="12"/>
        <v>1.1784052111444159</v>
      </c>
      <c r="AK93" s="9">
        <f t="shared" si="13"/>
        <v>1.3886388416523154</v>
      </c>
      <c r="AL93" s="9">
        <f t="shared" si="14"/>
        <v>0.1051757523162858</v>
      </c>
      <c r="AM93" s="9">
        <f t="shared" si="15"/>
        <v>1.1061938875296698E-2</v>
      </c>
      <c r="AN93" s="8" t="s">
        <v>192</v>
      </c>
    </row>
    <row r="94" spans="13:40" ht="23">
      <c r="M94" s="8" t="s">
        <v>52</v>
      </c>
      <c r="N94" s="8" t="s">
        <v>23</v>
      </c>
      <c r="O94" s="8"/>
      <c r="P94" s="8"/>
      <c r="Q94" s="8"/>
      <c r="R94" s="8"/>
      <c r="S94" s="8"/>
      <c r="T94" s="8"/>
      <c r="U94" s="8"/>
      <c r="V94" s="8"/>
      <c r="W94" s="8" t="s">
        <v>52</v>
      </c>
      <c r="X94" s="8">
        <v>13.33</v>
      </c>
      <c r="Y94" s="8">
        <v>2.82</v>
      </c>
      <c r="Z94" s="9">
        <v>0.49</v>
      </c>
      <c r="AA94" s="8">
        <v>21.6</v>
      </c>
      <c r="AB94" s="8">
        <v>18583</v>
      </c>
      <c r="AC94" s="21" t="s">
        <v>52</v>
      </c>
      <c r="AD94" s="8" t="s">
        <v>4375</v>
      </c>
      <c r="AE94" s="8" t="s">
        <v>4083</v>
      </c>
      <c r="AF94" s="9">
        <f t="shared" si="8"/>
        <v>60.911999999999999</v>
      </c>
      <c r="AG94" s="9">
        <f t="shared" si="9"/>
        <v>17.64</v>
      </c>
      <c r="AH94" s="9">
        <f t="shared" si="10"/>
        <v>0.18499803011356813</v>
      </c>
      <c r="AI94" s="9">
        <f t="shared" si="11"/>
        <v>3.422427114590066E-2</v>
      </c>
      <c r="AJ94" s="9">
        <f t="shared" si="12"/>
        <v>0.1819867151968558</v>
      </c>
      <c r="AK94" s="9">
        <f t="shared" si="13"/>
        <v>3.3119164508141508E-2</v>
      </c>
      <c r="AL94" s="9">
        <f t="shared" si="14"/>
        <v>7.5865887174781502E-2</v>
      </c>
      <c r="AM94" s="9">
        <f t="shared" si="15"/>
        <v>5.755632836816676E-3</v>
      </c>
      <c r="AN94" s="8" t="s">
        <v>52</v>
      </c>
    </row>
    <row r="95" spans="13:40" ht="23">
      <c r="M95" s="8" t="s">
        <v>756</v>
      </c>
      <c r="N95" s="8" t="s">
        <v>150</v>
      </c>
      <c r="O95" s="8"/>
      <c r="P95" s="8"/>
      <c r="Q95" s="8"/>
      <c r="R95" s="8"/>
      <c r="S95" s="8"/>
      <c r="T95" s="8"/>
      <c r="U95" s="8"/>
      <c r="V95" s="8"/>
      <c r="W95" s="8" t="s">
        <v>756</v>
      </c>
      <c r="X95" s="8">
        <v>34.51</v>
      </c>
      <c r="Y95" s="8">
        <v>2.0299999999999998</v>
      </c>
      <c r="Z95" s="9">
        <v>1.1000000000000001</v>
      </c>
      <c r="AA95" s="8">
        <v>21.5</v>
      </c>
      <c r="AB95" s="8">
        <v>10021</v>
      </c>
      <c r="AC95" s="21" t="s">
        <v>756</v>
      </c>
      <c r="AD95" s="8" t="s">
        <v>3718</v>
      </c>
      <c r="AE95" s="8" t="s">
        <v>4083</v>
      </c>
      <c r="AF95" s="9">
        <f t="shared" si="8"/>
        <v>43.644999999999996</v>
      </c>
      <c r="AG95" s="9">
        <f t="shared" si="9"/>
        <v>21.535833333333333</v>
      </c>
      <c r="AH95" s="9">
        <f t="shared" si="10"/>
        <v>0.18414155775193125</v>
      </c>
      <c r="AI95" s="9">
        <f t="shared" si="11"/>
        <v>3.3908113291307829E-2</v>
      </c>
      <c r="AJ95" s="9">
        <f t="shared" si="12"/>
        <v>0.13039811834723486</v>
      </c>
      <c r="AK95" s="9">
        <f t="shared" si="13"/>
        <v>1.7003669268499468E-2</v>
      </c>
      <c r="AL95" s="9">
        <f t="shared" si="14"/>
        <v>9.2621037521630686E-2</v>
      </c>
      <c r="AM95" s="9">
        <f t="shared" si="15"/>
        <v>8.5786565915833193E-3</v>
      </c>
      <c r="AN95" s="8" t="s">
        <v>756</v>
      </c>
    </row>
    <row r="96" spans="13:40" ht="23">
      <c r="M96" s="8" t="s">
        <v>1158</v>
      </c>
      <c r="N96" s="8" t="s">
        <v>150</v>
      </c>
      <c r="O96" s="8"/>
      <c r="P96" s="8" t="s">
        <v>3693</v>
      </c>
      <c r="Q96" s="8"/>
      <c r="R96" s="8"/>
      <c r="S96" s="8"/>
      <c r="T96" s="8"/>
      <c r="U96" s="8"/>
      <c r="V96" s="8"/>
      <c r="W96" s="8" t="s">
        <v>1158</v>
      </c>
      <c r="X96" s="8">
        <v>30.73</v>
      </c>
      <c r="Y96" s="8">
        <v>2.06</v>
      </c>
      <c r="Z96" s="9">
        <v>0.38</v>
      </c>
      <c r="AA96" s="8">
        <v>21</v>
      </c>
      <c r="AB96" s="8">
        <v>29714</v>
      </c>
      <c r="AC96" s="21" t="s">
        <v>1158</v>
      </c>
      <c r="AD96" s="8" t="s">
        <v>3718</v>
      </c>
      <c r="AE96" s="8" t="s">
        <v>4083</v>
      </c>
      <c r="AF96" s="9">
        <f t="shared" si="8"/>
        <v>43.26</v>
      </c>
      <c r="AG96" s="9">
        <f t="shared" si="9"/>
        <v>13.299999999999999</v>
      </c>
      <c r="AH96" s="9">
        <f t="shared" si="10"/>
        <v>0.1798591959437468</v>
      </c>
      <c r="AI96" s="9">
        <f t="shared" si="11"/>
        <v>3.2349330365531108E-2</v>
      </c>
      <c r="AJ96" s="9">
        <f t="shared" si="12"/>
        <v>0.12924785427199864</v>
      </c>
      <c r="AK96" s="9">
        <f t="shared" si="13"/>
        <v>1.6705007833915798E-2</v>
      </c>
      <c r="AL96" s="9">
        <f t="shared" si="14"/>
        <v>5.7200470488922552E-2</v>
      </c>
      <c r="AM96" s="9">
        <f t="shared" si="15"/>
        <v>3.2718938241540997E-3</v>
      </c>
      <c r="AN96" s="8" t="s">
        <v>1158</v>
      </c>
    </row>
    <row r="97" spans="13:40" ht="23">
      <c r="M97" s="8" t="s">
        <v>931</v>
      </c>
      <c r="N97" s="8" t="s">
        <v>150</v>
      </c>
      <c r="O97" s="8"/>
      <c r="P97" s="8"/>
      <c r="Q97" s="8"/>
      <c r="R97" s="8"/>
      <c r="S97" s="8"/>
      <c r="T97" s="8"/>
      <c r="U97" s="8"/>
      <c r="V97" s="8"/>
      <c r="W97" s="8" t="s">
        <v>931</v>
      </c>
      <c r="X97" s="8">
        <v>34.31</v>
      </c>
      <c r="Y97" s="8">
        <v>2.38</v>
      </c>
      <c r="Z97" s="9">
        <v>1.58</v>
      </c>
      <c r="AA97" s="8">
        <v>19.8</v>
      </c>
      <c r="AB97" s="8">
        <v>8647</v>
      </c>
      <c r="AC97" s="21" t="s">
        <v>931</v>
      </c>
      <c r="AD97" s="8" t="s">
        <v>3718</v>
      </c>
      <c r="AE97" s="8" t="s">
        <v>4083</v>
      </c>
      <c r="AF97" s="9">
        <f t="shared" si="8"/>
        <v>47.124000000000002</v>
      </c>
      <c r="AG97" s="9">
        <f t="shared" si="9"/>
        <v>38.940000000000005</v>
      </c>
      <c r="AH97" s="9">
        <f t="shared" si="10"/>
        <v>0.16958152760410411</v>
      </c>
      <c r="AI97" s="9">
        <f t="shared" si="11"/>
        <v>2.8757894504541526E-2</v>
      </c>
      <c r="AJ97" s="9">
        <f t="shared" si="12"/>
        <v>0.14079232280891504</v>
      </c>
      <c r="AK97" s="9">
        <f t="shared" si="13"/>
        <v>1.9822478161929738E-2</v>
      </c>
      <c r="AL97" s="9">
        <f t="shared" si="14"/>
        <v>0.16747265570215375</v>
      </c>
      <c r="AM97" s="9">
        <f t="shared" si="15"/>
        <v>2.8047090407932129E-2</v>
      </c>
      <c r="AN97" s="8" t="s">
        <v>931</v>
      </c>
    </row>
    <row r="98" spans="13:40" ht="23">
      <c r="M98" s="9" t="s">
        <v>2850</v>
      </c>
      <c r="N98" s="8" t="s">
        <v>1614</v>
      </c>
      <c r="O98" s="8"/>
      <c r="P98" s="8"/>
      <c r="Q98" s="8"/>
      <c r="R98" s="8"/>
      <c r="S98" s="8"/>
      <c r="T98" s="8"/>
      <c r="U98" s="8"/>
      <c r="V98" s="8"/>
      <c r="W98" s="9" t="s">
        <v>2850</v>
      </c>
      <c r="X98" s="8">
        <v>7.8</v>
      </c>
      <c r="Y98" s="8">
        <v>1.9</v>
      </c>
      <c r="Z98" s="9">
        <v>1.1200000000000001</v>
      </c>
      <c r="AA98" s="8">
        <v>19</v>
      </c>
      <c r="AB98" s="8">
        <v>17023</v>
      </c>
      <c r="AC98" s="22" t="s">
        <v>2850</v>
      </c>
      <c r="AD98" s="8" t="s">
        <v>4371</v>
      </c>
      <c r="AE98" s="8" t="s">
        <v>4083</v>
      </c>
      <c r="AF98" s="9">
        <f t="shared" si="8"/>
        <v>36.1</v>
      </c>
      <c r="AG98" s="9">
        <f t="shared" si="9"/>
        <v>22.8</v>
      </c>
      <c r="AH98" s="9">
        <f t="shared" si="10"/>
        <v>0.16272974871100901</v>
      </c>
      <c r="AI98" s="9">
        <f t="shared" si="11"/>
        <v>2.6480971115548139E-2</v>
      </c>
      <c r="AJ98" s="9">
        <f t="shared" si="12"/>
        <v>0.10785593017150143</v>
      </c>
      <c r="AK98" s="9">
        <f t="shared" si="13"/>
        <v>1.1632901673159791E-2</v>
      </c>
      <c r="AL98" s="9">
        <f t="shared" si="14"/>
        <v>9.8057949409581541E-2</v>
      </c>
      <c r="AM98" s="9">
        <f t="shared" si="15"/>
        <v>9.6153614424120525E-3</v>
      </c>
      <c r="AN98" s="9" t="s">
        <v>2850</v>
      </c>
    </row>
    <row r="99" spans="13:40" ht="23">
      <c r="M99" s="8" t="s">
        <v>1322</v>
      </c>
      <c r="N99" s="8" t="s">
        <v>150</v>
      </c>
      <c r="O99" s="8"/>
      <c r="P99" s="8"/>
      <c r="Q99" s="8"/>
      <c r="R99" s="8"/>
      <c r="S99" s="8"/>
      <c r="T99" s="8"/>
      <c r="U99" s="8"/>
      <c r="V99" s="8"/>
      <c r="W99" s="8" t="s">
        <v>1322</v>
      </c>
      <c r="X99" s="8">
        <v>24.47</v>
      </c>
      <c r="Y99" s="8">
        <v>1.18</v>
      </c>
      <c r="Z99" s="9">
        <v>0.08</v>
      </c>
      <c r="AA99" s="8">
        <v>19</v>
      </c>
      <c r="AB99" s="8">
        <v>35505</v>
      </c>
      <c r="AC99" s="21" t="s">
        <v>1322</v>
      </c>
      <c r="AD99" s="8" t="s">
        <v>4375</v>
      </c>
      <c r="AE99" s="8" t="s">
        <v>4083</v>
      </c>
      <c r="AF99" s="9">
        <f t="shared" si="8"/>
        <v>22.419999999999998</v>
      </c>
      <c r="AG99" s="9">
        <f t="shared" si="9"/>
        <v>2.5333333333333332</v>
      </c>
      <c r="AH99" s="9">
        <f t="shared" si="10"/>
        <v>0.16272974871100901</v>
      </c>
      <c r="AI99" s="9">
        <f t="shared" si="11"/>
        <v>2.6480971115548139E-2</v>
      </c>
      <c r="AJ99" s="9">
        <f t="shared" si="12"/>
        <v>6.6984209264406139E-2</v>
      </c>
      <c r="AK99" s="9">
        <f t="shared" si="13"/>
        <v>4.4868842907777534E-3</v>
      </c>
      <c r="AL99" s="9">
        <f t="shared" si="14"/>
        <v>1.0895327712175724E-2</v>
      </c>
      <c r="AM99" s="9">
        <f t="shared" si="15"/>
        <v>1.187081659557043E-4</v>
      </c>
      <c r="AN99" s="8" t="s">
        <v>1322</v>
      </c>
    </row>
    <row r="100" spans="13:40" ht="23">
      <c r="M100" s="8" t="s">
        <v>633</v>
      </c>
      <c r="N100" s="8" t="s">
        <v>150</v>
      </c>
      <c r="O100" s="8"/>
      <c r="P100" s="8"/>
      <c r="Q100" s="8"/>
      <c r="R100" s="8"/>
      <c r="S100" s="8"/>
      <c r="T100" s="8"/>
      <c r="U100" s="8"/>
      <c r="V100" s="8"/>
      <c r="W100" s="8" t="s">
        <v>633</v>
      </c>
      <c r="X100" s="8">
        <v>2.0299999999999998</v>
      </c>
      <c r="Y100" s="8">
        <v>7.05</v>
      </c>
      <c r="Z100" s="9">
        <v>3.07</v>
      </c>
      <c r="AA100" s="8">
        <v>18.7</v>
      </c>
      <c r="AB100" s="8">
        <v>8899</v>
      </c>
      <c r="AC100" s="21" t="s">
        <v>633</v>
      </c>
      <c r="AD100" s="8" t="s">
        <v>4176</v>
      </c>
      <c r="AE100" s="8" t="s">
        <v>4083</v>
      </c>
      <c r="AF100" s="9">
        <f t="shared" si="8"/>
        <v>131.83499999999998</v>
      </c>
      <c r="AG100" s="9">
        <f t="shared" si="9"/>
        <v>58.281666666666666</v>
      </c>
      <c r="AH100" s="9">
        <f t="shared" si="10"/>
        <v>0.16016033162609833</v>
      </c>
      <c r="AI100" s="9">
        <f t="shared" si="11"/>
        <v>2.5651331826581792E-2</v>
      </c>
      <c r="AJ100" s="9">
        <f t="shared" si="12"/>
        <v>0.39388328404875034</v>
      </c>
      <c r="AK100" s="9">
        <f t="shared" si="13"/>
        <v>0.15514404145302854</v>
      </c>
      <c r="AL100" s="9">
        <f t="shared" si="14"/>
        <v>0.25065704918886378</v>
      </c>
      <c r="AM100" s="9">
        <f t="shared" si="15"/>
        <v>6.2828956308068479E-2</v>
      </c>
      <c r="AN100" s="8" t="s">
        <v>633</v>
      </c>
    </row>
    <row r="101" spans="13:40" ht="23">
      <c r="M101" s="9" t="s">
        <v>2782</v>
      </c>
      <c r="N101" s="8" t="s">
        <v>1614</v>
      </c>
      <c r="O101" s="8"/>
      <c r="P101" s="8" t="s">
        <v>3700</v>
      </c>
      <c r="Q101" s="8"/>
      <c r="R101" s="8"/>
      <c r="S101" s="8"/>
      <c r="T101" s="8"/>
      <c r="U101" s="8"/>
      <c r="V101" s="8"/>
      <c r="W101" s="9" t="s">
        <v>2782</v>
      </c>
      <c r="X101" s="8">
        <v>6.12</v>
      </c>
      <c r="Y101" s="8">
        <v>3.59</v>
      </c>
      <c r="Z101" s="9">
        <v>1.02</v>
      </c>
      <c r="AA101" s="8">
        <v>18.5</v>
      </c>
      <c r="AB101" s="8">
        <v>13654</v>
      </c>
      <c r="AC101" s="22" t="s">
        <v>2782</v>
      </c>
      <c r="AD101" s="8" t="s">
        <v>4371</v>
      </c>
      <c r="AE101" s="8" t="s">
        <v>4083</v>
      </c>
      <c r="AF101" s="9">
        <f t="shared" si="8"/>
        <v>66.414999999999992</v>
      </c>
      <c r="AG101" s="9">
        <f t="shared" si="9"/>
        <v>19.116666666666667</v>
      </c>
      <c r="AH101" s="9">
        <f t="shared" si="10"/>
        <v>0.15844738690282456</v>
      </c>
      <c r="AI101" s="9">
        <f t="shared" si="11"/>
        <v>2.510557441633338E-2</v>
      </c>
      <c r="AJ101" s="9">
        <f t="shared" si="12"/>
        <v>0.19842802222549213</v>
      </c>
      <c r="AK101" s="9">
        <f t="shared" si="13"/>
        <v>3.9373680004320399E-2</v>
      </c>
      <c r="AL101" s="9">
        <f t="shared" si="14"/>
        <v>8.2216716354378674E-2</v>
      </c>
      <c r="AM101" s="9">
        <f t="shared" si="15"/>
        <v>6.7595884480963582E-3</v>
      </c>
      <c r="AN101" s="9" t="s">
        <v>2782</v>
      </c>
    </row>
    <row r="102" spans="13:40" ht="23">
      <c r="M102" s="9" t="s">
        <v>3630</v>
      </c>
      <c r="N102" s="8" t="s">
        <v>2093</v>
      </c>
      <c r="O102" s="8"/>
      <c r="P102" s="8" t="s">
        <v>3691</v>
      </c>
      <c r="Q102" s="8"/>
      <c r="R102" s="8"/>
      <c r="S102" s="8"/>
      <c r="T102" s="8"/>
      <c r="U102" s="8"/>
      <c r="V102" s="8"/>
      <c r="W102" s="9" t="s">
        <v>3630</v>
      </c>
      <c r="X102" s="8">
        <v>28.72</v>
      </c>
      <c r="Y102" s="8">
        <v>4.22</v>
      </c>
      <c r="Z102" s="9">
        <v>1.58</v>
      </c>
      <c r="AA102" s="8">
        <v>18.399999999999999</v>
      </c>
      <c r="AB102" s="8">
        <v>11139</v>
      </c>
      <c r="AC102" s="22" t="s">
        <v>3630</v>
      </c>
      <c r="AD102" s="8" t="s">
        <v>3718</v>
      </c>
      <c r="AE102" s="8" t="s">
        <v>4083</v>
      </c>
      <c r="AF102" s="9">
        <f t="shared" si="8"/>
        <v>77.647999999999996</v>
      </c>
      <c r="AG102" s="9">
        <f t="shared" si="9"/>
        <v>36.186666666666667</v>
      </c>
      <c r="AH102" s="9">
        <f t="shared" si="10"/>
        <v>0.15759091454118765</v>
      </c>
      <c r="AI102" s="9">
        <f t="shared" si="11"/>
        <v>2.483489634592791E-2</v>
      </c>
      <c r="AJ102" s="9">
        <f t="shared" si="12"/>
        <v>0.23198884393231972</v>
      </c>
      <c r="AK102" s="9">
        <f t="shared" si="13"/>
        <v>5.3818823709054199E-2</v>
      </c>
      <c r="AL102" s="9">
        <f t="shared" si="14"/>
        <v>0.15563115479392062</v>
      </c>
      <c r="AM102" s="9">
        <f t="shared" si="15"/>
        <v>2.4221056342489281E-2</v>
      </c>
      <c r="AN102" s="9" t="s">
        <v>3630</v>
      </c>
    </row>
    <row r="103" spans="13:40" ht="23">
      <c r="M103" s="9" t="s">
        <v>2493</v>
      </c>
      <c r="N103" s="8" t="s">
        <v>150</v>
      </c>
      <c r="O103" s="8"/>
      <c r="P103" s="8"/>
      <c r="Q103" s="8"/>
      <c r="R103" s="8"/>
      <c r="S103" s="8"/>
      <c r="T103" s="8"/>
      <c r="U103" s="8"/>
      <c r="V103" s="8"/>
      <c r="W103" s="9" t="s">
        <v>2493</v>
      </c>
      <c r="X103" s="8">
        <v>19.010000000000002</v>
      </c>
      <c r="Y103" s="8">
        <v>3.66</v>
      </c>
      <c r="Z103" s="9">
        <v>1.1599999999999999</v>
      </c>
      <c r="AA103" s="8">
        <v>18</v>
      </c>
      <c r="AB103" s="8">
        <v>16938</v>
      </c>
      <c r="AC103" s="22" t="s">
        <v>2493</v>
      </c>
      <c r="AD103" s="8" t="s">
        <v>4375</v>
      </c>
      <c r="AE103" s="8" t="s">
        <v>4083</v>
      </c>
      <c r="AF103" s="9">
        <f t="shared" si="8"/>
        <v>65.88</v>
      </c>
      <c r="AG103" s="9">
        <f t="shared" si="9"/>
        <v>22.799999999999997</v>
      </c>
      <c r="AH103" s="9">
        <f t="shared" si="10"/>
        <v>0.15416502509464011</v>
      </c>
      <c r="AI103" s="9">
        <f t="shared" si="11"/>
        <v>2.3766854962431017E-2</v>
      </c>
      <c r="AJ103" s="9">
        <f t="shared" si="12"/>
        <v>0.19682960331574828</v>
      </c>
      <c r="AK103" s="9">
        <f t="shared" si="13"/>
        <v>3.8741892741434823E-2</v>
      </c>
      <c r="AL103" s="9">
        <f t="shared" si="14"/>
        <v>9.8057949409581513E-2</v>
      </c>
      <c r="AM103" s="9">
        <f t="shared" si="15"/>
        <v>9.6153614424120473E-3</v>
      </c>
      <c r="AN103" s="9" t="s">
        <v>2493</v>
      </c>
    </row>
    <row r="104" spans="13:40" ht="23">
      <c r="M104" s="9" t="s">
        <v>2532</v>
      </c>
      <c r="N104" s="8" t="s">
        <v>150</v>
      </c>
      <c r="O104" s="8"/>
      <c r="P104" s="8"/>
      <c r="Q104" s="8"/>
      <c r="R104" s="8"/>
      <c r="S104" s="8"/>
      <c r="T104" s="8"/>
      <c r="U104" s="8"/>
      <c r="V104" s="8"/>
      <c r="W104" s="9" t="s">
        <v>2532</v>
      </c>
      <c r="X104" s="8">
        <v>4.9400000000000004</v>
      </c>
      <c r="Y104" s="8">
        <v>3.01</v>
      </c>
      <c r="Z104" s="9">
        <v>1.0900000000000001</v>
      </c>
      <c r="AA104" s="8">
        <v>17.399999999999999</v>
      </c>
      <c r="AB104" s="8">
        <v>13444</v>
      </c>
      <c r="AC104" s="22" t="s">
        <v>2532</v>
      </c>
      <c r="AD104" s="8" t="s">
        <v>4375</v>
      </c>
      <c r="AE104" s="8" t="s">
        <v>4083</v>
      </c>
      <c r="AF104" s="9">
        <f t="shared" si="8"/>
        <v>52.373999999999995</v>
      </c>
      <c r="AG104" s="9">
        <f t="shared" si="9"/>
        <v>20.009999999999998</v>
      </c>
      <c r="AH104" s="9">
        <f t="shared" si="10"/>
        <v>0.14902619092481878</v>
      </c>
      <c r="AI104" s="9">
        <f t="shared" si="11"/>
        <v>2.2208805581560541E-2</v>
      </c>
      <c r="AJ104" s="9">
        <f t="shared" si="12"/>
        <v>0.15647774201668185</v>
      </c>
      <c r="AK104" s="9">
        <f t="shared" si="13"/>
        <v>2.448528374663924E-2</v>
      </c>
      <c r="AL104" s="9">
        <f t="shared" si="14"/>
        <v>8.60587529686722E-2</v>
      </c>
      <c r="AM104" s="9">
        <f t="shared" si="15"/>
        <v>7.4061089625229466E-3</v>
      </c>
      <c r="AN104" s="9" t="s">
        <v>2532</v>
      </c>
    </row>
    <row r="105" spans="13:40" ht="23">
      <c r="M105" s="8" t="s">
        <v>539</v>
      </c>
      <c r="N105" s="8" t="s">
        <v>150</v>
      </c>
      <c r="O105" s="8"/>
      <c r="P105" s="8"/>
      <c r="Q105" s="8"/>
      <c r="R105" s="8"/>
      <c r="S105" s="8"/>
      <c r="T105" s="8"/>
      <c r="U105" s="8"/>
      <c r="V105" s="8"/>
      <c r="W105" s="8" t="s">
        <v>539</v>
      </c>
      <c r="X105" s="8">
        <v>37.28</v>
      </c>
      <c r="Y105" s="8">
        <v>1.42</v>
      </c>
      <c r="Z105" s="9">
        <v>1.05</v>
      </c>
      <c r="AA105" s="8">
        <v>16.399999999999999</v>
      </c>
      <c r="AB105" s="8">
        <v>21783</v>
      </c>
      <c r="AC105" s="21" t="s">
        <v>539</v>
      </c>
      <c r="AD105" s="8" t="s">
        <v>4176</v>
      </c>
      <c r="AE105" s="8" t="s">
        <v>4083</v>
      </c>
      <c r="AF105" s="9">
        <f t="shared" si="8"/>
        <v>23.287999999999997</v>
      </c>
      <c r="AG105" s="9">
        <f t="shared" si="9"/>
        <v>17.766666666666662</v>
      </c>
      <c r="AH105" s="9">
        <f t="shared" si="10"/>
        <v>0.14046146730844988</v>
      </c>
      <c r="AI105" s="9">
        <f t="shared" si="11"/>
        <v>1.9729423798442735E-2</v>
      </c>
      <c r="AJ105" s="9">
        <f t="shared" si="12"/>
        <v>6.9577531906756918E-2</v>
      </c>
      <c r="AK105" s="9">
        <f t="shared" si="13"/>
        <v>4.8410329462357767E-3</v>
      </c>
      <c r="AL105" s="9">
        <f t="shared" si="14"/>
        <v>7.6410653560390271E-2</v>
      </c>
      <c r="AM105" s="9">
        <f t="shared" si="15"/>
        <v>5.8385879775259822E-3</v>
      </c>
      <c r="AN105" s="8" t="s">
        <v>539</v>
      </c>
    </row>
    <row r="106" spans="13:40" ht="23">
      <c r="M106" s="8" t="s">
        <v>2016</v>
      </c>
      <c r="N106" s="8" t="s">
        <v>2017</v>
      </c>
      <c r="O106" s="8"/>
      <c r="P106" s="8"/>
      <c r="Q106" s="8"/>
      <c r="R106" s="8"/>
      <c r="S106" s="8"/>
      <c r="T106" s="8"/>
      <c r="U106" s="8"/>
      <c r="V106" s="8"/>
      <c r="W106" s="8" t="s">
        <v>2016</v>
      </c>
      <c r="X106" s="8">
        <v>28.54</v>
      </c>
      <c r="Y106" s="8">
        <v>9.02</v>
      </c>
      <c r="Z106" s="9">
        <v>11.21</v>
      </c>
      <c r="AA106" s="8">
        <v>16.100000000000001</v>
      </c>
      <c r="AB106" s="8">
        <v>5511</v>
      </c>
      <c r="AC106" s="21" t="s">
        <v>2016</v>
      </c>
      <c r="AD106" s="8" t="s">
        <v>3718</v>
      </c>
      <c r="AE106" s="8" t="s">
        <v>4083</v>
      </c>
      <c r="AF106" s="9">
        <f t="shared" si="8"/>
        <v>145.22200000000001</v>
      </c>
      <c r="AG106" s="9">
        <f t="shared" si="9"/>
        <v>182.73500000000001</v>
      </c>
      <c r="AH106" s="9">
        <f t="shared" si="10"/>
        <v>0.13789205022353923</v>
      </c>
      <c r="AI106" s="9">
        <f t="shared" si="11"/>
        <v>1.9014217514851064E-2</v>
      </c>
      <c r="AJ106" s="9">
        <f t="shared" si="12"/>
        <v>0.43387960917910745</v>
      </c>
      <c r="AK106" s="9">
        <f t="shared" si="13"/>
        <v>0.18825151526141501</v>
      </c>
      <c r="AL106" s="9">
        <f t="shared" si="14"/>
        <v>0.78590435900701239</v>
      </c>
      <c r="AM106" s="9">
        <f t="shared" si="15"/>
        <v>0.61764566150622302</v>
      </c>
      <c r="AN106" s="8" t="s">
        <v>2016</v>
      </c>
    </row>
    <row r="107" spans="13:40" ht="23">
      <c r="M107" s="9" t="s">
        <v>3012</v>
      </c>
      <c r="N107" s="8" t="s">
        <v>1717</v>
      </c>
      <c r="O107" s="8"/>
      <c r="P107" s="8" t="s">
        <v>4200</v>
      </c>
      <c r="Q107" s="8"/>
      <c r="R107" s="8"/>
      <c r="S107" s="8"/>
      <c r="T107" s="8"/>
      <c r="U107" s="8"/>
      <c r="V107" s="8"/>
      <c r="W107" s="9" t="s">
        <v>3012</v>
      </c>
      <c r="X107" s="8">
        <v>3.25</v>
      </c>
      <c r="Y107" s="8">
        <v>7.58</v>
      </c>
      <c r="Z107" s="9">
        <v>1.1100000000000001</v>
      </c>
      <c r="AA107" s="8">
        <v>15.6</v>
      </c>
      <c r="AB107" s="8">
        <v>25068</v>
      </c>
      <c r="AC107" s="22" t="s">
        <v>3012</v>
      </c>
      <c r="AD107" s="8" t="s">
        <v>4371</v>
      </c>
      <c r="AE107" s="8" t="s">
        <v>4083</v>
      </c>
      <c r="AF107" s="9">
        <f t="shared" si="8"/>
        <v>118.248</v>
      </c>
      <c r="AG107" s="9">
        <f t="shared" si="9"/>
        <v>18.46</v>
      </c>
      <c r="AH107" s="9">
        <f t="shared" si="10"/>
        <v>0.13360968841535475</v>
      </c>
      <c r="AI107" s="9">
        <f t="shared" si="11"/>
        <v>1.7851548838448184E-2</v>
      </c>
      <c r="AJ107" s="9">
        <f t="shared" si="12"/>
        <v>0.35328941913904988</v>
      </c>
      <c r="AK107" s="9">
        <f t="shared" si="13"/>
        <v>0.12481341367560726</v>
      </c>
      <c r="AL107" s="9">
        <f t="shared" si="14"/>
        <v>7.9392532723722598E-2</v>
      </c>
      <c r="AM107" s="9">
        <f t="shared" si="15"/>
        <v>6.3031742522873637E-3</v>
      </c>
      <c r="AN107" s="9" t="s">
        <v>3012</v>
      </c>
    </row>
    <row r="108" spans="13:40" ht="23">
      <c r="M108" s="8" t="s">
        <v>174</v>
      </c>
      <c r="N108" s="8" t="s">
        <v>150</v>
      </c>
      <c r="O108" s="8"/>
      <c r="P108" s="8"/>
      <c r="Q108" s="8"/>
      <c r="R108" s="8"/>
      <c r="S108" s="8"/>
      <c r="T108" s="8"/>
      <c r="U108" s="8"/>
      <c r="V108" s="8"/>
      <c r="W108" s="8" t="s">
        <v>174</v>
      </c>
      <c r="X108" s="8">
        <v>12.15</v>
      </c>
      <c r="Y108" s="8">
        <v>33.33</v>
      </c>
      <c r="Z108" s="9">
        <v>54.28</v>
      </c>
      <c r="AA108" s="8">
        <v>14.9</v>
      </c>
      <c r="AB108" s="8">
        <v>3229</v>
      </c>
      <c r="AC108" s="21" t="s">
        <v>174</v>
      </c>
      <c r="AD108" s="8" t="s">
        <v>3718</v>
      </c>
      <c r="AE108" s="8" t="s">
        <v>4083</v>
      </c>
      <c r="AF108" s="9">
        <f t="shared" si="8"/>
        <v>496.61699999999996</v>
      </c>
      <c r="AG108" s="9">
        <f t="shared" si="9"/>
        <v>811.5533333333334</v>
      </c>
      <c r="AH108" s="9">
        <f t="shared" si="10"/>
        <v>0.12761438188389654</v>
      </c>
      <c r="AI108" s="9">
        <f t="shared" si="11"/>
        <v>1.6285430463608981E-2</v>
      </c>
      <c r="AJ108" s="9">
        <f t="shared" si="12"/>
        <v>1.48374206299115</v>
      </c>
      <c r="AK108" s="9">
        <f t="shared" si="13"/>
        <v>2.2014905094892336</v>
      </c>
      <c r="AL108" s="9">
        <f t="shared" si="14"/>
        <v>3.4903182325954942</v>
      </c>
      <c r="AM108" s="9">
        <f t="shared" si="15"/>
        <v>12.182321364788535</v>
      </c>
      <c r="AN108" s="8" t="s">
        <v>174</v>
      </c>
    </row>
    <row r="109" spans="13:40" ht="23">
      <c r="M109" s="9" t="s">
        <v>5094</v>
      </c>
      <c r="N109" s="8" t="s">
        <v>150</v>
      </c>
      <c r="O109" s="8"/>
      <c r="P109" s="8"/>
      <c r="Q109" s="8"/>
      <c r="R109" s="8"/>
      <c r="S109" s="8"/>
      <c r="T109" s="8"/>
      <c r="U109" s="8"/>
      <c r="V109" s="8"/>
      <c r="W109" s="9" t="s">
        <v>5094</v>
      </c>
      <c r="X109" s="8">
        <v>5.26</v>
      </c>
      <c r="Y109" s="8">
        <v>1.9</v>
      </c>
      <c r="Z109" s="9">
        <v>0.36</v>
      </c>
      <c r="AA109" s="8">
        <v>14.7</v>
      </c>
      <c r="AB109" s="8">
        <v>26945</v>
      </c>
      <c r="AC109" s="22" t="s">
        <v>5094</v>
      </c>
      <c r="AD109" s="8" t="s">
        <v>3718</v>
      </c>
      <c r="AE109" s="8" t="s">
        <v>4083</v>
      </c>
      <c r="AF109" s="9">
        <f t="shared" si="8"/>
        <v>27.929999999999996</v>
      </c>
      <c r="AG109" s="9">
        <f t="shared" si="9"/>
        <v>8.8199999999999985</v>
      </c>
      <c r="AH109" s="9">
        <f t="shared" si="10"/>
        <v>0.12590143716062274</v>
      </c>
      <c r="AI109" s="9">
        <f t="shared" si="11"/>
        <v>1.5851171879110237E-2</v>
      </c>
      <c r="AJ109" s="9">
        <f t="shared" si="12"/>
        <v>8.3446430185319498E-2</v>
      </c>
      <c r="AK109" s="9">
        <f t="shared" si="13"/>
        <v>6.963306710673401E-3</v>
      </c>
      <c r="AL109" s="9">
        <f t="shared" si="14"/>
        <v>3.7932943587390744E-2</v>
      </c>
      <c r="AM109" s="9">
        <f t="shared" si="15"/>
        <v>1.4389082092041686E-3</v>
      </c>
      <c r="AN109" s="9" t="s">
        <v>5094</v>
      </c>
    </row>
    <row r="110" spans="13:40" ht="23">
      <c r="M110" s="8" t="s">
        <v>4970</v>
      </c>
      <c r="N110" s="8" t="s">
        <v>1869</v>
      </c>
      <c r="O110" s="8"/>
      <c r="P110" s="8" t="s">
        <v>3692</v>
      </c>
      <c r="Q110" s="8"/>
      <c r="R110" s="8"/>
      <c r="S110" s="8"/>
      <c r="T110" s="8"/>
      <c r="U110" s="8"/>
      <c r="V110" s="8"/>
      <c r="W110" s="8" t="s">
        <v>4970</v>
      </c>
      <c r="X110" s="8">
        <v>10.79</v>
      </c>
      <c r="Y110" s="8">
        <v>4.88</v>
      </c>
      <c r="Z110" s="9">
        <v>5.44</v>
      </c>
      <c r="AA110" s="8">
        <v>13.5</v>
      </c>
      <c r="AB110" s="8">
        <v>10002</v>
      </c>
      <c r="AC110" s="21" t="s">
        <v>4970</v>
      </c>
      <c r="AD110" s="8" t="s">
        <v>4375</v>
      </c>
      <c r="AE110" s="8" t="s">
        <v>4083</v>
      </c>
      <c r="AF110" s="9">
        <f t="shared" si="8"/>
        <v>65.88</v>
      </c>
      <c r="AG110" s="9">
        <f t="shared" si="9"/>
        <v>77.400000000000006</v>
      </c>
      <c r="AH110" s="9">
        <f t="shared" si="10"/>
        <v>0.11562376882098008</v>
      </c>
      <c r="AI110" s="9">
        <f t="shared" si="11"/>
        <v>1.3368855916367444E-2</v>
      </c>
      <c r="AJ110" s="9">
        <f t="shared" si="12"/>
        <v>0.19682960331574828</v>
      </c>
      <c r="AK110" s="9">
        <f t="shared" si="13"/>
        <v>3.8741892741434823E-2</v>
      </c>
      <c r="AL110" s="9">
        <f t="shared" si="14"/>
        <v>0.33288093352200049</v>
      </c>
      <c r="AM110" s="9">
        <f t="shared" si="15"/>
        <v>0.11080971590247851</v>
      </c>
      <c r="AN110" s="8" t="s">
        <v>4970</v>
      </c>
    </row>
    <row r="111" spans="13:40" ht="23">
      <c r="M111" s="8" t="s">
        <v>1184</v>
      </c>
      <c r="N111" s="8" t="s">
        <v>150</v>
      </c>
      <c r="O111" s="8"/>
      <c r="P111" s="8"/>
      <c r="Q111" s="8"/>
      <c r="R111" s="8"/>
      <c r="S111" s="8"/>
      <c r="T111" s="8"/>
      <c r="U111" s="8"/>
      <c r="V111" s="8"/>
      <c r="W111" s="8" t="s">
        <v>1184</v>
      </c>
      <c r="X111" s="8">
        <v>32.61</v>
      </c>
      <c r="Y111" s="8">
        <v>2.11</v>
      </c>
      <c r="Z111" s="9">
        <v>1.1499999999999999</v>
      </c>
      <c r="AA111" s="8">
        <v>13.4</v>
      </c>
      <c r="AB111" s="8">
        <v>23403</v>
      </c>
      <c r="AC111" s="21" t="s">
        <v>1184</v>
      </c>
      <c r="AD111" s="8" t="s">
        <v>4176</v>
      </c>
      <c r="AE111" s="8" t="s">
        <v>4083</v>
      </c>
      <c r="AF111" s="9">
        <f t="shared" si="8"/>
        <v>28.273999999999997</v>
      </c>
      <c r="AG111" s="9">
        <f t="shared" si="9"/>
        <v>16.75</v>
      </c>
      <c r="AH111" s="9">
        <f t="shared" si="10"/>
        <v>0.11476729645934321</v>
      </c>
      <c r="AI111" s="9">
        <f t="shared" si="11"/>
        <v>1.3171532336586772E-2</v>
      </c>
      <c r="AJ111" s="9">
        <f t="shared" si="12"/>
        <v>8.4474198605790335E-2</v>
      </c>
      <c r="AK111" s="9">
        <f t="shared" si="13"/>
        <v>7.1358902300905098E-3</v>
      </c>
      <c r="AL111" s="9">
        <f t="shared" si="14"/>
        <v>7.2038186518003977E-2</v>
      </c>
      <c r="AM111" s="9">
        <f t="shared" si="15"/>
        <v>5.1895003168027296E-3</v>
      </c>
      <c r="AN111" s="8" t="s">
        <v>1184</v>
      </c>
    </row>
    <row r="112" spans="13:40" ht="23">
      <c r="M112" s="8" t="s">
        <v>866</v>
      </c>
      <c r="N112" s="8" t="s">
        <v>150</v>
      </c>
      <c r="O112" s="8"/>
      <c r="P112" s="8"/>
      <c r="Q112" s="8"/>
      <c r="R112" s="8"/>
      <c r="S112" s="8"/>
      <c r="T112" s="8"/>
      <c r="U112" s="8"/>
      <c r="V112" s="8"/>
      <c r="W112" s="8" t="s">
        <v>866</v>
      </c>
      <c r="X112" s="8">
        <v>21.14</v>
      </c>
      <c r="Y112" s="8">
        <v>2.86</v>
      </c>
      <c r="Z112" s="9">
        <v>2.5</v>
      </c>
      <c r="AA112" s="8">
        <v>13.2</v>
      </c>
      <c r="AB112" s="8">
        <v>11334</v>
      </c>
      <c r="AC112" s="21" t="s">
        <v>866</v>
      </c>
      <c r="AD112" s="8" t="s">
        <v>4375</v>
      </c>
      <c r="AE112" s="8" t="s">
        <v>4083</v>
      </c>
      <c r="AF112" s="9">
        <f t="shared" si="8"/>
        <v>37.751999999999995</v>
      </c>
      <c r="AG112" s="9">
        <f t="shared" si="9"/>
        <v>26.509999999999998</v>
      </c>
      <c r="AH112" s="9">
        <f t="shared" si="10"/>
        <v>0.11305435173606941</v>
      </c>
      <c r="AI112" s="9">
        <f t="shared" si="11"/>
        <v>1.2781286446462901E-2</v>
      </c>
      <c r="AJ112" s="9">
        <f t="shared" si="12"/>
        <v>0.1127916087488787</v>
      </c>
      <c r="AK112" s="9">
        <f t="shared" si="13"/>
        <v>1.272194700416013E-2</v>
      </c>
      <c r="AL112" s="9">
        <f t="shared" si="14"/>
        <v>0.11401387012491256</v>
      </c>
      <c r="AM112" s="9">
        <f t="shared" si="15"/>
        <v>1.2999162580860427E-2</v>
      </c>
      <c r="AN112" s="8" t="s">
        <v>866</v>
      </c>
    </row>
    <row r="113" spans="13:40" ht="23">
      <c r="M113" s="24" t="s">
        <v>5116</v>
      </c>
      <c r="N113" s="8" t="s">
        <v>150</v>
      </c>
      <c r="O113" s="24"/>
      <c r="P113" s="24" t="s">
        <v>3697</v>
      </c>
      <c r="Q113" s="24"/>
      <c r="R113" s="24"/>
      <c r="S113" s="24"/>
      <c r="T113" s="24"/>
      <c r="U113" s="24"/>
      <c r="V113" s="24"/>
      <c r="W113" s="24" t="s">
        <v>5116</v>
      </c>
      <c r="X113" s="24">
        <v>19.37</v>
      </c>
      <c r="Y113" s="24">
        <v>31.1</v>
      </c>
      <c r="Z113" s="25">
        <v>30.55</v>
      </c>
      <c r="AA113" s="24">
        <v>12.7</v>
      </c>
      <c r="AB113" s="24">
        <v>4375</v>
      </c>
      <c r="AC113" s="21" t="s">
        <v>5116</v>
      </c>
      <c r="AD113" s="8" t="s">
        <v>4176</v>
      </c>
      <c r="AE113" s="8" t="s">
        <v>4083</v>
      </c>
      <c r="AF113" s="25">
        <f t="shared" si="8"/>
        <v>394.96999999999997</v>
      </c>
      <c r="AG113" s="25">
        <f t="shared" si="9"/>
        <v>392.64166666666665</v>
      </c>
      <c r="AH113" s="25">
        <f t="shared" si="10"/>
        <v>0.10877198992788495</v>
      </c>
      <c r="AI113" s="25">
        <f t="shared" si="11"/>
        <v>1.1831345792871905E-2</v>
      </c>
      <c r="AJ113" s="25">
        <f t="shared" si="12"/>
        <v>1.1800514332365073</v>
      </c>
      <c r="AK113" s="25">
        <f t="shared" si="13"/>
        <v>1.392521385083535</v>
      </c>
      <c r="AL113" s="25">
        <f t="shared" si="14"/>
        <v>1.6886682757058673</v>
      </c>
      <c r="AM113" s="25">
        <f t="shared" si="15"/>
        <v>2.851600545375427</v>
      </c>
      <c r="AN113" s="24" t="s">
        <v>5116</v>
      </c>
    </row>
    <row r="114" spans="13:40" ht="23">
      <c r="M114" s="8" t="s">
        <v>537</v>
      </c>
      <c r="N114" s="8" t="s">
        <v>150</v>
      </c>
      <c r="O114" s="8"/>
      <c r="P114" s="8"/>
      <c r="Q114" s="8"/>
      <c r="R114" s="8"/>
      <c r="S114" s="8"/>
      <c r="T114" s="8"/>
      <c r="U114" s="8"/>
      <c r="V114" s="8"/>
      <c r="W114" s="8" t="s">
        <v>537</v>
      </c>
      <c r="X114" s="8">
        <v>23.28</v>
      </c>
      <c r="Y114" s="8">
        <v>8.44</v>
      </c>
      <c r="Z114" s="9">
        <v>3.3</v>
      </c>
      <c r="AA114" s="8">
        <v>12.6</v>
      </c>
      <c r="AB114" s="8">
        <v>17542</v>
      </c>
      <c r="AC114" s="21" t="s">
        <v>537</v>
      </c>
      <c r="AD114" s="8" t="s">
        <v>4371</v>
      </c>
      <c r="AE114" s="8" t="s">
        <v>4083</v>
      </c>
      <c r="AF114" s="9">
        <f t="shared" si="8"/>
        <v>106.34399999999999</v>
      </c>
      <c r="AG114" s="9">
        <f t="shared" si="9"/>
        <v>37.863</v>
      </c>
      <c r="AH114" s="9">
        <f t="shared" si="10"/>
        <v>0.10791551756624806</v>
      </c>
      <c r="AI114" s="9">
        <f t="shared" si="11"/>
        <v>1.1645758931591194E-2</v>
      </c>
      <c r="AJ114" s="9">
        <f t="shared" si="12"/>
        <v>0.31772385147252485</v>
      </c>
      <c r="AK114" s="9">
        <f t="shared" si="13"/>
        <v>0.10094844579453503</v>
      </c>
      <c r="AL114" s="9">
        <f t="shared" si="14"/>
        <v>0.16284070782872745</v>
      </c>
      <c r="AM114" s="9">
        <f t="shared" si="15"/>
        <v>2.6517096126160978E-2</v>
      </c>
      <c r="AN114" s="8" t="s">
        <v>537</v>
      </c>
    </row>
    <row r="115" spans="13:40" ht="23">
      <c r="M115" s="9" t="s">
        <v>5017</v>
      </c>
      <c r="N115" s="8" t="s">
        <v>2017</v>
      </c>
      <c r="O115" s="8"/>
      <c r="P115" s="8"/>
      <c r="Q115" s="8"/>
      <c r="R115" s="8"/>
      <c r="S115" s="8"/>
      <c r="T115" s="8"/>
      <c r="U115" s="8"/>
      <c r="V115" s="8"/>
      <c r="W115" s="9" t="s">
        <v>5017</v>
      </c>
      <c r="X115" s="8">
        <v>48.49</v>
      </c>
      <c r="Y115" s="8">
        <v>1.73</v>
      </c>
      <c r="Z115" s="9">
        <v>0.46</v>
      </c>
      <c r="AA115" s="8">
        <v>12.1</v>
      </c>
      <c r="AB115" s="8">
        <v>24470</v>
      </c>
      <c r="AC115" s="22" t="s">
        <v>5017</v>
      </c>
      <c r="AD115" s="8" t="s">
        <v>3718</v>
      </c>
      <c r="AE115" s="8" t="s">
        <v>4083</v>
      </c>
      <c r="AF115" s="9">
        <f t="shared" si="8"/>
        <v>20.933</v>
      </c>
      <c r="AG115" s="9">
        <f t="shared" si="9"/>
        <v>9.2766666666666673</v>
      </c>
      <c r="AH115" s="9">
        <f t="shared" si="10"/>
        <v>0.10363315575806363</v>
      </c>
      <c r="AI115" s="9">
        <f t="shared" si="11"/>
        <v>1.0739830972375077E-2</v>
      </c>
      <c r="AJ115" s="9">
        <f t="shared" si="12"/>
        <v>6.2541501004987232E-2</v>
      </c>
      <c r="AK115" s="9">
        <f t="shared" si="13"/>
        <v>3.9114393479568188E-3</v>
      </c>
      <c r="AL115" s="9">
        <f t="shared" si="14"/>
        <v>3.9896969767085587E-2</v>
      </c>
      <c r="AM115" s="9">
        <f t="shared" si="15"/>
        <v>1.5917681965957413E-3</v>
      </c>
      <c r="AN115" s="9" t="s">
        <v>5017</v>
      </c>
    </row>
    <row r="116" spans="13:40" ht="23">
      <c r="M116" s="8" t="s">
        <v>253</v>
      </c>
      <c r="N116" s="8" t="s">
        <v>150</v>
      </c>
      <c r="O116" s="8"/>
      <c r="P116" s="8"/>
      <c r="Q116" s="8"/>
      <c r="R116" s="8"/>
      <c r="S116" s="8"/>
      <c r="T116" s="8"/>
      <c r="U116" s="8"/>
      <c r="V116" s="8"/>
      <c r="W116" s="8" t="s">
        <v>253</v>
      </c>
      <c r="X116" s="8">
        <v>9.69</v>
      </c>
      <c r="Y116" s="8">
        <v>2.08</v>
      </c>
      <c r="Z116" s="9">
        <v>0.38</v>
      </c>
      <c r="AA116" s="8">
        <v>12.1</v>
      </c>
      <c r="AB116" s="8">
        <v>25979</v>
      </c>
      <c r="AC116" s="21" t="s">
        <v>253</v>
      </c>
      <c r="AD116" s="8" t="s">
        <v>3718</v>
      </c>
      <c r="AE116" s="8" t="s">
        <v>4083</v>
      </c>
      <c r="AF116" s="9">
        <f t="shared" si="8"/>
        <v>25.167999999999999</v>
      </c>
      <c r="AG116" s="9">
        <f t="shared" si="9"/>
        <v>7.6633333333333331</v>
      </c>
      <c r="AH116" s="9">
        <f t="shared" si="10"/>
        <v>0.10363315575806363</v>
      </c>
      <c r="AI116" s="9">
        <f t="shared" si="11"/>
        <v>1.0739830972375077E-2</v>
      </c>
      <c r="AJ116" s="9">
        <f t="shared" si="12"/>
        <v>7.5194405832585812E-2</v>
      </c>
      <c r="AK116" s="9">
        <f t="shared" si="13"/>
        <v>5.6541986685156153E-3</v>
      </c>
      <c r="AL116" s="9">
        <f t="shared" si="14"/>
        <v>3.2958366329331572E-2</v>
      </c>
      <c r="AM116" s="9">
        <f t="shared" si="15"/>
        <v>1.0862539110984171E-3</v>
      </c>
      <c r="AN116" s="8" t="s">
        <v>253</v>
      </c>
    </row>
    <row r="117" spans="13:40" ht="23">
      <c r="M117" s="9" t="s">
        <v>3213</v>
      </c>
      <c r="N117" s="8" t="s">
        <v>1902</v>
      </c>
      <c r="O117" s="8"/>
      <c r="P117" s="8" t="s">
        <v>4008</v>
      </c>
      <c r="Q117" s="8"/>
      <c r="R117" s="8"/>
      <c r="S117" s="8"/>
      <c r="T117" s="8"/>
      <c r="U117" s="8"/>
      <c r="V117" s="8"/>
      <c r="W117" s="9" t="s">
        <v>3213</v>
      </c>
      <c r="X117" s="8">
        <v>40.659999999999997</v>
      </c>
      <c r="Y117" s="8">
        <v>1.5</v>
      </c>
      <c r="Z117" s="9">
        <v>0.12</v>
      </c>
      <c r="AA117" s="8">
        <v>11.6</v>
      </c>
      <c r="AB117" s="8">
        <v>36811</v>
      </c>
      <c r="AC117" s="22" t="s">
        <v>3213</v>
      </c>
      <c r="AD117" s="8" t="s">
        <v>3718</v>
      </c>
      <c r="AE117" s="8" t="s">
        <v>4083</v>
      </c>
      <c r="AF117" s="9">
        <f t="shared" si="8"/>
        <v>17.399999999999999</v>
      </c>
      <c r="AG117" s="9">
        <f t="shared" si="9"/>
        <v>2.3199999999999998</v>
      </c>
      <c r="AH117" s="9">
        <f t="shared" si="10"/>
        <v>9.9350793949879168E-2</v>
      </c>
      <c r="AI117" s="9">
        <f t="shared" si="11"/>
        <v>9.8705802584713471E-3</v>
      </c>
      <c r="AJ117" s="9">
        <f t="shared" si="12"/>
        <v>5.1985960802884333E-2</v>
      </c>
      <c r="AK117" s="9">
        <f t="shared" si="13"/>
        <v>2.7025401205990262E-3</v>
      </c>
      <c r="AL117" s="9">
        <f t="shared" si="14"/>
        <v>9.9778264311504005E-3</v>
      </c>
      <c r="AM117" s="9">
        <f t="shared" si="15"/>
        <v>9.9557020290163534E-5</v>
      </c>
      <c r="AN117" s="9" t="s">
        <v>3213</v>
      </c>
    </row>
    <row r="118" spans="13:40" ht="23">
      <c r="M118" s="8" t="s">
        <v>243</v>
      </c>
      <c r="N118" s="8" t="s">
        <v>150</v>
      </c>
      <c r="O118" s="8"/>
      <c r="P118" s="8"/>
      <c r="Q118" s="8"/>
      <c r="R118" s="8"/>
      <c r="S118" s="8"/>
      <c r="T118" s="8"/>
      <c r="U118" s="8"/>
      <c r="V118" s="8"/>
      <c r="W118" s="8" t="s">
        <v>243</v>
      </c>
      <c r="X118" s="8">
        <v>41.76</v>
      </c>
      <c r="Y118" s="8">
        <v>1.17</v>
      </c>
      <c r="Z118" s="9">
        <v>0.02</v>
      </c>
      <c r="AA118" s="8">
        <v>11.6</v>
      </c>
      <c r="AB118" s="8">
        <v>38385</v>
      </c>
      <c r="AC118" s="21" t="s">
        <v>243</v>
      </c>
      <c r="AD118" s="8" t="s">
        <v>3718</v>
      </c>
      <c r="AE118" s="8" t="s">
        <v>4083</v>
      </c>
      <c r="AF118" s="9">
        <f t="shared" si="8"/>
        <v>13.571999999999999</v>
      </c>
      <c r="AG118" s="9">
        <f t="shared" si="9"/>
        <v>0.38666666666666666</v>
      </c>
      <c r="AH118" s="9">
        <f t="shared" si="10"/>
        <v>9.9350793949879168E-2</v>
      </c>
      <c r="AI118" s="9">
        <f t="shared" si="11"/>
        <v>9.8705802584713471E-3</v>
      </c>
      <c r="AJ118" s="9">
        <f t="shared" si="12"/>
        <v>4.0549049426249782E-2</v>
      </c>
      <c r="AK118" s="9">
        <f t="shared" si="13"/>
        <v>1.6442254093724479E-3</v>
      </c>
      <c r="AL118" s="9">
        <f t="shared" si="14"/>
        <v>1.6629710718584002E-3</v>
      </c>
      <c r="AM118" s="9">
        <f t="shared" si="15"/>
        <v>2.7654727858378764E-6</v>
      </c>
      <c r="AN118" s="8" t="s">
        <v>243</v>
      </c>
    </row>
    <row r="119" spans="13:40" ht="23">
      <c r="M119" s="9" t="s">
        <v>2278</v>
      </c>
      <c r="N119" s="8" t="s">
        <v>150</v>
      </c>
      <c r="O119" s="8"/>
      <c r="P119" s="8"/>
      <c r="Q119" s="8"/>
      <c r="R119" s="8"/>
      <c r="S119" s="8"/>
      <c r="T119" s="8"/>
      <c r="U119" s="8"/>
      <c r="V119" s="8"/>
      <c r="W119" s="9" t="s">
        <v>2278</v>
      </c>
      <c r="X119" s="8">
        <v>19.100000000000001</v>
      </c>
      <c r="Y119" s="8">
        <v>5.77</v>
      </c>
      <c r="Z119" s="9">
        <v>5.25</v>
      </c>
      <c r="AA119" s="8">
        <v>11.5</v>
      </c>
      <c r="AB119" s="8">
        <v>8849</v>
      </c>
      <c r="AC119" s="22" t="s">
        <v>2278</v>
      </c>
      <c r="AD119" s="8" t="s">
        <v>4176</v>
      </c>
      <c r="AE119" s="8" t="s">
        <v>4083</v>
      </c>
      <c r="AF119" s="9">
        <f t="shared" si="8"/>
        <v>66.35499999999999</v>
      </c>
      <c r="AG119" s="9">
        <f t="shared" si="9"/>
        <v>62.291666666666671</v>
      </c>
      <c r="AH119" s="9">
        <f t="shared" si="10"/>
        <v>9.8494321588242284E-2</v>
      </c>
      <c r="AI119" s="9">
        <f t="shared" si="11"/>
        <v>9.7011313851280909E-3</v>
      </c>
      <c r="AJ119" s="9">
        <f t="shared" si="12"/>
        <v>0.19824876029168906</v>
      </c>
      <c r="AK119" s="9">
        <f t="shared" si="13"/>
        <v>3.9302570957191585E-2</v>
      </c>
      <c r="AL119" s="9">
        <f t="shared" si="14"/>
        <v>0.26790320608063667</v>
      </c>
      <c r="AM119" s="9">
        <f t="shared" si="15"/>
        <v>7.1772127828284085E-2</v>
      </c>
      <c r="AN119" s="9" t="s">
        <v>2278</v>
      </c>
    </row>
    <row r="120" spans="13:40" ht="23">
      <c r="M120" s="9" t="s">
        <v>3284</v>
      </c>
      <c r="N120" s="8" t="s">
        <v>1939</v>
      </c>
      <c r="O120" s="8"/>
      <c r="P120" s="8"/>
      <c r="Q120" s="8"/>
      <c r="R120" s="8"/>
      <c r="S120" s="8"/>
      <c r="T120" s="8"/>
      <c r="U120" s="8"/>
      <c r="V120" s="8"/>
      <c r="W120" s="9" t="s">
        <v>3284</v>
      </c>
      <c r="X120" s="8">
        <v>10.9</v>
      </c>
      <c r="Y120" s="8">
        <v>1.93</v>
      </c>
      <c r="Z120" s="9">
        <v>0.43</v>
      </c>
      <c r="AA120" s="8">
        <v>11.5</v>
      </c>
      <c r="AB120" s="8">
        <v>23081</v>
      </c>
      <c r="AC120" s="22" t="s">
        <v>3284</v>
      </c>
      <c r="AD120" s="8" t="s">
        <v>3718</v>
      </c>
      <c r="AE120" s="8" t="s">
        <v>4083</v>
      </c>
      <c r="AF120" s="9">
        <f t="shared" si="8"/>
        <v>22.195</v>
      </c>
      <c r="AG120" s="9">
        <f t="shared" si="9"/>
        <v>8.2416666666666671</v>
      </c>
      <c r="AH120" s="9">
        <f t="shared" si="10"/>
        <v>9.8494321588242284E-2</v>
      </c>
      <c r="AI120" s="9">
        <f t="shared" si="11"/>
        <v>9.7011313851280909E-3</v>
      </c>
      <c r="AJ120" s="9">
        <f t="shared" si="12"/>
        <v>6.6311977012644713E-2</v>
      </c>
      <c r="AK120" s="9">
        <f t="shared" si="13"/>
        <v>4.3972782953255211E-3</v>
      </c>
      <c r="AL120" s="9">
        <f t="shared" si="14"/>
        <v>3.5445654958361161E-2</v>
      </c>
      <c r="AM120" s="9">
        <f t="shared" si="15"/>
        <v>1.2563944554271932E-3</v>
      </c>
      <c r="AN120" s="9" t="s">
        <v>3284</v>
      </c>
    </row>
    <row r="121" spans="13:40" ht="23">
      <c r="M121" s="9" t="s">
        <v>5043</v>
      </c>
      <c r="N121" s="8"/>
      <c r="O121" s="8"/>
      <c r="P121" s="8"/>
      <c r="Q121" s="8"/>
      <c r="R121" s="8"/>
      <c r="S121" s="8"/>
      <c r="T121" s="8"/>
      <c r="U121" s="8"/>
      <c r="V121" s="8"/>
      <c r="W121" s="9" t="s">
        <v>5043</v>
      </c>
      <c r="X121" s="8">
        <v>12.28</v>
      </c>
      <c r="Y121" s="8">
        <v>34.520000000000003</v>
      </c>
      <c r="Z121" s="9">
        <v>54.3</v>
      </c>
      <c r="AA121" s="8">
        <v>11.4</v>
      </c>
      <c r="AB121" s="8">
        <v>4143</v>
      </c>
      <c r="AC121" s="22" t="s">
        <v>5043</v>
      </c>
      <c r="AD121" s="8" t="s">
        <v>3718</v>
      </c>
      <c r="AE121" s="8" t="s">
        <v>4083</v>
      </c>
      <c r="AF121" s="9">
        <f t="shared" si="8"/>
        <v>393.52800000000002</v>
      </c>
      <c r="AG121" s="9">
        <f t="shared" si="9"/>
        <v>615.65700000000004</v>
      </c>
      <c r="AH121" s="9">
        <f t="shared" si="10"/>
        <v>9.76378492266054E-2</v>
      </c>
      <c r="AI121" s="9">
        <f t="shared" si="11"/>
        <v>9.5331496015973287E-3</v>
      </c>
      <c r="AJ121" s="9">
        <f t="shared" si="12"/>
        <v>1.1757431714274407</v>
      </c>
      <c r="AK121" s="9">
        <f t="shared" si="13"/>
        <v>1.3823720051582562</v>
      </c>
      <c r="AL121" s="9">
        <f t="shared" si="14"/>
        <v>2.6478097789322255</v>
      </c>
      <c r="AM121" s="9">
        <f t="shared" si="15"/>
        <v>7.0108966254091207</v>
      </c>
      <c r="AN121" s="9" t="s">
        <v>5043</v>
      </c>
    </row>
    <row r="122" spans="13:40" ht="23">
      <c r="M122" s="8" t="s">
        <v>1922</v>
      </c>
      <c r="N122" s="8" t="s">
        <v>1902</v>
      </c>
      <c r="O122" s="8"/>
      <c r="P122" s="8"/>
      <c r="Q122" s="8"/>
      <c r="R122" s="8"/>
      <c r="S122" s="8"/>
      <c r="T122" s="8"/>
      <c r="U122" s="8"/>
      <c r="V122" s="8"/>
      <c r="W122" s="8" t="s">
        <v>1922</v>
      </c>
      <c r="X122" s="8">
        <v>33.159999999999997</v>
      </c>
      <c r="Y122" s="8">
        <v>2.36</v>
      </c>
      <c r="Z122" s="9">
        <v>2.38</v>
      </c>
      <c r="AA122" s="8">
        <v>11.3</v>
      </c>
      <c r="AB122" s="8">
        <v>15986</v>
      </c>
      <c r="AC122" s="21" t="s">
        <v>1922</v>
      </c>
      <c r="AD122" s="8" t="s">
        <v>3718</v>
      </c>
      <c r="AE122" s="8" t="s">
        <v>4083</v>
      </c>
      <c r="AF122" s="9">
        <f t="shared" si="8"/>
        <v>26.667999999999999</v>
      </c>
      <c r="AG122" s="9">
        <f t="shared" si="9"/>
        <v>29.756666666666668</v>
      </c>
      <c r="AH122" s="9">
        <f t="shared" si="10"/>
        <v>9.6781376864968516E-2</v>
      </c>
      <c r="AI122" s="9">
        <f t="shared" si="11"/>
        <v>9.3666349078790623E-3</v>
      </c>
      <c r="AJ122" s="9">
        <f t="shared" si="12"/>
        <v>7.9675954177662045E-2</v>
      </c>
      <c r="AK122" s="9">
        <f t="shared" si="13"/>
        <v>6.3482576741209018E-3</v>
      </c>
      <c r="AL122" s="9">
        <f t="shared" si="14"/>
        <v>0.12797709274551672</v>
      </c>
      <c r="AM122" s="9">
        <f t="shared" si="15"/>
        <v>1.6378136267594587E-2</v>
      </c>
      <c r="AN122" s="8" t="s">
        <v>1922</v>
      </c>
    </row>
    <row r="123" spans="13:40" ht="23">
      <c r="M123" s="8" t="s">
        <v>793</v>
      </c>
      <c r="N123" s="8" t="s">
        <v>150</v>
      </c>
      <c r="O123" s="8"/>
      <c r="P123" s="8"/>
      <c r="Q123" s="8"/>
      <c r="R123" s="8"/>
      <c r="S123" s="8"/>
      <c r="T123" s="8"/>
      <c r="U123" s="8"/>
      <c r="V123" s="8"/>
      <c r="W123" s="8" t="s">
        <v>793</v>
      </c>
      <c r="X123" s="8">
        <v>27.98</v>
      </c>
      <c r="Y123" s="8">
        <v>3.48</v>
      </c>
      <c r="Z123" s="9">
        <v>2.23</v>
      </c>
      <c r="AA123" s="8">
        <v>11</v>
      </c>
      <c r="AB123" s="8">
        <v>13693</v>
      </c>
      <c r="AC123" s="21" t="s">
        <v>793</v>
      </c>
      <c r="AD123" s="8" t="s">
        <v>4371</v>
      </c>
      <c r="AE123" s="8" t="s">
        <v>4083</v>
      </c>
      <c r="AF123" s="9">
        <f t="shared" si="8"/>
        <v>38.28</v>
      </c>
      <c r="AG123" s="9">
        <f t="shared" si="9"/>
        <v>26.216666666666665</v>
      </c>
      <c r="AH123" s="9">
        <f t="shared" si="10"/>
        <v>9.4211959780057836E-2</v>
      </c>
      <c r="AI123" s="9">
        <f t="shared" si="11"/>
        <v>8.8758933655992359E-3</v>
      </c>
      <c r="AJ123" s="9">
        <f t="shared" si="12"/>
        <v>0.11436911376634555</v>
      </c>
      <c r="AK123" s="9">
        <f t="shared" si="13"/>
        <v>1.3080294183699291E-2</v>
      </c>
      <c r="AL123" s="9">
        <f t="shared" si="14"/>
        <v>0.11275230586350274</v>
      </c>
      <c r="AM123" s="9">
        <f t="shared" si="15"/>
        <v>1.2713082477536873E-2</v>
      </c>
      <c r="AN123" s="8" t="s">
        <v>793</v>
      </c>
    </row>
    <row r="124" spans="13:40" ht="23">
      <c r="M124" s="8" t="s">
        <v>1222</v>
      </c>
      <c r="N124" s="8" t="s">
        <v>150</v>
      </c>
      <c r="O124" s="8"/>
      <c r="P124" s="8"/>
      <c r="Q124" s="8"/>
      <c r="R124" s="8"/>
      <c r="S124" s="8"/>
      <c r="T124" s="8"/>
      <c r="U124" s="8"/>
      <c r="V124" s="8"/>
      <c r="W124" s="8" t="s">
        <v>1222</v>
      </c>
      <c r="X124" s="8">
        <v>17.690000000000001</v>
      </c>
      <c r="Y124" s="8">
        <v>14.42</v>
      </c>
      <c r="Z124" s="9">
        <v>1.35</v>
      </c>
      <c r="AA124" s="8">
        <v>10.9</v>
      </c>
      <c r="AB124" s="8">
        <v>14030</v>
      </c>
      <c r="AC124" s="21" t="s">
        <v>1222</v>
      </c>
      <c r="AD124" s="8" t="s">
        <v>4176</v>
      </c>
      <c r="AE124" s="8" t="s">
        <v>4083</v>
      </c>
      <c r="AF124" s="9">
        <f t="shared" si="8"/>
        <v>157.178</v>
      </c>
      <c r="AG124" s="9">
        <f t="shared" si="9"/>
        <v>17.258333333333336</v>
      </c>
      <c r="AH124" s="9">
        <f t="shared" si="10"/>
        <v>9.3355487418420952E-2</v>
      </c>
      <c r="AI124" s="9">
        <f t="shared" si="11"/>
        <v>8.7152470311309526E-3</v>
      </c>
      <c r="AJ124" s="9">
        <f t="shared" si="12"/>
        <v>0.46960053718826178</v>
      </c>
      <c r="AK124" s="9">
        <f t="shared" si="13"/>
        <v>0.22052466452750402</v>
      </c>
      <c r="AL124" s="9">
        <f t="shared" si="14"/>
        <v>7.4224420039197145E-2</v>
      </c>
      <c r="AM124" s="9">
        <f t="shared" si="15"/>
        <v>5.5092645301551705E-3</v>
      </c>
      <c r="AN124" s="8" t="s">
        <v>1222</v>
      </c>
    </row>
    <row r="125" spans="13:40" ht="23">
      <c r="M125" s="8" t="s">
        <v>1170</v>
      </c>
      <c r="N125" s="8" t="s">
        <v>150</v>
      </c>
      <c r="O125" s="8"/>
      <c r="P125" s="8"/>
      <c r="Q125" s="8"/>
      <c r="R125" s="8"/>
      <c r="S125" s="8"/>
      <c r="T125" s="8"/>
      <c r="U125" s="8"/>
      <c r="V125" s="8"/>
      <c r="W125" s="8" t="s">
        <v>1170</v>
      </c>
      <c r="X125" s="8">
        <v>50.75</v>
      </c>
      <c r="Y125" s="8">
        <v>2.23</v>
      </c>
      <c r="Z125" s="9">
        <v>1.1399999999999999</v>
      </c>
      <c r="AA125" s="8">
        <v>10.3</v>
      </c>
      <c r="AB125" s="8">
        <v>36354</v>
      </c>
      <c r="AC125" s="21" t="s">
        <v>1170</v>
      </c>
      <c r="AD125" s="8" t="s">
        <v>3718</v>
      </c>
      <c r="AE125" s="8" t="s">
        <v>4083</v>
      </c>
      <c r="AF125" s="9">
        <f t="shared" si="8"/>
        <v>22.969000000000001</v>
      </c>
      <c r="AG125" s="9">
        <f t="shared" si="9"/>
        <v>12.703333333333335</v>
      </c>
      <c r="AH125" s="9">
        <f t="shared" si="10"/>
        <v>8.8216653248599619E-2</v>
      </c>
      <c r="AI125" s="9">
        <f t="shared" si="11"/>
        <v>7.7821779103836621E-3</v>
      </c>
      <c r="AJ125" s="9">
        <f t="shared" si="12"/>
        <v>6.8624455958704048E-2</v>
      </c>
      <c r="AK125" s="9">
        <f t="shared" si="13"/>
        <v>4.7093159556281117E-3</v>
      </c>
      <c r="AL125" s="9">
        <f t="shared" si="14"/>
        <v>5.4634334093554858E-2</v>
      </c>
      <c r="AM125" s="9">
        <f t="shared" si="15"/>
        <v>2.9849104618461706E-3</v>
      </c>
      <c r="AN125" s="8" t="s">
        <v>1170</v>
      </c>
    </row>
    <row r="126" spans="13:40" ht="23">
      <c r="M126" s="9" t="s">
        <v>3436</v>
      </c>
      <c r="N126" s="8" t="s">
        <v>2003</v>
      </c>
      <c r="O126" s="8"/>
      <c r="P126" s="8"/>
      <c r="Q126" s="8"/>
      <c r="R126" s="8"/>
      <c r="S126" s="8"/>
      <c r="T126" s="8"/>
      <c r="U126" s="8"/>
      <c r="V126" s="8"/>
      <c r="W126" s="9" t="s">
        <v>3436</v>
      </c>
      <c r="X126" s="8">
        <v>22.78</v>
      </c>
      <c r="Y126" s="8">
        <v>1.78</v>
      </c>
      <c r="Z126" s="9">
        <v>0.35</v>
      </c>
      <c r="AA126" s="8">
        <v>9.5</v>
      </c>
      <c r="AB126" s="8">
        <v>35045</v>
      </c>
      <c r="AC126" s="22" t="s">
        <v>3436</v>
      </c>
      <c r="AD126" s="8" t="s">
        <v>3718</v>
      </c>
      <c r="AE126" s="8" t="s">
        <v>4083</v>
      </c>
      <c r="AF126" s="9">
        <f t="shared" si="8"/>
        <v>16.91</v>
      </c>
      <c r="AG126" s="9">
        <f t="shared" si="9"/>
        <v>5.541666666666667</v>
      </c>
      <c r="AH126" s="9">
        <f t="shared" si="10"/>
        <v>8.1364874355504505E-2</v>
      </c>
      <c r="AI126" s="9">
        <f t="shared" si="11"/>
        <v>6.6202427788870349E-3</v>
      </c>
      <c r="AJ126" s="9">
        <f t="shared" si="12"/>
        <v>5.0521988343492773E-2</v>
      </c>
      <c r="AK126" s="9">
        <f t="shared" si="13"/>
        <v>2.5524713061800194E-3</v>
      </c>
      <c r="AL126" s="9">
        <f t="shared" si="14"/>
        <v>2.3833529370384403E-2</v>
      </c>
      <c r="AM126" s="9">
        <f t="shared" si="15"/>
        <v>5.6803712224897599E-4</v>
      </c>
      <c r="AN126" s="9" t="s">
        <v>3436</v>
      </c>
    </row>
    <row r="127" spans="13:40" ht="23">
      <c r="M127" s="8" t="s">
        <v>4956</v>
      </c>
      <c r="N127" s="8" t="s">
        <v>2017</v>
      </c>
      <c r="O127" s="8"/>
      <c r="P127" s="8"/>
      <c r="Q127" s="8"/>
      <c r="R127" s="8"/>
      <c r="S127" s="8"/>
      <c r="T127" s="8"/>
      <c r="U127" s="8"/>
      <c r="V127" s="8"/>
      <c r="W127" s="8" t="s">
        <v>4956</v>
      </c>
      <c r="X127" s="8">
        <v>21.73</v>
      </c>
      <c r="Y127" s="8">
        <v>1.82</v>
      </c>
      <c r="Z127" s="9">
        <v>1.42</v>
      </c>
      <c r="AA127" s="8">
        <v>9.3000000000000007</v>
      </c>
      <c r="AB127" s="8">
        <v>22267</v>
      </c>
      <c r="AC127" s="21" t="s">
        <v>4956</v>
      </c>
      <c r="AD127" s="8" t="s">
        <v>3718</v>
      </c>
      <c r="AE127" s="8" t="s">
        <v>4083</v>
      </c>
      <c r="AF127" s="9">
        <f t="shared" si="8"/>
        <v>16.926000000000002</v>
      </c>
      <c r="AG127" s="9">
        <f t="shared" si="9"/>
        <v>15.81</v>
      </c>
      <c r="AH127" s="9">
        <f t="shared" si="10"/>
        <v>7.9651929632230722E-2</v>
      </c>
      <c r="AI127" s="9">
        <f t="shared" si="11"/>
        <v>6.3444298941378345E-3</v>
      </c>
      <c r="AJ127" s="9">
        <f t="shared" si="12"/>
        <v>5.0569791525840256E-2</v>
      </c>
      <c r="AK127" s="9">
        <f t="shared" si="13"/>
        <v>2.557303814966945E-3</v>
      </c>
      <c r="AL127" s="9">
        <f t="shared" si="14"/>
        <v>6.7995446498486142E-2</v>
      </c>
      <c r="AM127" s="9">
        <f t="shared" si="15"/>
        <v>4.6233807445284917E-3</v>
      </c>
      <c r="AN127" s="8" t="s">
        <v>4956</v>
      </c>
    </row>
    <row r="128" spans="13:40" ht="23">
      <c r="M128" s="8" t="s">
        <v>540</v>
      </c>
      <c r="N128" s="8" t="s">
        <v>150</v>
      </c>
      <c r="O128" s="8"/>
      <c r="P128" s="8"/>
      <c r="Q128" s="8"/>
      <c r="R128" s="8"/>
      <c r="S128" s="8"/>
      <c r="T128" s="8"/>
      <c r="U128" s="8"/>
      <c r="V128" s="8"/>
      <c r="W128" s="8" t="s">
        <v>540</v>
      </c>
      <c r="X128" s="8">
        <v>18.61</v>
      </c>
      <c r="Y128" s="8">
        <v>2.13</v>
      </c>
      <c r="Z128" s="9">
        <v>0.53</v>
      </c>
      <c r="AA128" s="8">
        <v>9.3000000000000007</v>
      </c>
      <c r="AB128" s="8">
        <v>24180</v>
      </c>
      <c r="AC128" s="21" t="s">
        <v>540</v>
      </c>
      <c r="AD128" s="8" t="s">
        <v>3718</v>
      </c>
      <c r="AE128" s="8" t="s">
        <v>4083</v>
      </c>
      <c r="AF128" s="9">
        <f t="shared" si="8"/>
        <v>19.809000000000001</v>
      </c>
      <c r="AG128" s="9">
        <f t="shared" si="9"/>
        <v>8.2149999999999999</v>
      </c>
      <c r="AH128" s="9">
        <f t="shared" si="10"/>
        <v>7.9651929632230722E-2</v>
      </c>
      <c r="AI128" s="9">
        <f t="shared" si="11"/>
        <v>6.3444298941378345E-3</v>
      </c>
      <c r="AJ128" s="9">
        <f t="shared" si="12"/>
        <v>5.9183327445076782E-2</v>
      </c>
      <c r="AK128" s="9">
        <f t="shared" si="13"/>
        <v>3.5026662474711787E-3</v>
      </c>
      <c r="AL128" s="9">
        <f t="shared" si="14"/>
        <v>3.5330967298232999E-2</v>
      </c>
      <c r="AM128" s="9">
        <f t="shared" si="15"/>
        <v>1.2482772502288096E-3</v>
      </c>
      <c r="AN128" s="8" t="s">
        <v>540</v>
      </c>
    </row>
    <row r="129" spans="13:40" ht="23">
      <c r="M129" s="9" t="s">
        <v>2395</v>
      </c>
      <c r="N129" s="8" t="s">
        <v>150</v>
      </c>
      <c r="O129" s="8"/>
      <c r="P129" s="8"/>
      <c r="Q129" s="8"/>
      <c r="R129" s="8"/>
      <c r="S129" s="8"/>
      <c r="T129" s="8"/>
      <c r="U129" s="8"/>
      <c r="V129" s="8"/>
      <c r="W129" s="9" t="s">
        <v>2395</v>
      </c>
      <c r="X129" s="8">
        <v>28.48</v>
      </c>
      <c r="Y129" s="8">
        <v>4.16</v>
      </c>
      <c r="Z129" s="9">
        <v>2.48</v>
      </c>
      <c r="AA129" s="8">
        <v>9.1999999999999993</v>
      </c>
      <c r="AB129" s="8">
        <v>10489</v>
      </c>
      <c r="AC129" s="22" t="s">
        <v>2395</v>
      </c>
      <c r="AD129" s="8" t="s">
        <v>4176</v>
      </c>
      <c r="AE129" s="8" t="s">
        <v>4083</v>
      </c>
      <c r="AF129" s="9">
        <f t="shared" si="8"/>
        <v>38.271999999999998</v>
      </c>
      <c r="AG129" s="9">
        <f t="shared" si="9"/>
        <v>25.759999999999998</v>
      </c>
      <c r="AH129" s="9">
        <f t="shared" si="10"/>
        <v>7.8795457270593824E-2</v>
      </c>
      <c r="AI129" s="9">
        <f t="shared" si="11"/>
        <v>6.2087240864819775E-3</v>
      </c>
      <c r="AJ129" s="9">
        <f t="shared" si="12"/>
        <v>0.1143452121751718</v>
      </c>
      <c r="AK129" s="9">
        <f t="shared" si="13"/>
        <v>1.3074827547385056E-2</v>
      </c>
      <c r="AL129" s="9">
        <f t="shared" si="14"/>
        <v>0.11078827968380789</v>
      </c>
      <c r="AM129" s="9">
        <f t="shared" si="15"/>
        <v>1.227404291529764E-2</v>
      </c>
      <c r="AN129" s="9" t="s">
        <v>2395</v>
      </c>
    </row>
    <row r="130" spans="13:40" ht="23">
      <c r="M130" s="9" t="s">
        <v>3157</v>
      </c>
      <c r="N130" s="8" t="s">
        <v>1869</v>
      </c>
      <c r="O130" s="8"/>
      <c r="P130" s="8"/>
      <c r="Q130" s="8"/>
      <c r="R130" s="8"/>
      <c r="S130" s="8"/>
      <c r="T130" s="8"/>
      <c r="U130" s="8"/>
      <c r="V130" s="8"/>
      <c r="W130" s="9" t="s">
        <v>3157</v>
      </c>
      <c r="X130" s="8">
        <v>14.06</v>
      </c>
      <c r="Y130" s="8">
        <v>7.45</v>
      </c>
      <c r="Z130" s="9">
        <v>3.23</v>
      </c>
      <c r="AA130" s="8">
        <v>9</v>
      </c>
      <c r="AB130" s="8">
        <v>20511</v>
      </c>
      <c r="AC130" s="22" t="s">
        <v>3157</v>
      </c>
      <c r="AD130" s="8" t="s">
        <v>4371</v>
      </c>
      <c r="AE130" s="8" t="s">
        <v>4083</v>
      </c>
      <c r="AF130" s="9">
        <f t="shared" ref="AF130:AF193" si="16">(AA130*Y130)</f>
        <v>67.05</v>
      </c>
      <c r="AG130" s="9">
        <f t="shared" ref="AG130:AG193" si="17">((((RIGHT(Z130,2))/60)+(LEFT(Z130,2)))*AA130)</f>
        <v>30.45</v>
      </c>
      <c r="AH130" s="9">
        <f t="shared" ref="AH130:AH193" si="18">(AA130/$AA$230)*100</f>
        <v>7.7082512547320056E-2</v>
      </c>
      <c r="AI130" s="9">
        <f t="shared" ref="AI130:AI193" si="19">(AH130*AH130)</f>
        <v>5.9417137406077543E-3</v>
      </c>
      <c r="AJ130" s="9">
        <f t="shared" ref="AJ130:AJ193" si="20">(AF130/$AF$230)*100</f>
        <v>0.20032521102490772</v>
      </c>
      <c r="AK130" s="9">
        <f t="shared" ref="AK130:AK193" si="21">(AJ130*AJ130)</f>
        <v>4.0130190172173806E-2</v>
      </c>
      <c r="AL130" s="9">
        <f t="shared" ref="AL130:AL193" si="22">(AG130/$AG$230)*100</f>
        <v>0.13095897190884903</v>
      </c>
      <c r="AM130" s="9">
        <f t="shared" ref="AM130:AM193" si="23">(AL130*AL130)</f>
        <v>1.715025232342271E-2</v>
      </c>
      <c r="AN130" s="9" t="s">
        <v>3157</v>
      </c>
    </row>
    <row r="131" spans="13:40" ht="23">
      <c r="M131" s="9" t="s">
        <v>2248</v>
      </c>
      <c r="N131" s="8" t="s">
        <v>150</v>
      </c>
      <c r="O131" s="8"/>
      <c r="P131" s="8"/>
      <c r="Q131" s="8"/>
      <c r="R131" s="8"/>
      <c r="S131" s="8"/>
      <c r="T131" s="8"/>
      <c r="U131" s="8"/>
      <c r="V131" s="8"/>
      <c r="W131" s="9" t="s">
        <v>2248</v>
      </c>
      <c r="X131" s="8">
        <v>9.39</v>
      </c>
      <c r="Y131" s="8">
        <v>3.95</v>
      </c>
      <c r="Z131" s="9">
        <v>12.16</v>
      </c>
      <c r="AA131" s="8">
        <v>8.5</v>
      </c>
      <c r="AB131" s="8">
        <v>23961</v>
      </c>
      <c r="AC131" s="22" t="s">
        <v>2248</v>
      </c>
      <c r="AD131" s="8" t="s">
        <v>3718</v>
      </c>
      <c r="AE131" s="8" t="s">
        <v>4083</v>
      </c>
      <c r="AF131" s="9">
        <f t="shared" si="16"/>
        <v>33.575000000000003</v>
      </c>
      <c r="AG131" s="9">
        <f t="shared" si="17"/>
        <v>104.26666666666668</v>
      </c>
      <c r="AH131" s="9">
        <f t="shared" si="18"/>
        <v>7.2800150739135608E-2</v>
      </c>
      <c r="AI131" s="9">
        <f t="shared" si="19"/>
        <v>5.2998619476408671E-3</v>
      </c>
      <c r="AJ131" s="9">
        <f t="shared" si="20"/>
        <v>0.10031199045728978</v>
      </c>
      <c r="AK131" s="9">
        <f t="shared" si="21"/>
        <v>1.0062495429503396E-2</v>
      </c>
      <c r="AL131" s="9">
        <f t="shared" si="22"/>
        <v>0.44842875110112734</v>
      </c>
      <c r="AM131" s="9">
        <f t="shared" si="23"/>
        <v>0.2010883448141168</v>
      </c>
      <c r="AN131" s="9" t="s">
        <v>2248</v>
      </c>
    </row>
    <row r="132" spans="13:40" ht="23">
      <c r="M132" s="9" t="s">
        <v>2965</v>
      </c>
      <c r="N132" s="8" t="s">
        <v>1717</v>
      </c>
      <c r="O132" s="8"/>
      <c r="P132" s="8"/>
      <c r="Q132" s="8"/>
      <c r="R132" s="8"/>
      <c r="S132" s="8"/>
      <c r="T132" s="8"/>
      <c r="U132" s="8"/>
      <c r="V132" s="8"/>
      <c r="W132" s="9" t="s">
        <v>2965</v>
      </c>
      <c r="X132" s="8">
        <v>15.35</v>
      </c>
      <c r="Y132" s="8">
        <v>4.82</v>
      </c>
      <c r="Z132" s="9">
        <v>7.32</v>
      </c>
      <c r="AA132" s="8">
        <v>8.4</v>
      </c>
      <c r="AB132" s="8">
        <v>10161</v>
      </c>
      <c r="AC132" s="22" t="s">
        <v>2965</v>
      </c>
      <c r="AD132" s="8" t="s">
        <v>4176</v>
      </c>
      <c r="AE132" s="8" t="s">
        <v>4083</v>
      </c>
      <c r="AF132" s="9">
        <f t="shared" si="16"/>
        <v>40.488000000000007</v>
      </c>
      <c r="AG132" s="9">
        <f t="shared" si="17"/>
        <v>63.28</v>
      </c>
      <c r="AH132" s="9">
        <f t="shared" si="18"/>
        <v>7.1943678377498724E-2</v>
      </c>
      <c r="AI132" s="9">
        <f t="shared" si="19"/>
        <v>5.1758928584849772E-3</v>
      </c>
      <c r="AJ132" s="9">
        <f t="shared" si="20"/>
        <v>0.12096595293029778</v>
      </c>
      <c r="AK132" s="9">
        <f t="shared" si="21"/>
        <v>1.463276176833502E-2</v>
      </c>
      <c r="AL132" s="9">
        <f t="shared" si="22"/>
        <v>0.27215381748413681</v>
      </c>
      <c r="AM132" s="9">
        <f t="shared" si="23"/>
        <v>7.4067700371188844E-2</v>
      </c>
      <c r="AN132" s="9" t="s">
        <v>2965</v>
      </c>
    </row>
    <row r="133" spans="13:40" ht="23">
      <c r="M133" s="9" t="s">
        <v>3360</v>
      </c>
      <c r="N133" s="8" t="s">
        <v>1964</v>
      </c>
      <c r="O133" s="8"/>
      <c r="P133" s="8"/>
      <c r="Q133" s="8"/>
      <c r="R133" s="8"/>
      <c r="S133" s="8"/>
      <c r="T133" s="8"/>
      <c r="U133" s="8"/>
      <c r="V133" s="8"/>
      <c r="W133" s="9" t="s">
        <v>3360</v>
      </c>
      <c r="X133" s="8">
        <v>32.590000000000003</v>
      </c>
      <c r="Y133" s="8">
        <v>1.95</v>
      </c>
      <c r="Z133" s="9">
        <v>0.48</v>
      </c>
      <c r="AA133" s="8">
        <v>8.4</v>
      </c>
      <c r="AB133" s="8">
        <v>33013</v>
      </c>
      <c r="AC133" s="22" t="s">
        <v>3360</v>
      </c>
      <c r="AD133" s="8" t="s">
        <v>3718</v>
      </c>
      <c r="AE133" s="8" t="s">
        <v>4083</v>
      </c>
      <c r="AF133" s="9">
        <f t="shared" si="16"/>
        <v>16.38</v>
      </c>
      <c r="AG133" s="9">
        <f t="shared" si="17"/>
        <v>6.7200000000000006</v>
      </c>
      <c r="AH133" s="9">
        <f t="shared" si="18"/>
        <v>7.1943678377498724E-2</v>
      </c>
      <c r="AI133" s="9">
        <f t="shared" si="19"/>
        <v>5.1758928584849772E-3</v>
      </c>
      <c r="AJ133" s="9">
        <f t="shared" si="20"/>
        <v>4.8938507928232504E-2</v>
      </c>
      <c r="AK133" s="9">
        <f t="shared" si="21"/>
        <v>2.3949775582416755E-3</v>
      </c>
      <c r="AL133" s="9">
        <f t="shared" si="22"/>
        <v>2.8901290352297718E-2</v>
      </c>
      <c r="AM133" s="9">
        <f t="shared" si="23"/>
        <v>8.3528458402781715E-4</v>
      </c>
      <c r="AN133" s="9" t="s">
        <v>3360</v>
      </c>
    </row>
    <row r="134" spans="13:40" ht="23">
      <c r="M134" s="9" t="s">
        <v>2388</v>
      </c>
      <c r="N134" s="8" t="s">
        <v>150</v>
      </c>
      <c r="O134" s="8"/>
      <c r="P134" s="8"/>
      <c r="Q134" s="8"/>
      <c r="R134" s="8"/>
      <c r="S134" s="8"/>
      <c r="T134" s="8"/>
      <c r="U134" s="8"/>
      <c r="V134" s="8"/>
      <c r="W134" s="9" t="s">
        <v>2388</v>
      </c>
      <c r="X134" s="8">
        <v>24.62</v>
      </c>
      <c r="Y134" s="8">
        <v>5.55</v>
      </c>
      <c r="Z134" s="9">
        <v>4.49</v>
      </c>
      <c r="AA134" s="8">
        <v>8.3000000000000007</v>
      </c>
      <c r="AB134" s="8">
        <v>9967</v>
      </c>
      <c r="AC134" s="22" t="s">
        <v>2388</v>
      </c>
      <c r="AD134" s="8" t="s">
        <v>3718</v>
      </c>
      <c r="AE134" s="8" t="s">
        <v>4083</v>
      </c>
      <c r="AF134" s="9">
        <f t="shared" si="16"/>
        <v>46.065000000000005</v>
      </c>
      <c r="AG134" s="9">
        <f t="shared" si="17"/>
        <v>39.978333333333332</v>
      </c>
      <c r="AH134" s="9">
        <f t="shared" si="18"/>
        <v>7.1087206015861826E-2</v>
      </c>
      <c r="AI134" s="9">
        <f t="shared" si="19"/>
        <v>5.0533908591415821E-3</v>
      </c>
      <c r="AJ134" s="9">
        <f t="shared" si="20"/>
        <v>0.13762834967729123</v>
      </c>
      <c r="AK134" s="9">
        <f t="shared" si="21"/>
        <v>1.894156263489475E-2</v>
      </c>
      <c r="AL134" s="9">
        <f t="shared" si="22"/>
        <v>0.17193830646839417</v>
      </c>
      <c r="AM134" s="9">
        <f t="shared" si="23"/>
        <v>2.9562781231219436E-2</v>
      </c>
      <c r="AN134" s="9" t="s">
        <v>2388</v>
      </c>
    </row>
    <row r="135" spans="13:40" ht="23">
      <c r="M135" s="24" t="s">
        <v>5153</v>
      </c>
      <c r="N135" s="8" t="s">
        <v>150</v>
      </c>
      <c r="O135" s="24"/>
      <c r="P135" s="24" t="s">
        <v>3692</v>
      </c>
      <c r="Q135" s="24"/>
      <c r="R135" s="24"/>
      <c r="S135" s="24"/>
      <c r="T135" s="24"/>
      <c r="U135" s="24"/>
      <c r="V135" s="24"/>
      <c r="W135" s="24" t="s">
        <v>5153</v>
      </c>
      <c r="X135" s="24">
        <v>60.79</v>
      </c>
      <c r="Y135" s="24">
        <v>3.46</v>
      </c>
      <c r="Z135" s="25">
        <v>3.47</v>
      </c>
      <c r="AA135" s="24">
        <v>8.3000000000000007</v>
      </c>
      <c r="AB135" s="24">
        <v>12220</v>
      </c>
      <c r="AC135" s="21" t="s">
        <v>5153</v>
      </c>
      <c r="AD135" s="8" t="s">
        <v>4176</v>
      </c>
      <c r="AE135" s="8" t="s">
        <v>4083</v>
      </c>
      <c r="AF135" s="25">
        <f t="shared" si="16"/>
        <v>28.718000000000004</v>
      </c>
      <c r="AG135" s="25">
        <f t="shared" si="17"/>
        <v>31.401666666666667</v>
      </c>
      <c r="AH135" s="25">
        <f t="shared" si="18"/>
        <v>7.1087206015861826E-2</v>
      </c>
      <c r="AI135" s="25">
        <f t="shared" si="19"/>
        <v>5.0533908591415821E-3</v>
      </c>
      <c r="AJ135" s="25">
        <f t="shared" si="20"/>
        <v>8.5800736915932915E-2</v>
      </c>
      <c r="AK135" s="25">
        <f t="shared" si="21"/>
        <v>7.3617664553171334E-3</v>
      </c>
      <c r="AL135" s="25">
        <f t="shared" si="22"/>
        <v>0.13505188777967295</v>
      </c>
      <c r="AM135" s="25">
        <f t="shared" si="23"/>
        <v>1.8239012392853374E-2</v>
      </c>
      <c r="AN135" s="24" t="s">
        <v>5153</v>
      </c>
    </row>
    <row r="136" spans="13:40" ht="23">
      <c r="M136" s="8" t="s">
        <v>677</v>
      </c>
      <c r="N136" s="8" t="s">
        <v>150</v>
      </c>
      <c r="O136" s="8"/>
      <c r="P136" s="8"/>
      <c r="Q136" s="8"/>
      <c r="R136" s="8"/>
      <c r="S136" s="8"/>
      <c r="T136" s="8"/>
      <c r="U136" s="8"/>
      <c r="V136" s="8"/>
      <c r="W136" s="8" t="s">
        <v>677</v>
      </c>
      <c r="X136" s="8">
        <v>24.96</v>
      </c>
      <c r="Y136" s="8">
        <v>6.05</v>
      </c>
      <c r="Z136" s="9">
        <v>5.2</v>
      </c>
      <c r="AA136" s="8">
        <v>8.1</v>
      </c>
      <c r="AB136" s="8">
        <v>9538</v>
      </c>
      <c r="AC136" s="21" t="s">
        <v>677</v>
      </c>
      <c r="AD136" s="8" t="s">
        <v>3718</v>
      </c>
      <c r="AE136" s="8" t="s">
        <v>4083</v>
      </c>
      <c r="AF136" s="9">
        <f t="shared" si="16"/>
        <v>49.004999999999995</v>
      </c>
      <c r="AG136" s="9">
        <f t="shared" si="17"/>
        <v>40.526999999999994</v>
      </c>
      <c r="AH136" s="9">
        <f t="shared" si="18"/>
        <v>6.9374261292588044E-2</v>
      </c>
      <c r="AI136" s="9">
        <f t="shared" si="19"/>
        <v>4.8127881298922794E-3</v>
      </c>
      <c r="AJ136" s="9">
        <f t="shared" si="20"/>
        <v>0.14641218443364062</v>
      </c>
      <c r="AK136" s="9">
        <f t="shared" si="21"/>
        <v>2.1436527750630398E-2</v>
      </c>
      <c r="AL136" s="9">
        <f t="shared" si="22"/>
        <v>0.17429800507553114</v>
      </c>
      <c r="AM136" s="9">
        <f t="shared" si="23"/>
        <v>3.037979457330988E-2</v>
      </c>
      <c r="AN136" s="8" t="s">
        <v>677</v>
      </c>
    </row>
    <row r="137" spans="13:40" ht="23">
      <c r="M137" s="8" t="s">
        <v>1604</v>
      </c>
      <c r="N137" s="8" t="s">
        <v>150</v>
      </c>
      <c r="O137" s="8"/>
      <c r="P137" s="8"/>
      <c r="Q137" s="8"/>
      <c r="R137" s="8"/>
      <c r="S137" s="8"/>
      <c r="T137" s="8"/>
      <c r="U137" s="8"/>
      <c r="V137" s="8"/>
      <c r="W137" s="8" t="s">
        <v>1604</v>
      </c>
      <c r="X137" s="8">
        <v>30.16</v>
      </c>
      <c r="Y137" s="8">
        <v>1.7</v>
      </c>
      <c r="Z137" s="9">
        <v>1.1499999999999999</v>
      </c>
      <c r="AA137" s="8">
        <v>7.9</v>
      </c>
      <c r="AB137" s="8">
        <v>24075</v>
      </c>
      <c r="AC137" s="21" t="s">
        <v>1604</v>
      </c>
      <c r="AD137" s="8" t="s">
        <v>3718</v>
      </c>
      <c r="AE137" s="8" t="s">
        <v>4083</v>
      </c>
      <c r="AF137" s="9">
        <f t="shared" si="16"/>
        <v>13.43</v>
      </c>
      <c r="AG137" s="9">
        <f t="shared" si="17"/>
        <v>9.875</v>
      </c>
      <c r="AH137" s="9">
        <f t="shared" si="18"/>
        <v>6.7661316569314275E-2</v>
      </c>
      <c r="AI137" s="9">
        <f t="shared" si="19"/>
        <v>4.5780537598929623E-3</v>
      </c>
      <c r="AJ137" s="9">
        <f t="shared" si="20"/>
        <v>4.0124796182915902E-2</v>
      </c>
      <c r="AK137" s="9">
        <f t="shared" si="21"/>
        <v>1.6099992687205425E-3</v>
      </c>
      <c r="AL137" s="9">
        <f t="shared" si="22"/>
        <v>4.2470274141211302E-2</v>
      </c>
      <c r="AM137" s="9">
        <f t="shared" si="23"/>
        <v>1.8037241856296415E-3</v>
      </c>
      <c r="AN137" s="8" t="s">
        <v>1604</v>
      </c>
    </row>
    <row r="138" spans="13:40" ht="23">
      <c r="M138" s="8" t="s">
        <v>158</v>
      </c>
      <c r="N138" s="8" t="s">
        <v>150</v>
      </c>
      <c r="O138" s="8"/>
      <c r="P138" s="8"/>
      <c r="Q138" s="8"/>
      <c r="R138" s="8"/>
      <c r="S138" s="8"/>
      <c r="T138" s="8"/>
      <c r="U138" s="8"/>
      <c r="V138" s="8"/>
      <c r="W138" s="8" t="s">
        <v>158</v>
      </c>
      <c r="X138" s="8">
        <v>29.21</v>
      </c>
      <c r="Y138" s="8">
        <v>2.81</v>
      </c>
      <c r="Z138" s="9">
        <v>2.08</v>
      </c>
      <c r="AA138" s="8">
        <v>7.7</v>
      </c>
      <c r="AB138" s="8">
        <v>20325</v>
      </c>
      <c r="AC138" s="21" t="s">
        <v>158</v>
      </c>
      <c r="AD138" s="8" t="s">
        <v>3718</v>
      </c>
      <c r="AE138" s="8" t="s">
        <v>4083</v>
      </c>
      <c r="AF138" s="9">
        <f t="shared" si="16"/>
        <v>21.637</v>
      </c>
      <c r="AG138" s="9">
        <f t="shared" si="17"/>
        <v>16.426666666666666</v>
      </c>
      <c r="AH138" s="9">
        <f t="shared" si="18"/>
        <v>6.5948371846040493E-2</v>
      </c>
      <c r="AI138" s="9">
        <f t="shared" si="19"/>
        <v>4.3491877491436265E-3</v>
      </c>
      <c r="AJ138" s="9">
        <f t="shared" si="20"/>
        <v>6.4644841028276348E-2</v>
      </c>
      <c r="AK138" s="9">
        <f t="shared" si="21"/>
        <v>4.1789554715711214E-3</v>
      </c>
      <c r="AL138" s="9">
        <f t="shared" si="22"/>
        <v>7.0647598638949968E-2</v>
      </c>
      <c r="AM138" s="9">
        <f t="shared" si="23"/>
        <v>4.9910831934501651E-3</v>
      </c>
      <c r="AN138" s="8" t="s">
        <v>158</v>
      </c>
    </row>
    <row r="139" spans="13:40" ht="23">
      <c r="M139" s="9" t="s">
        <v>5015</v>
      </c>
      <c r="N139" s="8" t="s">
        <v>150</v>
      </c>
      <c r="O139" s="8"/>
      <c r="P139" s="8"/>
      <c r="Q139" s="8"/>
      <c r="R139" s="8"/>
      <c r="S139" s="8"/>
      <c r="T139" s="8"/>
      <c r="U139" s="8"/>
      <c r="V139" s="8"/>
      <c r="W139" s="9" t="s">
        <v>5015</v>
      </c>
      <c r="X139" s="8">
        <v>16.45</v>
      </c>
      <c r="Y139" s="8">
        <v>3.63</v>
      </c>
      <c r="Z139" s="9">
        <v>3.37</v>
      </c>
      <c r="AA139" s="8">
        <v>7.5</v>
      </c>
      <c r="AB139" s="8">
        <v>14327</v>
      </c>
      <c r="AC139" s="22" t="s">
        <v>5015</v>
      </c>
      <c r="AD139" s="8" t="s">
        <v>3718</v>
      </c>
      <c r="AE139" s="8" t="s">
        <v>4083</v>
      </c>
      <c r="AF139" s="9">
        <f t="shared" si="16"/>
        <v>27.224999999999998</v>
      </c>
      <c r="AG139" s="9">
        <f t="shared" si="17"/>
        <v>27.125</v>
      </c>
      <c r="AH139" s="9">
        <f t="shared" si="18"/>
        <v>6.4235427122766711E-2</v>
      </c>
      <c r="AI139" s="9">
        <f t="shared" si="19"/>
        <v>4.1261900976442729E-3</v>
      </c>
      <c r="AJ139" s="9">
        <f t="shared" si="20"/>
        <v>8.1340102463133682E-2</v>
      </c>
      <c r="AK139" s="9">
        <f t="shared" si="21"/>
        <v>6.6162122687130863E-3</v>
      </c>
      <c r="AL139" s="9">
        <f t="shared" si="22"/>
        <v>0.11665885428661837</v>
      </c>
      <c r="AM139" s="9">
        <f t="shared" si="23"/>
        <v>1.3609288283466458E-2</v>
      </c>
      <c r="AN139" s="9" t="s">
        <v>5015</v>
      </c>
    </row>
    <row r="140" spans="13:40" ht="23">
      <c r="M140" s="9" t="s">
        <v>2172</v>
      </c>
      <c r="N140" s="8" t="s">
        <v>150</v>
      </c>
      <c r="O140" s="8"/>
      <c r="P140" s="8"/>
      <c r="Q140" s="8"/>
      <c r="R140" s="8"/>
      <c r="S140" s="8"/>
      <c r="T140" s="8"/>
      <c r="U140" s="8"/>
      <c r="V140" s="8"/>
      <c r="W140" s="9" t="s">
        <v>2172</v>
      </c>
      <c r="X140" s="8">
        <v>16.25</v>
      </c>
      <c r="Y140" s="8">
        <v>1.79</v>
      </c>
      <c r="Z140" s="9">
        <v>1.1399999999999999</v>
      </c>
      <c r="AA140" s="8">
        <v>7.4</v>
      </c>
      <c r="AB140" s="8">
        <v>31015</v>
      </c>
      <c r="AC140" s="22" t="s">
        <v>2172</v>
      </c>
      <c r="AD140" s="8" t="s">
        <v>4376</v>
      </c>
      <c r="AE140" s="8" t="s">
        <v>4083</v>
      </c>
      <c r="AF140" s="9">
        <f t="shared" si="16"/>
        <v>13.246</v>
      </c>
      <c r="AG140" s="9">
        <f t="shared" si="17"/>
        <v>9.1266666666666669</v>
      </c>
      <c r="AH140" s="9">
        <f t="shared" si="18"/>
        <v>6.3378954761129827E-2</v>
      </c>
      <c r="AI140" s="9">
        <f t="shared" si="19"/>
        <v>4.0168919066133416E-3</v>
      </c>
      <c r="AJ140" s="9">
        <f t="shared" si="20"/>
        <v>3.9575059585919885E-2</v>
      </c>
      <c r="AK140" s="9">
        <f t="shared" si="21"/>
        <v>1.5661853412291093E-3</v>
      </c>
      <c r="AL140" s="9">
        <f t="shared" si="22"/>
        <v>3.9251851678864656E-2</v>
      </c>
      <c r="AM140" s="9">
        <f t="shared" si="23"/>
        <v>1.5407078602195901E-3</v>
      </c>
      <c r="AN140" s="9" t="s">
        <v>2172</v>
      </c>
    </row>
    <row r="141" spans="13:40" ht="23">
      <c r="M141" s="9" t="s">
        <v>2571</v>
      </c>
      <c r="N141" s="8" t="s">
        <v>150</v>
      </c>
      <c r="O141" s="8"/>
      <c r="P141" s="8"/>
      <c r="Q141" s="8"/>
      <c r="R141" s="8"/>
      <c r="S141" s="8"/>
      <c r="T141" s="8"/>
      <c r="U141" s="8"/>
      <c r="V141" s="8"/>
      <c r="W141" s="9" t="s">
        <v>2571</v>
      </c>
      <c r="X141" s="8">
        <v>42.73</v>
      </c>
      <c r="Y141" s="8">
        <v>2.1</v>
      </c>
      <c r="Z141" s="9">
        <v>1.08</v>
      </c>
      <c r="AA141" s="8">
        <v>7.2</v>
      </c>
      <c r="AB141" s="8">
        <v>20483</v>
      </c>
      <c r="AC141" s="22" t="s">
        <v>2571</v>
      </c>
      <c r="AD141" s="8" t="s">
        <v>3718</v>
      </c>
      <c r="AE141" s="8" t="s">
        <v>4083</v>
      </c>
      <c r="AF141" s="9">
        <f t="shared" si="16"/>
        <v>15.120000000000001</v>
      </c>
      <c r="AG141" s="9">
        <f t="shared" si="17"/>
        <v>8.16</v>
      </c>
      <c r="AH141" s="9">
        <f t="shared" si="18"/>
        <v>6.1666010037856052E-2</v>
      </c>
      <c r="AI141" s="9">
        <f t="shared" si="19"/>
        <v>3.8026967939889635E-3</v>
      </c>
      <c r="AJ141" s="9">
        <f t="shared" si="20"/>
        <v>4.5174007318368466E-2</v>
      </c>
      <c r="AK141" s="9">
        <f t="shared" si="21"/>
        <v>2.0406909372000077E-3</v>
      </c>
      <c r="AL141" s="9">
        <f t="shared" si="22"/>
        <v>3.5094423999218659E-2</v>
      </c>
      <c r="AM141" s="9">
        <f t="shared" si="23"/>
        <v>1.2316185958369346E-3</v>
      </c>
      <c r="AN141" s="9" t="s">
        <v>2571</v>
      </c>
    </row>
    <row r="142" spans="13:40" ht="23">
      <c r="M142" s="9" t="s">
        <v>3269</v>
      </c>
      <c r="N142" s="8" t="s">
        <v>1902</v>
      </c>
      <c r="O142" s="8"/>
      <c r="P142" s="8"/>
      <c r="Q142" s="8"/>
      <c r="R142" s="8"/>
      <c r="S142" s="8"/>
      <c r="T142" s="8"/>
      <c r="U142" s="8"/>
      <c r="V142" s="8"/>
      <c r="W142" s="9" t="s">
        <v>3269</v>
      </c>
      <c r="X142" s="8">
        <v>22.48</v>
      </c>
      <c r="Y142" s="8">
        <v>15.55</v>
      </c>
      <c r="Z142" s="9">
        <v>33.119999999999997</v>
      </c>
      <c r="AA142" s="8">
        <v>7.1</v>
      </c>
      <c r="AB142" s="8">
        <v>7862</v>
      </c>
      <c r="AC142" s="22" t="s">
        <v>3269</v>
      </c>
      <c r="AD142" s="8" t="s">
        <v>3718</v>
      </c>
      <c r="AE142" s="8" t="s">
        <v>4083</v>
      </c>
      <c r="AF142" s="9">
        <f t="shared" si="16"/>
        <v>110.405</v>
      </c>
      <c r="AG142" s="9">
        <f t="shared" si="17"/>
        <v>235.72</v>
      </c>
      <c r="AH142" s="9">
        <f t="shared" si="18"/>
        <v>6.0809537676219154E-2</v>
      </c>
      <c r="AI142" s="9">
        <f t="shared" si="19"/>
        <v>3.6977998723955168E-3</v>
      </c>
      <c r="AJ142" s="9">
        <f t="shared" si="20"/>
        <v>0.32985689669209456</v>
      </c>
      <c r="AK142" s="9">
        <f t="shared" si="21"/>
        <v>0.10880557229533915</v>
      </c>
      <c r="AL142" s="9">
        <f t="shared" si="22"/>
        <v>1.0137815717029193</v>
      </c>
      <c r="AM142" s="9">
        <f t="shared" si="23"/>
        <v>1.0277530751244413</v>
      </c>
      <c r="AN142" s="9" t="s">
        <v>3269</v>
      </c>
    </row>
    <row r="143" spans="13:40" ht="23">
      <c r="M143" s="9" t="s">
        <v>2358</v>
      </c>
      <c r="N143" s="8" t="s">
        <v>150</v>
      </c>
      <c r="O143" s="8"/>
      <c r="P143" s="8"/>
      <c r="Q143" s="8"/>
      <c r="R143" s="8"/>
      <c r="S143" s="8"/>
      <c r="T143" s="8"/>
      <c r="U143" s="8"/>
      <c r="V143" s="8"/>
      <c r="W143" s="9" t="s">
        <v>2358</v>
      </c>
      <c r="X143" s="8">
        <v>43.31</v>
      </c>
      <c r="Y143" s="8">
        <v>2</v>
      </c>
      <c r="Z143" s="9">
        <v>1.1499999999999999</v>
      </c>
      <c r="AA143" s="8">
        <v>6.9</v>
      </c>
      <c r="AB143" s="8">
        <v>25156</v>
      </c>
      <c r="AC143" s="22" t="s">
        <v>2358</v>
      </c>
      <c r="AD143" s="8" t="s">
        <v>3718</v>
      </c>
      <c r="AE143" s="8" t="s">
        <v>4083</v>
      </c>
      <c r="AF143" s="9">
        <f t="shared" si="16"/>
        <v>13.8</v>
      </c>
      <c r="AG143" s="9">
        <f t="shared" si="17"/>
        <v>8.625</v>
      </c>
      <c r="AH143" s="9">
        <f t="shared" si="18"/>
        <v>5.9096592952945379E-2</v>
      </c>
      <c r="AI143" s="9">
        <f t="shared" si="19"/>
        <v>3.4924072986461134E-3</v>
      </c>
      <c r="AJ143" s="9">
        <f t="shared" si="20"/>
        <v>4.1230244774701372E-2</v>
      </c>
      <c r="AK143" s="9">
        <f t="shared" si="21"/>
        <v>1.6999330841817898E-3</v>
      </c>
      <c r="AL143" s="9">
        <f t="shared" si="22"/>
        <v>3.709429007270354E-2</v>
      </c>
      <c r="AM143" s="9">
        <f t="shared" si="23"/>
        <v>1.3759863559978723E-3</v>
      </c>
      <c r="AN143" s="9" t="s">
        <v>2358</v>
      </c>
    </row>
    <row r="144" spans="13:40" ht="23">
      <c r="M144" s="8" t="s">
        <v>1351</v>
      </c>
      <c r="N144" s="8" t="s">
        <v>150</v>
      </c>
      <c r="O144" s="8"/>
      <c r="P144" s="8"/>
      <c r="Q144" s="8"/>
      <c r="R144" s="8"/>
      <c r="S144" s="8"/>
      <c r="T144" s="8"/>
      <c r="U144" s="8"/>
      <c r="V144" s="8"/>
      <c r="W144" s="8" t="s">
        <v>1351</v>
      </c>
      <c r="X144" s="8">
        <v>16.84</v>
      </c>
      <c r="Y144" s="8">
        <v>3.34</v>
      </c>
      <c r="Z144" s="9">
        <v>2</v>
      </c>
      <c r="AA144" s="8">
        <v>6.2</v>
      </c>
      <c r="AB144" s="8">
        <v>19814</v>
      </c>
      <c r="AC144" s="21" t="s">
        <v>1351</v>
      </c>
      <c r="AD144" s="8" t="s">
        <v>4375</v>
      </c>
      <c r="AE144" s="8" t="s">
        <v>4083</v>
      </c>
      <c r="AF144" s="9">
        <f t="shared" si="16"/>
        <v>20.707999999999998</v>
      </c>
      <c r="AG144" s="9">
        <f t="shared" si="17"/>
        <v>12.606666666666666</v>
      </c>
      <c r="AH144" s="9">
        <f t="shared" si="18"/>
        <v>5.3101286421487148E-2</v>
      </c>
      <c r="AI144" s="9">
        <f t="shared" si="19"/>
        <v>2.8197466196168155E-3</v>
      </c>
      <c r="AJ144" s="9">
        <f t="shared" si="20"/>
        <v>6.1869268753225792E-2</v>
      </c>
      <c r="AK144" s="9">
        <f t="shared" si="21"/>
        <v>3.8278064160588814E-3</v>
      </c>
      <c r="AL144" s="9">
        <f t="shared" si="22"/>
        <v>5.4218591325590246E-2</v>
      </c>
      <c r="AM144" s="9">
        <f t="shared" si="23"/>
        <v>2.9396556453313697E-3</v>
      </c>
      <c r="AN144" s="8" t="s">
        <v>1351</v>
      </c>
    </row>
    <row r="145" spans="13:40" ht="23">
      <c r="M145" s="24" t="s">
        <v>5126</v>
      </c>
      <c r="N145" s="24"/>
      <c r="O145" s="24"/>
      <c r="P145" s="24"/>
      <c r="Q145" s="24"/>
      <c r="R145" s="24"/>
      <c r="S145" s="24"/>
      <c r="T145" s="24"/>
      <c r="U145" s="24"/>
      <c r="V145" s="24"/>
      <c r="W145" s="24" t="s">
        <v>5126</v>
      </c>
      <c r="X145" s="24">
        <v>7.19</v>
      </c>
      <c r="Y145" s="24">
        <v>3.12</v>
      </c>
      <c r="Z145" s="25">
        <v>1.36</v>
      </c>
      <c r="AA145" s="24">
        <v>5.9</v>
      </c>
      <c r="AB145" s="24">
        <v>85563</v>
      </c>
      <c r="AC145" s="21" t="s">
        <v>5126</v>
      </c>
      <c r="AD145" s="8" t="s">
        <v>4176</v>
      </c>
      <c r="AE145" s="8" t="s">
        <v>4083</v>
      </c>
      <c r="AF145" s="25">
        <f t="shared" si="16"/>
        <v>18.408000000000001</v>
      </c>
      <c r="AG145" s="25">
        <f t="shared" si="17"/>
        <v>9.4400000000000013</v>
      </c>
      <c r="AH145" s="25">
        <f t="shared" si="18"/>
        <v>5.0531869336576482E-2</v>
      </c>
      <c r="AI145" s="25">
        <f t="shared" si="19"/>
        <v>2.5534698186488384E-3</v>
      </c>
      <c r="AJ145" s="25">
        <f t="shared" si="20"/>
        <v>5.4997561290775578E-2</v>
      </c>
      <c r="AK145" s="25">
        <f t="shared" si="21"/>
        <v>3.0247317479326161E-3</v>
      </c>
      <c r="AL145" s="25">
        <f t="shared" si="22"/>
        <v>4.0599431685370606E-2</v>
      </c>
      <c r="AM145" s="25">
        <f t="shared" si="23"/>
        <v>1.6483138531750746E-3</v>
      </c>
      <c r="AN145" s="24" t="s">
        <v>5126</v>
      </c>
    </row>
    <row r="146" spans="13:40" ht="23">
      <c r="M146" s="9" t="s">
        <v>4960</v>
      </c>
      <c r="N146" s="8" t="s">
        <v>150</v>
      </c>
      <c r="O146" s="8"/>
      <c r="P146" s="8"/>
      <c r="Q146" s="8"/>
      <c r="R146" s="8"/>
      <c r="S146" s="8"/>
      <c r="T146" s="8"/>
      <c r="U146" s="8"/>
      <c r="V146" s="8"/>
      <c r="W146" s="9" t="s">
        <v>4960</v>
      </c>
      <c r="X146" s="8">
        <v>54.89</v>
      </c>
      <c r="Y146" s="8">
        <v>1.98</v>
      </c>
      <c r="Z146" s="9">
        <v>2.2599999999999998</v>
      </c>
      <c r="AA146" s="8">
        <v>5.7</v>
      </c>
      <c r="AB146" s="8">
        <v>26592</v>
      </c>
      <c r="AC146" s="22" t="s">
        <v>4960</v>
      </c>
      <c r="AD146" s="8" t="s">
        <v>4176</v>
      </c>
      <c r="AE146" s="8" t="s">
        <v>4083</v>
      </c>
      <c r="AF146" s="9">
        <f t="shared" si="16"/>
        <v>11.286</v>
      </c>
      <c r="AG146" s="9">
        <f t="shared" si="17"/>
        <v>13.870000000000001</v>
      </c>
      <c r="AH146" s="9">
        <f t="shared" si="18"/>
        <v>4.88189246133027E-2</v>
      </c>
      <c r="AI146" s="9">
        <f t="shared" si="19"/>
        <v>2.3832874003993322E-3</v>
      </c>
      <c r="AJ146" s="9">
        <f t="shared" si="20"/>
        <v>3.3719169748353602E-2</v>
      </c>
      <c r="AK146" s="9">
        <f t="shared" si="21"/>
        <v>1.1369824085182847E-3</v>
      </c>
      <c r="AL146" s="9">
        <f t="shared" si="22"/>
        <v>5.9651919224162103E-2</v>
      </c>
      <c r="AM146" s="9">
        <f t="shared" si="23"/>
        <v>3.5583514671259603E-3</v>
      </c>
      <c r="AN146" s="9" t="s">
        <v>4960</v>
      </c>
    </row>
    <row r="147" spans="13:40" ht="23">
      <c r="M147" s="9" t="s">
        <v>5003</v>
      </c>
      <c r="N147" s="8" t="s">
        <v>150</v>
      </c>
      <c r="O147" s="8"/>
      <c r="P147" s="8"/>
      <c r="Q147" s="8"/>
      <c r="R147" s="8"/>
      <c r="S147" s="8"/>
      <c r="T147" s="8"/>
      <c r="U147" s="8"/>
      <c r="V147" s="8"/>
      <c r="W147" s="9" t="s">
        <v>5003</v>
      </c>
      <c r="X147" s="8">
        <v>26.49</v>
      </c>
      <c r="Y147" s="8">
        <v>4.0599999999999996</v>
      </c>
      <c r="Z147" s="9">
        <v>4.42</v>
      </c>
      <c r="AA147" s="8">
        <v>5.4</v>
      </c>
      <c r="AB147" s="8">
        <v>18592</v>
      </c>
      <c r="AC147" s="22" t="s">
        <v>5003</v>
      </c>
      <c r="AD147" s="8" t="s">
        <v>3718</v>
      </c>
      <c r="AE147" s="8" t="s">
        <v>4083</v>
      </c>
      <c r="AF147" s="9">
        <f t="shared" si="16"/>
        <v>21.923999999999999</v>
      </c>
      <c r="AG147" s="9">
        <f t="shared" si="17"/>
        <v>25.380000000000003</v>
      </c>
      <c r="AH147" s="9">
        <f t="shared" si="18"/>
        <v>4.6249507528392034E-2</v>
      </c>
      <c r="AI147" s="9">
        <f t="shared" si="19"/>
        <v>2.1390169466187913E-3</v>
      </c>
      <c r="AJ147" s="9">
        <f t="shared" si="20"/>
        <v>6.5502310611634265E-2</v>
      </c>
      <c r="AK147" s="9">
        <f t="shared" si="21"/>
        <v>4.2905526954630149E-3</v>
      </c>
      <c r="AL147" s="9">
        <f t="shared" si="22"/>
        <v>0.10915398052698155</v>
      </c>
      <c r="AM147" s="9">
        <f t="shared" si="23"/>
        <v>1.1914591464884668E-2</v>
      </c>
      <c r="AN147" s="9" t="s">
        <v>5003</v>
      </c>
    </row>
    <row r="148" spans="13:40" ht="23">
      <c r="M148" s="8" t="s">
        <v>1759</v>
      </c>
      <c r="N148" s="8" t="s">
        <v>1717</v>
      </c>
      <c r="O148" s="8"/>
      <c r="P148" s="8"/>
      <c r="Q148" s="8"/>
      <c r="R148" s="8"/>
      <c r="S148" s="8"/>
      <c r="T148" s="8"/>
      <c r="U148" s="8"/>
      <c r="V148" s="8"/>
      <c r="W148" s="8" t="s">
        <v>1759</v>
      </c>
      <c r="X148" s="8">
        <v>13.66</v>
      </c>
      <c r="Y148" s="8">
        <v>8.35</v>
      </c>
      <c r="Z148" s="9">
        <v>9.48</v>
      </c>
      <c r="AA148" s="8">
        <v>5.2</v>
      </c>
      <c r="AB148" s="8">
        <v>16729</v>
      </c>
      <c r="AC148" s="21" t="s">
        <v>1759</v>
      </c>
      <c r="AD148" s="8" t="s">
        <v>4375</v>
      </c>
      <c r="AE148" s="8" t="s">
        <v>4083</v>
      </c>
      <c r="AF148" s="9">
        <f t="shared" si="16"/>
        <v>43.42</v>
      </c>
      <c r="AG148" s="9">
        <f t="shared" si="17"/>
        <v>50.960000000000008</v>
      </c>
      <c r="AH148" s="9">
        <f t="shared" si="18"/>
        <v>4.4536562805118252E-2</v>
      </c>
      <c r="AI148" s="9">
        <f t="shared" si="19"/>
        <v>1.9835054264942427E-3</v>
      </c>
      <c r="AJ148" s="9">
        <f t="shared" si="20"/>
        <v>0.12972588609547345</v>
      </c>
      <c r="AK148" s="9">
        <f t="shared" si="21"/>
        <v>1.682880552325575E-2</v>
      </c>
      <c r="AL148" s="9">
        <f t="shared" si="22"/>
        <v>0.21916811850492438</v>
      </c>
      <c r="AM148" s="9">
        <f t="shared" si="23"/>
        <v>4.8034664168988571E-2</v>
      </c>
      <c r="AN148" s="8" t="s">
        <v>1759</v>
      </c>
    </row>
    <row r="149" spans="13:40" ht="23">
      <c r="M149" s="8" t="s">
        <v>861</v>
      </c>
      <c r="N149" s="8" t="s">
        <v>150</v>
      </c>
      <c r="O149" s="8"/>
      <c r="P149" s="8"/>
      <c r="Q149" s="8"/>
      <c r="R149" s="8"/>
      <c r="S149" s="8"/>
      <c r="T149" s="8"/>
      <c r="U149" s="8"/>
      <c r="V149" s="8"/>
      <c r="W149" s="8" t="s">
        <v>861</v>
      </c>
      <c r="X149" s="8">
        <v>34.35</v>
      </c>
      <c r="Y149" s="8">
        <v>5.16</v>
      </c>
      <c r="Z149" s="9">
        <v>3.25</v>
      </c>
      <c r="AA149" s="8">
        <v>5.0999999999999996</v>
      </c>
      <c r="AB149" s="8">
        <v>14288</v>
      </c>
      <c r="AC149" s="21" t="s">
        <v>861</v>
      </c>
      <c r="AD149" s="8" t="s">
        <v>3718</v>
      </c>
      <c r="AE149" s="8" t="s">
        <v>4083</v>
      </c>
      <c r="AF149" s="9">
        <f t="shared" si="16"/>
        <v>26.315999999999999</v>
      </c>
      <c r="AG149" s="9">
        <f t="shared" si="17"/>
        <v>17.424999999999997</v>
      </c>
      <c r="AH149" s="9">
        <f t="shared" si="18"/>
        <v>4.3680090443481361E-2</v>
      </c>
      <c r="AI149" s="9">
        <f t="shared" si="19"/>
        <v>1.9079503011507116E-3</v>
      </c>
      <c r="AJ149" s="9">
        <f t="shared" si="20"/>
        <v>7.862428416601748E-2</v>
      </c>
      <c r="AK149" s="9">
        <f t="shared" si="21"/>
        <v>6.181778060618667E-3</v>
      </c>
      <c r="AL149" s="9">
        <f t="shared" si="22"/>
        <v>7.4941217914998151E-2</v>
      </c>
      <c r="AM149" s="9">
        <f t="shared" si="23"/>
        <v>5.6161861425832399E-3</v>
      </c>
      <c r="AN149" s="8" t="s">
        <v>861</v>
      </c>
    </row>
    <row r="150" spans="13:40" ht="23">
      <c r="M150" s="9" t="s">
        <v>2495</v>
      </c>
      <c r="N150" s="8" t="s">
        <v>150</v>
      </c>
      <c r="O150" s="8"/>
      <c r="P150" s="8" t="s">
        <v>3691</v>
      </c>
      <c r="Q150" s="8"/>
      <c r="R150" s="8"/>
      <c r="S150" s="8"/>
      <c r="T150" s="8"/>
      <c r="U150" s="8"/>
      <c r="V150" s="8"/>
      <c r="W150" s="9" t="s">
        <v>2495</v>
      </c>
      <c r="X150" s="8">
        <v>41.17</v>
      </c>
      <c r="Y150" s="8">
        <v>3.01</v>
      </c>
      <c r="Z150" s="9">
        <v>4.09</v>
      </c>
      <c r="AA150" s="8">
        <v>4.9000000000000004</v>
      </c>
      <c r="AB150" s="8">
        <v>23917</v>
      </c>
      <c r="AC150" s="22" t="s">
        <v>2495</v>
      </c>
      <c r="AD150" s="8" t="s">
        <v>3718</v>
      </c>
      <c r="AE150" s="8" t="s">
        <v>4083</v>
      </c>
      <c r="AF150" s="9">
        <f t="shared" si="16"/>
        <v>14.749000000000001</v>
      </c>
      <c r="AG150" s="9">
        <f t="shared" si="17"/>
        <v>20.335000000000004</v>
      </c>
      <c r="AH150" s="9">
        <f t="shared" si="18"/>
        <v>4.1967145720207585E-2</v>
      </c>
      <c r="AI150" s="9">
        <f t="shared" si="19"/>
        <v>1.7612413199011379E-3</v>
      </c>
      <c r="AJ150" s="9">
        <f t="shared" si="20"/>
        <v>4.4065571027686275E-2</v>
      </c>
      <c r="AK150" s="9">
        <f t="shared" si="21"/>
        <v>1.9417745499960639E-3</v>
      </c>
      <c r="AL150" s="9">
        <f t="shared" si="22"/>
        <v>8.7456508826484244E-2</v>
      </c>
      <c r="AM150" s="9">
        <f t="shared" si="23"/>
        <v>7.6486409361169166E-3</v>
      </c>
      <c r="AN150" s="9" t="s">
        <v>2495</v>
      </c>
    </row>
    <row r="151" spans="13:40" ht="23">
      <c r="M151" s="9" t="s">
        <v>3055</v>
      </c>
      <c r="N151" s="8" t="s">
        <v>1814</v>
      </c>
      <c r="O151" s="8"/>
      <c r="P151" s="8"/>
      <c r="Q151" s="8"/>
      <c r="R151" s="8"/>
      <c r="S151" s="8"/>
      <c r="T151" s="8"/>
      <c r="U151" s="8"/>
      <c r="V151" s="8"/>
      <c r="W151" s="9" t="s">
        <v>3055</v>
      </c>
      <c r="X151" s="8">
        <v>42.86</v>
      </c>
      <c r="Y151" s="8">
        <v>2.2999999999999998</v>
      </c>
      <c r="Z151" s="9">
        <v>1.29</v>
      </c>
      <c r="AA151" s="8">
        <v>4.8</v>
      </c>
      <c r="AB151" s="8">
        <v>30657</v>
      </c>
      <c r="AC151" s="22" t="s">
        <v>3055</v>
      </c>
      <c r="AD151" s="8" t="s">
        <v>3718</v>
      </c>
      <c r="AE151" s="8" t="s">
        <v>4083</v>
      </c>
      <c r="AF151" s="9">
        <f t="shared" si="16"/>
        <v>11.04</v>
      </c>
      <c r="AG151" s="9">
        <f t="shared" si="17"/>
        <v>7.12</v>
      </c>
      <c r="AH151" s="9">
        <f t="shared" si="18"/>
        <v>4.1110673358570694E-2</v>
      </c>
      <c r="AI151" s="9">
        <f t="shared" si="19"/>
        <v>1.6900874639950944E-3</v>
      </c>
      <c r="AJ151" s="9">
        <f t="shared" si="20"/>
        <v>3.29841958197611E-2</v>
      </c>
      <c r="AK151" s="9">
        <f t="shared" si="21"/>
        <v>1.0879571738763457E-3</v>
      </c>
      <c r="AL151" s="9">
        <f t="shared" si="22"/>
        <v>3.0621605254220197E-2</v>
      </c>
      <c r="AM151" s="9">
        <f t="shared" si="23"/>
        <v>9.3768270834528598E-4</v>
      </c>
      <c r="AN151" s="9" t="s">
        <v>3055</v>
      </c>
    </row>
    <row r="152" spans="13:40" ht="23">
      <c r="M152" s="8" t="s">
        <v>1334</v>
      </c>
      <c r="N152" s="8" t="s">
        <v>150</v>
      </c>
      <c r="O152" s="8"/>
      <c r="P152" s="8"/>
      <c r="Q152" s="8"/>
      <c r="R152" s="8"/>
      <c r="S152" s="8"/>
      <c r="T152" s="8"/>
      <c r="U152" s="8"/>
      <c r="V152" s="8"/>
      <c r="W152" s="8" t="s">
        <v>1334</v>
      </c>
      <c r="X152" s="8">
        <v>24</v>
      </c>
      <c r="Y152" s="8">
        <v>3.06</v>
      </c>
      <c r="Z152" s="9">
        <v>3.24</v>
      </c>
      <c r="AA152" s="8">
        <v>4.7</v>
      </c>
      <c r="AB152" s="8">
        <v>21027</v>
      </c>
      <c r="AC152" s="21" t="s">
        <v>1334</v>
      </c>
      <c r="AD152" s="8" t="s">
        <v>4375</v>
      </c>
      <c r="AE152" s="8" t="s">
        <v>4083</v>
      </c>
      <c r="AF152" s="9">
        <f t="shared" si="16"/>
        <v>14.382000000000001</v>
      </c>
      <c r="AG152" s="9">
        <f t="shared" si="17"/>
        <v>15.98</v>
      </c>
      <c r="AH152" s="9">
        <f t="shared" si="18"/>
        <v>4.0254200996933803E-2</v>
      </c>
      <c r="AI152" s="9">
        <f t="shared" si="19"/>
        <v>1.6204006979015464E-3</v>
      </c>
      <c r="AJ152" s="9">
        <f t="shared" si="20"/>
        <v>4.2969085532590962E-2</v>
      </c>
      <c r="AK152" s="9">
        <f t="shared" si="21"/>
        <v>1.8463423115071178E-3</v>
      </c>
      <c r="AL152" s="9">
        <f t="shared" si="22"/>
        <v>6.8726580331803191E-2</v>
      </c>
      <c r="AM152" s="9">
        <f t="shared" si="23"/>
        <v>4.7233428441037974E-3</v>
      </c>
      <c r="AN152" s="8" t="s">
        <v>1334</v>
      </c>
    </row>
    <row r="153" spans="13:40" ht="23">
      <c r="M153" s="9" t="s">
        <v>3555</v>
      </c>
      <c r="N153" s="8" t="s">
        <v>2066</v>
      </c>
      <c r="O153" s="8"/>
      <c r="P153" s="8"/>
      <c r="Q153" s="8"/>
      <c r="R153" s="8"/>
      <c r="S153" s="8"/>
      <c r="T153" s="8"/>
      <c r="U153" s="8"/>
      <c r="V153" s="8"/>
      <c r="W153" s="9" t="s">
        <v>3555</v>
      </c>
      <c r="X153" s="8">
        <v>29.14</v>
      </c>
      <c r="Y153" s="8">
        <v>1.9</v>
      </c>
      <c r="Z153" s="9">
        <v>0.18</v>
      </c>
      <c r="AA153" s="8">
        <v>4.5999999999999996</v>
      </c>
      <c r="AB153" s="8">
        <v>33799</v>
      </c>
      <c r="AC153" s="22" t="s">
        <v>3555</v>
      </c>
      <c r="AD153" s="8" t="s">
        <v>3718</v>
      </c>
      <c r="AE153" s="8" t="s">
        <v>4083</v>
      </c>
      <c r="AF153" s="9">
        <f t="shared" si="16"/>
        <v>8.7399999999999984</v>
      </c>
      <c r="AG153" s="9">
        <f t="shared" si="17"/>
        <v>1.38</v>
      </c>
      <c r="AH153" s="9">
        <f t="shared" si="18"/>
        <v>3.9397728635296912E-2</v>
      </c>
      <c r="AI153" s="9">
        <f t="shared" si="19"/>
        <v>1.5521810216204944E-3</v>
      </c>
      <c r="AJ153" s="9">
        <f t="shared" si="20"/>
        <v>2.6112488357310868E-2</v>
      </c>
      <c r="AK153" s="9">
        <f t="shared" si="21"/>
        <v>6.8186204821069562E-4</v>
      </c>
      <c r="AL153" s="9">
        <f t="shared" si="22"/>
        <v>5.9350864116325657E-3</v>
      </c>
      <c r="AM153" s="9">
        <f t="shared" si="23"/>
        <v>3.5225250713545528E-5</v>
      </c>
      <c r="AN153" s="9" t="s">
        <v>3555</v>
      </c>
    </row>
    <row r="154" spans="13:40" ht="23">
      <c r="M154" s="8" t="s">
        <v>311</v>
      </c>
      <c r="N154" s="8" t="s">
        <v>150</v>
      </c>
      <c r="O154" s="8"/>
      <c r="P154" s="8"/>
      <c r="Q154" s="8"/>
      <c r="R154" s="8"/>
      <c r="S154" s="8"/>
      <c r="T154" s="8"/>
      <c r="U154" s="8"/>
      <c r="V154" s="8"/>
      <c r="W154" s="8" t="s">
        <v>311</v>
      </c>
      <c r="X154" s="8">
        <v>36.020000000000003</v>
      </c>
      <c r="Y154" s="8">
        <v>3.15</v>
      </c>
      <c r="Z154" s="9">
        <v>1.41</v>
      </c>
      <c r="AA154" s="8">
        <v>4.5</v>
      </c>
      <c r="AB154" s="8">
        <v>24399</v>
      </c>
      <c r="AC154" s="21" t="s">
        <v>311</v>
      </c>
      <c r="AD154" s="8" t="s">
        <v>3718</v>
      </c>
      <c r="AE154" s="8" t="s">
        <v>4083</v>
      </c>
      <c r="AF154" s="9">
        <f t="shared" si="16"/>
        <v>14.174999999999999</v>
      </c>
      <c r="AG154" s="9">
        <f t="shared" si="17"/>
        <v>7.5750000000000002</v>
      </c>
      <c r="AH154" s="9">
        <f t="shared" si="18"/>
        <v>3.8541256273660028E-2</v>
      </c>
      <c r="AI154" s="9">
        <f t="shared" si="19"/>
        <v>1.4854284351519386E-3</v>
      </c>
      <c r="AJ154" s="9">
        <f t="shared" si="20"/>
        <v>4.2350631860970434E-2</v>
      </c>
      <c r="AK154" s="9">
        <f t="shared" si="21"/>
        <v>1.7935760190234439E-3</v>
      </c>
      <c r="AL154" s="9">
        <f t="shared" si="22"/>
        <v>3.2578463455157025E-2</v>
      </c>
      <c r="AM154" s="9">
        <f t="shared" si="23"/>
        <v>1.0613562810990018E-3</v>
      </c>
      <c r="AN154" s="8" t="s">
        <v>311</v>
      </c>
    </row>
    <row r="155" spans="13:40" ht="23">
      <c r="M155" s="9" t="s">
        <v>2696</v>
      </c>
      <c r="N155" s="8" t="s">
        <v>1614</v>
      </c>
      <c r="O155" s="8"/>
      <c r="P155" s="8"/>
      <c r="Q155" s="8"/>
      <c r="R155" s="8"/>
      <c r="S155" s="8"/>
      <c r="T155" s="8"/>
      <c r="U155" s="8"/>
      <c r="V155" s="8"/>
      <c r="W155" s="9" t="s">
        <v>2696</v>
      </c>
      <c r="X155" s="8">
        <v>59.9</v>
      </c>
      <c r="Y155" s="8">
        <v>1.62</v>
      </c>
      <c r="Z155" s="9">
        <v>0.19</v>
      </c>
      <c r="AA155" s="8">
        <v>4.5</v>
      </c>
      <c r="AB155" s="8">
        <v>33131</v>
      </c>
      <c r="AC155" s="22" t="s">
        <v>2696</v>
      </c>
      <c r="AD155" s="8" t="s">
        <v>3718</v>
      </c>
      <c r="AE155" s="8" t="s">
        <v>4083</v>
      </c>
      <c r="AF155" s="9">
        <f t="shared" si="16"/>
        <v>7.2900000000000009</v>
      </c>
      <c r="AG155" s="9">
        <f t="shared" si="17"/>
        <v>1.4249999999999998</v>
      </c>
      <c r="AH155" s="9">
        <f t="shared" si="18"/>
        <v>3.8541256273660028E-2</v>
      </c>
      <c r="AI155" s="9">
        <f t="shared" si="19"/>
        <v>1.4854284351519386E-3</v>
      </c>
      <c r="AJ155" s="9">
        <f t="shared" si="20"/>
        <v>2.178032495707051E-2</v>
      </c>
      <c r="AK155" s="9">
        <f t="shared" si="21"/>
        <v>4.7438255523558849E-4</v>
      </c>
      <c r="AL155" s="9">
        <f t="shared" si="22"/>
        <v>6.1286218380988446E-3</v>
      </c>
      <c r="AM155" s="9">
        <f t="shared" si="23"/>
        <v>3.756000563442206E-5</v>
      </c>
      <c r="AN155" s="9" t="s">
        <v>2696</v>
      </c>
    </row>
    <row r="156" spans="13:40" ht="23">
      <c r="M156" s="9" t="s">
        <v>5028</v>
      </c>
      <c r="N156" s="8" t="s">
        <v>150</v>
      </c>
      <c r="O156" s="8"/>
      <c r="P156" s="8"/>
      <c r="Q156" s="8"/>
      <c r="R156" s="8"/>
      <c r="S156" s="8"/>
      <c r="T156" s="8"/>
      <c r="U156" s="8"/>
      <c r="V156" s="8"/>
      <c r="W156" s="9" t="s">
        <v>5028</v>
      </c>
      <c r="X156" s="8">
        <v>42.76</v>
      </c>
      <c r="Y156" s="8">
        <v>5.77</v>
      </c>
      <c r="Z156" s="9">
        <v>6.48</v>
      </c>
      <c r="AA156" s="8">
        <v>4.2</v>
      </c>
      <c r="AB156" s="8">
        <v>17476</v>
      </c>
      <c r="AC156" s="22" t="s">
        <v>5028</v>
      </c>
      <c r="AD156" s="8" t="s">
        <v>3718</v>
      </c>
      <c r="AE156" s="8" t="s">
        <v>4083</v>
      </c>
      <c r="AF156" s="9">
        <f t="shared" si="16"/>
        <v>24.233999999999998</v>
      </c>
      <c r="AG156" s="9">
        <f t="shared" si="17"/>
        <v>28.56</v>
      </c>
      <c r="AH156" s="9">
        <f t="shared" si="18"/>
        <v>3.5971839188749362E-2</v>
      </c>
      <c r="AI156" s="9">
        <f t="shared" si="19"/>
        <v>1.2939732146212443E-3</v>
      </c>
      <c r="AJ156" s="9">
        <f t="shared" si="20"/>
        <v>7.2403895063051671E-2</v>
      </c>
      <c r="AK156" s="9">
        <f t="shared" si="21"/>
        <v>5.2423240203013982E-3</v>
      </c>
      <c r="AL156" s="9">
        <f t="shared" si="22"/>
        <v>0.12283048399726527</v>
      </c>
      <c r="AM156" s="9">
        <f t="shared" si="23"/>
        <v>1.508732779900244E-2</v>
      </c>
      <c r="AN156" s="9" t="s">
        <v>5028</v>
      </c>
    </row>
    <row r="157" spans="13:40" ht="23">
      <c r="M157" s="9" t="s">
        <v>3574</v>
      </c>
      <c r="N157" s="8" t="s">
        <v>2074</v>
      </c>
      <c r="O157" s="8"/>
      <c r="P157" s="8"/>
      <c r="Q157" s="8"/>
      <c r="R157" s="8"/>
      <c r="S157" s="8"/>
      <c r="T157" s="8"/>
      <c r="U157" s="8"/>
      <c r="V157" s="8"/>
      <c r="W157" s="9" t="s">
        <v>3574</v>
      </c>
      <c r="X157" s="8">
        <v>38.03</v>
      </c>
      <c r="Y157" s="8">
        <v>2.57</v>
      </c>
      <c r="Z157" s="9">
        <v>3.26</v>
      </c>
      <c r="AA157" s="8">
        <v>4.2</v>
      </c>
      <c r="AB157" s="8">
        <v>22775</v>
      </c>
      <c r="AC157" s="22" t="s">
        <v>3574</v>
      </c>
      <c r="AD157" s="8" t="s">
        <v>3718</v>
      </c>
      <c r="AE157" s="8" t="s">
        <v>4083</v>
      </c>
      <c r="AF157" s="9">
        <f t="shared" si="16"/>
        <v>10.794</v>
      </c>
      <c r="AG157" s="9">
        <f t="shared" si="17"/>
        <v>14.420000000000002</v>
      </c>
      <c r="AH157" s="9">
        <f t="shared" si="18"/>
        <v>3.5971839188749362E-2</v>
      </c>
      <c r="AI157" s="9">
        <f t="shared" si="19"/>
        <v>1.2939732146212443E-3</v>
      </c>
      <c r="AJ157" s="9">
        <f t="shared" si="20"/>
        <v>3.2249221891168599E-2</v>
      </c>
      <c r="AK157" s="9">
        <f t="shared" si="21"/>
        <v>1.040012312585828E-3</v>
      </c>
      <c r="AL157" s="9">
        <f t="shared" si="22"/>
        <v>6.2017352214305529E-2</v>
      </c>
      <c r="AM157" s="9">
        <f t="shared" si="23"/>
        <v>3.846151975673227E-3</v>
      </c>
      <c r="AN157" s="9" t="s">
        <v>3574</v>
      </c>
    </row>
    <row r="158" spans="13:40" ht="23">
      <c r="M158" s="8" t="s">
        <v>827</v>
      </c>
      <c r="N158" s="8" t="s">
        <v>150</v>
      </c>
      <c r="O158" s="8"/>
      <c r="P158" s="8"/>
      <c r="Q158" s="8"/>
      <c r="R158" s="8"/>
      <c r="S158" s="8"/>
      <c r="T158" s="8"/>
      <c r="U158" s="8"/>
      <c r="V158" s="8"/>
      <c r="W158" s="8" t="s">
        <v>827</v>
      </c>
      <c r="X158" s="8">
        <v>66.81</v>
      </c>
      <c r="Y158" s="8">
        <v>1.64</v>
      </c>
      <c r="Z158" s="9">
        <v>1.22</v>
      </c>
      <c r="AA158" s="8">
        <v>4.2</v>
      </c>
      <c r="AB158" s="8">
        <v>30213</v>
      </c>
      <c r="AC158" s="21" t="s">
        <v>827</v>
      </c>
      <c r="AD158" s="8" t="s">
        <v>3718</v>
      </c>
      <c r="AE158" s="8" t="s">
        <v>4083</v>
      </c>
      <c r="AF158" s="9">
        <f t="shared" si="16"/>
        <v>6.8879999999999999</v>
      </c>
      <c r="AG158" s="9">
        <f t="shared" si="17"/>
        <v>5.74</v>
      </c>
      <c r="AH158" s="9">
        <f t="shared" si="18"/>
        <v>3.5971839188749362E-2</v>
      </c>
      <c r="AI158" s="9">
        <f t="shared" si="19"/>
        <v>1.2939732146212443E-3</v>
      </c>
      <c r="AJ158" s="9">
        <f t="shared" si="20"/>
        <v>2.0579270000590077E-2</v>
      </c>
      <c r="AK158" s="9">
        <f t="shared" si="21"/>
        <v>4.2350635375718672E-4</v>
      </c>
      <c r="AL158" s="9">
        <f t="shared" si="22"/>
        <v>2.4686518842587633E-2</v>
      </c>
      <c r="AM158" s="9">
        <f t="shared" si="23"/>
        <v>6.0942421256543423E-4</v>
      </c>
      <c r="AN158" s="8" t="s">
        <v>827</v>
      </c>
    </row>
    <row r="159" spans="13:40" ht="23">
      <c r="M159" s="8" t="s">
        <v>267</v>
      </c>
      <c r="N159" s="8" t="s">
        <v>150</v>
      </c>
      <c r="O159" s="8"/>
      <c r="P159" s="8"/>
      <c r="Q159" s="8"/>
      <c r="R159" s="8"/>
      <c r="S159" s="8"/>
      <c r="T159" s="8"/>
      <c r="U159" s="8"/>
      <c r="V159" s="8"/>
      <c r="W159" s="8" t="s">
        <v>267</v>
      </c>
      <c r="X159" s="8">
        <v>29.93</v>
      </c>
      <c r="Y159" s="8">
        <v>2.04</v>
      </c>
      <c r="Z159" s="9">
        <v>1.05</v>
      </c>
      <c r="AA159" s="8">
        <v>4.2</v>
      </c>
      <c r="AB159" s="8">
        <v>28003</v>
      </c>
      <c r="AC159" s="21" t="s">
        <v>267</v>
      </c>
      <c r="AD159" s="8" t="s">
        <v>3718</v>
      </c>
      <c r="AE159" s="8" t="s">
        <v>4083</v>
      </c>
      <c r="AF159" s="9">
        <f t="shared" si="16"/>
        <v>8.5680000000000014</v>
      </c>
      <c r="AG159" s="9">
        <f t="shared" si="17"/>
        <v>4.55</v>
      </c>
      <c r="AH159" s="9">
        <f t="shared" si="18"/>
        <v>3.5971839188749362E-2</v>
      </c>
      <c r="AI159" s="9">
        <f t="shared" si="19"/>
        <v>1.2939732146212443E-3</v>
      </c>
      <c r="AJ159" s="9">
        <f t="shared" si="20"/>
        <v>2.5598604147075467E-2</v>
      </c>
      <c r="AK159" s="9">
        <f t="shared" si="21"/>
        <v>6.5528853427866934E-4</v>
      </c>
      <c r="AL159" s="9">
        <f t="shared" si="22"/>
        <v>1.9568582009368243E-2</v>
      </c>
      <c r="AM159" s="9">
        <f t="shared" si="23"/>
        <v>3.8292940185737047E-4</v>
      </c>
      <c r="AN159" s="8" t="s">
        <v>267</v>
      </c>
    </row>
    <row r="160" spans="13:40" ht="23">
      <c r="M160" s="8" t="s">
        <v>5046</v>
      </c>
      <c r="N160" s="8"/>
      <c r="O160" s="8"/>
      <c r="P160" s="8"/>
      <c r="Q160" s="8"/>
      <c r="R160" s="8"/>
      <c r="S160" s="8"/>
      <c r="T160" s="8"/>
      <c r="U160" s="8"/>
      <c r="V160" s="8"/>
      <c r="W160" s="8" t="s">
        <v>5046</v>
      </c>
      <c r="X160" s="8">
        <v>38.82</v>
      </c>
      <c r="Y160" s="8">
        <v>1.06</v>
      </c>
      <c r="Z160" s="9">
        <v>0.02</v>
      </c>
      <c r="AA160" s="8">
        <v>4.2</v>
      </c>
      <c r="AB160" s="8">
        <v>261753</v>
      </c>
      <c r="AC160" s="21" t="s">
        <v>5046</v>
      </c>
      <c r="AD160" s="8" t="s">
        <v>3718</v>
      </c>
      <c r="AE160" s="8" t="s">
        <v>4083</v>
      </c>
      <c r="AF160" s="9">
        <f t="shared" si="16"/>
        <v>4.4520000000000008</v>
      </c>
      <c r="AG160" s="9">
        <f t="shared" si="17"/>
        <v>0.14000000000000001</v>
      </c>
      <c r="AH160" s="9">
        <f t="shared" si="18"/>
        <v>3.5971839188749362E-2</v>
      </c>
      <c r="AI160" s="9">
        <f t="shared" si="19"/>
        <v>1.2939732146212443E-3</v>
      </c>
      <c r="AJ160" s="9">
        <f t="shared" si="20"/>
        <v>1.3301235488186272E-2</v>
      </c>
      <c r="AK160" s="9">
        <f t="shared" si="21"/>
        <v>1.7692286551218591E-4</v>
      </c>
      <c r="AL160" s="9">
        <f t="shared" si="22"/>
        <v>6.021102156728691E-4</v>
      </c>
      <c r="AM160" s="9">
        <f t="shared" si="23"/>
        <v>3.6253671181762894E-7</v>
      </c>
      <c r="AN160" s="8" t="s">
        <v>5046</v>
      </c>
    </row>
    <row r="161" spans="13:40" ht="23">
      <c r="M161" s="8" t="s">
        <v>1562</v>
      </c>
      <c r="N161" s="8" t="s">
        <v>150</v>
      </c>
      <c r="O161" s="8"/>
      <c r="P161" s="8"/>
      <c r="Q161" s="8"/>
      <c r="R161" s="8"/>
      <c r="S161" s="8"/>
      <c r="T161" s="8"/>
      <c r="U161" s="8"/>
      <c r="V161" s="8"/>
      <c r="W161" s="8" t="s">
        <v>1562</v>
      </c>
      <c r="X161" s="8">
        <v>38.82</v>
      </c>
      <c r="Y161" s="8">
        <v>1.06</v>
      </c>
      <c r="Z161" s="9">
        <v>0.02</v>
      </c>
      <c r="AA161" s="8">
        <v>4.2</v>
      </c>
      <c r="AB161" s="8">
        <v>261753</v>
      </c>
      <c r="AC161" s="21" t="s">
        <v>1562</v>
      </c>
      <c r="AD161" s="8" t="s">
        <v>3718</v>
      </c>
      <c r="AE161" s="8" t="s">
        <v>4083</v>
      </c>
      <c r="AF161" s="9">
        <f t="shared" si="16"/>
        <v>4.4520000000000008</v>
      </c>
      <c r="AG161" s="9">
        <f t="shared" si="17"/>
        <v>0.14000000000000001</v>
      </c>
      <c r="AH161" s="9">
        <f t="shared" si="18"/>
        <v>3.5971839188749362E-2</v>
      </c>
      <c r="AI161" s="9">
        <f t="shared" si="19"/>
        <v>1.2939732146212443E-3</v>
      </c>
      <c r="AJ161" s="9">
        <f t="shared" si="20"/>
        <v>1.3301235488186272E-2</v>
      </c>
      <c r="AK161" s="9">
        <f t="shared" si="21"/>
        <v>1.7692286551218591E-4</v>
      </c>
      <c r="AL161" s="9">
        <f t="shared" si="22"/>
        <v>6.021102156728691E-4</v>
      </c>
      <c r="AM161" s="9">
        <f t="shared" si="23"/>
        <v>3.6253671181762894E-7</v>
      </c>
      <c r="AN161" s="8" t="s">
        <v>1562</v>
      </c>
    </row>
    <row r="162" spans="13:40" ht="23">
      <c r="M162" s="8" t="s">
        <v>1195</v>
      </c>
      <c r="N162" s="8" t="s">
        <v>150</v>
      </c>
      <c r="O162" s="8"/>
      <c r="P162" s="8"/>
      <c r="Q162" s="8"/>
      <c r="R162" s="8"/>
      <c r="S162" s="8"/>
      <c r="T162" s="8"/>
      <c r="U162" s="8"/>
      <c r="V162" s="8"/>
      <c r="W162" s="8" t="s">
        <v>1195</v>
      </c>
      <c r="X162" s="8">
        <v>8</v>
      </c>
      <c r="Y162" s="8">
        <v>3.51</v>
      </c>
      <c r="Z162" s="9">
        <v>3.36</v>
      </c>
      <c r="AA162" s="8">
        <v>4.0999999999999996</v>
      </c>
      <c r="AB162" s="8">
        <v>48883</v>
      </c>
      <c r="AC162" s="21" t="s">
        <v>1195</v>
      </c>
      <c r="AD162" s="8" t="s">
        <v>3718</v>
      </c>
      <c r="AE162" s="8" t="s">
        <v>4083</v>
      </c>
      <c r="AF162" s="9">
        <f t="shared" si="16"/>
        <v>14.390999999999998</v>
      </c>
      <c r="AG162" s="9">
        <f t="shared" si="17"/>
        <v>14.76</v>
      </c>
      <c r="AH162" s="9">
        <f t="shared" si="18"/>
        <v>3.5115366827112471E-2</v>
      </c>
      <c r="AI162" s="9">
        <f t="shared" si="19"/>
        <v>1.2330889874026709E-3</v>
      </c>
      <c r="AJ162" s="9">
        <f t="shared" si="20"/>
        <v>4.2995974822661404E-2</v>
      </c>
      <c r="AK162" s="9">
        <f t="shared" si="21"/>
        <v>1.8486538509509332E-3</v>
      </c>
      <c r="AL162" s="9">
        <f t="shared" si="22"/>
        <v>6.3479619880939628E-2</v>
      </c>
      <c r="AM162" s="9">
        <f t="shared" si="23"/>
        <v>4.0296621402285855E-3</v>
      </c>
      <c r="AN162" s="8" t="s">
        <v>1195</v>
      </c>
    </row>
    <row r="163" spans="13:40" ht="23">
      <c r="M163" s="9" t="s">
        <v>3428</v>
      </c>
      <c r="N163" s="8" t="s">
        <v>2003</v>
      </c>
      <c r="O163" s="8"/>
      <c r="P163" s="8"/>
      <c r="Q163" s="8"/>
      <c r="R163" s="8"/>
      <c r="S163" s="8"/>
      <c r="T163" s="8"/>
      <c r="U163" s="8"/>
      <c r="V163" s="8"/>
      <c r="W163" s="9" t="s">
        <v>3428</v>
      </c>
      <c r="X163" s="8">
        <v>14.31</v>
      </c>
      <c r="Y163" s="8">
        <v>4.92</v>
      </c>
      <c r="Z163" s="9">
        <v>2.0299999999999998</v>
      </c>
      <c r="AA163" s="8">
        <v>4.0999999999999996</v>
      </c>
      <c r="AB163" s="8">
        <v>34222</v>
      </c>
      <c r="AC163" s="22" t="s">
        <v>3428</v>
      </c>
      <c r="AD163" s="8" t="s">
        <v>3718</v>
      </c>
      <c r="AE163" s="8" t="s">
        <v>4083</v>
      </c>
      <c r="AF163" s="9">
        <f t="shared" si="16"/>
        <v>20.171999999999997</v>
      </c>
      <c r="AG163" s="9">
        <f t="shared" si="17"/>
        <v>8.4049999999999994</v>
      </c>
      <c r="AH163" s="9">
        <f t="shared" si="18"/>
        <v>3.5115366827112471E-2</v>
      </c>
      <c r="AI163" s="9">
        <f t="shared" si="19"/>
        <v>1.2330889874026709E-3</v>
      </c>
      <c r="AJ163" s="9">
        <f t="shared" si="20"/>
        <v>6.0267862144585217E-2</v>
      </c>
      <c r="AK163" s="9">
        <f t="shared" si="21"/>
        <v>3.632215207478728E-3</v>
      </c>
      <c r="AL163" s="9">
        <f t="shared" si="22"/>
        <v>3.6148116876646173E-2</v>
      </c>
      <c r="AM163" s="9">
        <f t="shared" si="23"/>
        <v>1.306686353727672E-3</v>
      </c>
      <c r="AN163" s="9" t="s">
        <v>3428</v>
      </c>
    </row>
    <row r="164" spans="13:40" ht="23">
      <c r="M164" s="9" t="s">
        <v>2685</v>
      </c>
      <c r="N164" s="8" t="s">
        <v>150</v>
      </c>
      <c r="O164" s="8"/>
      <c r="P164" s="8"/>
      <c r="Q164" s="8"/>
      <c r="R164" s="8"/>
      <c r="S164" s="8"/>
      <c r="T164" s="8"/>
      <c r="U164" s="8"/>
      <c r="V164" s="8"/>
      <c r="W164" s="9" t="s">
        <v>2685</v>
      </c>
      <c r="X164" s="8">
        <v>34.700000000000003</v>
      </c>
      <c r="Y164" s="8">
        <v>2.79</v>
      </c>
      <c r="Z164" s="9">
        <v>1.55</v>
      </c>
      <c r="AA164" s="8">
        <v>4</v>
      </c>
      <c r="AB164" s="8">
        <v>32062</v>
      </c>
      <c r="AC164" s="22" t="s">
        <v>2685</v>
      </c>
      <c r="AD164" s="8" t="s">
        <v>3718</v>
      </c>
      <c r="AE164" s="8" t="s">
        <v>4083</v>
      </c>
      <c r="AF164" s="9">
        <f t="shared" si="16"/>
        <v>11.16</v>
      </c>
      <c r="AG164" s="9">
        <f t="shared" si="17"/>
        <v>7.6666666666666661</v>
      </c>
      <c r="AH164" s="9">
        <f t="shared" si="18"/>
        <v>3.425889446547558E-2</v>
      </c>
      <c r="AI164" s="9">
        <f t="shared" si="19"/>
        <v>1.1736718499965933E-3</v>
      </c>
      <c r="AJ164" s="9">
        <f t="shared" si="20"/>
        <v>3.3342719687367198E-2</v>
      </c>
      <c r="AK164" s="9">
        <f t="shared" si="21"/>
        <v>1.1117369561503441E-3</v>
      </c>
      <c r="AL164" s="9">
        <f t="shared" si="22"/>
        <v>3.2972702286847587E-2</v>
      </c>
      <c r="AM164" s="9">
        <f t="shared" si="23"/>
        <v>1.0871990960970841E-3</v>
      </c>
      <c r="AN164" s="9" t="s">
        <v>2685</v>
      </c>
    </row>
    <row r="165" spans="13:40" ht="23">
      <c r="M165" s="9" t="s">
        <v>2934</v>
      </c>
      <c r="N165" s="8" t="s">
        <v>1717</v>
      </c>
      <c r="O165" s="8"/>
      <c r="P165" s="8"/>
      <c r="Q165" s="8"/>
      <c r="R165" s="8"/>
      <c r="S165" s="8"/>
      <c r="T165" s="8"/>
      <c r="U165" s="8"/>
      <c r="V165" s="8"/>
      <c r="W165" s="9" t="s">
        <v>2934</v>
      </c>
      <c r="X165" s="8">
        <v>50.05</v>
      </c>
      <c r="Y165" s="8">
        <v>1.77</v>
      </c>
      <c r="Z165" s="9">
        <v>1.21</v>
      </c>
      <c r="AA165" s="8">
        <v>4</v>
      </c>
      <c r="AB165" s="8">
        <v>31083</v>
      </c>
      <c r="AC165" s="22" t="s">
        <v>2934</v>
      </c>
      <c r="AD165" s="8" t="s">
        <v>4176</v>
      </c>
      <c r="AE165" s="8" t="s">
        <v>4083</v>
      </c>
      <c r="AF165" s="9">
        <f t="shared" si="16"/>
        <v>7.08</v>
      </c>
      <c r="AG165" s="9">
        <f t="shared" si="17"/>
        <v>5.4</v>
      </c>
      <c r="AH165" s="9">
        <f t="shared" si="18"/>
        <v>3.425889446547558E-2</v>
      </c>
      <c r="AI165" s="9">
        <f t="shared" si="19"/>
        <v>1.1736718499965933E-3</v>
      </c>
      <c r="AJ165" s="9">
        <f t="shared" si="20"/>
        <v>2.1152908188759836E-2</v>
      </c>
      <c r="AK165" s="9">
        <f t="shared" si="21"/>
        <v>4.4744552484210292E-4</v>
      </c>
      <c r="AL165" s="9">
        <f t="shared" si="22"/>
        <v>2.3224251175953524E-2</v>
      </c>
      <c r="AM165" s="9">
        <f t="shared" si="23"/>
        <v>5.3936584268377864E-4</v>
      </c>
      <c r="AN165" s="9" t="s">
        <v>2934</v>
      </c>
    </row>
    <row r="166" spans="13:40" ht="23">
      <c r="M166" s="8" t="s">
        <v>1267</v>
      </c>
      <c r="N166" s="8" t="s">
        <v>150</v>
      </c>
      <c r="O166" s="8"/>
      <c r="P166" s="8"/>
      <c r="Q166" s="8"/>
      <c r="R166" s="8"/>
      <c r="S166" s="8"/>
      <c r="T166" s="8"/>
      <c r="U166" s="8"/>
      <c r="V166" s="8"/>
      <c r="W166" s="8" t="s">
        <v>1267</v>
      </c>
      <c r="X166" s="8">
        <v>6.52</v>
      </c>
      <c r="Y166" s="8">
        <v>5.28</v>
      </c>
      <c r="Z166" s="9">
        <v>4.18</v>
      </c>
      <c r="AA166" s="8">
        <v>3.9</v>
      </c>
      <c r="AB166" s="8">
        <v>26864</v>
      </c>
      <c r="AC166" s="21" t="s">
        <v>1267</v>
      </c>
      <c r="AD166" s="8" t="s">
        <v>4371</v>
      </c>
      <c r="AE166" s="8" t="s">
        <v>4083</v>
      </c>
      <c r="AF166" s="9">
        <f t="shared" si="16"/>
        <v>20.591999999999999</v>
      </c>
      <c r="AG166" s="9">
        <f t="shared" si="17"/>
        <v>16.77</v>
      </c>
      <c r="AH166" s="9">
        <f t="shared" si="18"/>
        <v>3.3402422103838689E-2</v>
      </c>
      <c r="AI166" s="9">
        <f t="shared" si="19"/>
        <v>1.1157218024030115E-3</v>
      </c>
      <c r="AJ166" s="9">
        <f t="shared" si="20"/>
        <v>6.1522695681206566E-2</v>
      </c>
      <c r="AK166" s="9">
        <f t="shared" si="21"/>
        <v>3.7850420838823531E-3</v>
      </c>
      <c r="AL166" s="9">
        <f t="shared" si="22"/>
        <v>7.2124202263100096E-2</v>
      </c>
      <c r="AM166" s="9">
        <f t="shared" si="23"/>
        <v>5.2019005520885725E-3</v>
      </c>
      <c r="AN166" s="8" t="s">
        <v>1267</v>
      </c>
    </row>
    <row r="167" spans="13:40" ht="23">
      <c r="M167" s="9" t="s">
        <v>3629</v>
      </c>
      <c r="N167" s="8" t="s">
        <v>2093</v>
      </c>
      <c r="O167" s="8"/>
      <c r="P167" s="8"/>
      <c r="Q167" s="8"/>
      <c r="R167" s="8"/>
      <c r="S167" s="8"/>
      <c r="T167" s="8"/>
      <c r="U167" s="8"/>
      <c r="V167" s="8"/>
      <c r="W167" s="9" t="s">
        <v>3629</v>
      </c>
      <c r="X167" s="8">
        <v>44.02</v>
      </c>
      <c r="Y167" s="8">
        <v>3.94</v>
      </c>
      <c r="Z167" s="9">
        <v>3.46</v>
      </c>
      <c r="AA167" s="8">
        <v>3.9</v>
      </c>
      <c r="AB167" s="8">
        <v>25585</v>
      </c>
      <c r="AC167" s="22" t="s">
        <v>3629</v>
      </c>
      <c r="AD167" s="8" t="s">
        <v>3718</v>
      </c>
      <c r="AE167" s="8" t="s">
        <v>4083</v>
      </c>
      <c r="AF167" s="9">
        <f t="shared" si="16"/>
        <v>15.366</v>
      </c>
      <c r="AG167" s="9">
        <f t="shared" si="17"/>
        <v>14.69</v>
      </c>
      <c r="AH167" s="9">
        <f t="shared" si="18"/>
        <v>3.3402422103838689E-2</v>
      </c>
      <c r="AI167" s="9">
        <f t="shared" si="19"/>
        <v>1.1157218024030115E-3</v>
      </c>
      <c r="AJ167" s="9">
        <f t="shared" si="20"/>
        <v>4.5908981246960967E-2</v>
      </c>
      <c r="AK167" s="9">
        <f t="shared" si="21"/>
        <v>2.1076345591338136E-3</v>
      </c>
      <c r="AL167" s="9">
        <f t="shared" si="22"/>
        <v>6.3178564773103185E-2</v>
      </c>
      <c r="AM167" s="9">
        <f t="shared" si="23"/>
        <v>3.9915310467891945E-3</v>
      </c>
      <c r="AN167" s="9" t="s">
        <v>3629</v>
      </c>
    </row>
    <row r="168" spans="13:40" ht="23">
      <c r="M168" s="8" t="s">
        <v>658</v>
      </c>
      <c r="N168" s="8" t="s">
        <v>150</v>
      </c>
      <c r="O168" s="8"/>
      <c r="P168" s="8"/>
      <c r="Q168" s="8"/>
      <c r="R168" s="8"/>
      <c r="S168" s="8"/>
      <c r="T168" s="8"/>
      <c r="U168" s="8"/>
      <c r="V168" s="8"/>
      <c r="W168" s="8" t="s">
        <v>658</v>
      </c>
      <c r="X168" s="8">
        <v>47.11</v>
      </c>
      <c r="Y168" s="8">
        <v>1.84</v>
      </c>
      <c r="Z168" s="9">
        <v>1.06</v>
      </c>
      <c r="AA168" s="8">
        <v>3.8</v>
      </c>
      <c r="AB168" s="8">
        <v>28945</v>
      </c>
      <c r="AC168" s="21" t="s">
        <v>658</v>
      </c>
      <c r="AD168" s="8" t="s">
        <v>3718</v>
      </c>
      <c r="AE168" s="8" t="s">
        <v>4083</v>
      </c>
      <c r="AF168" s="9">
        <f t="shared" si="16"/>
        <v>6.992</v>
      </c>
      <c r="AG168" s="9">
        <f t="shared" si="17"/>
        <v>4.18</v>
      </c>
      <c r="AH168" s="9">
        <f t="shared" si="18"/>
        <v>3.2545949742201805E-2</v>
      </c>
      <c r="AI168" s="9">
        <f t="shared" si="19"/>
        <v>1.0592388446219257E-3</v>
      </c>
      <c r="AJ168" s="9">
        <f t="shared" si="20"/>
        <v>2.0889990685848694E-2</v>
      </c>
      <c r="AK168" s="9">
        <f t="shared" si="21"/>
        <v>4.3639171085484521E-4</v>
      </c>
      <c r="AL168" s="9">
        <f t="shared" si="22"/>
        <v>1.7977290725089946E-2</v>
      </c>
      <c r="AM168" s="9">
        <f t="shared" si="23"/>
        <v>3.2318298181440499E-4</v>
      </c>
      <c r="AN168" s="8" t="s">
        <v>658</v>
      </c>
    </row>
    <row r="169" spans="13:40" ht="23">
      <c r="M169" s="9" t="s">
        <v>5085</v>
      </c>
      <c r="N169" s="8" t="s">
        <v>2017</v>
      </c>
      <c r="O169" s="8"/>
      <c r="P169" s="8"/>
      <c r="Q169" s="8"/>
      <c r="R169" s="8"/>
      <c r="S169" s="8"/>
      <c r="T169" s="8"/>
      <c r="U169" s="8"/>
      <c r="V169" s="8"/>
      <c r="W169" s="9" t="s">
        <v>5085</v>
      </c>
      <c r="X169" s="8">
        <v>67.430000000000007</v>
      </c>
      <c r="Y169" s="8">
        <v>1.61</v>
      </c>
      <c r="Z169" s="9">
        <v>0.39</v>
      </c>
      <c r="AA169" s="8">
        <v>3.8</v>
      </c>
      <c r="AB169" s="8"/>
      <c r="AC169" s="22" t="s">
        <v>5085</v>
      </c>
      <c r="AD169" s="8" t="s">
        <v>3718</v>
      </c>
      <c r="AE169" s="8" t="s">
        <v>4083</v>
      </c>
      <c r="AF169" s="9">
        <f t="shared" si="16"/>
        <v>6.1180000000000003</v>
      </c>
      <c r="AG169" s="9">
        <f t="shared" si="17"/>
        <v>2.4699999999999998</v>
      </c>
      <c r="AH169" s="9">
        <f t="shared" si="18"/>
        <v>3.2545949742201805E-2</v>
      </c>
      <c r="AI169" s="9">
        <f t="shared" si="19"/>
        <v>1.0592388446219257E-3</v>
      </c>
      <c r="AJ169" s="9">
        <f t="shared" si="20"/>
        <v>1.8278741850117609E-2</v>
      </c>
      <c r="AK169" s="9">
        <f t="shared" si="21"/>
        <v>3.3411240362324091E-4</v>
      </c>
      <c r="AL169" s="9">
        <f t="shared" si="22"/>
        <v>1.0622944519371331E-2</v>
      </c>
      <c r="AM169" s="9">
        <f t="shared" si="23"/>
        <v>1.128469502616414E-4</v>
      </c>
      <c r="AN169" s="9" t="s">
        <v>5085</v>
      </c>
    </row>
    <row r="170" spans="13:40" ht="23">
      <c r="M170" s="9" t="s">
        <v>3216</v>
      </c>
      <c r="N170" s="8" t="s">
        <v>1902</v>
      </c>
      <c r="O170" s="8"/>
      <c r="P170" s="8"/>
      <c r="Q170" s="8"/>
      <c r="R170" s="8"/>
      <c r="S170" s="8"/>
      <c r="T170" s="8"/>
      <c r="U170" s="8"/>
      <c r="V170" s="8"/>
      <c r="W170" s="9" t="s">
        <v>3216</v>
      </c>
      <c r="X170" s="8">
        <v>14.54</v>
      </c>
      <c r="Y170" s="8">
        <v>5.45</v>
      </c>
      <c r="Z170" s="9">
        <v>6.04</v>
      </c>
      <c r="AA170" s="8">
        <v>3.7</v>
      </c>
      <c r="AB170" s="8">
        <v>22375</v>
      </c>
      <c r="AC170" s="22" t="s">
        <v>3216</v>
      </c>
      <c r="AD170" s="8" t="s">
        <v>3718</v>
      </c>
      <c r="AE170" s="8" t="s">
        <v>4083</v>
      </c>
      <c r="AF170" s="9">
        <f t="shared" si="16"/>
        <v>20.165000000000003</v>
      </c>
      <c r="AG170" s="9">
        <f t="shared" si="17"/>
        <v>22.446666666666665</v>
      </c>
      <c r="AH170" s="9">
        <f t="shared" si="18"/>
        <v>3.1689477380564914E-2</v>
      </c>
      <c r="AI170" s="9">
        <f t="shared" si="19"/>
        <v>1.0042229766533354E-3</v>
      </c>
      <c r="AJ170" s="9">
        <f t="shared" si="20"/>
        <v>6.0246948252308218E-2</v>
      </c>
      <c r="AK170" s="9">
        <f t="shared" si="21"/>
        <v>3.6296947737163043E-3</v>
      </c>
      <c r="AL170" s="9">
        <f t="shared" si="22"/>
        <v>9.653833791288334E-2</v>
      </c>
      <c r="AM170" s="9">
        <f t="shared" si="23"/>
        <v>9.3196506869820481E-3</v>
      </c>
      <c r="AN170" s="9" t="s">
        <v>3216</v>
      </c>
    </row>
    <row r="171" spans="13:40" ht="23">
      <c r="M171" s="8" t="s">
        <v>1312</v>
      </c>
      <c r="N171" s="8" t="s">
        <v>150</v>
      </c>
      <c r="O171" s="8"/>
      <c r="P171" s="8"/>
      <c r="Q171" s="8"/>
      <c r="R171" s="8"/>
      <c r="S171" s="8"/>
      <c r="T171" s="8"/>
      <c r="U171" s="8"/>
      <c r="V171" s="8"/>
      <c r="W171" s="8" t="s">
        <v>1312</v>
      </c>
      <c r="X171" s="8">
        <v>14.4</v>
      </c>
      <c r="Y171" s="8">
        <v>9.0500000000000007</v>
      </c>
      <c r="Z171" s="9">
        <v>5.58</v>
      </c>
      <c r="AA171" s="8">
        <v>3.7</v>
      </c>
      <c r="AB171" s="8">
        <v>15186</v>
      </c>
      <c r="AC171" s="21" t="s">
        <v>1312</v>
      </c>
      <c r="AD171" s="8" t="s">
        <v>3718</v>
      </c>
      <c r="AE171" s="8" t="s">
        <v>4083</v>
      </c>
      <c r="AF171" s="9">
        <f t="shared" si="16"/>
        <v>33.485000000000007</v>
      </c>
      <c r="AG171" s="9">
        <f t="shared" si="17"/>
        <v>22.076666666666668</v>
      </c>
      <c r="AH171" s="9">
        <f t="shared" si="18"/>
        <v>3.1689477380564914E-2</v>
      </c>
      <c r="AI171" s="9">
        <f t="shared" si="19"/>
        <v>1.0042229766533354E-3</v>
      </c>
      <c r="AJ171" s="9">
        <f t="shared" si="20"/>
        <v>0.10004309755658519</v>
      </c>
      <c r="AK171" s="9">
        <f t="shared" si="21"/>
        <v>1.0008621368716423E-2</v>
      </c>
      <c r="AL171" s="9">
        <f t="shared" si="22"/>
        <v>9.494704662860505E-2</v>
      </c>
      <c r="AM171" s="9">
        <f t="shared" si="23"/>
        <v>9.0149416634945009E-3</v>
      </c>
      <c r="AN171" s="8" t="s">
        <v>1312</v>
      </c>
    </row>
    <row r="172" spans="13:40" ht="23">
      <c r="M172" s="9" t="s">
        <v>2657</v>
      </c>
      <c r="N172" s="8" t="s">
        <v>150</v>
      </c>
      <c r="O172" s="8"/>
      <c r="P172" s="8" t="s">
        <v>4653</v>
      </c>
      <c r="Q172" s="8"/>
      <c r="R172" s="8"/>
      <c r="S172" s="8"/>
      <c r="T172" s="8"/>
      <c r="U172" s="8"/>
      <c r="V172" s="8"/>
      <c r="W172" s="9" t="s">
        <v>2657</v>
      </c>
      <c r="X172" s="8">
        <v>41.48</v>
      </c>
      <c r="Y172" s="8">
        <v>3.88</v>
      </c>
      <c r="Z172" s="9">
        <v>4.18</v>
      </c>
      <c r="AA172" s="8">
        <v>3.7</v>
      </c>
      <c r="AB172" s="8">
        <v>22205</v>
      </c>
      <c r="AC172" s="22" t="s">
        <v>2657</v>
      </c>
      <c r="AD172" s="8" t="s">
        <v>4176</v>
      </c>
      <c r="AE172" s="8" t="s">
        <v>4083</v>
      </c>
      <c r="AF172" s="9">
        <f t="shared" si="16"/>
        <v>14.356</v>
      </c>
      <c r="AG172" s="9">
        <f t="shared" si="17"/>
        <v>15.91</v>
      </c>
      <c r="AH172" s="9">
        <f t="shared" si="18"/>
        <v>3.1689477380564914E-2</v>
      </c>
      <c r="AI172" s="9">
        <f t="shared" si="19"/>
        <v>1.0042229766533354E-3</v>
      </c>
      <c r="AJ172" s="9">
        <f t="shared" si="20"/>
        <v>4.2891405361276294E-2</v>
      </c>
      <c r="AK172" s="9">
        <f t="shared" si="21"/>
        <v>1.8396726538653209E-3</v>
      </c>
      <c r="AL172" s="9">
        <f t="shared" si="22"/>
        <v>6.8425525223966763E-2</v>
      </c>
      <c r="AM172" s="9">
        <f t="shared" si="23"/>
        <v>4.6820525021757115E-3</v>
      </c>
      <c r="AN172" s="9" t="s">
        <v>2657</v>
      </c>
    </row>
    <row r="173" spans="13:40" ht="23">
      <c r="M173" s="8" t="s">
        <v>646</v>
      </c>
      <c r="N173" s="8" t="s">
        <v>150</v>
      </c>
      <c r="O173" s="8"/>
      <c r="P173" s="8"/>
      <c r="Q173" s="8"/>
      <c r="R173" s="8"/>
      <c r="S173" s="8"/>
      <c r="T173" s="8"/>
      <c r="U173" s="8"/>
      <c r="V173" s="8"/>
      <c r="W173" s="8" t="s">
        <v>646</v>
      </c>
      <c r="X173" s="8">
        <v>36.89</v>
      </c>
      <c r="Y173" s="8">
        <v>3.31</v>
      </c>
      <c r="Z173" s="9">
        <v>3.05</v>
      </c>
      <c r="AA173" s="8">
        <v>3.6</v>
      </c>
      <c r="AB173" s="8">
        <v>32606</v>
      </c>
      <c r="AC173" s="21" t="s">
        <v>646</v>
      </c>
      <c r="AD173" s="8" t="s">
        <v>4176</v>
      </c>
      <c r="AE173" s="8" t="s">
        <v>4083</v>
      </c>
      <c r="AF173" s="9">
        <f t="shared" si="16"/>
        <v>11.916</v>
      </c>
      <c r="AG173" s="9">
        <f t="shared" si="17"/>
        <v>11.100000000000001</v>
      </c>
      <c r="AH173" s="9">
        <f t="shared" si="18"/>
        <v>3.0833005018928026E-2</v>
      </c>
      <c r="AI173" s="9">
        <f t="shared" si="19"/>
        <v>9.5067419849724087E-4</v>
      </c>
      <c r="AJ173" s="9">
        <f t="shared" si="20"/>
        <v>3.5601420053285621E-2</v>
      </c>
      <c r="AK173" s="9">
        <f t="shared" si="21"/>
        <v>1.2674611098104874E-3</v>
      </c>
      <c r="AL173" s="9">
        <f t="shared" si="22"/>
        <v>4.7738738528348909E-2</v>
      </c>
      <c r="AM173" s="9">
        <f t="shared" si="23"/>
        <v>2.2789871562780644E-3</v>
      </c>
      <c r="AN173" s="8" t="s">
        <v>646</v>
      </c>
    </row>
    <row r="174" spans="13:40" ht="23">
      <c r="M174" s="8" t="s">
        <v>255</v>
      </c>
      <c r="N174" s="8" t="s">
        <v>150</v>
      </c>
      <c r="O174" s="8"/>
      <c r="P174" s="8"/>
      <c r="Q174" s="8"/>
      <c r="R174" s="8"/>
      <c r="S174" s="8"/>
      <c r="T174" s="8"/>
      <c r="U174" s="8"/>
      <c r="V174" s="8"/>
      <c r="W174" s="8" t="s">
        <v>255</v>
      </c>
      <c r="X174" s="8">
        <v>40.69</v>
      </c>
      <c r="Y174" s="8">
        <v>2.41</v>
      </c>
      <c r="Z174" s="9">
        <v>0.55000000000000004</v>
      </c>
      <c r="AA174" s="8">
        <v>3.6</v>
      </c>
      <c r="AB174" s="8">
        <v>47108</v>
      </c>
      <c r="AC174" s="21" t="s">
        <v>255</v>
      </c>
      <c r="AD174" s="8" t="s">
        <v>3718</v>
      </c>
      <c r="AE174" s="8" t="s">
        <v>4083</v>
      </c>
      <c r="AF174" s="9">
        <f t="shared" si="16"/>
        <v>8.6760000000000002</v>
      </c>
      <c r="AG174" s="9">
        <f t="shared" si="17"/>
        <v>3.3</v>
      </c>
      <c r="AH174" s="9">
        <f t="shared" si="18"/>
        <v>3.0833005018928026E-2</v>
      </c>
      <c r="AI174" s="9">
        <f t="shared" si="19"/>
        <v>9.5067419849724087E-4</v>
      </c>
      <c r="AJ174" s="9">
        <f t="shared" si="20"/>
        <v>2.5921275627920948E-2</v>
      </c>
      <c r="AK174" s="9">
        <f t="shared" si="21"/>
        <v>6.7191253017864858E-4</v>
      </c>
      <c r="AL174" s="9">
        <f t="shared" si="22"/>
        <v>1.4192597940860483E-2</v>
      </c>
      <c r="AM174" s="9">
        <f t="shared" si="23"/>
        <v>2.014298363109172E-4</v>
      </c>
      <c r="AN174" s="8" t="s">
        <v>255</v>
      </c>
    </row>
    <row r="175" spans="13:40" ht="23">
      <c r="M175" s="9" t="s">
        <v>2902</v>
      </c>
      <c r="N175" s="8" t="s">
        <v>1717</v>
      </c>
      <c r="O175" s="8"/>
      <c r="P175" s="8"/>
      <c r="Q175" s="8"/>
      <c r="R175" s="8"/>
      <c r="S175" s="8"/>
      <c r="T175" s="8"/>
      <c r="U175" s="8"/>
      <c r="V175" s="8"/>
      <c r="W175" s="9" t="s">
        <v>2902</v>
      </c>
      <c r="X175" s="8">
        <v>66.19</v>
      </c>
      <c r="Y175" s="8">
        <v>9.19</v>
      </c>
      <c r="Z175" s="9">
        <v>6.03</v>
      </c>
      <c r="AA175" s="8">
        <v>3.5</v>
      </c>
      <c r="AB175" s="8">
        <v>20272</v>
      </c>
      <c r="AC175" s="22" t="s">
        <v>2902</v>
      </c>
      <c r="AD175" s="8" t="s">
        <v>4371</v>
      </c>
      <c r="AE175" s="8" t="s">
        <v>4083</v>
      </c>
      <c r="AF175" s="9">
        <f t="shared" si="16"/>
        <v>32.164999999999999</v>
      </c>
      <c r="AG175" s="9">
        <f t="shared" si="17"/>
        <v>21.175000000000001</v>
      </c>
      <c r="AH175" s="9">
        <f t="shared" si="18"/>
        <v>2.9976532657291131E-2</v>
      </c>
      <c r="AI175" s="9">
        <f t="shared" si="19"/>
        <v>8.9859251015364169E-4</v>
      </c>
      <c r="AJ175" s="9">
        <f t="shared" si="20"/>
        <v>9.6099335012918091E-2</v>
      </c>
      <c r="AK175" s="9">
        <f t="shared" si="21"/>
        <v>9.2350821899250656E-3</v>
      </c>
      <c r="AL175" s="9">
        <f t="shared" si="22"/>
        <v>9.1069170120521445E-2</v>
      </c>
      <c r="AM175" s="9">
        <f t="shared" si="23"/>
        <v>8.2935937464404755E-3</v>
      </c>
      <c r="AN175" s="9" t="s">
        <v>2902</v>
      </c>
    </row>
    <row r="176" spans="13:40" ht="23">
      <c r="M176" s="8" t="s">
        <v>290</v>
      </c>
      <c r="N176" s="8" t="s">
        <v>150</v>
      </c>
      <c r="O176" s="8"/>
      <c r="P176" s="8"/>
      <c r="Q176" s="8"/>
      <c r="R176" s="8"/>
      <c r="S176" s="8"/>
      <c r="T176" s="8"/>
      <c r="U176" s="8"/>
      <c r="V176" s="8"/>
      <c r="W176" s="8" t="s">
        <v>290</v>
      </c>
      <c r="X176" s="8">
        <v>31.53</v>
      </c>
      <c r="Y176" s="8">
        <v>2.74</v>
      </c>
      <c r="Z176" s="9">
        <v>4.12</v>
      </c>
      <c r="AA176" s="8">
        <v>3.5</v>
      </c>
      <c r="AB176" s="8">
        <v>27413</v>
      </c>
      <c r="AC176" s="21" t="s">
        <v>290</v>
      </c>
      <c r="AD176" s="8" t="s">
        <v>3718</v>
      </c>
      <c r="AE176" s="8" t="s">
        <v>4083</v>
      </c>
      <c r="AF176" s="9">
        <f t="shared" si="16"/>
        <v>9.59</v>
      </c>
      <c r="AG176" s="9">
        <f t="shared" si="17"/>
        <v>14.700000000000001</v>
      </c>
      <c r="AH176" s="9">
        <f t="shared" si="18"/>
        <v>2.9976532657291131E-2</v>
      </c>
      <c r="AI176" s="9">
        <f t="shared" si="19"/>
        <v>8.9859251015364169E-4</v>
      </c>
      <c r="AJ176" s="9">
        <f t="shared" si="20"/>
        <v>2.8652032419520738E-2</v>
      </c>
      <c r="AK176" s="9">
        <f t="shared" si="21"/>
        <v>8.2093896176926742E-4</v>
      </c>
      <c r="AL176" s="9">
        <f t="shared" si="22"/>
        <v>6.3221572645651258E-2</v>
      </c>
      <c r="AM176" s="9">
        <f t="shared" si="23"/>
        <v>3.9969672477893591E-3</v>
      </c>
      <c r="AN176" s="8" t="s">
        <v>290</v>
      </c>
    </row>
    <row r="177" spans="13:40" ht="23">
      <c r="M177" s="8" t="s">
        <v>1891</v>
      </c>
      <c r="N177" s="8" t="s">
        <v>1869</v>
      </c>
      <c r="O177" s="8"/>
      <c r="P177" s="8"/>
      <c r="Q177" s="8"/>
      <c r="R177" s="8"/>
      <c r="S177" s="8"/>
      <c r="T177" s="8"/>
      <c r="U177" s="8"/>
      <c r="V177" s="8"/>
      <c r="W177" s="8" t="s">
        <v>1891</v>
      </c>
      <c r="X177" s="8">
        <v>52.3</v>
      </c>
      <c r="Y177" s="8">
        <v>1.63</v>
      </c>
      <c r="Z177" s="9">
        <v>0.37</v>
      </c>
      <c r="AA177" s="8">
        <v>3.4</v>
      </c>
      <c r="AB177" s="8">
        <v>48506</v>
      </c>
      <c r="AC177" s="21" t="s">
        <v>1891</v>
      </c>
      <c r="AD177" s="8" t="s">
        <v>3718</v>
      </c>
      <c r="AE177" s="8" t="s">
        <v>4083</v>
      </c>
      <c r="AF177" s="9">
        <f t="shared" si="16"/>
        <v>5.5419999999999998</v>
      </c>
      <c r="AG177" s="9">
        <f t="shared" si="17"/>
        <v>2.0966666666666667</v>
      </c>
      <c r="AH177" s="9">
        <f t="shared" si="18"/>
        <v>2.912006029565424E-2</v>
      </c>
      <c r="AI177" s="9">
        <f t="shared" si="19"/>
        <v>8.479779116225385E-4</v>
      </c>
      <c r="AJ177" s="9">
        <f t="shared" si="20"/>
        <v>1.6557827285608333E-2</v>
      </c>
      <c r="AK177" s="9">
        <f t="shared" si="21"/>
        <v>2.7416164442003581E-4</v>
      </c>
      <c r="AL177" s="9">
        <f t="shared" si="22"/>
        <v>9.0173172775770156E-3</v>
      </c>
      <c r="AM177" s="9">
        <f t="shared" si="23"/>
        <v>8.1312010884488958E-5</v>
      </c>
      <c r="AN177" s="8" t="s">
        <v>1891</v>
      </c>
    </row>
    <row r="178" spans="13:40" ht="23">
      <c r="M178" s="8" t="s">
        <v>1244</v>
      </c>
      <c r="N178" s="8" t="s">
        <v>150</v>
      </c>
      <c r="O178" s="8"/>
      <c r="P178" s="8"/>
      <c r="Q178" s="8"/>
      <c r="R178" s="8"/>
      <c r="S178" s="8"/>
      <c r="T178" s="8"/>
      <c r="U178" s="8"/>
      <c r="V178" s="8"/>
      <c r="W178" s="8" t="s">
        <v>1244</v>
      </c>
      <c r="X178" s="8">
        <v>36.01</v>
      </c>
      <c r="Y178" s="8">
        <v>2.27</v>
      </c>
      <c r="Z178" s="9">
        <v>1.53</v>
      </c>
      <c r="AA178" s="8">
        <v>3.3</v>
      </c>
      <c r="AB178" s="8">
        <v>37186</v>
      </c>
      <c r="AC178" s="21" t="s">
        <v>1244</v>
      </c>
      <c r="AD178" s="8" t="s">
        <v>3718</v>
      </c>
      <c r="AE178" s="8" t="s">
        <v>4083</v>
      </c>
      <c r="AF178" s="9">
        <f t="shared" si="16"/>
        <v>7.4909999999999997</v>
      </c>
      <c r="AG178" s="9">
        <f t="shared" si="17"/>
        <v>6.2149999999999999</v>
      </c>
      <c r="AH178" s="9">
        <f t="shared" si="18"/>
        <v>2.8263587934017353E-2</v>
      </c>
      <c r="AI178" s="9">
        <f t="shared" si="19"/>
        <v>7.9883040290393129E-4</v>
      </c>
      <c r="AJ178" s="9">
        <f t="shared" si="20"/>
        <v>2.2380852435310721E-2</v>
      </c>
      <c r="AK178" s="9">
        <f t="shared" si="21"/>
        <v>5.0090255573115381E-4</v>
      </c>
      <c r="AL178" s="9">
        <f t="shared" si="22"/>
        <v>2.672939278862058E-2</v>
      </c>
      <c r="AM178" s="9">
        <f t="shared" si="23"/>
        <v>7.1446043884836182E-4</v>
      </c>
      <c r="AN178" s="8" t="s">
        <v>1244</v>
      </c>
    </row>
    <row r="179" spans="13:40" ht="23">
      <c r="M179" s="9" t="s">
        <v>5093</v>
      </c>
      <c r="N179" s="8" t="s">
        <v>150</v>
      </c>
      <c r="O179" s="8"/>
      <c r="P179" s="8"/>
      <c r="Q179" s="8"/>
      <c r="R179" s="8"/>
      <c r="S179" s="8"/>
      <c r="T179" s="8"/>
      <c r="U179" s="8"/>
      <c r="V179" s="8"/>
      <c r="W179" s="9" t="s">
        <v>5093</v>
      </c>
      <c r="X179" s="8">
        <v>47.29</v>
      </c>
      <c r="Y179" s="8">
        <v>2.27</v>
      </c>
      <c r="Z179" s="9">
        <v>6.35</v>
      </c>
      <c r="AA179" s="8">
        <v>3.1</v>
      </c>
      <c r="AB179" s="8">
        <v>32679</v>
      </c>
      <c r="AC179" s="22" t="s">
        <v>5093</v>
      </c>
      <c r="AD179" s="8" t="s">
        <v>3718</v>
      </c>
      <c r="AE179" s="8" t="s">
        <v>4083</v>
      </c>
      <c r="AF179" s="9">
        <f t="shared" si="16"/>
        <v>7.0369999999999999</v>
      </c>
      <c r="AG179" s="9">
        <f t="shared" si="17"/>
        <v>20.408333333333331</v>
      </c>
      <c r="AH179" s="9">
        <f t="shared" si="18"/>
        <v>2.6550643210743574E-2</v>
      </c>
      <c r="AI179" s="9">
        <f t="shared" si="19"/>
        <v>7.0493665490420387E-4</v>
      </c>
      <c r="AJ179" s="9">
        <f t="shared" si="20"/>
        <v>2.1024437136200985E-2</v>
      </c>
      <c r="AK179" s="9">
        <f t="shared" si="21"/>
        <v>4.4202695689406706E-4</v>
      </c>
      <c r="AL179" s="9">
        <f t="shared" si="22"/>
        <v>8.7771899891836674E-2</v>
      </c>
      <c r="AM179" s="9">
        <f t="shared" si="23"/>
        <v>7.7039064106225992E-3</v>
      </c>
      <c r="AN179" s="9" t="s">
        <v>5093</v>
      </c>
    </row>
    <row r="180" spans="13:40" ht="23">
      <c r="M180" s="8" t="s">
        <v>1029</v>
      </c>
      <c r="N180" s="8" t="s">
        <v>150</v>
      </c>
      <c r="O180" s="8"/>
      <c r="P180" s="8"/>
      <c r="Q180" s="8"/>
      <c r="R180" s="8"/>
      <c r="S180" s="8"/>
      <c r="T180" s="8"/>
      <c r="U180" s="8"/>
      <c r="V180" s="8"/>
      <c r="W180" s="8" t="s">
        <v>1029</v>
      </c>
      <c r="X180" s="8">
        <v>40.44</v>
      </c>
      <c r="Y180" s="8">
        <v>1.91</v>
      </c>
      <c r="Z180" s="9">
        <v>1.38</v>
      </c>
      <c r="AA180" s="8">
        <v>3.1</v>
      </c>
      <c r="AB180" s="8">
        <v>40952</v>
      </c>
      <c r="AC180" s="21" t="s">
        <v>1029</v>
      </c>
      <c r="AD180" s="8" t="s">
        <v>3718</v>
      </c>
      <c r="AE180" s="8" t="s">
        <v>4083</v>
      </c>
      <c r="AF180" s="9">
        <f t="shared" si="16"/>
        <v>5.9210000000000003</v>
      </c>
      <c r="AG180" s="9">
        <f t="shared" si="17"/>
        <v>5.0633333333333335</v>
      </c>
      <c r="AH180" s="9">
        <f t="shared" si="18"/>
        <v>2.6550643210743574E-2</v>
      </c>
      <c r="AI180" s="9">
        <f t="shared" si="19"/>
        <v>7.0493665490420387E-4</v>
      </c>
      <c r="AJ180" s="9">
        <f t="shared" si="20"/>
        <v>1.7690165167464265E-2</v>
      </c>
      <c r="AK180" s="9">
        <f t="shared" si="21"/>
        <v>3.1294194365216602E-4</v>
      </c>
      <c r="AL180" s="9">
        <f t="shared" si="22"/>
        <v>2.1776319466835434E-2</v>
      </c>
      <c r="AM180" s="9">
        <f t="shared" si="23"/>
        <v>4.7420808952167588E-4</v>
      </c>
      <c r="AN180" s="8" t="s">
        <v>1029</v>
      </c>
    </row>
    <row r="181" spans="13:40" ht="23">
      <c r="M181" s="9" t="s">
        <v>2366</v>
      </c>
      <c r="N181" s="8"/>
      <c r="O181" s="8"/>
      <c r="P181" s="8"/>
      <c r="Q181" s="8"/>
      <c r="R181" s="8"/>
      <c r="S181" s="8"/>
      <c r="T181" s="8"/>
      <c r="U181" s="8"/>
      <c r="V181" s="8"/>
      <c r="W181" s="9" t="s">
        <v>2366</v>
      </c>
      <c r="X181" s="8">
        <v>21.82</v>
      </c>
      <c r="Y181" s="8">
        <v>2.33</v>
      </c>
      <c r="Z181" s="9">
        <v>1.26</v>
      </c>
      <c r="AA181" s="8">
        <v>3.1</v>
      </c>
      <c r="AB181" s="8">
        <v>47441</v>
      </c>
      <c r="AC181" s="22" t="s">
        <v>2366</v>
      </c>
      <c r="AD181" s="8" t="s">
        <v>3718</v>
      </c>
      <c r="AE181" s="8" t="s">
        <v>4083</v>
      </c>
      <c r="AF181" s="9">
        <f t="shared" si="16"/>
        <v>7.2230000000000008</v>
      </c>
      <c r="AG181" s="9">
        <f t="shared" si="17"/>
        <v>4.4433333333333334</v>
      </c>
      <c r="AH181" s="9">
        <f t="shared" si="18"/>
        <v>2.6550643210743574E-2</v>
      </c>
      <c r="AI181" s="9">
        <f t="shared" si="19"/>
        <v>7.0493665490420387E-4</v>
      </c>
      <c r="AJ181" s="9">
        <f t="shared" si="20"/>
        <v>2.1580149130990437E-2</v>
      </c>
      <c r="AK181" s="9">
        <f t="shared" si="21"/>
        <v>4.6570283651578732E-4</v>
      </c>
      <c r="AL181" s="9">
        <f t="shared" si="22"/>
        <v>1.9109831368855582E-2</v>
      </c>
      <c r="AM181" s="9">
        <f t="shared" si="23"/>
        <v>3.6518565494609684E-4</v>
      </c>
      <c r="AN181" s="9" t="s">
        <v>2366</v>
      </c>
    </row>
    <row r="182" spans="13:40" ht="23">
      <c r="M182" s="9" t="s">
        <v>2793</v>
      </c>
      <c r="N182" s="8" t="s">
        <v>1614</v>
      </c>
      <c r="O182" s="8"/>
      <c r="P182" s="8"/>
      <c r="Q182" s="8"/>
      <c r="R182" s="8"/>
      <c r="S182" s="8"/>
      <c r="T182" s="8"/>
      <c r="U182" s="8"/>
      <c r="V182" s="8"/>
      <c r="W182" s="9" t="s">
        <v>2793</v>
      </c>
      <c r="X182" s="8">
        <v>44.46</v>
      </c>
      <c r="Y182" s="8">
        <v>1.43</v>
      </c>
      <c r="Z182" s="9">
        <v>0.36</v>
      </c>
      <c r="AA182" s="8">
        <v>3.1</v>
      </c>
      <c r="AB182" s="8">
        <v>49135</v>
      </c>
      <c r="AC182" s="22" t="s">
        <v>2793</v>
      </c>
      <c r="AD182" s="8" t="s">
        <v>3718</v>
      </c>
      <c r="AE182" s="8" t="s">
        <v>4083</v>
      </c>
      <c r="AF182" s="9">
        <f t="shared" si="16"/>
        <v>4.4329999999999998</v>
      </c>
      <c r="AG182" s="9">
        <f t="shared" si="17"/>
        <v>1.8599999999999999</v>
      </c>
      <c r="AH182" s="9">
        <f t="shared" si="18"/>
        <v>2.6550643210743574E-2</v>
      </c>
      <c r="AI182" s="9">
        <f t="shared" si="19"/>
        <v>7.0493665490420387E-4</v>
      </c>
      <c r="AJ182" s="9">
        <f t="shared" si="20"/>
        <v>1.3244469209148638E-2</v>
      </c>
      <c r="AK182" s="9">
        <f t="shared" si="21"/>
        <v>1.7541596463208634E-4</v>
      </c>
      <c r="AL182" s="9">
        <f t="shared" si="22"/>
        <v>7.9994642939395458E-3</v>
      </c>
      <c r="AM182" s="9">
        <f t="shared" si="23"/>
        <v>6.3991428990013723E-5</v>
      </c>
      <c r="AN182" s="9" t="s">
        <v>2793</v>
      </c>
    </row>
    <row r="183" spans="13:40" ht="23">
      <c r="M183" s="9" t="s">
        <v>2770</v>
      </c>
      <c r="N183" s="8" t="s">
        <v>1614</v>
      </c>
      <c r="O183" s="8"/>
      <c r="P183" s="8"/>
      <c r="Q183" s="8"/>
      <c r="R183" s="8"/>
      <c r="S183" s="8"/>
      <c r="T183" s="8"/>
      <c r="U183" s="8"/>
      <c r="V183" s="8"/>
      <c r="W183" s="9" t="s">
        <v>2770</v>
      </c>
      <c r="X183" s="8">
        <v>44.46</v>
      </c>
      <c r="Y183" s="8">
        <v>1.43</v>
      </c>
      <c r="Z183" s="9">
        <v>0.36</v>
      </c>
      <c r="AA183" s="8">
        <v>3.1</v>
      </c>
      <c r="AB183" s="8">
        <v>49135</v>
      </c>
      <c r="AC183" s="22" t="s">
        <v>2770</v>
      </c>
      <c r="AD183" s="8" t="s">
        <v>3718</v>
      </c>
      <c r="AE183" s="8" t="s">
        <v>4083</v>
      </c>
      <c r="AF183" s="9">
        <f t="shared" si="16"/>
        <v>4.4329999999999998</v>
      </c>
      <c r="AG183" s="9">
        <f t="shared" si="17"/>
        <v>1.8599999999999999</v>
      </c>
      <c r="AH183" s="9">
        <f t="shared" si="18"/>
        <v>2.6550643210743574E-2</v>
      </c>
      <c r="AI183" s="9">
        <f t="shared" si="19"/>
        <v>7.0493665490420387E-4</v>
      </c>
      <c r="AJ183" s="9">
        <f t="shared" si="20"/>
        <v>1.3244469209148638E-2</v>
      </c>
      <c r="AK183" s="9">
        <f t="shared" si="21"/>
        <v>1.7541596463208634E-4</v>
      </c>
      <c r="AL183" s="9">
        <f t="shared" si="22"/>
        <v>7.9994642939395458E-3</v>
      </c>
      <c r="AM183" s="9">
        <f t="shared" si="23"/>
        <v>6.3991428990013723E-5</v>
      </c>
      <c r="AN183" s="9" t="s">
        <v>2770</v>
      </c>
    </row>
    <row r="184" spans="13:40" ht="23">
      <c r="M184" s="8" t="s">
        <v>5102</v>
      </c>
      <c r="N184" s="8" t="s">
        <v>150</v>
      </c>
      <c r="O184" s="8"/>
      <c r="P184" s="8"/>
      <c r="Q184" s="8"/>
      <c r="R184" s="8"/>
      <c r="S184" s="8"/>
      <c r="T184" s="8"/>
      <c r="U184" s="8"/>
      <c r="V184" s="8"/>
      <c r="W184" s="8" t="s">
        <v>5102</v>
      </c>
      <c r="X184" s="8">
        <v>4.51</v>
      </c>
      <c r="Y184" s="8">
        <v>8.1300000000000008</v>
      </c>
      <c r="Z184" s="9">
        <v>9.27</v>
      </c>
      <c r="AA184" s="8">
        <v>2.9</v>
      </c>
      <c r="AB184" s="8">
        <v>19922</v>
      </c>
      <c r="AC184" s="21" t="s">
        <v>5102</v>
      </c>
      <c r="AD184" s="8" t="s">
        <v>3718</v>
      </c>
      <c r="AE184" s="8" t="s">
        <v>4083</v>
      </c>
      <c r="AF184" s="9">
        <f t="shared" si="16"/>
        <v>23.577000000000002</v>
      </c>
      <c r="AG184" s="9">
        <f t="shared" si="17"/>
        <v>27.404999999999998</v>
      </c>
      <c r="AH184" s="9">
        <f t="shared" si="18"/>
        <v>2.4837698487469792E-2</v>
      </c>
      <c r="AI184" s="9">
        <f t="shared" si="19"/>
        <v>6.1691126615445919E-4</v>
      </c>
      <c r="AJ184" s="9">
        <f t="shared" si="20"/>
        <v>7.0440976887908277E-2</v>
      </c>
      <c r="AK184" s="9">
        <f t="shared" si="21"/>
        <v>4.9619312249228279E-3</v>
      </c>
      <c r="AL184" s="9">
        <f t="shared" si="22"/>
        <v>0.1178630747179641</v>
      </c>
      <c r="AM184" s="9">
        <f t="shared" si="23"/>
        <v>1.3891704381972389E-2</v>
      </c>
      <c r="AN184" s="8" t="s">
        <v>5102</v>
      </c>
    </row>
    <row r="185" spans="13:40" ht="23">
      <c r="M185" s="9" t="s">
        <v>3092</v>
      </c>
      <c r="N185" s="8" t="s">
        <v>1814</v>
      </c>
      <c r="O185" s="8"/>
      <c r="P185" s="8"/>
      <c r="Q185" s="8"/>
      <c r="R185" s="8"/>
      <c r="S185" s="8"/>
      <c r="T185" s="8"/>
      <c r="U185" s="8"/>
      <c r="V185" s="8"/>
      <c r="W185" s="9" t="s">
        <v>3092</v>
      </c>
      <c r="X185" s="8">
        <v>48.55</v>
      </c>
      <c r="Y185" s="8">
        <v>3.54</v>
      </c>
      <c r="Z185" s="9">
        <v>3.24</v>
      </c>
      <c r="AA185" s="8">
        <v>2.9</v>
      </c>
      <c r="AB185" s="8">
        <v>28550</v>
      </c>
      <c r="AC185" s="22" t="s">
        <v>3092</v>
      </c>
      <c r="AD185" s="8" t="s">
        <v>3718</v>
      </c>
      <c r="AE185" s="8" t="s">
        <v>4083</v>
      </c>
      <c r="AF185" s="9">
        <f t="shared" si="16"/>
        <v>10.266</v>
      </c>
      <c r="AG185" s="9">
        <f t="shared" si="17"/>
        <v>9.86</v>
      </c>
      <c r="AH185" s="9">
        <f t="shared" si="18"/>
        <v>2.4837698487469792E-2</v>
      </c>
      <c r="AI185" s="9">
        <f t="shared" si="19"/>
        <v>6.1691126615445919E-4</v>
      </c>
      <c r="AJ185" s="9">
        <f t="shared" si="20"/>
        <v>3.0671716873701758E-2</v>
      </c>
      <c r="AK185" s="9">
        <f t="shared" si="21"/>
        <v>9.4075421598052115E-4</v>
      </c>
      <c r="AL185" s="9">
        <f t="shared" si="22"/>
        <v>4.2405762332389206E-2</v>
      </c>
      <c r="AM185" s="9">
        <f t="shared" si="23"/>
        <v>1.7982486789910792E-3</v>
      </c>
      <c r="AN185" s="9" t="s">
        <v>3092</v>
      </c>
    </row>
    <row r="186" spans="13:40" ht="23">
      <c r="M186" s="8" t="s">
        <v>685</v>
      </c>
      <c r="N186" s="8" t="s">
        <v>150</v>
      </c>
      <c r="O186" s="8"/>
      <c r="P186" s="8"/>
      <c r="Q186" s="8"/>
      <c r="R186" s="8"/>
      <c r="S186" s="8"/>
      <c r="T186" s="8"/>
      <c r="U186" s="8"/>
      <c r="V186" s="8"/>
      <c r="W186" s="8" t="s">
        <v>685</v>
      </c>
      <c r="X186" s="8">
        <v>34.07</v>
      </c>
      <c r="Y186" s="8">
        <v>6.96</v>
      </c>
      <c r="Z186" s="9">
        <v>3.2</v>
      </c>
      <c r="AA186" s="8">
        <v>2.9</v>
      </c>
      <c r="AB186" s="8">
        <v>22552</v>
      </c>
      <c r="AC186" s="21" t="s">
        <v>685</v>
      </c>
      <c r="AD186" s="8" t="s">
        <v>4375</v>
      </c>
      <c r="AE186" s="8" t="s">
        <v>4083</v>
      </c>
      <c r="AF186" s="9">
        <f t="shared" si="16"/>
        <v>20.184000000000001</v>
      </c>
      <c r="AG186" s="9">
        <f t="shared" si="17"/>
        <v>8.7096666666666671</v>
      </c>
      <c r="AH186" s="9">
        <f t="shared" si="18"/>
        <v>2.4837698487469792E-2</v>
      </c>
      <c r="AI186" s="9">
        <f t="shared" si="19"/>
        <v>6.1691126615445919E-4</v>
      </c>
      <c r="AJ186" s="9">
        <f t="shared" si="20"/>
        <v>6.0303714531345837E-2</v>
      </c>
      <c r="AK186" s="9">
        <f t="shared" si="21"/>
        <v>3.636537986278051E-3</v>
      </c>
      <c r="AL186" s="9">
        <f t="shared" si="22"/>
        <v>3.7458423393610468E-2</v>
      </c>
      <c r="AM186" s="9">
        <f t="shared" si="23"/>
        <v>1.403133483134984E-3</v>
      </c>
      <c r="AN186" s="8" t="s">
        <v>685</v>
      </c>
    </row>
    <row r="187" spans="13:40" ht="23">
      <c r="M187" s="9" t="s">
        <v>4979</v>
      </c>
      <c r="N187" s="8"/>
      <c r="O187" s="8"/>
      <c r="P187" s="8"/>
      <c r="Q187" s="8"/>
      <c r="R187" s="8"/>
      <c r="S187" s="8"/>
      <c r="T187" s="8"/>
      <c r="U187" s="8"/>
      <c r="V187" s="8"/>
      <c r="W187" s="9" t="s">
        <v>4979</v>
      </c>
      <c r="X187" s="8">
        <v>38.520000000000003</v>
      </c>
      <c r="Y187" s="8">
        <v>3.1</v>
      </c>
      <c r="Z187" s="9">
        <v>2.0099999999999998</v>
      </c>
      <c r="AA187" s="8">
        <v>2.9</v>
      </c>
      <c r="AB187" s="8">
        <v>35235</v>
      </c>
      <c r="AC187" s="22" t="s">
        <v>4979</v>
      </c>
      <c r="AD187" s="8" t="s">
        <v>3718</v>
      </c>
      <c r="AE187" s="8" t="s">
        <v>4083</v>
      </c>
      <c r="AF187" s="9">
        <f t="shared" si="16"/>
        <v>8.99</v>
      </c>
      <c r="AG187" s="9">
        <f t="shared" si="17"/>
        <v>5.8483333333333327</v>
      </c>
      <c r="AH187" s="9">
        <f t="shared" si="18"/>
        <v>2.4837698487469792E-2</v>
      </c>
      <c r="AI187" s="9">
        <f t="shared" si="19"/>
        <v>6.1691126615445919E-4</v>
      </c>
      <c r="AJ187" s="9">
        <f t="shared" si="20"/>
        <v>2.685941308149024E-2</v>
      </c>
      <c r="AK187" s="9">
        <f t="shared" si="21"/>
        <v>7.2142807108212909E-4</v>
      </c>
      <c r="AL187" s="9">
        <f t="shared" si="22"/>
        <v>2.5152437461858298E-2</v>
      </c>
      <c r="AM187" s="9">
        <f t="shared" si="23"/>
        <v>6.3264511027269271E-4</v>
      </c>
      <c r="AN187" s="9" t="s">
        <v>4979</v>
      </c>
    </row>
    <row r="188" spans="13:40" ht="23">
      <c r="M188" s="8" t="s">
        <v>175</v>
      </c>
      <c r="N188" s="8" t="s">
        <v>150</v>
      </c>
      <c r="O188" s="8"/>
      <c r="P188" s="8"/>
      <c r="Q188" s="8"/>
      <c r="R188" s="8"/>
      <c r="S188" s="8"/>
      <c r="T188" s="8"/>
      <c r="U188" s="8"/>
      <c r="V188" s="8"/>
      <c r="W188" s="8" t="s">
        <v>175</v>
      </c>
      <c r="X188" s="8">
        <v>28.57</v>
      </c>
      <c r="Y188" s="8">
        <v>6.01</v>
      </c>
      <c r="Z188" s="9">
        <v>1.47</v>
      </c>
      <c r="AA188" s="8">
        <v>2.8</v>
      </c>
      <c r="AB188" s="8">
        <v>21318</v>
      </c>
      <c r="AC188" s="21" t="s">
        <v>175</v>
      </c>
      <c r="AD188" s="8" t="s">
        <v>3718</v>
      </c>
      <c r="AE188" s="8" t="s">
        <v>4083</v>
      </c>
      <c r="AF188" s="9">
        <f t="shared" si="16"/>
        <v>16.827999999999999</v>
      </c>
      <c r="AG188" s="9">
        <f t="shared" si="17"/>
        <v>4.9933333333333323</v>
      </c>
      <c r="AH188" s="9">
        <f t="shared" si="18"/>
        <v>2.3981226125832904E-2</v>
      </c>
      <c r="AI188" s="9">
        <f t="shared" si="19"/>
        <v>5.7509920649833062E-4</v>
      </c>
      <c r="AJ188" s="9">
        <f t="shared" si="20"/>
        <v>5.0276997033961934E-2</v>
      </c>
      <c r="AK188" s="9">
        <f t="shared" si="21"/>
        <v>2.5277764307530173E-3</v>
      </c>
      <c r="AL188" s="9">
        <f t="shared" si="22"/>
        <v>2.1475264358998991E-2</v>
      </c>
      <c r="AM188" s="9">
        <f t="shared" si="23"/>
        <v>4.6118697928889237E-4</v>
      </c>
      <c r="AN188" s="8" t="s">
        <v>175</v>
      </c>
    </row>
    <row r="189" spans="13:40" ht="23">
      <c r="M189" s="8" t="s">
        <v>5045</v>
      </c>
      <c r="N189" s="8" t="s">
        <v>150</v>
      </c>
      <c r="O189" s="8"/>
      <c r="P189" s="8"/>
      <c r="Q189" s="8"/>
      <c r="R189" s="8"/>
      <c r="S189" s="8"/>
      <c r="T189" s="8"/>
      <c r="U189" s="8"/>
      <c r="V189" s="8"/>
      <c r="W189" s="8" t="s">
        <v>5045</v>
      </c>
      <c r="X189" s="8">
        <v>39.549999999999997</v>
      </c>
      <c r="Y189" s="8">
        <v>5.45</v>
      </c>
      <c r="Z189" s="9">
        <v>3.59</v>
      </c>
      <c r="AA189" s="8">
        <v>2.6</v>
      </c>
      <c r="AB189" s="8">
        <v>31989</v>
      </c>
      <c r="AC189" s="21" t="s">
        <v>5045</v>
      </c>
      <c r="AD189" s="8" t="s">
        <v>3718</v>
      </c>
      <c r="AE189" s="8" t="s">
        <v>4083</v>
      </c>
      <c r="AF189" s="9">
        <f t="shared" si="16"/>
        <v>14.170000000000002</v>
      </c>
      <c r="AG189" s="9">
        <f t="shared" si="17"/>
        <v>10.356666666666667</v>
      </c>
      <c r="AH189" s="9">
        <f t="shared" si="18"/>
        <v>2.2268281402559126E-2</v>
      </c>
      <c r="AI189" s="9">
        <f t="shared" si="19"/>
        <v>4.9587635662356067E-4</v>
      </c>
      <c r="AJ189" s="9">
        <f t="shared" si="20"/>
        <v>4.2335693366486848E-2</v>
      </c>
      <c r="AK189" s="9">
        <f t="shared" si="21"/>
        <v>1.7923109328211986E-3</v>
      </c>
      <c r="AL189" s="9">
        <f t="shared" si="22"/>
        <v>4.4541820002276293E-2</v>
      </c>
      <c r="AM189" s="9">
        <f t="shared" si="23"/>
        <v>1.9839737291151805E-3</v>
      </c>
      <c r="AN189" s="8" t="s">
        <v>5045</v>
      </c>
    </row>
    <row r="190" spans="13:40" ht="23">
      <c r="M190" s="24" t="s">
        <v>5103</v>
      </c>
      <c r="N190" s="24" t="s">
        <v>1614</v>
      </c>
      <c r="O190" s="24"/>
      <c r="P190" s="24"/>
      <c r="Q190" s="24"/>
      <c r="R190" s="24"/>
      <c r="S190" s="24"/>
      <c r="T190" s="24"/>
      <c r="U190" s="24"/>
      <c r="V190" s="24"/>
      <c r="W190" s="24" t="s">
        <v>5103</v>
      </c>
      <c r="X190" s="24">
        <v>43.53</v>
      </c>
      <c r="Y190" s="24">
        <v>1.85</v>
      </c>
      <c r="Z190" s="25">
        <v>1.54</v>
      </c>
      <c r="AA190" s="24">
        <v>2.6</v>
      </c>
      <c r="AB190" s="24">
        <v>45173</v>
      </c>
      <c r="AC190" s="21" t="s">
        <v>5103</v>
      </c>
      <c r="AD190" s="8" t="s">
        <v>3718</v>
      </c>
      <c r="AE190" s="8" t="s">
        <v>4083</v>
      </c>
      <c r="AF190" s="25">
        <f t="shared" si="16"/>
        <v>4.8100000000000005</v>
      </c>
      <c r="AG190" s="25">
        <f t="shared" si="17"/>
        <v>4.9399999999999995</v>
      </c>
      <c r="AH190" s="25">
        <f t="shared" si="18"/>
        <v>2.2268281402559126E-2</v>
      </c>
      <c r="AI190" s="25">
        <f t="shared" si="19"/>
        <v>4.9587635662356067E-4</v>
      </c>
      <c r="AJ190" s="25">
        <f t="shared" si="20"/>
        <v>1.4370831693211131E-2</v>
      </c>
      <c r="AK190" s="25">
        <f t="shared" si="21"/>
        <v>2.0652080355460152E-4</v>
      </c>
      <c r="AL190" s="25">
        <f t="shared" si="22"/>
        <v>2.1245889038742662E-2</v>
      </c>
      <c r="AM190" s="25">
        <f t="shared" si="23"/>
        <v>4.5138780104656559E-4</v>
      </c>
      <c r="AN190" s="24" t="s">
        <v>5103</v>
      </c>
    </row>
    <row r="191" spans="13:40" ht="23">
      <c r="M191" s="9" t="s">
        <v>5013</v>
      </c>
      <c r="N191" s="8" t="s">
        <v>150</v>
      </c>
      <c r="O191" s="8"/>
      <c r="P191" s="8"/>
      <c r="Q191" s="8"/>
      <c r="R191" s="8"/>
      <c r="S191" s="8"/>
      <c r="T191" s="8"/>
      <c r="U191" s="8"/>
      <c r="V191" s="8"/>
      <c r="W191" s="9" t="s">
        <v>5013</v>
      </c>
      <c r="X191" s="8">
        <v>62.2</v>
      </c>
      <c r="Y191" s="8">
        <v>1.64</v>
      </c>
      <c r="Z191" s="9">
        <v>0.42</v>
      </c>
      <c r="AA191" s="8">
        <v>2.6</v>
      </c>
      <c r="AB191" s="8">
        <v>55754</v>
      </c>
      <c r="AC191" s="22" t="s">
        <v>5013</v>
      </c>
      <c r="AD191" s="8" t="s">
        <v>4176</v>
      </c>
      <c r="AE191" s="8" t="s">
        <v>4083</v>
      </c>
      <c r="AF191" s="9">
        <f t="shared" si="16"/>
        <v>4.2640000000000002</v>
      </c>
      <c r="AG191" s="9">
        <f t="shared" si="17"/>
        <v>1.8199999999999998</v>
      </c>
      <c r="AH191" s="9">
        <f t="shared" si="18"/>
        <v>2.2268281402559126E-2</v>
      </c>
      <c r="AI191" s="9">
        <f t="shared" si="19"/>
        <v>4.9587635662356067E-4</v>
      </c>
      <c r="AJ191" s="9">
        <f t="shared" si="20"/>
        <v>1.2739548095603383E-2</v>
      </c>
      <c r="AK191" s="9">
        <f t="shared" si="21"/>
        <v>1.6229608568019176E-4</v>
      </c>
      <c r="AL191" s="9">
        <f t="shared" si="22"/>
        <v>7.8274328037472966E-3</v>
      </c>
      <c r="AM191" s="9">
        <f t="shared" si="23"/>
        <v>6.1268704297179263E-5</v>
      </c>
      <c r="AN191" s="9" t="s">
        <v>5013</v>
      </c>
    </row>
    <row r="192" spans="13:40" ht="23">
      <c r="M192" s="8" t="s">
        <v>297</v>
      </c>
      <c r="N192" s="8" t="s">
        <v>150</v>
      </c>
      <c r="O192" s="8"/>
      <c r="P192" s="8"/>
      <c r="Q192" s="8"/>
      <c r="R192" s="8"/>
      <c r="S192" s="8"/>
      <c r="T192" s="8"/>
      <c r="U192" s="8"/>
      <c r="V192" s="8"/>
      <c r="W192" s="8" t="s">
        <v>297</v>
      </c>
      <c r="X192" s="8">
        <v>49.61</v>
      </c>
      <c r="Y192" s="8">
        <v>1.93</v>
      </c>
      <c r="Z192" s="9">
        <v>0.54</v>
      </c>
      <c r="AA192" s="8">
        <v>2.5</v>
      </c>
      <c r="AB192" s="8">
        <v>36138</v>
      </c>
      <c r="AC192" s="21" t="s">
        <v>297</v>
      </c>
      <c r="AD192" s="8" t="s">
        <v>4176</v>
      </c>
      <c r="AE192" s="8" t="s">
        <v>4083</v>
      </c>
      <c r="AF192" s="9">
        <f t="shared" si="16"/>
        <v>4.8250000000000002</v>
      </c>
      <c r="AG192" s="9">
        <f t="shared" si="17"/>
        <v>2.25</v>
      </c>
      <c r="AH192" s="9">
        <f t="shared" si="18"/>
        <v>2.1411809040922238E-2</v>
      </c>
      <c r="AI192" s="9">
        <f t="shared" si="19"/>
        <v>4.584655664049193E-4</v>
      </c>
      <c r="AJ192" s="9">
        <f t="shared" si="20"/>
        <v>1.4415647176661894E-2</v>
      </c>
      <c r="AK192" s="9">
        <f t="shared" si="21"/>
        <v>2.0781088352200003E-4</v>
      </c>
      <c r="AL192" s="9">
        <f t="shared" si="22"/>
        <v>9.6767713233139666E-3</v>
      </c>
      <c r="AM192" s="9">
        <f t="shared" si="23"/>
        <v>9.3639903243711531E-5</v>
      </c>
      <c r="AN192" s="8" t="s">
        <v>297</v>
      </c>
    </row>
    <row r="193" spans="13:40" ht="23">
      <c r="M193" s="8" t="s">
        <v>182</v>
      </c>
      <c r="N193" s="8" t="s">
        <v>150</v>
      </c>
      <c r="O193" s="8"/>
      <c r="P193" s="8"/>
      <c r="Q193" s="8"/>
      <c r="R193" s="8"/>
      <c r="S193" s="8"/>
      <c r="T193" s="8"/>
      <c r="U193" s="8"/>
      <c r="V193" s="8"/>
      <c r="W193" s="8" t="s">
        <v>182</v>
      </c>
      <c r="X193" s="8">
        <v>11.69</v>
      </c>
      <c r="Y193" s="8">
        <v>7.33</v>
      </c>
      <c r="Z193" s="9">
        <v>3.37</v>
      </c>
      <c r="AA193" s="8">
        <v>2.4</v>
      </c>
      <c r="AB193" s="8">
        <v>31725</v>
      </c>
      <c r="AC193" s="21" t="s">
        <v>182</v>
      </c>
      <c r="AD193" s="8" t="s">
        <v>3718</v>
      </c>
      <c r="AE193" s="8" t="s">
        <v>4083</v>
      </c>
      <c r="AF193" s="9">
        <f t="shared" si="16"/>
        <v>17.591999999999999</v>
      </c>
      <c r="AG193" s="9">
        <f t="shared" si="17"/>
        <v>8.68</v>
      </c>
      <c r="AH193" s="9">
        <f t="shared" si="18"/>
        <v>2.0555336679285347E-2</v>
      </c>
      <c r="AI193" s="9">
        <f t="shared" si="19"/>
        <v>4.2252186599877359E-4</v>
      </c>
      <c r="AJ193" s="9">
        <f t="shared" si="20"/>
        <v>5.2559598991054092E-2</v>
      </c>
      <c r="AK193" s="9">
        <f t="shared" si="21"/>
        <v>2.7625114461004145E-3</v>
      </c>
      <c r="AL193" s="9">
        <f t="shared" si="22"/>
        <v>3.7330833371717879E-2</v>
      </c>
      <c r="AM193" s="9">
        <f t="shared" si="23"/>
        <v>1.3935911202269653E-3</v>
      </c>
      <c r="AN193" s="8" t="s">
        <v>182</v>
      </c>
    </row>
    <row r="194" spans="13:40" ht="23">
      <c r="M194" s="9" t="s">
        <v>5012</v>
      </c>
      <c r="N194" s="8" t="s">
        <v>150</v>
      </c>
      <c r="O194" s="8"/>
      <c r="P194" s="8"/>
      <c r="Q194" s="8"/>
      <c r="R194" s="8"/>
      <c r="S194" s="8"/>
      <c r="T194" s="8"/>
      <c r="U194" s="8"/>
      <c r="V194" s="8"/>
      <c r="W194" s="9" t="s">
        <v>5012</v>
      </c>
      <c r="X194" s="8">
        <v>34.94</v>
      </c>
      <c r="Y194" s="8">
        <v>2.2799999999999998</v>
      </c>
      <c r="Z194" s="9">
        <v>1.24</v>
      </c>
      <c r="AA194" s="8">
        <v>2.4</v>
      </c>
      <c r="AB194" s="8">
        <v>58868</v>
      </c>
      <c r="AC194" s="22" t="s">
        <v>5012</v>
      </c>
      <c r="AD194" s="8" t="s">
        <v>3718</v>
      </c>
      <c r="AE194" s="8" t="s">
        <v>4083</v>
      </c>
      <c r="AF194" s="9">
        <f t="shared" ref="AF194:AF229" si="24">(AA194*Y194)</f>
        <v>5.4719999999999995</v>
      </c>
      <c r="AG194" s="9">
        <f t="shared" ref="AG194:AG229" si="25">((((RIGHT(Z194,2))/60)+(LEFT(Z194,2)))*AA194)</f>
        <v>3.36</v>
      </c>
      <c r="AH194" s="9">
        <f t="shared" ref="AH194:AH229" si="26">(AA194/$AA$230)*100</f>
        <v>2.0555336679285347E-2</v>
      </c>
      <c r="AI194" s="9">
        <f t="shared" ref="AI194:AI229" si="27">(AH194*AH194)</f>
        <v>4.2252186599877359E-4</v>
      </c>
      <c r="AJ194" s="9">
        <f t="shared" ref="AJ194:AJ229" si="28">(AF194/$AF$230)*100</f>
        <v>1.634868836283811E-2</v>
      </c>
      <c r="AK194" s="9">
        <f t="shared" ref="AK194:AK229" si="29">(AJ194*AJ194)</f>
        <v>2.6727961118519825E-4</v>
      </c>
      <c r="AL194" s="9">
        <f t="shared" ref="AL194:AL229" si="30">(AG194/$AG$230)*100</f>
        <v>1.4450645176148857E-2</v>
      </c>
      <c r="AM194" s="9">
        <f t="shared" ref="AM194:AM229" si="31">(AL194*AL194)</f>
        <v>2.0882114600695423E-4</v>
      </c>
      <c r="AN194" s="9" t="s">
        <v>5012</v>
      </c>
    </row>
    <row r="195" spans="13:40" ht="23">
      <c r="M195" s="8" t="s">
        <v>951</v>
      </c>
      <c r="N195" s="8" t="s">
        <v>150</v>
      </c>
      <c r="O195" s="8"/>
      <c r="P195" s="8" t="s">
        <v>3691</v>
      </c>
      <c r="Q195" s="8"/>
      <c r="R195" s="8"/>
      <c r="S195" s="8"/>
      <c r="T195" s="8"/>
      <c r="U195" s="8"/>
      <c r="V195" s="8"/>
      <c r="W195" s="8" t="s">
        <v>951</v>
      </c>
      <c r="X195" s="8">
        <v>10.46</v>
      </c>
      <c r="Y195" s="8">
        <v>12.02</v>
      </c>
      <c r="Z195" s="9">
        <v>8.09</v>
      </c>
      <c r="AA195" s="8">
        <v>2.2999999999999998</v>
      </c>
      <c r="AB195" s="8">
        <v>31023</v>
      </c>
      <c r="AC195" s="21" t="s">
        <v>951</v>
      </c>
      <c r="AD195" s="8" t="s">
        <v>4374</v>
      </c>
      <c r="AE195" s="8" t="s">
        <v>4083</v>
      </c>
      <c r="AF195" s="9">
        <f t="shared" si="24"/>
        <v>27.645999999999997</v>
      </c>
      <c r="AG195" s="9">
        <f t="shared" si="25"/>
        <v>18.745000000000001</v>
      </c>
      <c r="AH195" s="9">
        <f t="shared" si="26"/>
        <v>1.9698864317648456E-2</v>
      </c>
      <c r="AI195" s="9">
        <f t="shared" si="27"/>
        <v>3.8804525540512359E-4</v>
      </c>
      <c r="AJ195" s="9">
        <f t="shared" si="28"/>
        <v>8.2597923698651751E-2</v>
      </c>
      <c r="AK195" s="9">
        <f t="shared" si="29"/>
        <v>6.8224169993282967E-3</v>
      </c>
      <c r="AL195" s="9">
        <f t="shared" si="30"/>
        <v>8.0618257091342363E-2</v>
      </c>
      <c r="AM195" s="9">
        <f t="shared" si="31"/>
        <v>6.4993033764457735E-3</v>
      </c>
      <c r="AN195" s="8" t="s">
        <v>951</v>
      </c>
    </row>
    <row r="196" spans="13:40" ht="23">
      <c r="M196" s="9" t="s">
        <v>2144</v>
      </c>
      <c r="N196" s="8" t="s">
        <v>150</v>
      </c>
      <c r="O196" s="8"/>
      <c r="P196" s="8"/>
      <c r="Q196" s="8"/>
      <c r="R196" s="8"/>
      <c r="S196" s="8"/>
      <c r="T196" s="8"/>
      <c r="U196" s="8"/>
      <c r="V196" s="8"/>
      <c r="W196" s="9" t="s">
        <v>2144</v>
      </c>
      <c r="X196" s="8">
        <v>39.5</v>
      </c>
      <c r="Y196" s="8">
        <v>3.56</v>
      </c>
      <c r="Z196" s="9">
        <v>3.06</v>
      </c>
      <c r="AA196" s="8">
        <v>2.2999999999999998</v>
      </c>
      <c r="AB196" s="8">
        <v>33499</v>
      </c>
      <c r="AC196" s="22" t="s">
        <v>2144</v>
      </c>
      <c r="AD196" s="8" t="s">
        <v>3718</v>
      </c>
      <c r="AE196" s="8" t="s">
        <v>4083</v>
      </c>
      <c r="AF196" s="9">
        <f t="shared" si="24"/>
        <v>8.1879999999999988</v>
      </c>
      <c r="AG196" s="9">
        <f t="shared" si="25"/>
        <v>7.13</v>
      </c>
      <c r="AH196" s="9">
        <f t="shared" si="26"/>
        <v>1.9698864317648456E-2</v>
      </c>
      <c r="AI196" s="9">
        <f t="shared" si="27"/>
        <v>3.8804525540512359E-4</v>
      </c>
      <c r="AJ196" s="9">
        <f t="shared" si="28"/>
        <v>2.446327856632281E-2</v>
      </c>
      <c r="AK196" s="9">
        <f t="shared" si="29"/>
        <v>5.9845199821350898E-4</v>
      </c>
      <c r="AL196" s="9">
        <f t="shared" si="30"/>
        <v>3.0664613126768259E-2</v>
      </c>
      <c r="AM196" s="9">
        <f t="shared" si="31"/>
        <v>9.403184982143683E-4</v>
      </c>
      <c r="AN196" s="9" t="s">
        <v>2144</v>
      </c>
    </row>
    <row r="197" spans="13:40" ht="23">
      <c r="M197" s="8" t="s">
        <v>855</v>
      </c>
      <c r="N197" s="8" t="s">
        <v>150</v>
      </c>
      <c r="O197" s="8"/>
      <c r="P197" s="8"/>
      <c r="Q197" s="8"/>
      <c r="R197" s="8"/>
      <c r="S197" s="8"/>
      <c r="T197" s="8"/>
      <c r="U197" s="8"/>
      <c r="V197" s="8"/>
      <c r="W197" s="8" t="s">
        <v>855</v>
      </c>
      <c r="X197" s="8">
        <v>24.55</v>
      </c>
      <c r="Y197" s="8">
        <v>3.51</v>
      </c>
      <c r="Z197" s="9">
        <v>3.01</v>
      </c>
      <c r="AA197" s="8">
        <v>2.2999999999999998</v>
      </c>
      <c r="AB197" s="8">
        <v>32151</v>
      </c>
      <c r="AC197" s="21" t="s">
        <v>855</v>
      </c>
      <c r="AD197" s="8" t="s">
        <v>4176</v>
      </c>
      <c r="AE197" s="8" t="s">
        <v>4083</v>
      </c>
      <c r="AF197" s="9">
        <f t="shared" si="24"/>
        <v>8.0729999999999986</v>
      </c>
      <c r="AG197" s="9">
        <f t="shared" si="25"/>
        <v>6.9383333333333326</v>
      </c>
      <c r="AH197" s="9">
        <f t="shared" si="26"/>
        <v>1.9698864317648456E-2</v>
      </c>
      <c r="AI197" s="9">
        <f t="shared" si="27"/>
        <v>3.8804525540512359E-4</v>
      </c>
      <c r="AJ197" s="9">
        <f t="shared" si="28"/>
        <v>2.4119693193200301E-2</v>
      </c>
      <c r="AK197" s="9">
        <f t="shared" si="29"/>
        <v>5.817595997341129E-4</v>
      </c>
      <c r="AL197" s="9">
        <f t="shared" si="30"/>
        <v>2.9840295569597067E-2</v>
      </c>
      <c r="AM197" s="9">
        <f t="shared" si="31"/>
        <v>8.9044323968091432E-4</v>
      </c>
      <c r="AN197" s="8" t="s">
        <v>855</v>
      </c>
    </row>
    <row r="198" spans="13:40" ht="23">
      <c r="M198" s="9" t="s">
        <v>2652</v>
      </c>
      <c r="N198" s="8" t="s">
        <v>150</v>
      </c>
      <c r="O198" s="8"/>
      <c r="P198" s="8"/>
      <c r="Q198" s="8"/>
      <c r="R198" s="8"/>
      <c r="S198" s="8"/>
      <c r="T198" s="8"/>
      <c r="U198" s="8"/>
      <c r="V198" s="8"/>
      <c r="W198" s="9" t="s">
        <v>2652</v>
      </c>
      <c r="X198" s="8">
        <v>57.3</v>
      </c>
      <c r="Y198" s="8">
        <v>1.73</v>
      </c>
      <c r="Z198" s="9">
        <v>1.47</v>
      </c>
      <c r="AA198" s="8">
        <v>2.2999999999999998</v>
      </c>
      <c r="AB198" s="8">
        <v>45354</v>
      </c>
      <c r="AC198" s="22" t="s">
        <v>2652</v>
      </c>
      <c r="AD198" s="8" t="s">
        <v>3718</v>
      </c>
      <c r="AE198" s="8" t="s">
        <v>4083</v>
      </c>
      <c r="AF198" s="9">
        <f t="shared" si="24"/>
        <v>3.9789999999999996</v>
      </c>
      <c r="AG198" s="9">
        <f t="shared" si="25"/>
        <v>4.1016666666666657</v>
      </c>
      <c r="AH198" s="9">
        <f t="shared" si="26"/>
        <v>1.9698864317648456E-2</v>
      </c>
      <c r="AI198" s="9">
        <f t="shared" si="27"/>
        <v>3.8804525540512359E-4</v>
      </c>
      <c r="AJ198" s="9">
        <f t="shared" si="28"/>
        <v>1.1888053910038896E-2</v>
      </c>
      <c r="AK198" s="9">
        <f t="shared" si="29"/>
        <v>1.4132582576799107E-4</v>
      </c>
      <c r="AL198" s="9">
        <f t="shared" si="30"/>
        <v>1.7640395723463459E-2</v>
      </c>
      <c r="AM198" s="9">
        <f t="shared" si="31"/>
        <v>3.1118356128038787E-4</v>
      </c>
      <c r="AN198" s="9" t="s">
        <v>2652</v>
      </c>
    </row>
    <row r="199" spans="13:40" ht="23">
      <c r="M199" s="8" t="s">
        <v>1885</v>
      </c>
      <c r="N199" s="8" t="s">
        <v>1869</v>
      </c>
      <c r="O199" s="8"/>
      <c r="P199" s="8"/>
      <c r="Q199" s="8"/>
      <c r="R199" s="8"/>
      <c r="S199" s="8"/>
      <c r="T199" s="8"/>
      <c r="U199" s="8"/>
      <c r="V199" s="8"/>
      <c r="W199" s="8" t="s">
        <v>1885</v>
      </c>
      <c r="X199" s="8">
        <v>85.01</v>
      </c>
      <c r="Y199" s="8">
        <v>2.0699999999999998</v>
      </c>
      <c r="Z199" s="9">
        <v>1.17</v>
      </c>
      <c r="AA199" s="8">
        <v>2.2999999999999998</v>
      </c>
      <c r="AB199" s="8">
        <v>40540</v>
      </c>
      <c r="AC199" s="21" t="s">
        <v>1885</v>
      </c>
      <c r="AD199" s="8" t="s">
        <v>3718</v>
      </c>
      <c r="AE199" s="8" t="s">
        <v>4083</v>
      </c>
      <c r="AF199" s="9">
        <f t="shared" si="24"/>
        <v>4.7609999999999992</v>
      </c>
      <c r="AG199" s="9">
        <f t="shared" si="25"/>
        <v>2.9516666666666662</v>
      </c>
      <c r="AH199" s="9">
        <f t="shared" si="26"/>
        <v>1.9698864317648456E-2</v>
      </c>
      <c r="AI199" s="9">
        <f t="shared" si="27"/>
        <v>3.8804525540512359E-4</v>
      </c>
      <c r="AJ199" s="9">
        <f t="shared" si="28"/>
        <v>1.4224434447271972E-2</v>
      </c>
      <c r="AK199" s="9">
        <f t="shared" si="29"/>
        <v>2.0233453534473751E-4</v>
      </c>
      <c r="AL199" s="9">
        <f t="shared" si="30"/>
        <v>1.2694490380436321E-2</v>
      </c>
      <c r="AM199" s="9">
        <f t="shared" si="31"/>
        <v>1.6115008601899028E-4</v>
      </c>
      <c r="AN199" s="8" t="s">
        <v>1885</v>
      </c>
    </row>
    <row r="200" spans="13:40" ht="23">
      <c r="M200" s="9" t="s">
        <v>2324</v>
      </c>
      <c r="N200" s="8" t="s">
        <v>150</v>
      </c>
      <c r="O200" s="8"/>
      <c r="P200" s="8"/>
      <c r="Q200" s="8"/>
      <c r="R200" s="8"/>
      <c r="S200" s="8"/>
      <c r="T200" s="8"/>
      <c r="U200" s="8"/>
      <c r="V200" s="8"/>
      <c r="W200" s="9" t="s">
        <v>2324</v>
      </c>
      <c r="X200" s="8">
        <v>24.5</v>
      </c>
      <c r="Y200" s="8">
        <v>15.82</v>
      </c>
      <c r="Z200" s="9">
        <v>21.52</v>
      </c>
      <c r="AA200" s="8">
        <v>2.2000000000000002</v>
      </c>
      <c r="AB200" s="8">
        <v>18391</v>
      </c>
      <c r="AC200" s="22" t="s">
        <v>2324</v>
      </c>
      <c r="AD200" s="8" t="s">
        <v>3718</v>
      </c>
      <c r="AE200" s="8" t="s">
        <v>4083</v>
      </c>
      <c r="AF200" s="9">
        <f t="shared" si="24"/>
        <v>34.804000000000002</v>
      </c>
      <c r="AG200" s="9">
        <f t="shared" si="25"/>
        <v>48.106666666666669</v>
      </c>
      <c r="AH200" s="9">
        <f t="shared" si="26"/>
        <v>1.8842391956011569E-2</v>
      </c>
      <c r="AI200" s="9">
        <f t="shared" si="27"/>
        <v>3.5503573462396948E-4</v>
      </c>
      <c r="AJ200" s="9">
        <f t="shared" si="28"/>
        <v>0.10398387240135556</v>
      </c>
      <c r="AK200" s="9">
        <f t="shared" si="29"/>
        <v>1.0812645719581395E-2</v>
      </c>
      <c r="AL200" s="9">
        <f t="shared" si="30"/>
        <v>0.20689653887121062</v>
      </c>
      <c r="AM200" s="9">
        <f t="shared" si="31"/>
        <v>4.280617779688637E-2</v>
      </c>
      <c r="AN200" s="9" t="s">
        <v>2324</v>
      </c>
    </row>
    <row r="201" spans="13:40" ht="23">
      <c r="M201" s="8" t="s">
        <v>639</v>
      </c>
      <c r="N201" s="8" t="s">
        <v>150</v>
      </c>
      <c r="O201" s="8"/>
      <c r="P201" s="8"/>
      <c r="Q201" s="8"/>
      <c r="R201" s="8"/>
      <c r="S201" s="8"/>
      <c r="T201" s="8"/>
      <c r="U201" s="8"/>
      <c r="V201" s="8"/>
      <c r="W201" s="8" t="s">
        <v>639</v>
      </c>
      <c r="X201" s="8">
        <v>43.32</v>
      </c>
      <c r="Y201" s="8">
        <v>4.41</v>
      </c>
      <c r="Z201" s="9">
        <v>4.3899999999999997</v>
      </c>
      <c r="AA201" s="8">
        <v>2.2000000000000002</v>
      </c>
      <c r="AB201" s="8">
        <v>29819</v>
      </c>
      <c r="AC201" s="21" t="s">
        <v>639</v>
      </c>
      <c r="AD201" s="8" t="s">
        <v>3718</v>
      </c>
      <c r="AE201" s="8" t="s">
        <v>4083</v>
      </c>
      <c r="AF201" s="9">
        <f t="shared" si="24"/>
        <v>9.7020000000000017</v>
      </c>
      <c r="AG201" s="9">
        <f t="shared" si="25"/>
        <v>10.230000000000002</v>
      </c>
      <c r="AH201" s="9">
        <f t="shared" si="26"/>
        <v>1.8842391956011569E-2</v>
      </c>
      <c r="AI201" s="9">
        <f t="shared" si="27"/>
        <v>3.5503573462396948E-4</v>
      </c>
      <c r="AJ201" s="9">
        <f t="shared" si="28"/>
        <v>2.8986654695953101E-2</v>
      </c>
      <c r="AK201" s="9">
        <f t="shared" si="29"/>
        <v>8.4022615046241999E-4</v>
      </c>
      <c r="AL201" s="9">
        <f t="shared" si="30"/>
        <v>4.399705361666751E-2</v>
      </c>
      <c r="AM201" s="9">
        <f t="shared" si="31"/>
        <v>1.9357407269479155E-3</v>
      </c>
      <c r="AN201" s="8" t="s">
        <v>639</v>
      </c>
    </row>
    <row r="202" spans="13:40" ht="23">
      <c r="M202" s="8" t="s">
        <v>523</v>
      </c>
      <c r="N202" s="8" t="s">
        <v>150</v>
      </c>
      <c r="O202" s="8"/>
      <c r="P202" s="8"/>
      <c r="Q202" s="8"/>
      <c r="R202" s="8"/>
      <c r="S202" s="8"/>
      <c r="T202" s="8"/>
      <c r="U202" s="8"/>
      <c r="V202" s="8"/>
      <c r="W202" s="8" t="s">
        <v>523</v>
      </c>
      <c r="X202" s="8">
        <v>38.06</v>
      </c>
      <c r="Y202" s="8">
        <v>2.2599999999999998</v>
      </c>
      <c r="Z202" s="9">
        <v>1.39</v>
      </c>
      <c r="AA202" s="8">
        <v>2.2000000000000002</v>
      </c>
      <c r="AB202" s="8">
        <v>50660</v>
      </c>
      <c r="AC202" s="21" t="s">
        <v>523</v>
      </c>
      <c r="AD202" s="8" t="s">
        <v>4376</v>
      </c>
      <c r="AE202" s="8" t="s">
        <v>4083</v>
      </c>
      <c r="AF202" s="9">
        <f t="shared" si="24"/>
        <v>4.9719999999999995</v>
      </c>
      <c r="AG202" s="9">
        <f t="shared" si="25"/>
        <v>3.63</v>
      </c>
      <c r="AH202" s="9">
        <f t="shared" si="26"/>
        <v>1.8842391956011569E-2</v>
      </c>
      <c r="AI202" s="9">
        <f t="shared" si="27"/>
        <v>3.5503573462396948E-4</v>
      </c>
      <c r="AJ202" s="9">
        <f t="shared" si="28"/>
        <v>1.4854838914479362E-2</v>
      </c>
      <c r="AK202" s="9">
        <f t="shared" si="29"/>
        <v>2.2066623917513042E-4</v>
      </c>
      <c r="AL202" s="9">
        <f t="shared" si="30"/>
        <v>1.5611857734946534E-2</v>
      </c>
      <c r="AM202" s="9">
        <f t="shared" si="31"/>
        <v>2.4373010193620993E-4</v>
      </c>
      <c r="AN202" s="8" t="s">
        <v>523</v>
      </c>
    </row>
    <row r="203" spans="13:40" ht="23">
      <c r="M203" s="8" t="s">
        <v>1687</v>
      </c>
      <c r="N203" s="8" t="s">
        <v>1614</v>
      </c>
      <c r="O203" s="8"/>
      <c r="P203" s="8"/>
      <c r="Q203" s="8"/>
      <c r="R203" s="8"/>
      <c r="S203" s="8"/>
      <c r="T203" s="8"/>
      <c r="U203" s="8"/>
      <c r="V203" s="8"/>
      <c r="W203" s="8" t="s">
        <v>1687</v>
      </c>
      <c r="X203" s="8">
        <v>66.489999999999995</v>
      </c>
      <c r="Y203" s="8">
        <v>2.39</v>
      </c>
      <c r="Z203" s="9">
        <v>1.29</v>
      </c>
      <c r="AA203" s="8">
        <v>2.2000000000000002</v>
      </c>
      <c r="AB203" s="8">
        <v>45378</v>
      </c>
      <c r="AC203" s="21" t="s">
        <v>1687</v>
      </c>
      <c r="AD203" s="8" t="s">
        <v>3718</v>
      </c>
      <c r="AE203" s="8" t="s">
        <v>4083</v>
      </c>
      <c r="AF203" s="9">
        <f t="shared" si="24"/>
        <v>5.2580000000000009</v>
      </c>
      <c r="AG203" s="9">
        <f t="shared" si="25"/>
        <v>3.2633333333333336</v>
      </c>
      <c r="AH203" s="9">
        <f t="shared" si="26"/>
        <v>1.8842391956011569E-2</v>
      </c>
      <c r="AI203" s="9">
        <f t="shared" si="27"/>
        <v>3.5503573462396948E-4</v>
      </c>
      <c r="AJ203" s="9">
        <f t="shared" si="28"/>
        <v>1.5709320798940569E-2</v>
      </c>
      <c r="AK203" s="9">
        <f t="shared" si="29"/>
        <v>2.4678275996402674E-4</v>
      </c>
      <c r="AL203" s="9">
        <f t="shared" si="30"/>
        <v>1.4034902408184259E-2</v>
      </c>
      <c r="AM203" s="9">
        <f t="shared" si="31"/>
        <v>1.9697848560725631E-4</v>
      </c>
      <c r="AN203" s="8" t="s">
        <v>1687</v>
      </c>
    </row>
    <row r="204" spans="13:40" ht="23">
      <c r="M204" s="9" t="s">
        <v>5049</v>
      </c>
      <c r="N204" s="8" t="s">
        <v>2017</v>
      </c>
      <c r="O204" s="8"/>
      <c r="P204" s="8"/>
      <c r="Q204" s="8"/>
      <c r="R204" s="8"/>
      <c r="S204" s="8"/>
      <c r="T204" s="8"/>
      <c r="U204" s="8"/>
      <c r="V204" s="8"/>
      <c r="W204" s="9" t="s">
        <v>5049</v>
      </c>
      <c r="X204" s="8">
        <v>21.23</v>
      </c>
      <c r="Y204" s="8">
        <v>3.55</v>
      </c>
      <c r="Z204" s="9">
        <v>5.48</v>
      </c>
      <c r="AA204" s="8">
        <v>2.1</v>
      </c>
      <c r="AB204" s="8">
        <v>39524</v>
      </c>
      <c r="AC204" s="22" t="s">
        <v>5049</v>
      </c>
      <c r="AD204" s="8" t="s">
        <v>3718</v>
      </c>
      <c r="AE204" s="8" t="s">
        <v>4083</v>
      </c>
      <c r="AF204" s="9">
        <f t="shared" si="24"/>
        <v>7.4550000000000001</v>
      </c>
      <c r="AG204" s="9">
        <f t="shared" si="25"/>
        <v>12.18</v>
      </c>
      <c r="AH204" s="9">
        <f t="shared" si="26"/>
        <v>1.7985919594374681E-2</v>
      </c>
      <c r="AI204" s="9">
        <f t="shared" si="27"/>
        <v>3.2349330365531107E-4</v>
      </c>
      <c r="AJ204" s="9">
        <f t="shared" si="28"/>
        <v>2.2273295275028894E-2</v>
      </c>
      <c r="AK204" s="9">
        <f t="shared" si="29"/>
        <v>4.9609968240862446E-4</v>
      </c>
      <c r="AL204" s="9">
        <f t="shared" si="30"/>
        <v>5.2383588763539615E-2</v>
      </c>
      <c r="AM204" s="9">
        <f t="shared" si="31"/>
        <v>2.7440403717476337E-3</v>
      </c>
      <c r="AN204" s="9" t="s">
        <v>5049</v>
      </c>
    </row>
    <row r="205" spans="13:40" ht="23">
      <c r="M205" s="9" t="s">
        <v>699</v>
      </c>
      <c r="N205" s="8" t="s">
        <v>150</v>
      </c>
      <c r="O205" s="8"/>
      <c r="P205" s="8"/>
      <c r="Q205" s="8"/>
      <c r="R205" s="8"/>
      <c r="S205" s="8"/>
      <c r="T205" s="8"/>
      <c r="U205" s="8"/>
      <c r="V205" s="8"/>
      <c r="W205" s="9" t="s">
        <v>699</v>
      </c>
      <c r="X205" s="8">
        <v>35.700000000000003</v>
      </c>
      <c r="Y205" s="8">
        <v>8.36</v>
      </c>
      <c r="Z205" s="9">
        <v>3.54</v>
      </c>
      <c r="AA205" s="8">
        <v>2.1</v>
      </c>
      <c r="AB205" s="8">
        <v>25589</v>
      </c>
      <c r="AC205" s="22" t="s">
        <v>699</v>
      </c>
      <c r="AD205" s="8" t="s">
        <v>3718</v>
      </c>
      <c r="AE205" s="8" t="s">
        <v>4083</v>
      </c>
      <c r="AF205" s="9">
        <f t="shared" si="24"/>
        <v>17.556000000000001</v>
      </c>
      <c r="AG205" s="9">
        <f t="shared" si="25"/>
        <v>8.19</v>
      </c>
      <c r="AH205" s="9">
        <f t="shared" si="26"/>
        <v>1.7985919594374681E-2</v>
      </c>
      <c r="AI205" s="9">
        <f t="shared" si="27"/>
        <v>3.2349330365531107E-4</v>
      </c>
      <c r="AJ205" s="9">
        <f t="shared" si="28"/>
        <v>5.2452041830772275E-2</v>
      </c>
      <c r="AK205" s="9">
        <f t="shared" si="29"/>
        <v>2.7512166922170848E-3</v>
      </c>
      <c r="AL205" s="9">
        <f t="shared" si="30"/>
        <v>3.5223447616862837E-2</v>
      </c>
      <c r="AM205" s="9">
        <f t="shared" si="31"/>
        <v>1.2406912620178802E-3</v>
      </c>
      <c r="AN205" s="9" t="s">
        <v>699</v>
      </c>
    </row>
    <row r="206" spans="13:40" ht="23">
      <c r="M206" s="8" t="s">
        <v>710</v>
      </c>
      <c r="N206" s="8" t="s">
        <v>150</v>
      </c>
      <c r="O206" s="8"/>
      <c r="P206" s="8"/>
      <c r="Q206" s="8"/>
      <c r="R206" s="8"/>
      <c r="S206" s="8"/>
      <c r="T206" s="8"/>
      <c r="U206" s="8"/>
      <c r="V206" s="8"/>
      <c r="W206" s="8" t="s">
        <v>710</v>
      </c>
      <c r="X206" s="8">
        <v>44.37</v>
      </c>
      <c r="Y206" s="8">
        <v>2.92</v>
      </c>
      <c r="Z206" s="9">
        <v>1.38</v>
      </c>
      <c r="AA206" s="8">
        <v>2.1</v>
      </c>
      <c r="AB206" s="8">
        <v>44014</v>
      </c>
      <c r="AC206" s="21" t="s">
        <v>710</v>
      </c>
      <c r="AD206" s="8" t="s">
        <v>4176</v>
      </c>
      <c r="AE206" s="8" t="s">
        <v>4083</v>
      </c>
      <c r="AF206" s="9">
        <f t="shared" si="24"/>
        <v>6.1319999999999997</v>
      </c>
      <c r="AG206" s="9">
        <f t="shared" si="25"/>
        <v>3.43</v>
      </c>
      <c r="AH206" s="9">
        <f t="shared" si="26"/>
        <v>1.7985919594374681E-2</v>
      </c>
      <c r="AI206" s="9">
        <f t="shared" si="27"/>
        <v>3.2349330365531107E-4</v>
      </c>
      <c r="AJ206" s="9">
        <f t="shared" si="28"/>
        <v>1.8320569634671654E-2</v>
      </c>
      <c r="AK206" s="9">
        <f t="shared" si="29"/>
        <v>3.3564327173885304E-4</v>
      </c>
      <c r="AL206" s="9">
        <f t="shared" si="30"/>
        <v>1.4751700283985293E-2</v>
      </c>
      <c r="AM206" s="9">
        <f t="shared" si="31"/>
        <v>2.1761266126853177E-4</v>
      </c>
      <c r="AN206" s="8" t="s">
        <v>710</v>
      </c>
    </row>
    <row r="207" spans="13:40" ht="23">
      <c r="M207" s="8" t="s">
        <v>284</v>
      </c>
      <c r="N207" s="8" t="s">
        <v>150</v>
      </c>
      <c r="O207" s="8"/>
      <c r="P207" s="8"/>
      <c r="Q207" s="8"/>
      <c r="R207" s="8"/>
      <c r="S207" s="8"/>
      <c r="T207" s="8"/>
      <c r="U207" s="8"/>
      <c r="V207" s="8"/>
      <c r="W207" s="8" t="s">
        <v>284</v>
      </c>
      <c r="X207" s="8">
        <v>27.97</v>
      </c>
      <c r="Y207" s="8">
        <v>3.65</v>
      </c>
      <c r="Z207" s="9">
        <v>3.39</v>
      </c>
      <c r="AA207" s="8">
        <v>2</v>
      </c>
      <c r="AB207" s="8">
        <v>43281</v>
      </c>
      <c r="AC207" s="21" t="s">
        <v>284</v>
      </c>
      <c r="AD207" s="8" t="s">
        <v>3718</v>
      </c>
      <c r="AE207" s="8" t="s">
        <v>4083</v>
      </c>
      <c r="AF207" s="9">
        <f t="shared" si="24"/>
        <v>7.3</v>
      </c>
      <c r="AG207" s="9">
        <f t="shared" si="25"/>
        <v>7.3</v>
      </c>
      <c r="AH207" s="9">
        <f t="shared" si="26"/>
        <v>1.712944723273779E-2</v>
      </c>
      <c r="AI207" s="9">
        <f t="shared" si="27"/>
        <v>2.9341796249914833E-4</v>
      </c>
      <c r="AJ207" s="9">
        <f t="shared" si="28"/>
        <v>2.1810201946037684E-2</v>
      </c>
      <c r="AK207" s="9">
        <f t="shared" si="29"/>
        <v>4.7568490892694595E-4</v>
      </c>
      <c r="AL207" s="9">
        <f t="shared" si="30"/>
        <v>3.1395746960085312E-2</v>
      </c>
      <c r="AM207" s="9">
        <f t="shared" si="31"/>
        <v>9.8569292718170601E-4</v>
      </c>
      <c r="AN207" s="8" t="s">
        <v>284</v>
      </c>
    </row>
    <row r="208" spans="13:40" ht="23">
      <c r="M208" s="8" t="s">
        <v>1752</v>
      </c>
      <c r="N208" s="8" t="s">
        <v>1717</v>
      </c>
      <c r="O208" s="8"/>
      <c r="P208" s="8"/>
      <c r="Q208" s="8"/>
      <c r="R208" s="8"/>
      <c r="S208" s="8"/>
      <c r="T208" s="8"/>
      <c r="U208" s="8"/>
      <c r="V208" s="8"/>
      <c r="W208" s="8" t="s">
        <v>1752</v>
      </c>
      <c r="X208" s="8">
        <v>19.350000000000001</v>
      </c>
      <c r="Y208" s="8">
        <v>6.32</v>
      </c>
      <c r="Z208" s="9">
        <v>2.5</v>
      </c>
      <c r="AA208" s="8">
        <v>1.9</v>
      </c>
      <c r="AB208" s="8">
        <v>46707</v>
      </c>
      <c r="AC208" s="21" t="s">
        <v>1752</v>
      </c>
      <c r="AD208" s="8" t="s">
        <v>4176</v>
      </c>
      <c r="AE208" s="8" t="s">
        <v>4083</v>
      </c>
      <c r="AF208" s="9">
        <f t="shared" si="24"/>
        <v>12.007999999999999</v>
      </c>
      <c r="AG208" s="9">
        <f t="shared" si="25"/>
        <v>3.815833333333333</v>
      </c>
      <c r="AH208" s="9">
        <f t="shared" si="26"/>
        <v>1.6272974871100902E-2</v>
      </c>
      <c r="AI208" s="9">
        <f t="shared" si="27"/>
        <v>2.6480971115548142E-4</v>
      </c>
      <c r="AJ208" s="9">
        <f t="shared" si="28"/>
        <v>3.5876288351783622E-2</v>
      </c>
      <c r="AK208" s="9">
        <f t="shared" si="29"/>
        <v>1.2871080659003253E-3</v>
      </c>
      <c r="AL208" s="9">
        <f t="shared" si="30"/>
        <v>1.6411087366464686E-2</v>
      </c>
      <c r="AM208" s="9">
        <f t="shared" si="31"/>
        <v>2.6932378854973682E-4</v>
      </c>
      <c r="AN208" s="8" t="s">
        <v>1752</v>
      </c>
    </row>
    <row r="209" spans="13:40" ht="23">
      <c r="M209" s="9" t="s">
        <v>2670</v>
      </c>
      <c r="N209" s="8" t="s">
        <v>150</v>
      </c>
      <c r="O209" s="8"/>
      <c r="P209" s="8"/>
      <c r="Q209" s="8"/>
      <c r="R209" s="8"/>
      <c r="S209" s="8"/>
      <c r="T209" s="8"/>
      <c r="U209" s="8"/>
      <c r="V209" s="8"/>
      <c r="W209" s="9" t="s">
        <v>2670</v>
      </c>
      <c r="X209" s="8">
        <v>25.73</v>
      </c>
      <c r="Y209" s="8">
        <v>17.5</v>
      </c>
      <c r="Z209" s="9">
        <v>6.55</v>
      </c>
      <c r="AA209" s="8">
        <v>1.8</v>
      </c>
      <c r="AB209" s="8">
        <v>23948</v>
      </c>
      <c r="AC209" s="22" t="s">
        <v>2670</v>
      </c>
      <c r="AD209" s="8" t="s">
        <v>4371</v>
      </c>
      <c r="AE209" s="8" t="s">
        <v>4083</v>
      </c>
      <c r="AF209" s="9">
        <f t="shared" si="24"/>
        <v>31.5</v>
      </c>
      <c r="AG209" s="9">
        <f t="shared" si="25"/>
        <v>12.450000000000001</v>
      </c>
      <c r="AH209" s="9">
        <f t="shared" si="26"/>
        <v>1.5416502509464013E-2</v>
      </c>
      <c r="AI209" s="9">
        <f t="shared" si="27"/>
        <v>2.3766854962431022E-4</v>
      </c>
      <c r="AJ209" s="9">
        <f t="shared" si="28"/>
        <v>9.4112515246600956E-2</v>
      </c>
      <c r="AK209" s="9">
        <f t="shared" si="29"/>
        <v>8.8571655260416965E-3</v>
      </c>
      <c r="AL209" s="9">
        <f t="shared" si="30"/>
        <v>5.3544801322337292E-2</v>
      </c>
      <c r="AM209" s="9">
        <f t="shared" si="31"/>
        <v>2.8670457486485732E-3</v>
      </c>
      <c r="AN209" s="9" t="s">
        <v>2670</v>
      </c>
    </row>
    <row r="210" spans="13:40" ht="23">
      <c r="M210" s="8" t="s">
        <v>502</v>
      </c>
      <c r="N210" s="8" t="s">
        <v>150</v>
      </c>
      <c r="O210" s="8"/>
      <c r="P210" s="8"/>
      <c r="Q210" s="8"/>
      <c r="R210" s="8"/>
      <c r="S210" s="8"/>
      <c r="T210" s="8"/>
      <c r="U210" s="8"/>
      <c r="V210" s="8"/>
      <c r="W210" s="8" t="s">
        <v>502</v>
      </c>
      <c r="X210" s="8">
        <v>41.2</v>
      </c>
      <c r="Y210" s="8">
        <v>2.2999999999999998</v>
      </c>
      <c r="Z210" s="9">
        <v>4</v>
      </c>
      <c r="AA210" s="8">
        <v>1.8</v>
      </c>
      <c r="AB210" s="8">
        <v>46759</v>
      </c>
      <c r="AC210" s="21" t="s">
        <v>502</v>
      </c>
      <c r="AD210" s="8" t="s">
        <v>3718</v>
      </c>
      <c r="AE210" s="8" t="s">
        <v>4083</v>
      </c>
      <c r="AF210" s="9">
        <f t="shared" si="24"/>
        <v>4.1399999999999997</v>
      </c>
      <c r="AG210" s="9">
        <f t="shared" si="25"/>
        <v>7.3199999999999994</v>
      </c>
      <c r="AH210" s="9">
        <f t="shared" si="26"/>
        <v>1.5416502509464013E-2</v>
      </c>
      <c r="AI210" s="9">
        <f t="shared" si="27"/>
        <v>2.3766854962431022E-4</v>
      </c>
      <c r="AJ210" s="9">
        <f t="shared" si="28"/>
        <v>1.2369073432410411E-2</v>
      </c>
      <c r="AK210" s="9">
        <f t="shared" si="29"/>
        <v>1.5299397757636106E-4</v>
      </c>
      <c r="AL210" s="9">
        <f t="shared" si="30"/>
        <v>3.1481762705181437E-2</v>
      </c>
      <c r="AM210" s="9">
        <f t="shared" si="31"/>
        <v>9.9110138302535285E-4</v>
      </c>
      <c r="AN210" s="8" t="s">
        <v>502</v>
      </c>
    </row>
    <row r="211" spans="13:40" ht="23">
      <c r="M211" s="9" t="s">
        <v>2712</v>
      </c>
      <c r="N211" s="8" t="s">
        <v>1614</v>
      </c>
      <c r="O211" s="8"/>
      <c r="P211" s="8"/>
      <c r="Q211" s="8"/>
      <c r="R211" s="8"/>
      <c r="S211" s="8"/>
      <c r="T211" s="8"/>
      <c r="U211" s="8"/>
      <c r="V211" s="8"/>
      <c r="W211" s="9" t="s">
        <v>2712</v>
      </c>
      <c r="X211" s="8">
        <v>38.61</v>
      </c>
      <c r="Y211" s="8">
        <v>2.21</v>
      </c>
      <c r="Z211" s="9">
        <v>0.44</v>
      </c>
      <c r="AA211" s="8">
        <v>1.8</v>
      </c>
      <c r="AB211" s="8">
        <v>51071</v>
      </c>
      <c r="AC211" s="22" t="s">
        <v>2712</v>
      </c>
      <c r="AD211" s="8" t="s">
        <v>3718</v>
      </c>
      <c r="AE211" s="8" t="s">
        <v>4083</v>
      </c>
      <c r="AF211" s="9">
        <f t="shared" si="24"/>
        <v>3.9780000000000002</v>
      </c>
      <c r="AG211" s="9">
        <f t="shared" si="25"/>
        <v>1.3199999999999998</v>
      </c>
      <c r="AH211" s="9">
        <f t="shared" si="26"/>
        <v>1.5416502509464013E-2</v>
      </c>
      <c r="AI211" s="9">
        <f t="shared" si="27"/>
        <v>2.3766854962431022E-4</v>
      </c>
      <c r="AJ211" s="9">
        <f t="shared" si="28"/>
        <v>1.188506621114218E-2</v>
      </c>
      <c r="AK211" s="9">
        <f t="shared" si="29"/>
        <v>1.4125479884323353E-4</v>
      </c>
      <c r="AL211" s="9">
        <f t="shared" si="30"/>
        <v>5.6770391763441928E-3</v>
      </c>
      <c r="AM211" s="9">
        <f t="shared" si="31"/>
        <v>3.2228773809746752E-5</v>
      </c>
      <c r="AN211" s="9" t="s">
        <v>2712</v>
      </c>
    </row>
    <row r="212" spans="13:40" ht="23">
      <c r="M212" s="9" t="s">
        <v>3588</v>
      </c>
      <c r="N212" s="8" t="s">
        <v>2074</v>
      </c>
      <c r="O212" s="8"/>
      <c r="P212" s="8" t="s">
        <v>3691</v>
      </c>
      <c r="Q212" s="8"/>
      <c r="R212" s="8"/>
      <c r="S212" s="8"/>
      <c r="T212" s="8"/>
      <c r="U212" s="8"/>
      <c r="V212" s="8"/>
      <c r="W212" s="9" t="s">
        <v>3588</v>
      </c>
      <c r="X212" s="8">
        <v>39.97</v>
      </c>
      <c r="Y212" s="8">
        <v>4.03</v>
      </c>
      <c r="Z212" s="9">
        <v>4.58</v>
      </c>
      <c r="AA212" s="8">
        <v>1.7</v>
      </c>
      <c r="AB212" s="8">
        <v>44814</v>
      </c>
      <c r="AC212" s="22" t="s">
        <v>3588</v>
      </c>
      <c r="AD212" s="8" t="s">
        <v>3718</v>
      </c>
      <c r="AE212" s="8" t="s">
        <v>4083</v>
      </c>
      <c r="AF212" s="9">
        <f t="shared" si="24"/>
        <v>6.851</v>
      </c>
      <c r="AG212" s="9">
        <f t="shared" si="25"/>
        <v>8.4433333333333334</v>
      </c>
      <c r="AH212" s="9">
        <f t="shared" si="26"/>
        <v>1.456003014782712E-2</v>
      </c>
      <c r="AI212" s="9">
        <f t="shared" si="27"/>
        <v>2.1199447790563463E-4</v>
      </c>
      <c r="AJ212" s="9">
        <f t="shared" si="28"/>
        <v>2.0468725141411532E-2</v>
      </c>
      <c r="AK212" s="9">
        <f t="shared" si="29"/>
        <v>4.1896870891465254E-4</v>
      </c>
      <c r="AL212" s="9">
        <f t="shared" si="30"/>
        <v>3.631298038808041E-2</v>
      </c>
      <c r="AM212" s="9">
        <f t="shared" si="31"/>
        <v>1.3186325446651124E-3</v>
      </c>
      <c r="AN212" s="9" t="s">
        <v>3588</v>
      </c>
    </row>
    <row r="213" spans="13:40" ht="23">
      <c r="M213" s="8" t="s">
        <v>5096</v>
      </c>
      <c r="N213" s="8" t="s">
        <v>150</v>
      </c>
      <c r="O213" s="8"/>
      <c r="P213" s="8"/>
      <c r="Q213" s="8"/>
      <c r="R213" s="8"/>
      <c r="S213" s="8"/>
      <c r="T213" s="8"/>
      <c r="U213" s="8"/>
      <c r="V213" s="8"/>
      <c r="W213" s="8" t="s">
        <v>5096</v>
      </c>
      <c r="X213" s="8">
        <v>22.12</v>
      </c>
      <c r="Y213" s="8">
        <v>4.34</v>
      </c>
      <c r="Z213" s="9">
        <v>3.21</v>
      </c>
      <c r="AA213" s="8">
        <v>1.7</v>
      </c>
      <c r="AB213" s="8">
        <v>41054</v>
      </c>
      <c r="AC213" s="21" t="s">
        <v>5096</v>
      </c>
      <c r="AD213" s="8" t="s">
        <v>3718</v>
      </c>
      <c r="AE213" s="8" t="s">
        <v>4083</v>
      </c>
      <c r="AF213" s="9">
        <f t="shared" si="24"/>
        <v>7.3779999999999992</v>
      </c>
      <c r="AG213" s="9">
        <f t="shared" si="25"/>
        <v>5.6950000000000003</v>
      </c>
      <c r="AH213" s="9">
        <f t="shared" si="26"/>
        <v>1.456003014782712E-2</v>
      </c>
      <c r="AI213" s="9">
        <f t="shared" si="27"/>
        <v>2.1199447790563463E-4</v>
      </c>
      <c r="AJ213" s="9">
        <f t="shared" si="28"/>
        <v>2.2043242459981644E-2</v>
      </c>
      <c r="AK213" s="9">
        <f t="shared" si="29"/>
        <v>4.8590453814953763E-4</v>
      </c>
      <c r="AL213" s="9">
        <f t="shared" si="30"/>
        <v>2.4492983416121352E-2</v>
      </c>
      <c r="AM213" s="9">
        <f t="shared" si="31"/>
        <v>5.999062366223956E-4</v>
      </c>
      <c r="AN213" s="8" t="s">
        <v>5096</v>
      </c>
    </row>
    <row r="214" spans="13:40" ht="23">
      <c r="M214" s="8" t="s">
        <v>4951</v>
      </c>
      <c r="N214" s="8" t="s">
        <v>1869</v>
      </c>
      <c r="O214" s="8"/>
      <c r="P214" s="8"/>
      <c r="Q214" s="8"/>
      <c r="R214" s="8"/>
      <c r="S214" s="8"/>
      <c r="T214" s="8"/>
      <c r="U214" s="8"/>
      <c r="V214" s="8"/>
      <c r="W214" s="8" t="s">
        <v>4951</v>
      </c>
      <c r="X214" s="8">
        <v>25</v>
      </c>
      <c r="Y214" s="8">
        <v>2.1800000000000002</v>
      </c>
      <c r="Z214" s="9">
        <v>1.33</v>
      </c>
      <c r="AA214" s="8">
        <v>1.7</v>
      </c>
      <c r="AB214" s="8">
        <v>52124</v>
      </c>
      <c r="AC214" s="21" t="s">
        <v>4951</v>
      </c>
      <c r="AD214" s="8" t="s">
        <v>3718</v>
      </c>
      <c r="AE214" s="8" t="s">
        <v>4083</v>
      </c>
      <c r="AF214" s="9">
        <f t="shared" si="24"/>
        <v>3.706</v>
      </c>
      <c r="AG214" s="9">
        <f t="shared" si="25"/>
        <v>2.6349999999999998</v>
      </c>
      <c r="AH214" s="9">
        <f t="shared" si="26"/>
        <v>1.456003014782712E-2</v>
      </c>
      <c r="AI214" s="9">
        <f t="shared" si="27"/>
        <v>2.1199447790563463E-4</v>
      </c>
      <c r="AJ214" s="9">
        <f t="shared" si="28"/>
        <v>1.107241211123502E-2</v>
      </c>
      <c r="AK214" s="9">
        <f t="shared" si="29"/>
        <v>1.2259830996102394E-4</v>
      </c>
      <c r="AL214" s="9">
        <f t="shared" si="30"/>
        <v>1.1332574416414356E-2</v>
      </c>
      <c r="AM214" s="9">
        <f t="shared" si="31"/>
        <v>1.2842724290356919E-4</v>
      </c>
      <c r="AN214" s="8" t="s">
        <v>4951</v>
      </c>
    </row>
    <row r="215" spans="13:40" ht="23">
      <c r="M215" s="8" t="s">
        <v>1612</v>
      </c>
      <c r="N215" s="8" t="s">
        <v>150</v>
      </c>
      <c r="O215" s="8"/>
      <c r="P215" s="8"/>
      <c r="Q215" s="8"/>
      <c r="R215" s="8"/>
      <c r="S215" s="8"/>
      <c r="T215" s="8"/>
      <c r="U215" s="8"/>
      <c r="V215" s="8"/>
      <c r="W215" s="8" t="s">
        <v>1612</v>
      </c>
      <c r="X215" s="8">
        <v>42.34</v>
      </c>
      <c r="Y215" s="8">
        <v>10.88</v>
      </c>
      <c r="Z215" s="9">
        <v>5.51</v>
      </c>
      <c r="AA215" s="8">
        <v>1.5</v>
      </c>
      <c r="AB215" s="8">
        <v>27109</v>
      </c>
      <c r="AC215" s="21" t="s">
        <v>1612</v>
      </c>
      <c r="AD215" s="8" t="s">
        <v>4375</v>
      </c>
      <c r="AE215" s="8" t="s">
        <v>4083</v>
      </c>
      <c r="AF215" s="9">
        <f t="shared" si="24"/>
        <v>16.32</v>
      </c>
      <c r="AG215" s="9">
        <f t="shared" si="25"/>
        <v>8.7749999999999986</v>
      </c>
      <c r="AH215" s="9">
        <f t="shared" si="26"/>
        <v>1.2847085424553343E-2</v>
      </c>
      <c r="AI215" s="9">
        <f t="shared" si="27"/>
        <v>1.6504760390577097E-4</v>
      </c>
      <c r="AJ215" s="9">
        <f t="shared" si="28"/>
        <v>4.8759245994429455E-2</v>
      </c>
      <c r="AK215" s="9">
        <f t="shared" si="29"/>
        <v>2.3774640699452849E-3</v>
      </c>
      <c r="AL215" s="9">
        <f t="shared" si="30"/>
        <v>3.773940816092447E-2</v>
      </c>
      <c r="AM215" s="9">
        <f t="shared" si="31"/>
        <v>1.4242629283368524E-3</v>
      </c>
      <c r="AN215" s="8" t="s">
        <v>1612</v>
      </c>
    </row>
    <row r="216" spans="13:40" ht="23">
      <c r="M216" s="9" t="s">
        <v>2176</v>
      </c>
      <c r="N216" s="8" t="s">
        <v>150</v>
      </c>
      <c r="O216" s="8"/>
      <c r="P216" s="8"/>
      <c r="Q216" s="8"/>
      <c r="R216" s="8"/>
      <c r="S216" s="8"/>
      <c r="T216" s="8"/>
      <c r="U216" s="8"/>
      <c r="V216" s="8"/>
      <c r="W216" s="9" t="s">
        <v>2176</v>
      </c>
      <c r="X216" s="8">
        <v>13.34</v>
      </c>
      <c r="Y216" s="8">
        <v>2.8</v>
      </c>
      <c r="Z216" s="9">
        <v>4.17</v>
      </c>
      <c r="AA216" s="8">
        <v>1.5</v>
      </c>
      <c r="AB216" s="8">
        <v>93648</v>
      </c>
      <c r="AC216" s="22" t="s">
        <v>2176</v>
      </c>
      <c r="AD216" s="8" t="s">
        <v>4176</v>
      </c>
      <c r="AE216" s="8" t="s">
        <v>4083</v>
      </c>
      <c r="AF216" s="9">
        <f t="shared" si="24"/>
        <v>4.1999999999999993</v>
      </c>
      <c r="AG216" s="9">
        <f t="shared" si="25"/>
        <v>6.4249999999999998</v>
      </c>
      <c r="AH216" s="9">
        <f t="shared" si="26"/>
        <v>1.2847085424553343E-2</v>
      </c>
      <c r="AI216" s="9">
        <f t="shared" si="27"/>
        <v>1.6504760390577097E-4</v>
      </c>
      <c r="AJ216" s="9">
        <f t="shared" si="28"/>
        <v>1.254833536621346E-2</v>
      </c>
      <c r="AK216" s="9">
        <f t="shared" si="29"/>
        <v>1.5746072046296349E-4</v>
      </c>
      <c r="AL216" s="9">
        <f t="shared" si="30"/>
        <v>2.7632558112129883E-2</v>
      </c>
      <c r="AM216" s="9">
        <f t="shared" si="31"/>
        <v>7.6355826782023497E-4</v>
      </c>
      <c r="AN216" s="9" t="s">
        <v>2176</v>
      </c>
    </row>
    <row r="217" spans="13:40" ht="23">
      <c r="M217" s="9" t="s">
        <v>2857</v>
      </c>
      <c r="N217" s="8" t="s">
        <v>1717</v>
      </c>
      <c r="O217" s="8"/>
      <c r="P217" s="8"/>
      <c r="Q217" s="8"/>
      <c r="R217" s="8"/>
      <c r="S217" s="8"/>
      <c r="T217" s="8"/>
      <c r="U217" s="8"/>
      <c r="V217" s="8"/>
      <c r="W217" s="9" t="s">
        <v>2857</v>
      </c>
      <c r="X217" s="8">
        <v>46.06</v>
      </c>
      <c r="Y217" s="8">
        <v>2.15</v>
      </c>
      <c r="Z217" s="9">
        <v>9.27</v>
      </c>
      <c r="AA217" s="8">
        <v>1.3</v>
      </c>
      <c r="AB217" s="8"/>
      <c r="AC217" s="22" t="s">
        <v>2857</v>
      </c>
      <c r="AD217" s="8" t="s">
        <v>4176</v>
      </c>
      <c r="AE217" s="8" t="s">
        <v>4083</v>
      </c>
      <c r="AF217" s="9">
        <f t="shared" si="24"/>
        <v>2.7949999999999999</v>
      </c>
      <c r="AG217" s="9">
        <f t="shared" si="25"/>
        <v>12.285</v>
      </c>
      <c r="AH217" s="9">
        <f t="shared" si="26"/>
        <v>1.1134140701279563E-2</v>
      </c>
      <c r="AI217" s="9">
        <f t="shared" si="27"/>
        <v>1.2396908915589017E-4</v>
      </c>
      <c r="AJ217" s="9">
        <f t="shared" si="28"/>
        <v>8.3506184163253862E-3</v>
      </c>
      <c r="AK217" s="9">
        <f t="shared" si="29"/>
        <v>6.9732827935072703E-5</v>
      </c>
      <c r="AL217" s="9">
        <f t="shared" si="30"/>
        <v>5.2835171425294265E-2</v>
      </c>
      <c r="AM217" s="9">
        <f t="shared" si="31"/>
        <v>2.7915553395402317E-3</v>
      </c>
      <c r="AN217" s="9" t="s">
        <v>2857</v>
      </c>
    </row>
    <row r="218" spans="13:40" ht="23">
      <c r="M218" s="8" t="s">
        <v>5092</v>
      </c>
      <c r="N218" s="8" t="s">
        <v>1814</v>
      </c>
      <c r="O218" s="8"/>
      <c r="P218" s="8"/>
      <c r="Q218" s="8"/>
      <c r="R218" s="8"/>
      <c r="S218" s="8"/>
      <c r="T218" s="8"/>
      <c r="U218" s="8"/>
      <c r="V218" s="8"/>
      <c r="W218" s="8" t="s">
        <v>5092</v>
      </c>
      <c r="X218" s="8">
        <v>26.9</v>
      </c>
      <c r="Y218" s="8">
        <v>3.09</v>
      </c>
      <c r="Z218" s="9">
        <v>1.58</v>
      </c>
      <c r="AA218" s="8">
        <v>1.3</v>
      </c>
      <c r="AB218" s="8">
        <v>55613</v>
      </c>
      <c r="AC218" s="21" t="s">
        <v>5092</v>
      </c>
      <c r="AD218" s="8" t="s">
        <v>3718</v>
      </c>
      <c r="AE218" s="8" t="s">
        <v>4083</v>
      </c>
      <c r="AF218" s="9">
        <f t="shared" si="24"/>
        <v>4.0170000000000003</v>
      </c>
      <c r="AG218" s="9">
        <f t="shared" si="25"/>
        <v>2.5566666666666671</v>
      </c>
      <c r="AH218" s="9">
        <f t="shared" si="26"/>
        <v>1.1134140701279563E-2</v>
      </c>
      <c r="AI218" s="9">
        <f t="shared" si="27"/>
        <v>1.2396908915589017E-4</v>
      </c>
      <c r="AJ218" s="9">
        <f t="shared" si="28"/>
        <v>1.2001586468114162E-2</v>
      </c>
      <c r="AK218" s="9">
        <f t="shared" si="29"/>
        <v>1.4403807775162096E-4</v>
      </c>
      <c r="AL218" s="9">
        <f t="shared" si="30"/>
        <v>1.0995679414787872E-2</v>
      </c>
      <c r="AM218" s="9">
        <f t="shared" si="31"/>
        <v>1.2090496579278976E-4</v>
      </c>
      <c r="AN218" s="8" t="s">
        <v>5092</v>
      </c>
    </row>
    <row r="219" spans="13:40" ht="23">
      <c r="M219" s="9" t="s">
        <v>2296</v>
      </c>
      <c r="N219" s="8" t="s">
        <v>150</v>
      </c>
      <c r="O219" s="8"/>
      <c r="P219" s="8"/>
      <c r="Q219" s="8"/>
      <c r="R219" s="8"/>
      <c r="S219" s="8"/>
      <c r="T219" s="8"/>
      <c r="U219" s="8"/>
      <c r="V219" s="8"/>
      <c r="W219" s="9" t="s">
        <v>2296</v>
      </c>
      <c r="X219" s="8">
        <v>51.4</v>
      </c>
      <c r="Y219" s="8">
        <v>2.3199999999999998</v>
      </c>
      <c r="Z219" s="9">
        <v>0.17</v>
      </c>
      <c r="AA219" s="8">
        <v>1.3</v>
      </c>
      <c r="AB219" s="8">
        <v>72452</v>
      </c>
      <c r="AC219" s="22" t="s">
        <v>2296</v>
      </c>
      <c r="AD219" s="8" t="s">
        <v>4176</v>
      </c>
      <c r="AE219" s="8" t="s">
        <v>4083</v>
      </c>
      <c r="AF219" s="9">
        <f t="shared" si="24"/>
        <v>3.016</v>
      </c>
      <c r="AG219" s="9">
        <f t="shared" si="25"/>
        <v>0.36833333333333335</v>
      </c>
      <c r="AH219" s="9">
        <f t="shared" si="26"/>
        <v>1.1134140701279563E-2</v>
      </c>
      <c r="AI219" s="9">
        <f t="shared" si="27"/>
        <v>1.2396908915589017E-4</v>
      </c>
      <c r="AJ219" s="9">
        <f t="shared" si="28"/>
        <v>9.0108998724999518E-3</v>
      </c>
      <c r="AK219" s="9">
        <f t="shared" si="29"/>
        <v>8.1196316512219645E-5</v>
      </c>
      <c r="AL219" s="9">
        <f t="shared" si="30"/>
        <v>1.5841233055202866E-3</v>
      </c>
      <c r="AM219" s="9">
        <f t="shared" si="31"/>
        <v>2.5094466470925193E-6</v>
      </c>
      <c r="AN219" s="9" t="s">
        <v>2296</v>
      </c>
    </row>
    <row r="220" spans="13:40" ht="23">
      <c r="M220" s="9" t="s">
        <v>161</v>
      </c>
      <c r="N220" s="8" t="s">
        <v>150</v>
      </c>
      <c r="O220" s="8"/>
      <c r="P220" s="8"/>
      <c r="Q220" s="8"/>
      <c r="R220" s="8"/>
      <c r="S220" s="8"/>
      <c r="T220" s="8"/>
      <c r="U220" s="8"/>
      <c r="V220" s="8"/>
      <c r="W220" s="9" t="s">
        <v>161</v>
      </c>
      <c r="X220" s="8">
        <v>16.71</v>
      </c>
      <c r="Y220" s="8">
        <v>10.5</v>
      </c>
      <c r="Z220" s="9">
        <v>5.0599999999999996</v>
      </c>
      <c r="AA220" s="8">
        <v>1.2</v>
      </c>
      <c r="AB220" s="8">
        <v>36895</v>
      </c>
      <c r="AC220" s="22" t="s">
        <v>161</v>
      </c>
      <c r="AD220" s="8" t="s">
        <v>3718</v>
      </c>
      <c r="AE220" s="8" t="s">
        <v>4083</v>
      </c>
      <c r="AF220" s="9">
        <f t="shared" si="24"/>
        <v>12.6</v>
      </c>
      <c r="AG220" s="9">
        <f t="shared" si="25"/>
        <v>6.1199999999999992</v>
      </c>
      <c r="AH220" s="9">
        <f t="shared" si="26"/>
        <v>1.0277668339642674E-2</v>
      </c>
      <c r="AI220" s="9">
        <f t="shared" si="27"/>
        <v>1.056304664996934E-4</v>
      </c>
      <c r="AJ220" s="9">
        <f t="shared" si="28"/>
        <v>3.7645006098640382E-2</v>
      </c>
      <c r="AK220" s="9">
        <f t="shared" si="29"/>
        <v>1.4171464841666716E-3</v>
      </c>
      <c r="AL220" s="9">
        <f t="shared" si="30"/>
        <v>2.6320817999413989E-2</v>
      </c>
      <c r="AM220" s="9">
        <f t="shared" si="31"/>
        <v>6.9278546015827543E-4</v>
      </c>
      <c r="AN220" s="9" t="s">
        <v>161</v>
      </c>
    </row>
    <row r="221" spans="13:40" ht="23">
      <c r="M221" s="24" t="s">
        <v>5115</v>
      </c>
      <c r="N221" s="8" t="s">
        <v>150</v>
      </c>
      <c r="O221" s="24"/>
      <c r="P221" s="24"/>
      <c r="Q221" s="24"/>
      <c r="R221" s="24"/>
      <c r="S221" s="24"/>
      <c r="T221" s="24"/>
      <c r="U221" s="24"/>
      <c r="V221" s="24"/>
      <c r="W221" s="24" t="s">
        <v>5115</v>
      </c>
      <c r="X221" s="24">
        <v>10.77</v>
      </c>
      <c r="Y221" s="24">
        <v>4.4400000000000004</v>
      </c>
      <c r="Z221" s="25">
        <v>3.19</v>
      </c>
      <c r="AA221" s="24">
        <v>1.2</v>
      </c>
      <c r="AB221" s="24">
        <v>62359</v>
      </c>
      <c r="AC221" s="21" t="s">
        <v>5115</v>
      </c>
      <c r="AD221" s="8" t="s">
        <v>3718</v>
      </c>
      <c r="AE221" s="8" t="s">
        <v>4083</v>
      </c>
      <c r="AF221" s="25">
        <f t="shared" si="24"/>
        <v>5.3280000000000003</v>
      </c>
      <c r="AG221" s="25">
        <f t="shared" si="25"/>
        <v>3.9799999999999995</v>
      </c>
      <c r="AH221" s="25">
        <f t="shared" si="26"/>
        <v>1.0277668339642674E-2</v>
      </c>
      <c r="AI221" s="25">
        <f t="shared" si="27"/>
        <v>1.056304664996934E-4</v>
      </c>
      <c r="AJ221" s="25">
        <f t="shared" si="28"/>
        <v>1.5918459721710791E-2</v>
      </c>
      <c r="AK221" s="25">
        <f t="shared" si="29"/>
        <v>2.5339735991172882E-4</v>
      </c>
      <c r="AL221" s="25">
        <f t="shared" si="30"/>
        <v>1.7117133274128706E-2</v>
      </c>
      <c r="AM221" s="25">
        <f t="shared" si="31"/>
        <v>2.9299625152428411E-4</v>
      </c>
      <c r="AN221" s="24" t="s">
        <v>5115</v>
      </c>
    </row>
    <row r="222" spans="13:40" ht="23">
      <c r="M222" s="9" t="s">
        <v>5059</v>
      </c>
      <c r="N222" s="8" t="s">
        <v>150</v>
      </c>
      <c r="O222" s="8"/>
      <c r="P222" s="8"/>
      <c r="Q222" s="8"/>
      <c r="R222" s="8"/>
      <c r="S222" s="8"/>
      <c r="T222" s="8"/>
      <c r="U222" s="8"/>
      <c r="V222" s="8"/>
      <c r="W222" s="9" t="s">
        <v>5059</v>
      </c>
      <c r="X222" s="8">
        <v>62.58</v>
      </c>
      <c r="Y222" s="8">
        <v>2.2599999999999998</v>
      </c>
      <c r="Z222" s="9">
        <v>1.56</v>
      </c>
      <c r="AA222" s="8">
        <v>1.2</v>
      </c>
      <c r="AB222" s="8">
        <v>58817</v>
      </c>
      <c r="AC222" s="22" t="s">
        <v>5059</v>
      </c>
      <c r="AD222" s="8" t="s">
        <v>3718</v>
      </c>
      <c r="AE222" s="8" t="s">
        <v>4083</v>
      </c>
      <c r="AF222" s="9">
        <f t="shared" si="24"/>
        <v>2.7119999999999997</v>
      </c>
      <c r="AG222" s="9">
        <f t="shared" si="25"/>
        <v>2.3199999999999998</v>
      </c>
      <c r="AH222" s="9">
        <f t="shared" si="26"/>
        <v>1.0277668339642674E-2</v>
      </c>
      <c r="AI222" s="9">
        <f t="shared" si="27"/>
        <v>1.056304664996934E-4</v>
      </c>
      <c r="AJ222" s="9">
        <f t="shared" si="28"/>
        <v>8.1026394078978353E-3</v>
      </c>
      <c r="AK222" s="9">
        <f t="shared" si="29"/>
        <v>6.5652765374418982E-5</v>
      </c>
      <c r="AL222" s="9">
        <f t="shared" si="30"/>
        <v>9.9778264311504005E-3</v>
      </c>
      <c r="AM222" s="9">
        <f t="shared" si="31"/>
        <v>9.9557020290163534E-5</v>
      </c>
      <c r="AN222" s="9" t="s">
        <v>5059</v>
      </c>
    </row>
    <row r="223" spans="13:40" ht="23">
      <c r="M223" s="9" t="s">
        <v>2338</v>
      </c>
      <c r="N223" s="8" t="s">
        <v>150</v>
      </c>
      <c r="O223" s="8"/>
      <c r="P223" s="8"/>
      <c r="Q223" s="8"/>
      <c r="R223" s="8"/>
      <c r="S223" s="8"/>
      <c r="T223" s="8"/>
      <c r="U223" s="8"/>
      <c r="V223" s="8"/>
      <c r="W223" s="9" t="s">
        <v>2338</v>
      </c>
      <c r="X223" s="8">
        <v>36.79</v>
      </c>
      <c r="Y223" s="8">
        <v>2.97</v>
      </c>
      <c r="Z223" s="9">
        <v>1.46</v>
      </c>
      <c r="AA223" s="8">
        <v>1.2</v>
      </c>
      <c r="AB223" s="8">
        <v>53783</v>
      </c>
      <c r="AC223" s="22" t="s">
        <v>2338</v>
      </c>
      <c r="AD223" s="8" t="s">
        <v>4176</v>
      </c>
      <c r="AE223" s="8" t="s">
        <v>4083</v>
      </c>
      <c r="AF223" s="9">
        <f t="shared" si="24"/>
        <v>3.5640000000000001</v>
      </c>
      <c r="AG223" s="9">
        <f t="shared" si="25"/>
        <v>2.1199999999999997</v>
      </c>
      <c r="AH223" s="9">
        <f t="shared" si="26"/>
        <v>1.0277668339642674E-2</v>
      </c>
      <c r="AI223" s="9">
        <f t="shared" si="27"/>
        <v>1.056304664996934E-4</v>
      </c>
      <c r="AJ223" s="9">
        <f t="shared" si="28"/>
        <v>1.0648158867901138E-2</v>
      </c>
      <c r="AK223" s="9">
        <f t="shared" si="29"/>
        <v>1.1338328727606164E-4</v>
      </c>
      <c r="AL223" s="9">
        <f t="shared" si="30"/>
        <v>9.1176689801891579E-3</v>
      </c>
      <c r="AM223" s="9">
        <f t="shared" si="31"/>
        <v>8.3131887632303597E-5</v>
      </c>
      <c r="AN223" s="9" t="s">
        <v>2338</v>
      </c>
    </row>
    <row r="224" spans="13:40" ht="23">
      <c r="M224" s="8" t="s">
        <v>1845</v>
      </c>
      <c r="N224" s="8" t="s">
        <v>1814</v>
      </c>
      <c r="O224" s="8"/>
      <c r="P224" s="8"/>
      <c r="Q224" s="8"/>
      <c r="R224" s="8"/>
      <c r="S224" s="8"/>
      <c r="T224" s="8"/>
      <c r="U224" s="8"/>
      <c r="V224" s="8"/>
      <c r="W224" s="8" t="s">
        <v>1845</v>
      </c>
      <c r="X224" s="8">
        <v>61.27</v>
      </c>
      <c r="Y224" s="8">
        <v>2.31</v>
      </c>
      <c r="Z224" s="9">
        <v>1.1499999999999999</v>
      </c>
      <c r="AA224" s="8">
        <v>1.2</v>
      </c>
      <c r="AB224" s="8">
        <v>66997</v>
      </c>
      <c r="AC224" s="21" t="s">
        <v>1845</v>
      </c>
      <c r="AD224" s="8" t="s">
        <v>3718</v>
      </c>
      <c r="AE224" s="8" t="s">
        <v>4083</v>
      </c>
      <c r="AF224" s="9">
        <f t="shared" si="24"/>
        <v>2.7719999999999998</v>
      </c>
      <c r="AG224" s="9">
        <f t="shared" si="25"/>
        <v>1.5</v>
      </c>
      <c r="AH224" s="9">
        <f t="shared" si="26"/>
        <v>1.0277668339642674E-2</v>
      </c>
      <c r="AI224" s="9">
        <f t="shared" si="27"/>
        <v>1.056304664996934E-4</v>
      </c>
      <c r="AJ224" s="9">
        <f t="shared" si="28"/>
        <v>8.2819013417008841E-3</v>
      </c>
      <c r="AK224" s="9">
        <f t="shared" si="29"/>
        <v>6.8589889833666905E-5</v>
      </c>
      <c r="AL224" s="9">
        <f t="shared" si="30"/>
        <v>6.4511808822093116E-3</v>
      </c>
      <c r="AM224" s="9">
        <f t="shared" si="31"/>
        <v>4.1617734774982915E-5</v>
      </c>
      <c r="AN224" s="8" t="s">
        <v>1845</v>
      </c>
    </row>
    <row r="225" spans="13:40" ht="23">
      <c r="M225" s="8" t="s">
        <v>601</v>
      </c>
      <c r="N225" s="8" t="s">
        <v>150</v>
      </c>
      <c r="O225" s="8"/>
      <c r="P225" s="8"/>
      <c r="Q225" s="8"/>
      <c r="R225" s="8"/>
      <c r="S225" s="8"/>
      <c r="T225" s="8"/>
      <c r="U225" s="8"/>
      <c r="V225" s="8"/>
      <c r="W225" s="8" t="s">
        <v>601</v>
      </c>
      <c r="X225" s="8">
        <v>65.73</v>
      </c>
      <c r="Y225" s="8">
        <v>1.35</v>
      </c>
      <c r="Z225" s="9">
        <v>0.05</v>
      </c>
      <c r="AA225" s="8">
        <v>1.2</v>
      </c>
      <c r="AB225" s="8">
        <v>77690</v>
      </c>
      <c r="AC225" s="21" t="s">
        <v>601</v>
      </c>
      <c r="AD225" s="8" t="s">
        <v>4375</v>
      </c>
      <c r="AE225" s="8" t="s">
        <v>4083</v>
      </c>
      <c r="AF225" s="9">
        <f t="shared" si="24"/>
        <v>1.62</v>
      </c>
      <c r="AG225" s="9">
        <f t="shared" si="25"/>
        <v>9.9999999999999992E-2</v>
      </c>
      <c r="AH225" s="9">
        <f t="shared" si="26"/>
        <v>1.0277668339642674E-2</v>
      </c>
      <c r="AI225" s="9">
        <f t="shared" si="27"/>
        <v>1.056304664996934E-4</v>
      </c>
      <c r="AJ225" s="9">
        <f t="shared" si="28"/>
        <v>4.8400722126823352E-3</v>
      </c>
      <c r="AK225" s="9">
        <f t="shared" si="29"/>
        <v>2.3426299023979676E-5</v>
      </c>
      <c r="AL225" s="9">
        <f t="shared" si="30"/>
        <v>4.300787254806207E-4</v>
      </c>
      <c r="AM225" s="9">
        <f t="shared" si="31"/>
        <v>1.8496771011103509E-7</v>
      </c>
      <c r="AN225" s="8" t="s">
        <v>601</v>
      </c>
    </row>
    <row r="226" spans="13:40" ht="23">
      <c r="M226" s="9" t="s">
        <v>2962</v>
      </c>
      <c r="N226" s="8" t="s">
        <v>1717</v>
      </c>
      <c r="O226" s="8"/>
      <c r="P226" s="8"/>
      <c r="Q226" s="8"/>
      <c r="R226" s="8"/>
      <c r="S226" s="8"/>
      <c r="T226" s="8"/>
      <c r="U226" s="8"/>
      <c r="V226" s="8"/>
      <c r="W226" s="9" t="s">
        <v>2962</v>
      </c>
      <c r="X226" s="8">
        <v>26.89</v>
      </c>
      <c r="Y226" s="8">
        <v>2.91</v>
      </c>
      <c r="Z226" s="9">
        <v>5.46</v>
      </c>
      <c r="AA226" s="8">
        <v>1.1000000000000001</v>
      </c>
      <c r="AB226" s="8">
        <v>65658</v>
      </c>
      <c r="AC226" s="22" t="s">
        <v>2962</v>
      </c>
      <c r="AD226" s="8" t="s">
        <v>4176</v>
      </c>
      <c r="AE226" s="8" t="s">
        <v>4083</v>
      </c>
      <c r="AF226" s="9">
        <f t="shared" si="24"/>
        <v>3.2010000000000005</v>
      </c>
      <c r="AG226" s="9">
        <f t="shared" si="25"/>
        <v>6.3433333333333337</v>
      </c>
      <c r="AH226" s="9">
        <f t="shared" si="26"/>
        <v>9.4211959780057843E-3</v>
      </c>
      <c r="AI226" s="9">
        <f t="shared" si="27"/>
        <v>8.8758933655992369E-5</v>
      </c>
      <c r="AJ226" s="9">
        <f t="shared" si="28"/>
        <v>9.5636241683926884E-3</v>
      </c>
      <c r="AK226" s="9">
        <f t="shared" si="29"/>
        <v>9.1462907234264736E-5</v>
      </c>
      <c r="AL226" s="9">
        <f t="shared" si="30"/>
        <v>2.7281327152987377E-2</v>
      </c>
      <c r="AM226" s="9">
        <f t="shared" si="31"/>
        <v>7.4427081122832638E-4</v>
      </c>
      <c r="AN226" s="9" t="s">
        <v>2962</v>
      </c>
    </row>
    <row r="227" spans="13:40" ht="23">
      <c r="M227" s="8" t="s">
        <v>565</v>
      </c>
      <c r="N227" s="8" t="s">
        <v>150</v>
      </c>
      <c r="O227" s="8"/>
      <c r="P227" s="8"/>
      <c r="Q227" s="8"/>
      <c r="R227" s="8"/>
      <c r="S227" s="8"/>
      <c r="T227" s="8"/>
      <c r="U227" s="8"/>
      <c r="V227" s="8"/>
      <c r="W227" s="8" t="s">
        <v>565</v>
      </c>
      <c r="X227" s="8">
        <v>31.81</v>
      </c>
      <c r="Y227" s="8">
        <v>6.44</v>
      </c>
      <c r="Z227" s="9">
        <v>4.3600000000000003</v>
      </c>
      <c r="AA227" s="8">
        <v>1.1000000000000001</v>
      </c>
      <c r="AB227" s="8">
        <v>41634</v>
      </c>
      <c r="AC227" s="21" t="s">
        <v>565</v>
      </c>
      <c r="AD227" s="8" t="s">
        <v>3718</v>
      </c>
      <c r="AE227" s="8" t="s">
        <v>4083</v>
      </c>
      <c r="AF227" s="9">
        <f t="shared" si="24"/>
        <v>7.0840000000000014</v>
      </c>
      <c r="AG227" s="9">
        <f t="shared" si="25"/>
        <v>5.0599999999999996</v>
      </c>
      <c r="AH227" s="9">
        <f t="shared" si="26"/>
        <v>9.4211959780057843E-3</v>
      </c>
      <c r="AI227" s="9">
        <f t="shared" si="27"/>
        <v>8.8758933655992369E-5</v>
      </c>
      <c r="AJ227" s="9">
        <f t="shared" si="28"/>
        <v>2.116485898434671E-2</v>
      </c>
      <c r="AK227" s="9">
        <f t="shared" si="29"/>
        <v>4.4795125582728165E-4</v>
      </c>
      <c r="AL227" s="9">
        <f t="shared" si="30"/>
        <v>2.1761983509319408E-2</v>
      </c>
      <c r="AM227" s="9">
        <f t="shared" si="31"/>
        <v>4.7358392625988988E-4</v>
      </c>
      <c r="AN227" s="8" t="s">
        <v>565</v>
      </c>
    </row>
    <row r="228" spans="13:40" ht="23">
      <c r="M228" s="8" t="s">
        <v>1157</v>
      </c>
      <c r="N228" s="8" t="s">
        <v>150</v>
      </c>
      <c r="O228" s="8"/>
      <c r="P228" s="8"/>
      <c r="Q228" s="8"/>
      <c r="R228" s="8"/>
      <c r="S228" s="8"/>
      <c r="T228" s="8"/>
      <c r="U228" s="8"/>
      <c r="V228" s="8"/>
      <c r="W228" s="8" t="s">
        <v>1157</v>
      </c>
      <c r="X228" s="8">
        <v>51.46</v>
      </c>
      <c r="Y228" s="8">
        <v>2.4700000000000002</v>
      </c>
      <c r="Z228" s="9">
        <v>2.38</v>
      </c>
      <c r="AA228" s="8">
        <v>1.1000000000000001</v>
      </c>
      <c r="AB228" s="8">
        <v>70101</v>
      </c>
      <c r="AC228" s="21" t="s">
        <v>1157</v>
      </c>
      <c r="AD228" s="8" t="s">
        <v>3718</v>
      </c>
      <c r="AE228" s="8" t="s">
        <v>4083</v>
      </c>
      <c r="AF228" s="9">
        <f t="shared" si="24"/>
        <v>2.7170000000000005</v>
      </c>
      <c r="AG228" s="9">
        <f t="shared" si="25"/>
        <v>2.8966666666666669</v>
      </c>
      <c r="AH228" s="9">
        <f t="shared" si="26"/>
        <v>9.4211959780057843E-3</v>
      </c>
      <c r="AI228" s="9">
        <f t="shared" si="27"/>
        <v>8.8758933655992369E-5</v>
      </c>
      <c r="AJ228" s="9">
        <f t="shared" si="28"/>
        <v>8.1175779023814239E-3</v>
      </c>
      <c r="AK228" s="9">
        <f t="shared" si="29"/>
        <v>6.5895071001231199E-5</v>
      </c>
      <c r="AL228" s="9">
        <f t="shared" si="30"/>
        <v>1.2457947081421982E-2</v>
      </c>
      <c r="AM228" s="9">
        <f t="shared" si="31"/>
        <v>1.5520044548351049E-4</v>
      </c>
      <c r="AN228" s="8" t="s">
        <v>1157</v>
      </c>
    </row>
    <row r="229" spans="13:40" ht="23">
      <c r="M229" s="8" t="s">
        <v>39</v>
      </c>
      <c r="N229" s="8" t="s">
        <v>18</v>
      </c>
      <c r="O229" s="8"/>
      <c r="P229" s="8"/>
      <c r="Q229" s="8"/>
      <c r="R229" s="8"/>
      <c r="S229" s="8"/>
      <c r="T229" s="8"/>
      <c r="U229" s="8"/>
      <c r="V229" s="8"/>
      <c r="W229" s="8" t="s">
        <v>39</v>
      </c>
      <c r="X229" s="8">
        <v>48.16</v>
      </c>
      <c r="Y229" s="8">
        <v>2.6</v>
      </c>
      <c r="Z229" s="9">
        <v>0.35</v>
      </c>
      <c r="AA229" s="8">
        <v>1.1000000000000001</v>
      </c>
      <c r="AB229" s="8">
        <v>78393</v>
      </c>
      <c r="AC229" s="21" t="s">
        <v>39</v>
      </c>
      <c r="AD229" s="8" t="s">
        <v>3718</v>
      </c>
      <c r="AE229" s="8" t="s">
        <v>4083</v>
      </c>
      <c r="AF229" s="9">
        <f t="shared" si="24"/>
        <v>2.8600000000000003</v>
      </c>
      <c r="AG229" s="9">
        <f t="shared" si="25"/>
        <v>0.64166666666666672</v>
      </c>
      <c r="AH229" s="9">
        <f t="shared" si="26"/>
        <v>9.4211959780057843E-3</v>
      </c>
      <c r="AI229" s="9">
        <f t="shared" si="27"/>
        <v>8.8758933655992369E-5</v>
      </c>
      <c r="AJ229" s="9">
        <f t="shared" si="28"/>
        <v>8.5448188446120253E-3</v>
      </c>
      <c r="AK229" s="9">
        <f t="shared" si="29"/>
        <v>7.3013929087236792E-5</v>
      </c>
      <c r="AL229" s="9">
        <f t="shared" si="30"/>
        <v>2.7596718218339832E-3</v>
      </c>
      <c r="AM229" s="9">
        <f t="shared" si="31"/>
        <v>7.6157885642244964E-6</v>
      </c>
      <c r="AN229" s="8" t="s">
        <v>39</v>
      </c>
    </row>
    <row r="230" spans="13:40" ht="23"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9"/>
      <c r="AA230" s="8">
        <f>SUBTOTAL(109,Table13617192122[ترافیک کل])</f>
        <v>11675.800000000007</v>
      </c>
      <c r="AB230" s="8"/>
      <c r="AC230" s="21"/>
      <c r="AD230" s="8"/>
      <c r="AE230" s="8"/>
      <c r="AF230" s="9">
        <f>SUBTOTAL(109,Table13617192122[[مجموع صفحات  مشاهده شده   ]])</f>
        <v>33470.57499999999</v>
      </c>
      <c r="AG230" s="9">
        <f>SUBTOTAL(109,Table13617192122[[مجموع زمان حضور در سایت ]])</f>
        <v>23251.556999999986</v>
      </c>
      <c r="AH230" s="9">
        <f>SUBTOTAL(109,Table13617192122[سهم سایت از کل ترافیک طبقه بندی])</f>
        <v>99.999999999999929</v>
      </c>
      <c r="AI230" s="9">
        <f>SUBTOTAL(109,Table13617192122[شاخص هرفیندال هیرشمن (ترافیک)])</f>
        <v>227.19579208267078</v>
      </c>
      <c r="AJ230" s="9">
        <f>SUBTOTAL(109,Table13617192122[سهم سایت از کل صفحات مشاهده شده در طبقه بندی])</f>
        <v>100.00000000000001</v>
      </c>
      <c r="AK230" s="9">
        <f>SUBTOTAL(109,Table13617192122[شاخص هرفیندال -هیرشمن (صفحات مشاهده شده )])</f>
        <v>291.95862264330481</v>
      </c>
      <c r="AL230" s="9">
        <f>SUBTOTAL(109,Table13617192122[سهم سایت از کل زمان حضور در طبقه بندی])</f>
        <v>100.00000000000003</v>
      </c>
      <c r="AM230" s="9">
        <f>SUBTOTAL(109,Table13617192122[شاخص هرفیندال هیرشمن (زمان حضور)])</f>
        <v>536.88284711926838</v>
      </c>
      <c r="AN230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{700C8B35-B2BA-4AB9-86E5-ACED3C0EBF4E}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{68B32B66-954B-4929-A601-2366AB8D5890}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{830D44CD-B5BA-44D4-920C-8D6FD9F8419D}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{146B7825-AEA5-491A-BBB8-B71908177B2F}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{D2D6BF38-4103-41A4-977F-1C25F9D5587C}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{02F6C4EB-8D44-43CB-BD80-A664EF5BF240}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00C8B35-B2BA-4AB9-86E5-ACED3C0EBF4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8B32B66-954B-4929-A601-2366AB8D589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30D44CD-B5BA-44D4-920C-8D6FD9F8419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46B7825-AEA5-491A-BBB8-B71908177B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2D6BF38-4103-41A4-977F-1C25F9D5587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02F6C4EB-8D44-43CB-BD80-A664EF5BF24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70"/>
  <sheetViews>
    <sheetView showGridLines="0" rightToLeft="1" topLeftCell="Y1" zoomScale="70" zoomScaleNormal="70" workbookViewId="0">
      <selection activeCell="Y2" sqref="Y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440</v>
      </c>
      <c r="N2" s="8" t="s">
        <v>150</v>
      </c>
      <c r="O2" s="8"/>
      <c r="P2" s="8" t="s">
        <v>3693</v>
      </c>
      <c r="Q2" s="8"/>
      <c r="R2" s="8"/>
      <c r="S2" s="8"/>
      <c r="T2" s="8"/>
      <c r="U2" s="8"/>
      <c r="V2" s="8"/>
      <c r="W2" s="8" t="s">
        <v>440</v>
      </c>
      <c r="X2" s="8">
        <v>45.37</v>
      </c>
      <c r="Y2" s="8">
        <v>2.77</v>
      </c>
      <c r="Z2" s="9">
        <v>1.48</v>
      </c>
      <c r="AA2" s="8">
        <v>759.1</v>
      </c>
      <c r="AB2" s="8">
        <v>1129</v>
      </c>
      <c r="AC2" s="21" t="s">
        <v>440</v>
      </c>
      <c r="AD2" s="8" t="s">
        <v>5356</v>
      </c>
      <c r="AE2" s="8" t="s">
        <v>4083</v>
      </c>
      <c r="AF2" s="9">
        <f t="shared" ref="AF2:AF33" si="0">(AA2*Y2)</f>
        <v>2102.7069999999999</v>
      </c>
      <c r="AG2" s="9">
        <f t="shared" ref="AG2:AG33" si="1">((((RIGHT(Z2,2))/60)+(LEFT(Z2,2)))*AA2)</f>
        <v>1366.38</v>
      </c>
      <c r="AH2" s="9">
        <f t="shared" ref="AH2:AH33" si="2">(AA2/$AA$70)*100</f>
        <v>11.224474707595858</v>
      </c>
      <c r="AI2" s="9">
        <f t="shared" ref="AI2:AI33" si="3">(AH2*AH2)</f>
        <v>125.98883246145913</v>
      </c>
      <c r="AJ2" s="9">
        <f t="shared" ref="AJ2:AJ33" si="4">(AF2/$AF$70)*100</f>
        <v>10.629077322122392</v>
      </c>
      <c r="AK2" s="9">
        <f t="shared" ref="AK2:AK33" si="5">(AJ2*AJ2)</f>
        <v>112.97728471965651</v>
      </c>
      <c r="AL2" s="9">
        <f t="shared" ref="AL2:AL33" si="6">(AG2/$AG$70)*100</f>
        <v>14.949838694780324</v>
      </c>
      <c r="AM2" s="9">
        <f t="shared" ref="AM2:AM33" si="7">(AL2*AL2)</f>
        <v>223.49767699995104</v>
      </c>
      <c r="AN2" s="8" t="s">
        <v>440</v>
      </c>
    </row>
    <row r="3" spans="8:40" ht="23">
      <c r="M3" s="8" t="s">
        <v>1577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1577</v>
      </c>
      <c r="X3" s="8">
        <v>57.75</v>
      </c>
      <c r="Y3" s="8">
        <v>1.88</v>
      </c>
      <c r="Z3" s="9">
        <v>1.1200000000000001</v>
      </c>
      <c r="AA3" s="8">
        <v>589.9</v>
      </c>
      <c r="AB3" s="8">
        <v>2836</v>
      </c>
      <c r="AC3" s="21" t="s">
        <v>1577</v>
      </c>
      <c r="AD3" s="8" t="s">
        <v>5356</v>
      </c>
      <c r="AE3" s="8" t="s">
        <v>4083</v>
      </c>
      <c r="AF3" s="9">
        <f t="shared" si="0"/>
        <v>1109.0119999999999</v>
      </c>
      <c r="AG3" s="9">
        <f t="shared" si="1"/>
        <v>707.88</v>
      </c>
      <c r="AH3" s="9">
        <f t="shared" si="2"/>
        <v>8.7225894216977942</v>
      </c>
      <c r="AI3" s="9">
        <f t="shared" si="3"/>
        <v>76.083566219514253</v>
      </c>
      <c r="AJ3" s="9">
        <f t="shared" si="4"/>
        <v>5.6059994564918458</v>
      </c>
      <c r="AK3" s="9">
        <f t="shared" si="5"/>
        <v>31.42722990618687</v>
      </c>
      <c r="AL3" s="9">
        <f t="shared" si="6"/>
        <v>7.7450576086162668</v>
      </c>
      <c r="AM3" s="9">
        <f t="shared" si="7"/>
        <v>59.985917360784725</v>
      </c>
      <c r="AN3" s="8" t="s">
        <v>1577</v>
      </c>
    </row>
    <row r="4" spans="8:40" ht="23">
      <c r="M4" s="9" t="s">
        <v>3195</v>
      </c>
      <c r="N4" s="8" t="s">
        <v>1869</v>
      </c>
      <c r="O4" s="8"/>
      <c r="P4" s="8" t="s">
        <v>4668</v>
      </c>
      <c r="Q4" s="8"/>
      <c r="R4" s="8"/>
      <c r="S4" s="8"/>
      <c r="T4" s="8"/>
      <c r="U4" s="8"/>
      <c r="V4" s="8"/>
      <c r="W4" s="9" t="s">
        <v>3195</v>
      </c>
      <c r="X4" s="8">
        <v>75.569999999999993</v>
      </c>
      <c r="Y4" s="8">
        <v>1.74</v>
      </c>
      <c r="Z4" s="9">
        <v>0.46</v>
      </c>
      <c r="AA4" s="8">
        <v>587.29999999999995</v>
      </c>
      <c r="AB4" s="8">
        <v>2928</v>
      </c>
      <c r="AC4" s="22" t="s">
        <v>3195</v>
      </c>
      <c r="AD4" s="8" t="s">
        <v>5356</v>
      </c>
      <c r="AE4" s="8" t="s">
        <v>4083</v>
      </c>
      <c r="AF4" s="9">
        <f t="shared" si="0"/>
        <v>1021.9019999999999</v>
      </c>
      <c r="AG4" s="9">
        <f t="shared" si="1"/>
        <v>450.26333333333332</v>
      </c>
      <c r="AH4" s="9">
        <f t="shared" si="2"/>
        <v>8.6841443759334034</v>
      </c>
      <c r="AI4" s="9">
        <f t="shared" si="3"/>
        <v>75.414363542055753</v>
      </c>
      <c r="AJ4" s="9">
        <f t="shared" si="4"/>
        <v>5.1656628211308169</v>
      </c>
      <c r="AK4" s="9">
        <f t="shared" si="5"/>
        <v>26.684072381613191</v>
      </c>
      <c r="AL4" s="9">
        <f t="shared" si="6"/>
        <v>4.9264217886001234</v>
      </c>
      <c r="AM4" s="9">
        <f t="shared" si="7"/>
        <v>24.269631639194039</v>
      </c>
      <c r="AN4" s="9" t="s">
        <v>3195</v>
      </c>
    </row>
    <row r="5" spans="8:40" ht="23">
      <c r="M5" s="8" t="s">
        <v>1415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1415</v>
      </c>
      <c r="X5" s="8">
        <v>18.02</v>
      </c>
      <c r="Y5" s="8">
        <v>3.14</v>
      </c>
      <c r="Z5" s="9">
        <v>1.54</v>
      </c>
      <c r="AA5" s="8">
        <v>345.3</v>
      </c>
      <c r="AB5" s="8">
        <v>4449</v>
      </c>
      <c r="AC5" s="21" t="s">
        <v>1415</v>
      </c>
      <c r="AD5" s="8" t="s">
        <v>5356</v>
      </c>
      <c r="AE5" s="8" t="s">
        <v>4083</v>
      </c>
      <c r="AF5" s="9">
        <f t="shared" si="0"/>
        <v>1084.2420000000002</v>
      </c>
      <c r="AG5" s="9">
        <f t="shared" si="1"/>
        <v>656.06999999999994</v>
      </c>
      <c r="AH5" s="9">
        <f t="shared" si="2"/>
        <v>5.105797808632393</v>
      </c>
      <c r="AI5" s="9">
        <f t="shared" si="3"/>
        <v>26.069171262635347</v>
      </c>
      <c r="AJ5" s="9">
        <f t="shared" si="4"/>
        <v>5.4807883618081981</v>
      </c>
      <c r="AK5" s="9">
        <f t="shared" si="5"/>
        <v>30.039041066932192</v>
      </c>
      <c r="AL5" s="9">
        <f t="shared" si="6"/>
        <v>7.1781939668939279</v>
      </c>
      <c r="AM5" s="9">
        <f t="shared" si="7"/>
        <v>51.526468626352383</v>
      </c>
      <c r="AN5" s="8" t="s">
        <v>1415</v>
      </c>
    </row>
    <row r="6" spans="8:40" ht="23">
      <c r="M6" s="8" t="s">
        <v>1665</v>
      </c>
      <c r="N6" s="8" t="s">
        <v>1614</v>
      </c>
      <c r="O6" s="8"/>
      <c r="P6" s="8"/>
      <c r="Q6" s="8"/>
      <c r="R6" s="8"/>
      <c r="S6" s="8"/>
      <c r="T6" s="8"/>
      <c r="U6" s="8"/>
      <c r="V6" s="8"/>
      <c r="W6" s="8" t="s">
        <v>1665</v>
      </c>
      <c r="X6" s="8">
        <v>45.91</v>
      </c>
      <c r="Y6" s="8">
        <v>1.47</v>
      </c>
      <c r="Z6" s="9">
        <v>0.25</v>
      </c>
      <c r="AA6" s="8">
        <v>282.7</v>
      </c>
      <c r="AB6" s="8">
        <v>4286</v>
      </c>
      <c r="AC6" s="21" t="s">
        <v>1665</v>
      </c>
      <c r="AD6" s="8" t="s">
        <v>5356</v>
      </c>
      <c r="AE6" s="8" t="s">
        <v>4083</v>
      </c>
      <c r="AF6" s="9">
        <f t="shared" si="0"/>
        <v>415.56899999999996</v>
      </c>
      <c r="AG6" s="9">
        <f t="shared" si="1"/>
        <v>117.79166666666667</v>
      </c>
      <c r="AH6" s="9">
        <f t="shared" si="2"/>
        <v>4.1801593990743635</v>
      </c>
      <c r="AI6" s="9">
        <f t="shared" si="3"/>
        <v>17.473732601669745</v>
      </c>
      <c r="AJ6" s="9">
        <f t="shared" si="4"/>
        <v>2.1006802344202402</v>
      </c>
      <c r="AK6" s="9">
        <f t="shared" si="5"/>
        <v>4.4128574472838755</v>
      </c>
      <c r="AL6" s="9">
        <f t="shared" si="6"/>
        <v>1.2887823418492652</v>
      </c>
      <c r="AM6" s="9">
        <f t="shared" si="7"/>
        <v>1.6609599246624762</v>
      </c>
      <c r="AN6" s="8" t="s">
        <v>1665</v>
      </c>
    </row>
    <row r="7" spans="8:40" ht="23">
      <c r="M7" s="9" t="s">
        <v>2362</v>
      </c>
      <c r="N7" s="8" t="s">
        <v>150</v>
      </c>
      <c r="O7" s="8"/>
      <c r="P7" s="8" t="s">
        <v>3692</v>
      </c>
      <c r="Q7" s="8"/>
      <c r="R7" s="8"/>
      <c r="S7" s="8"/>
      <c r="T7" s="8"/>
      <c r="U7" s="8"/>
      <c r="V7" s="8"/>
      <c r="W7" s="9" t="s">
        <v>2362</v>
      </c>
      <c r="X7" s="8">
        <v>19.87</v>
      </c>
      <c r="Y7" s="8">
        <v>3.41</v>
      </c>
      <c r="Z7" s="9">
        <v>1.1599999999999999</v>
      </c>
      <c r="AA7" s="8">
        <v>253.2</v>
      </c>
      <c r="AB7" s="8">
        <v>3934</v>
      </c>
      <c r="AC7" s="22" t="s">
        <v>2362</v>
      </c>
      <c r="AD7" s="8" t="s">
        <v>5356</v>
      </c>
      <c r="AE7" s="8" t="s">
        <v>4083</v>
      </c>
      <c r="AF7" s="9">
        <f t="shared" si="0"/>
        <v>863.41200000000003</v>
      </c>
      <c r="AG7" s="9">
        <f t="shared" si="1"/>
        <v>320.71999999999997</v>
      </c>
      <c r="AH7" s="9">
        <f t="shared" si="2"/>
        <v>3.743955995209157</v>
      </c>
      <c r="AI7" s="9">
        <f t="shared" si="3"/>
        <v>14.01720649406259</v>
      </c>
      <c r="AJ7" s="9">
        <f t="shared" si="4"/>
        <v>4.3645039032296653</v>
      </c>
      <c r="AK7" s="9">
        <f t="shared" si="5"/>
        <v>19.048894321306985</v>
      </c>
      <c r="AL7" s="9">
        <f t="shared" si="6"/>
        <v>3.5090620956029399</v>
      </c>
      <c r="AM7" s="9">
        <f t="shared" si="7"/>
        <v>12.313516790797296</v>
      </c>
      <c r="AN7" s="9" t="s">
        <v>2362</v>
      </c>
    </row>
    <row r="8" spans="8:40" ht="23">
      <c r="M8" s="9" t="s">
        <v>2849</v>
      </c>
      <c r="N8" s="8" t="s">
        <v>1614</v>
      </c>
      <c r="O8" s="8"/>
      <c r="P8" s="8"/>
      <c r="Q8" s="8"/>
      <c r="R8" s="8"/>
      <c r="S8" s="8"/>
      <c r="T8" s="8"/>
      <c r="U8" s="8"/>
      <c r="V8" s="8"/>
      <c r="W8" s="9" t="s">
        <v>2849</v>
      </c>
      <c r="X8" s="8">
        <v>7.67</v>
      </c>
      <c r="Y8" s="8">
        <v>2.98</v>
      </c>
      <c r="Z8" s="9">
        <v>0.57999999999999996</v>
      </c>
      <c r="AA8" s="8">
        <v>241.1</v>
      </c>
      <c r="AB8" s="8">
        <v>3848</v>
      </c>
      <c r="AC8" s="22" t="s">
        <v>2849</v>
      </c>
      <c r="AD8" s="8" t="s">
        <v>5356</v>
      </c>
      <c r="AE8" s="8" t="s">
        <v>4083</v>
      </c>
      <c r="AF8" s="9">
        <f t="shared" si="0"/>
        <v>718.47799999999995</v>
      </c>
      <c r="AG8" s="9">
        <f t="shared" si="1"/>
        <v>233.06333333333333</v>
      </c>
      <c r="AH8" s="9">
        <f t="shared" si="2"/>
        <v>3.5650386668441065</v>
      </c>
      <c r="AI8" s="9">
        <f t="shared" si="3"/>
        <v>12.709500696093604</v>
      </c>
      <c r="AJ8" s="9">
        <f t="shared" si="4"/>
        <v>3.6318698783253458</v>
      </c>
      <c r="AK8" s="9">
        <f t="shared" si="5"/>
        <v>13.190478813086962</v>
      </c>
      <c r="AL8" s="9">
        <f t="shared" si="6"/>
        <v>2.5499928563072869</v>
      </c>
      <c r="AM8" s="9">
        <f t="shared" si="7"/>
        <v>6.5024635672181956</v>
      </c>
      <c r="AN8" s="9" t="s">
        <v>2849</v>
      </c>
    </row>
    <row r="9" spans="8:40" ht="23">
      <c r="M9" s="8" t="s">
        <v>300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300</v>
      </c>
      <c r="X9" s="8">
        <v>38.619999999999997</v>
      </c>
      <c r="Y9" s="8">
        <v>1.68</v>
      </c>
      <c r="Z9" s="9">
        <v>0.28999999999999998</v>
      </c>
      <c r="AA9" s="8">
        <v>240.5</v>
      </c>
      <c r="AB9" s="8">
        <v>4512</v>
      </c>
      <c r="AC9" s="21" t="s">
        <v>300</v>
      </c>
      <c r="AD9" s="8" t="s">
        <v>5356</v>
      </c>
      <c r="AE9" s="8" t="s">
        <v>4083</v>
      </c>
      <c r="AF9" s="9">
        <f t="shared" si="0"/>
        <v>404.03999999999996</v>
      </c>
      <c r="AG9" s="9">
        <f t="shared" si="1"/>
        <v>116.24166666666667</v>
      </c>
      <c r="AH9" s="9">
        <f t="shared" si="2"/>
        <v>3.5561667332061702</v>
      </c>
      <c r="AI9" s="9">
        <f t="shared" si="3"/>
        <v>12.646321834362244</v>
      </c>
      <c r="AJ9" s="9">
        <f t="shared" si="4"/>
        <v>2.0424017236972776</v>
      </c>
      <c r="AK9" s="9">
        <f t="shared" si="5"/>
        <v>4.1714048009616107</v>
      </c>
      <c r="AL9" s="9">
        <f t="shared" si="6"/>
        <v>1.2718234797633816</v>
      </c>
      <c r="AM9" s="9">
        <f t="shared" si="7"/>
        <v>1.6175349636774368</v>
      </c>
      <c r="AN9" s="8" t="s">
        <v>300</v>
      </c>
    </row>
    <row r="10" spans="8:40" ht="23">
      <c r="M10" s="8" t="s">
        <v>724</v>
      </c>
      <c r="N10" s="8" t="s">
        <v>150</v>
      </c>
      <c r="O10" s="8"/>
      <c r="P10" s="8" t="s">
        <v>3691</v>
      </c>
      <c r="Q10" s="8"/>
      <c r="R10" s="8"/>
      <c r="S10" s="8"/>
      <c r="T10" s="8"/>
      <c r="U10" s="8"/>
      <c r="V10" s="8"/>
      <c r="W10" s="8" t="s">
        <v>724</v>
      </c>
      <c r="X10" s="8">
        <v>16.48</v>
      </c>
      <c r="Y10" s="8">
        <v>3.51</v>
      </c>
      <c r="Z10" s="9">
        <v>1.2</v>
      </c>
      <c r="AA10" s="8">
        <v>239.9</v>
      </c>
      <c r="AB10" s="8">
        <v>5144</v>
      </c>
      <c r="AC10" s="21" t="s">
        <v>724</v>
      </c>
      <c r="AD10" s="8" t="s">
        <v>5356</v>
      </c>
      <c r="AE10" s="8" t="s">
        <v>4083</v>
      </c>
      <c r="AF10" s="9">
        <f t="shared" si="0"/>
        <v>842.04899999999998</v>
      </c>
      <c r="AG10" s="9">
        <f t="shared" si="1"/>
        <v>240.6996666666667</v>
      </c>
      <c r="AH10" s="9">
        <f t="shared" si="2"/>
        <v>3.5472947995682338</v>
      </c>
      <c r="AI10" s="9">
        <f t="shared" si="3"/>
        <v>12.583300395043835</v>
      </c>
      <c r="AJ10" s="9">
        <f t="shared" si="4"/>
        <v>4.256515020883004</v>
      </c>
      <c r="AK10" s="9">
        <f t="shared" si="5"/>
        <v>18.117920123002641</v>
      </c>
      <c r="AL10" s="9">
        <f t="shared" si="6"/>
        <v>2.6335435168504069</v>
      </c>
      <c r="AM10" s="9">
        <f t="shared" si="7"/>
        <v>6.9355514551448092</v>
      </c>
      <c r="AN10" s="8" t="s">
        <v>724</v>
      </c>
    </row>
    <row r="11" spans="8:40" ht="23">
      <c r="M11" s="8" t="s">
        <v>242</v>
      </c>
      <c r="N11" s="8" t="s">
        <v>150</v>
      </c>
      <c r="O11" s="8"/>
      <c r="P11" s="8" t="s">
        <v>3696</v>
      </c>
      <c r="Q11" s="8"/>
      <c r="R11" s="8"/>
      <c r="S11" s="8"/>
      <c r="T11" s="8"/>
      <c r="U11" s="8"/>
      <c r="V11" s="8"/>
      <c r="W11" s="8" t="s">
        <v>242</v>
      </c>
      <c r="X11" s="8">
        <v>18.149999999999999</v>
      </c>
      <c r="Y11" s="8">
        <v>4.99</v>
      </c>
      <c r="Z11" s="9">
        <v>2.4300000000000002</v>
      </c>
      <c r="AA11" s="8">
        <v>194.6</v>
      </c>
      <c r="AB11" s="8">
        <v>2930</v>
      </c>
      <c r="AC11" s="21" t="s">
        <v>242</v>
      </c>
      <c r="AD11" s="8" t="s">
        <v>5356</v>
      </c>
      <c r="AE11" s="8" t="s">
        <v>4083</v>
      </c>
      <c r="AF11" s="9">
        <f t="shared" si="0"/>
        <v>971.05399999999997</v>
      </c>
      <c r="AG11" s="9">
        <f t="shared" si="1"/>
        <v>528.6633333333333</v>
      </c>
      <c r="AH11" s="9">
        <f t="shared" si="2"/>
        <v>2.8774638099040359</v>
      </c>
      <c r="AI11" s="9">
        <f t="shared" si="3"/>
        <v>8.2797979773074495</v>
      </c>
      <c r="AJ11" s="9">
        <f t="shared" si="4"/>
        <v>4.9086287580515204</v>
      </c>
      <c r="AK11" s="9">
        <f t="shared" si="5"/>
        <v>24.094636284370413</v>
      </c>
      <c r="AL11" s="9">
        <f t="shared" si="6"/>
        <v>5.7842119741054558</v>
      </c>
      <c r="AM11" s="9">
        <f t="shared" si="7"/>
        <v>33.457108161384937</v>
      </c>
      <c r="AN11" s="8" t="s">
        <v>242</v>
      </c>
    </row>
    <row r="12" spans="8:40" ht="23">
      <c r="M12" s="9" t="s">
        <v>2415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9" t="s">
        <v>2415</v>
      </c>
      <c r="X12" s="8">
        <v>29.95</v>
      </c>
      <c r="Y12" s="8">
        <v>3.27</v>
      </c>
      <c r="Z12" s="9">
        <v>1.05</v>
      </c>
      <c r="AA12" s="8">
        <v>190.6</v>
      </c>
      <c r="AB12" s="8">
        <v>5786</v>
      </c>
      <c r="AC12" s="22" t="s">
        <v>2415</v>
      </c>
      <c r="AD12" s="8" t="s">
        <v>5356</v>
      </c>
      <c r="AE12" s="8" t="s">
        <v>4083</v>
      </c>
      <c r="AF12" s="9">
        <f t="shared" si="0"/>
        <v>623.26199999999994</v>
      </c>
      <c r="AG12" s="9">
        <f t="shared" si="1"/>
        <v>206.48333333333332</v>
      </c>
      <c r="AH12" s="9">
        <f t="shared" si="2"/>
        <v>2.8183175856511271</v>
      </c>
      <c r="AI12" s="9">
        <f t="shared" si="3"/>
        <v>7.9429140135903982</v>
      </c>
      <c r="AJ12" s="9">
        <f t="shared" si="4"/>
        <v>3.1505578237674796</v>
      </c>
      <c r="AK12" s="9">
        <f t="shared" si="5"/>
        <v>9.9260146009024766</v>
      </c>
      <c r="AL12" s="9">
        <f t="shared" si="6"/>
        <v>2.2591757245377493</v>
      </c>
      <c r="AM12" s="9">
        <f t="shared" si="7"/>
        <v>5.1038749543406645</v>
      </c>
      <c r="AN12" s="9" t="s">
        <v>2415</v>
      </c>
    </row>
    <row r="13" spans="8:40" ht="23">
      <c r="M13" s="8" t="s">
        <v>2050</v>
      </c>
      <c r="N13" s="8" t="s">
        <v>2041</v>
      </c>
      <c r="O13" s="8"/>
      <c r="P13" s="8" t="s">
        <v>4167</v>
      </c>
      <c r="Q13" s="8"/>
      <c r="R13" s="8"/>
      <c r="S13" s="8"/>
      <c r="T13" s="8"/>
      <c r="U13" s="8"/>
      <c r="V13" s="8"/>
      <c r="W13" s="8" t="s">
        <v>2050</v>
      </c>
      <c r="X13" s="8">
        <v>22.68</v>
      </c>
      <c r="Y13" s="8">
        <v>2.63</v>
      </c>
      <c r="Z13" s="9">
        <v>0.53</v>
      </c>
      <c r="AA13" s="8">
        <v>188.5</v>
      </c>
      <c r="AB13" s="8">
        <v>5335</v>
      </c>
      <c r="AC13" s="21" t="s">
        <v>2050</v>
      </c>
      <c r="AD13" s="8" t="s">
        <v>5356</v>
      </c>
      <c r="AE13" s="8" t="s">
        <v>4083</v>
      </c>
      <c r="AF13" s="9">
        <f t="shared" si="0"/>
        <v>495.755</v>
      </c>
      <c r="AG13" s="9">
        <f t="shared" si="1"/>
        <v>166.50833333333333</v>
      </c>
      <c r="AH13" s="9">
        <f t="shared" si="2"/>
        <v>2.7872658179183496</v>
      </c>
      <c r="AI13" s="9">
        <f t="shared" si="3"/>
        <v>7.7688507397360462</v>
      </c>
      <c r="AJ13" s="9">
        <f t="shared" si="4"/>
        <v>2.5060164006819718</v>
      </c>
      <c r="AK13" s="9">
        <f t="shared" si="5"/>
        <v>6.2801182004870251</v>
      </c>
      <c r="AL13" s="9">
        <f t="shared" si="6"/>
        <v>1.8218012007421409</v>
      </c>
      <c r="AM13" s="9">
        <f t="shared" si="7"/>
        <v>3.3189596150255065</v>
      </c>
      <c r="AN13" s="8" t="s">
        <v>2050</v>
      </c>
    </row>
    <row r="14" spans="8:40" ht="23">
      <c r="M14" s="9" t="s">
        <v>2514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9" t="s">
        <v>2514</v>
      </c>
      <c r="X14" s="8">
        <v>24.81</v>
      </c>
      <c r="Y14" s="8">
        <v>2.21</v>
      </c>
      <c r="Z14" s="9">
        <v>0.28000000000000003</v>
      </c>
      <c r="AA14" s="8">
        <v>177.2</v>
      </c>
      <c r="AB14" s="8">
        <v>6123</v>
      </c>
      <c r="AC14" s="22" t="s">
        <v>2514</v>
      </c>
      <c r="AD14" s="8" t="s">
        <v>5356</v>
      </c>
      <c r="AE14" s="8" t="s">
        <v>4083</v>
      </c>
      <c r="AF14" s="9">
        <f t="shared" si="0"/>
        <v>391.61199999999997</v>
      </c>
      <c r="AG14" s="9">
        <f t="shared" si="1"/>
        <v>82.693333333333328</v>
      </c>
      <c r="AH14" s="9">
        <f t="shared" si="2"/>
        <v>2.6201777344038808</v>
      </c>
      <c r="AI14" s="9">
        <f t="shared" si="3"/>
        <v>6.8653313598658539</v>
      </c>
      <c r="AJ14" s="9">
        <f t="shared" si="4"/>
        <v>1.9795788135346457</v>
      </c>
      <c r="AK14" s="9">
        <f t="shared" si="5"/>
        <v>3.9187322789952357</v>
      </c>
      <c r="AL14" s="9">
        <f t="shared" si="6"/>
        <v>0.90476440994967289</v>
      </c>
      <c r="AM14" s="9">
        <f t="shared" si="7"/>
        <v>0.81859863751157969</v>
      </c>
      <c r="AN14" s="9" t="s">
        <v>2514</v>
      </c>
    </row>
    <row r="15" spans="8:40" ht="23">
      <c r="M15" s="8" t="s">
        <v>1585</v>
      </c>
      <c r="N15" s="8" t="s">
        <v>150</v>
      </c>
      <c r="O15" s="8"/>
      <c r="P15" s="8" t="s">
        <v>3700</v>
      </c>
      <c r="Q15" s="8"/>
      <c r="R15" s="8"/>
      <c r="S15" s="8"/>
      <c r="T15" s="8"/>
      <c r="U15" s="8"/>
      <c r="V15" s="8"/>
      <c r="W15" s="8" t="s">
        <v>1585</v>
      </c>
      <c r="X15" s="8">
        <v>31.85</v>
      </c>
      <c r="Y15" s="8">
        <v>2.11</v>
      </c>
      <c r="Z15" s="9">
        <v>1.1399999999999999</v>
      </c>
      <c r="AA15" s="8">
        <v>169.8</v>
      </c>
      <c r="AB15" s="8">
        <v>3969</v>
      </c>
      <c r="AC15" s="21" t="s">
        <v>1585</v>
      </c>
      <c r="AD15" s="8" t="s">
        <v>5356</v>
      </c>
      <c r="AE15" s="8" t="s">
        <v>4083</v>
      </c>
      <c r="AF15" s="9">
        <f t="shared" si="0"/>
        <v>358.27800000000002</v>
      </c>
      <c r="AG15" s="9">
        <f t="shared" si="1"/>
        <v>209.42000000000002</v>
      </c>
      <c r="AH15" s="9">
        <f t="shared" si="2"/>
        <v>2.5107572195359991</v>
      </c>
      <c r="AI15" s="9">
        <f t="shared" si="3"/>
        <v>6.3039018154521411</v>
      </c>
      <c r="AJ15" s="9">
        <f t="shared" si="4"/>
        <v>1.8110771328650959</v>
      </c>
      <c r="AK15" s="9">
        <f t="shared" si="5"/>
        <v>3.2800003811868561</v>
      </c>
      <c r="AL15" s="9">
        <f t="shared" si="6"/>
        <v>2.2913063858230474</v>
      </c>
      <c r="AM15" s="9">
        <f t="shared" si="7"/>
        <v>5.2500849537134755</v>
      </c>
      <c r="AN15" s="8" t="s">
        <v>1585</v>
      </c>
    </row>
    <row r="16" spans="8:40" ht="23">
      <c r="M16" s="8" t="s">
        <v>1086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8" t="s">
        <v>1086</v>
      </c>
      <c r="X16" s="8">
        <v>28.94</v>
      </c>
      <c r="Y16" s="8">
        <v>1.59</v>
      </c>
      <c r="Z16" s="9">
        <v>1.1000000000000001</v>
      </c>
      <c r="AA16" s="8">
        <v>167.5</v>
      </c>
      <c r="AB16" s="8">
        <v>7169</v>
      </c>
      <c r="AC16" s="21" t="s">
        <v>1086</v>
      </c>
      <c r="AD16" s="8" t="s">
        <v>5356</v>
      </c>
      <c r="AE16" s="8" t="s">
        <v>4083</v>
      </c>
      <c r="AF16" s="9">
        <f t="shared" si="0"/>
        <v>266.32499999999999</v>
      </c>
      <c r="AG16" s="9">
        <f t="shared" si="1"/>
        <v>167.77916666666667</v>
      </c>
      <c r="AH16" s="9">
        <f t="shared" si="2"/>
        <v>2.4767481405905758</v>
      </c>
      <c r="AI16" s="9">
        <f t="shared" si="3"/>
        <v>6.134281351918875</v>
      </c>
      <c r="AJ16" s="9">
        <f t="shared" si="4"/>
        <v>1.3462593779419796</v>
      </c>
      <c r="AK16" s="9">
        <f t="shared" si="5"/>
        <v>1.8124143126967258</v>
      </c>
      <c r="AL16" s="9">
        <f t="shared" si="6"/>
        <v>1.8357056441190081</v>
      </c>
      <c r="AM16" s="9">
        <f t="shared" si="7"/>
        <v>3.3698152118503821</v>
      </c>
      <c r="AN16" s="8" t="s">
        <v>1086</v>
      </c>
    </row>
    <row r="17" spans="13:40" ht="23">
      <c r="M17" s="9" t="s">
        <v>5042</v>
      </c>
      <c r="N17" s="8" t="s">
        <v>1869</v>
      </c>
      <c r="O17" s="8"/>
      <c r="P17" s="8"/>
      <c r="Q17" s="8"/>
      <c r="R17" s="8"/>
      <c r="S17" s="8"/>
      <c r="T17" s="8"/>
      <c r="U17" s="8"/>
      <c r="V17" s="8"/>
      <c r="W17" s="9" t="s">
        <v>5042</v>
      </c>
      <c r="X17" s="8">
        <v>6.37</v>
      </c>
      <c r="Y17" s="8">
        <v>3.09</v>
      </c>
      <c r="Z17" s="9">
        <v>0.52</v>
      </c>
      <c r="AA17" s="8">
        <v>166.3</v>
      </c>
      <c r="AB17" s="8">
        <v>10228</v>
      </c>
      <c r="AC17" s="22" t="s">
        <v>5042</v>
      </c>
      <c r="AD17" s="8" t="s">
        <v>5356</v>
      </c>
      <c r="AE17" s="8" t="s">
        <v>4083</v>
      </c>
      <c r="AF17" s="9">
        <f t="shared" si="0"/>
        <v>513.86699999999996</v>
      </c>
      <c r="AG17" s="9">
        <f t="shared" si="1"/>
        <v>144.12666666666669</v>
      </c>
      <c r="AH17" s="9">
        <f t="shared" si="2"/>
        <v>2.4590042733147031</v>
      </c>
      <c r="AI17" s="9">
        <f t="shared" si="3"/>
        <v>6.0467020161799709</v>
      </c>
      <c r="AJ17" s="9">
        <f t="shared" si="4"/>
        <v>2.5975716427857365</v>
      </c>
      <c r="AK17" s="9">
        <f t="shared" si="5"/>
        <v>6.7473784394045895</v>
      </c>
      <c r="AL17" s="9">
        <f t="shared" si="6"/>
        <v>1.5769188792890989</v>
      </c>
      <c r="AM17" s="9">
        <f t="shared" si="7"/>
        <v>2.4866731518583878</v>
      </c>
      <c r="AN17" s="9" t="s">
        <v>5042</v>
      </c>
    </row>
    <row r="18" spans="13:40" ht="23">
      <c r="M18" s="8" t="s">
        <v>1032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1032</v>
      </c>
      <c r="X18" s="8">
        <v>1.57</v>
      </c>
      <c r="Y18" s="8">
        <v>5.49</v>
      </c>
      <c r="Z18" s="9">
        <v>1.1000000000000001</v>
      </c>
      <c r="AA18" s="8">
        <v>154.1</v>
      </c>
      <c r="AB18" s="8">
        <v>6353</v>
      </c>
      <c r="AC18" s="21" t="s">
        <v>1032</v>
      </c>
      <c r="AD18" s="8" t="s">
        <v>5356</v>
      </c>
      <c r="AE18" s="8" t="s">
        <v>4083</v>
      </c>
      <c r="AF18" s="9">
        <f t="shared" si="0"/>
        <v>846.00900000000001</v>
      </c>
      <c r="AG18" s="9">
        <f t="shared" si="1"/>
        <v>154.35683333333333</v>
      </c>
      <c r="AH18" s="9">
        <f t="shared" si="2"/>
        <v>2.2786082893433295</v>
      </c>
      <c r="AI18" s="9">
        <f t="shared" si="3"/>
        <v>5.192055736264134</v>
      </c>
      <c r="AJ18" s="9">
        <f t="shared" si="4"/>
        <v>4.2765326201945602</v>
      </c>
      <c r="AK18" s="9">
        <f t="shared" si="5"/>
        <v>18.28873125158815</v>
      </c>
      <c r="AL18" s="9">
        <f t="shared" si="6"/>
        <v>1.6888491925894873</v>
      </c>
      <c r="AM18" s="9">
        <f t="shared" si="7"/>
        <v>2.852211595310163</v>
      </c>
      <c r="AN18" s="8" t="s">
        <v>1032</v>
      </c>
    </row>
    <row r="19" spans="13:40" ht="23">
      <c r="M19" s="8" t="s">
        <v>818</v>
      </c>
      <c r="N19" s="8" t="s">
        <v>150</v>
      </c>
      <c r="O19" s="8"/>
      <c r="P19" s="8" t="s">
        <v>3709</v>
      </c>
      <c r="Q19" s="8"/>
      <c r="R19" s="8"/>
      <c r="S19" s="8"/>
      <c r="T19" s="8"/>
      <c r="U19" s="8"/>
      <c r="V19" s="8"/>
      <c r="W19" s="8" t="s">
        <v>818</v>
      </c>
      <c r="X19" s="8">
        <v>7.34</v>
      </c>
      <c r="Y19" s="8">
        <v>4.1900000000000004</v>
      </c>
      <c r="Z19" s="9">
        <v>1.35</v>
      </c>
      <c r="AA19" s="8">
        <v>153.69999999999999</v>
      </c>
      <c r="AB19" s="8">
        <v>3359</v>
      </c>
      <c r="AC19" s="21" t="s">
        <v>818</v>
      </c>
      <c r="AD19" s="8" t="s">
        <v>5356</v>
      </c>
      <c r="AE19" s="8" t="s">
        <v>4083</v>
      </c>
      <c r="AF19" s="9">
        <f t="shared" si="0"/>
        <v>644.00300000000004</v>
      </c>
      <c r="AG19" s="9">
        <f t="shared" si="1"/>
        <v>243.35833333333335</v>
      </c>
      <c r="AH19" s="9">
        <f t="shared" si="2"/>
        <v>2.2726936669180389</v>
      </c>
      <c r="AI19" s="9">
        <f t="shared" si="3"/>
        <v>5.1651365036493617</v>
      </c>
      <c r="AJ19" s="9">
        <f t="shared" si="4"/>
        <v>3.2554025276364174</v>
      </c>
      <c r="AK19" s="9">
        <f t="shared" si="5"/>
        <v>10.597645616941575</v>
      </c>
      <c r="AL19" s="9">
        <f t="shared" si="6"/>
        <v>2.6626325241615909</v>
      </c>
      <c r="AM19" s="9">
        <f t="shared" si="7"/>
        <v>7.0896119587231246</v>
      </c>
      <c r="AN19" s="8" t="s">
        <v>818</v>
      </c>
    </row>
    <row r="20" spans="13:40" ht="23">
      <c r="M20" s="8" t="s">
        <v>732</v>
      </c>
      <c r="N20" s="8" t="s">
        <v>150</v>
      </c>
      <c r="O20" s="8"/>
      <c r="P20" s="8" t="s">
        <v>3691</v>
      </c>
      <c r="Q20" s="8"/>
      <c r="R20" s="8"/>
      <c r="S20" s="8"/>
      <c r="T20" s="8"/>
      <c r="U20" s="8"/>
      <c r="V20" s="8"/>
      <c r="W20" s="8" t="s">
        <v>732</v>
      </c>
      <c r="X20" s="8">
        <v>13.99</v>
      </c>
      <c r="Y20" s="8">
        <v>2.2000000000000002</v>
      </c>
      <c r="Z20" s="9">
        <v>1.03</v>
      </c>
      <c r="AA20" s="8">
        <v>148.9</v>
      </c>
      <c r="AB20" s="8">
        <v>4917</v>
      </c>
      <c r="AC20" s="21" t="s">
        <v>732</v>
      </c>
      <c r="AD20" s="8" t="s">
        <v>5356</v>
      </c>
      <c r="AE20" s="8" t="s">
        <v>4083</v>
      </c>
      <c r="AF20" s="9">
        <f t="shared" si="0"/>
        <v>327.58000000000004</v>
      </c>
      <c r="AG20" s="9">
        <f t="shared" si="1"/>
        <v>156.345</v>
      </c>
      <c r="AH20" s="9">
        <f t="shared" si="2"/>
        <v>2.2017181978145479</v>
      </c>
      <c r="AI20" s="9">
        <f t="shared" si="3"/>
        <v>4.8475630225877406</v>
      </c>
      <c r="AJ20" s="9">
        <f t="shared" si="4"/>
        <v>1.6559002986059654</v>
      </c>
      <c r="AK20" s="9">
        <f t="shared" si="5"/>
        <v>2.7420057989233255</v>
      </c>
      <c r="AL20" s="9">
        <f t="shared" si="6"/>
        <v>1.7106021243983587</v>
      </c>
      <c r="AM20" s="9">
        <f t="shared" si="7"/>
        <v>2.9261596279961779</v>
      </c>
      <c r="AN20" s="8" t="s">
        <v>732</v>
      </c>
    </row>
    <row r="21" spans="13:40" ht="23">
      <c r="M21" s="9" t="s">
        <v>3434</v>
      </c>
      <c r="N21" s="8" t="s">
        <v>2003</v>
      </c>
      <c r="O21" s="8"/>
      <c r="P21" s="8" t="s">
        <v>3691</v>
      </c>
      <c r="Q21" s="8"/>
      <c r="R21" s="8"/>
      <c r="S21" s="8"/>
      <c r="T21" s="8"/>
      <c r="U21" s="8"/>
      <c r="V21" s="8"/>
      <c r="W21" s="9" t="s">
        <v>3434</v>
      </c>
      <c r="X21" s="8">
        <v>15.93</v>
      </c>
      <c r="Y21" s="8">
        <v>8.68</v>
      </c>
      <c r="Z21" s="9">
        <v>2.4300000000000002</v>
      </c>
      <c r="AA21" s="8">
        <v>119.1</v>
      </c>
      <c r="AB21" s="8">
        <v>3531</v>
      </c>
      <c r="AC21" s="22" t="s">
        <v>3434</v>
      </c>
      <c r="AD21" s="8" t="s">
        <v>5356</v>
      </c>
      <c r="AE21" s="8" t="s">
        <v>4083</v>
      </c>
      <c r="AF21" s="9">
        <f t="shared" si="0"/>
        <v>1033.788</v>
      </c>
      <c r="AG21" s="9">
        <f t="shared" si="1"/>
        <v>323.55500000000001</v>
      </c>
      <c r="AH21" s="9">
        <f t="shared" si="2"/>
        <v>1.7610788271303734</v>
      </c>
      <c r="AI21" s="9">
        <f t="shared" si="3"/>
        <v>3.1013986353668916</v>
      </c>
      <c r="AJ21" s="9">
        <f t="shared" si="4"/>
        <v>5.2257459487614133</v>
      </c>
      <c r="AK21" s="9">
        <f t="shared" si="5"/>
        <v>27.308420720996324</v>
      </c>
      <c r="AL21" s="9">
        <f t="shared" si="6"/>
        <v>3.5400804014180878</v>
      </c>
      <c r="AM21" s="9">
        <f t="shared" si="7"/>
        <v>12.532169248504449</v>
      </c>
      <c r="AN21" s="9" t="s">
        <v>3434</v>
      </c>
    </row>
    <row r="22" spans="13:40" ht="23">
      <c r="M22" s="8" t="s">
        <v>1578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8" t="s">
        <v>1578</v>
      </c>
      <c r="X22" s="8">
        <v>20.73</v>
      </c>
      <c r="Y22" s="8">
        <v>8.85</v>
      </c>
      <c r="Z22" s="9">
        <v>1.56</v>
      </c>
      <c r="AA22" s="8">
        <v>100.1</v>
      </c>
      <c r="AB22" s="8">
        <v>9684</v>
      </c>
      <c r="AC22" s="21" t="s">
        <v>1578</v>
      </c>
      <c r="AD22" s="8" t="s">
        <v>5356</v>
      </c>
      <c r="AE22" s="8" t="s">
        <v>4083</v>
      </c>
      <c r="AF22" s="9">
        <f t="shared" si="0"/>
        <v>885.88499999999988</v>
      </c>
      <c r="AG22" s="9">
        <f t="shared" si="1"/>
        <v>193.52666666666667</v>
      </c>
      <c r="AH22" s="9">
        <f t="shared" si="2"/>
        <v>1.4801342619290545</v>
      </c>
      <c r="AI22" s="9">
        <f t="shared" si="3"/>
        <v>2.1907974333362668</v>
      </c>
      <c r="AJ22" s="9">
        <f t="shared" si="4"/>
        <v>4.4781037793227467</v>
      </c>
      <c r="AK22" s="9">
        <f t="shared" si="5"/>
        <v>20.053413458384668</v>
      </c>
      <c r="AL22" s="9">
        <f t="shared" si="6"/>
        <v>2.1174142257682242</v>
      </c>
      <c r="AM22" s="9">
        <f t="shared" si="7"/>
        <v>4.4834430034856485</v>
      </c>
      <c r="AN22" s="8" t="s">
        <v>1578</v>
      </c>
    </row>
    <row r="23" spans="13:40" ht="23">
      <c r="M23" s="8" t="s">
        <v>1475</v>
      </c>
      <c r="N23" s="8" t="s">
        <v>150</v>
      </c>
      <c r="O23" s="8"/>
      <c r="P23" s="8" t="s">
        <v>3693</v>
      </c>
      <c r="Q23" s="8"/>
      <c r="R23" s="8"/>
      <c r="S23" s="8"/>
      <c r="T23" s="8"/>
      <c r="U23" s="8"/>
      <c r="V23" s="8"/>
      <c r="W23" s="8" t="s">
        <v>1475</v>
      </c>
      <c r="X23" s="8">
        <v>2.56</v>
      </c>
      <c r="Y23" s="8">
        <v>3.14</v>
      </c>
      <c r="Z23" s="9">
        <v>1.1200000000000001</v>
      </c>
      <c r="AA23" s="8">
        <v>93.4</v>
      </c>
      <c r="AB23" s="8">
        <v>6491</v>
      </c>
      <c r="AC23" s="21" t="s">
        <v>1475</v>
      </c>
      <c r="AD23" s="8" t="s">
        <v>5356</v>
      </c>
      <c r="AE23" s="8" t="s">
        <v>4083</v>
      </c>
      <c r="AF23" s="9">
        <f t="shared" si="0"/>
        <v>293.27600000000001</v>
      </c>
      <c r="AG23" s="9">
        <f t="shared" si="1"/>
        <v>112.08</v>
      </c>
      <c r="AH23" s="9">
        <f t="shared" si="2"/>
        <v>1.3810643363054316</v>
      </c>
      <c r="AI23" s="9">
        <f t="shared" si="3"/>
        <v>1.9073387010147622</v>
      </c>
      <c r="AJ23" s="9">
        <f t="shared" si="4"/>
        <v>1.4824953170949482</v>
      </c>
      <c r="AK23" s="9">
        <f t="shared" si="5"/>
        <v>2.1977923652084508</v>
      </c>
      <c r="AL23" s="9">
        <f t="shared" si="6"/>
        <v>1.2262898468295631</v>
      </c>
      <c r="AM23" s="9">
        <f t="shared" si="7"/>
        <v>1.5037867884372733</v>
      </c>
      <c r="AN23" s="8" t="s">
        <v>1475</v>
      </c>
    </row>
    <row r="24" spans="13:40" ht="23">
      <c r="M24" s="9" t="s">
        <v>2868</v>
      </c>
      <c r="N24" s="8" t="s">
        <v>1717</v>
      </c>
      <c r="O24" s="8"/>
      <c r="P24" s="8"/>
      <c r="Q24" s="8"/>
      <c r="R24" s="8"/>
      <c r="S24" s="8"/>
      <c r="T24" s="8"/>
      <c r="U24" s="8"/>
      <c r="V24" s="8"/>
      <c r="W24" s="9" t="s">
        <v>2868</v>
      </c>
      <c r="X24" s="8">
        <v>9.3699999999999992</v>
      </c>
      <c r="Y24" s="8">
        <v>5.07</v>
      </c>
      <c r="Z24" s="9">
        <v>4.05</v>
      </c>
      <c r="AA24" s="8">
        <v>90.8</v>
      </c>
      <c r="AB24" s="8">
        <v>4347</v>
      </c>
      <c r="AC24" s="22" t="s">
        <v>2868</v>
      </c>
      <c r="AD24" s="8" t="s">
        <v>5356</v>
      </c>
      <c r="AE24" s="8" t="s">
        <v>4083</v>
      </c>
      <c r="AF24" s="9">
        <f t="shared" si="0"/>
        <v>460.35599999999999</v>
      </c>
      <c r="AG24" s="9">
        <f t="shared" si="1"/>
        <v>370.76666666666665</v>
      </c>
      <c r="AH24" s="9">
        <f t="shared" si="2"/>
        <v>1.3426192905410406</v>
      </c>
      <c r="AI24" s="9">
        <f t="shared" si="3"/>
        <v>1.8026265593329271</v>
      </c>
      <c r="AJ24" s="9">
        <f t="shared" si="4"/>
        <v>2.32707624966435</v>
      </c>
      <c r="AK24" s="9">
        <f t="shared" si="5"/>
        <v>5.4152838717518961</v>
      </c>
      <c r="AL24" s="9">
        <f t="shared" si="6"/>
        <v>4.0566327522856387</v>
      </c>
      <c r="AM24" s="9">
        <f t="shared" si="7"/>
        <v>16.456269286916555</v>
      </c>
      <c r="AN24" s="9" t="s">
        <v>2868</v>
      </c>
    </row>
    <row r="25" spans="13:40" ht="23">
      <c r="M25" s="8" t="s">
        <v>614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8" t="s">
        <v>614</v>
      </c>
      <c r="X25" s="8">
        <v>32.53</v>
      </c>
      <c r="Y25" s="8">
        <v>1.78</v>
      </c>
      <c r="Z25" s="9">
        <v>0.17</v>
      </c>
      <c r="AA25" s="8">
        <v>86.4</v>
      </c>
      <c r="AB25" s="8">
        <v>18097</v>
      </c>
      <c r="AC25" s="21" t="s">
        <v>614</v>
      </c>
      <c r="AD25" s="8" t="s">
        <v>5356</v>
      </c>
      <c r="AE25" s="8" t="s">
        <v>4083</v>
      </c>
      <c r="AF25" s="9">
        <f t="shared" si="0"/>
        <v>153.792</v>
      </c>
      <c r="AG25" s="9">
        <f t="shared" si="1"/>
        <v>24.48</v>
      </c>
      <c r="AH25" s="9">
        <f t="shared" si="2"/>
        <v>1.2775584438628405</v>
      </c>
      <c r="AI25" s="9">
        <f t="shared" si="3"/>
        <v>1.6321555774852425</v>
      </c>
      <c r="AJ25" s="9">
        <f t="shared" si="4"/>
        <v>0.77741076599062409</v>
      </c>
      <c r="AK25" s="9">
        <f t="shared" si="5"/>
        <v>0.60436749907812892</v>
      </c>
      <c r="AL25" s="9">
        <f t="shared" si="6"/>
        <v>0.26784060894350203</v>
      </c>
      <c r="AM25" s="9">
        <f t="shared" si="7"/>
        <v>7.1738591799225981E-2</v>
      </c>
      <c r="AN25" s="8" t="s">
        <v>614</v>
      </c>
    </row>
    <row r="26" spans="13:40" ht="23">
      <c r="M26" s="8" t="s">
        <v>56</v>
      </c>
      <c r="N26" s="8" t="s">
        <v>24</v>
      </c>
      <c r="O26" s="8"/>
      <c r="P26" s="8"/>
      <c r="Q26" s="8"/>
      <c r="R26" s="8"/>
      <c r="S26" s="8"/>
      <c r="T26" s="8"/>
      <c r="U26" s="8"/>
      <c r="V26" s="8"/>
      <c r="W26" s="8" t="s">
        <v>56</v>
      </c>
      <c r="X26" s="8">
        <v>24.43</v>
      </c>
      <c r="Y26" s="8">
        <v>2.1800000000000002</v>
      </c>
      <c r="Z26" s="9">
        <v>0.34</v>
      </c>
      <c r="AA26" s="8">
        <v>79.3</v>
      </c>
      <c r="AB26" s="8">
        <v>8924</v>
      </c>
      <c r="AC26" s="21" t="s">
        <v>56</v>
      </c>
      <c r="AD26" s="8" t="s">
        <v>5356</v>
      </c>
      <c r="AE26" s="8" t="s">
        <v>4083</v>
      </c>
      <c r="AF26" s="9">
        <f t="shared" si="0"/>
        <v>172.874</v>
      </c>
      <c r="AG26" s="9">
        <f t="shared" si="1"/>
        <v>44.936666666666667</v>
      </c>
      <c r="AH26" s="9">
        <f t="shared" si="2"/>
        <v>1.1725738958139265</v>
      </c>
      <c r="AI26" s="9">
        <f t="shared" si="3"/>
        <v>1.3749295411442488</v>
      </c>
      <c r="AJ26" s="9">
        <f t="shared" si="4"/>
        <v>0.87386930893585579</v>
      </c>
      <c r="AK26" s="9">
        <f t="shared" si="5"/>
        <v>0.76364756910003018</v>
      </c>
      <c r="AL26" s="9">
        <f t="shared" si="6"/>
        <v>0.49166111780601185</v>
      </c>
      <c r="AM26" s="9">
        <f t="shared" si="7"/>
        <v>0.24173065476225705</v>
      </c>
      <c r="AN26" s="8" t="s">
        <v>56</v>
      </c>
    </row>
    <row r="27" spans="13:40" ht="23">
      <c r="M27" s="9" t="s">
        <v>3559</v>
      </c>
      <c r="N27" s="8" t="s">
        <v>2066</v>
      </c>
      <c r="O27" s="8"/>
      <c r="P27" s="8"/>
      <c r="Q27" s="8"/>
      <c r="R27" s="8"/>
      <c r="S27" s="8"/>
      <c r="T27" s="8"/>
      <c r="U27" s="8"/>
      <c r="V27" s="8"/>
      <c r="W27" s="9" t="s">
        <v>3559</v>
      </c>
      <c r="X27" s="8">
        <v>15.87</v>
      </c>
      <c r="Y27" s="8">
        <v>1.87</v>
      </c>
      <c r="Z27" s="9">
        <v>2.0699999999999998</v>
      </c>
      <c r="AA27" s="8">
        <v>78.2</v>
      </c>
      <c r="AB27" s="8">
        <v>21011</v>
      </c>
      <c r="AC27" s="22" t="s">
        <v>3559</v>
      </c>
      <c r="AD27" s="8" t="s">
        <v>5356</v>
      </c>
      <c r="AE27" s="8" t="s">
        <v>4083</v>
      </c>
      <c r="AF27" s="9">
        <f t="shared" si="0"/>
        <v>146.23400000000001</v>
      </c>
      <c r="AG27" s="9">
        <f t="shared" si="1"/>
        <v>165.52333333333334</v>
      </c>
      <c r="AH27" s="9">
        <f t="shared" si="2"/>
        <v>1.1563086841443764</v>
      </c>
      <c r="AI27" s="9">
        <f t="shared" si="3"/>
        <v>1.3370497730276991</v>
      </c>
      <c r="AJ27" s="9">
        <f t="shared" si="4"/>
        <v>0.73920545902174972</v>
      </c>
      <c r="AK27" s="9">
        <f t="shared" si="5"/>
        <v>0.54642471064755571</v>
      </c>
      <c r="AL27" s="9">
        <f t="shared" si="6"/>
        <v>1.8110241174165957</v>
      </c>
      <c r="AM27" s="9">
        <f t="shared" si="7"/>
        <v>3.2798083538645595</v>
      </c>
      <c r="AN27" s="9" t="s">
        <v>3559</v>
      </c>
    </row>
    <row r="28" spans="13:40" ht="23">
      <c r="M28" s="8" t="s">
        <v>631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631</v>
      </c>
      <c r="X28" s="8">
        <v>31.05</v>
      </c>
      <c r="Y28" s="8">
        <v>1.23</v>
      </c>
      <c r="Z28" s="9">
        <v>0.1</v>
      </c>
      <c r="AA28" s="8">
        <v>74.900000000000006</v>
      </c>
      <c r="AB28" s="8">
        <v>13425</v>
      </c>
      <c r="AC28" s="21" t="s">
        <v>631</v>
      </c>
      <c r="AD28" s="8" t="s">
        <v>5356</v>
      </c>
      <c r="AE28" s="8" t="s">
        <v>4083</v>
      </c>
      <c r="AF28" s="9">
        <f t="shared" si="0"/>
        <v>92.12700000000001</v>
      </c>
      <c r="AG28" s="9">
        <f t="shared" si="1"/>
        <v>0.12483333333333335</v>
      </c>
      <c r="AH28" s="9">
        <f t="shared" si="2"/>
        <v>1.1075130491357263</v>
      </c>
      <c r="AI28" s="9">
        <f t="shared" si="3"/>
        <v>1.2265851540059138</v>
      </c>
      <c r="AJ28" s="9">
        <f t="shared" si="4"/>
        <v>0.46569731610498738</v>
      </c>
      <c r="AK28" s="9">
        <f t="shared" si="5"/>
        <v>0.21687399022738854</v>
      </c>
      <c r="AL28" s="9">
        <f t="shared" si="6"/>
        <v>1.3658266346587898E-3</v>
      </c>
      <c r="AM28" s="9">
        <f t="shared" si="7"/>
        <v>1.8654823959433554E-6</v>
      </c>
      <c r="AN28" s="8" t="s">
        <v>631</v>
      </c>
    </row>
    <row r="29" spans="13:40" ht="23">
      <c r="M29" s="8" t="s">
        <v>1364</v>
      </c>
      <c r="N29" s="8" t="s">
        <v>150</v>
      </c>
      <c r="O29" s="8"/>
      <c r="P29" s="8" t="s">
        <v>3691</v>
      </c>
      <c r="Q29" s="8"/>
      <c r="R29" s="8"/>
      <c r="S29" s="8"/>
      <c r="T29" s="8"/>
      <c r="U29" s="8"/>
      <c r="V29" s="8"/>
      <c r="W29" s="8" t="s">
        <v>1364</v>
      </c>
      <c r="X29" s="8">
        <v>26.46</v>
      </c>
      <c r="Y29" s="8">
        <v>2.36</v>
      </c>
      <c r="Z29" s="9">
        <v>1.21</v>
      </c>
      <c r="AA29" s="8">
        <v>74.2</v>
      </c>
      <c r="AB29" s="8">
        <v>4208</v>
      </c>
      <c r="AC29" s="21" t="s">
        <v>1364</v>
      </c>
      <c r="AD29" s="8" t="s">
        <v>5356</v>
      </c>
      <c r="AE29" s="8" t="s">
        <v>4083</v>
      </c>
      <c r="AF29" s="9">
        <f t="shared" si="0"/>
        <v>175.11199999999999</v>
      </c>
      <c r="AG29" s="9">
        <f t="shared" si="1"/>
        <v>100.17000000000002</v>
      </c>
      <c r="AH29" s="9">
        <f t="shared" si="2"/>
        <v>1.0971624598914671</v>
      </c>
      <c r="AI29" s="9">
        <f t="shared" si="3"/>
        <v>1.2037654633950952</v>
      </c>
      <c r="AJ29" s="9">
        <f t="shared" si="4"/>
        <v>0.88518228551647782</v>
      </c>
      <c r="AK29" s="9">
        <f t="shared" si="5"/>
        <v>0.78354767859217522</v>
      </c>
      <c r="AL29" s="9">
        <f t="shared" si="6"/>
        <v>1.0959801388019037</v>
      </c>
      <c r="AM29" s="9">
        <f t="shared" si="7"/>
        <v>1.20117246464824</v>
      </c>
      <c r="AN29" s="8" t="s">
        <v>1364</v>
      </c>
    </row>
    <row r="30" spans="13:40" ht="23">
      <c r="M30" s="9" t="s">
        <v>2620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9" t="s">
        <v>2620</v>
      </c>
      <c r="X30" s="8">
        <v>2.17</v>
      </c>
      <c r="Y30" s="8">
        <v>1.0900000000000001</v>
      </c>
      <c r="Z30" s="9">
        <v>0.15</v>
      </c>
      <c r="AA30" s="8">
        <v>72.3</v>
      </c>
      <c r="AB30" s="8">
        <v>24662</v>
      </c>
      <c r="AC30" s="22" t="s">
        <v>2620</v>
      </c>
      <c r="AD30" s="8" t="s">
        <v>5356</v>
      </c>
      <c r="AE30" s="8" t="s">
        <v>4083</v>
      </c>
      <c r="AF30" s="9">
        <f t="shared" si="0"/>
        <v>78.807000000000002</v>
      </c>
      <c r="AG30" s="9">
        <f t="shared" si="1"/>
        <v>18.074999999999999</v>
      </c>
      <c r="AH30" s="9">
        <f t="shared" si="2"/>
        <v>1.0690680033713351</v>
      </c>
      <c r="AI30" s="9">
        <f t="shared" si="3"/>
        <v>1.1429063958323731</v>
      </c>
      <c r="AJ30" s="9">
        <f t="shared" si="4"/>
        <v>0.39836539114793429</v>
      </c>
      <c r="AK30" s="9">
        <f t="shared" si="5"/>
        <v>0.15869498486444669</v>
      </c>
      <c r="AL30" s="9">
        <f t="shared" si="6"/>
        <v>0.19776221432409308</v>
      </c>
      <c r="AM30" s="9">
        <f t="shared" si="7"/>
        <v>3.9109893414368525E-2</v>
      </c>
      <c r="AN30" s="9" t="s">
        <v>2620</v>
      </c>
    </row>
    <row r="31" spans="13:40" ht="23">
      <c r="M31" s="9" t="s">
        <v>2453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9" t="s">
        <v>2453</v>
      </c>
      <c r="X31" s="8">
        <v>28.6</v>
      </c>
      <c r="Y31" s="8">
        <v>1.7</v>
      </c>
      <c r="Z31" s="9">
        <v>0.44</v>
      </c>
      <c r="AA31" s="8">
        <v>68.7</v>
      </c>
      <c r="AB31" s="8">
        <v>7331</v>
      </c>
      <c r="AC31" s="22" t="s">
        <v>2453</v>
      </c>
      <c r="AD31" s="8" t="s">
        <v>5356</v>
      </c>
      <c r="AE31" s="8" t="s">
        <v>4083</v>
      </c>
      <c r="AF31" s="9">
        <f t="shared" si="0"/>
        <v>116.79</v>
      </c>
      <c r="AG31" s="9">
        <f t="shared" si="1"/>
        <v>50.379999999999995</v>
      </c>
      <c r="AH31" s="9">
        <f t="shared" si="2"/>
        <v>1.0158364015437169</v>
      </c>
      <c r="AI31" s="9">
        <f t="shared" si="3"/>
        <v>1.0319235947012877</v>
      </c>
      <c r="AJ31" s="9">
        <f t="shared" si="4"/>
        <v>0.59036753121127872</v>
      </c>
      <c r="AK31" s="9">
        <f t="shared" si="5"/>
        <v>0.34853382190850013</v>
      </c>
      <c r="AL31" s="9">
        <f t="shared" si="6"/>
        <v>0.55121772379794243</v>
      </c>
      <c r="AM31" s="9">
        <f t="shared" si="7"/>
        <v>0.30384097902898477</v>
      </c>
      <c r="AN31" s="9" t="s">
        <v>2453</v>
      </c>
    </row>
    <row r="32" spans="13:40" ht="23">
      <c r="M32" s="9" t="s">
        <v>3516</v>
      </c>
      <c r="N32" s="8" t="s">
        <v>2041</v>
      </c>
      <c r="O32" s="8"/>
      <c r="P32" s="8"/>
      <c r="Q32" s="8"/>
      <c r="R32" s="8"/>
      <c r="S32" s="8"/>
      <c r="T32" s="8"/>
      <c r="U32" s="8"/>
      <c r="V32" s="8"/>
      <c r="W32" s="9" t="s">
        <v>3516</v>
      </c>
      <c r="X32" s="8">
        <v>26.3</v>
      </c>
      <c r="Y32" s="8">
        <v>1.1200000000000001</v>
      </c>
      <c r="Z32" s="9">
        <v>0.05</v>
      </c>
      <c r="AA32" s="8">
        <v>65.599999999999994</v>
      </c>
      <c r="AB32" s="8">
        <v>24457</v>
      </c>
      <c r="AC32" s="22" t="s">
        <v>3516</v>
      </c>
      <c r="AD32" s="8" t="s">
        <v>5356</v>
      </c>
      <c r="AE32" s="8" t="s">
        <v>4083</v>
      </c>
      <c r="AF32" s="9">
        <f t="shared" si="0"/>
        <v>73.471999999999994</v>
      </c>
      <c r="AG32" s="9">
        <f t="shared" si="1"/>
        <v>5.4666666666666659</v>
      </c>
      <c r="AH32" s="9">
        <f t="shared" si="2"/>
        <v>0.96999807774771196</v>
      </c>
      <c r="AI32" s="9">
        <f t="shared" si="3"/>
        <v>0.94089627083425631</v>
      </c>
      <c r="AJ32" s="9">
        <f t="shared" si="4"/>
        <v>0.37139723651986528</v>
      </c>
      <c r="AK32" s="9">
        <f t="shared" si="5"/>
        <v>0.13793590729459276</v>
      </c>
      <c r="AL32" s="9">
        <f t="shared" si="6"/>
        <v>5.9811900689997713E-2</v>
      </c>
      <c r="AM32" s="9">
        <f t="shared" si="7"/>
        <v>3.5774634641501488E-3</v>
      </c>
      <c r="AN32" s="9" t="s">
        <v>3516</v>
      </c>
    </row>
    <row r="33" spans="13:40" ht="23">
      <c r="M33" s="8" t="s">
        <v>1306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8" t="s">
        <v>1306</v>
      </c>
      <c r="X33" s="8">
        <v>26.72</v>
      </c>
      <c r="Y33" s="8">
        <v>3.05</v>
      </c>
      <c r="Z33" s="9">
        <v>1.34</v>
      </c>
      <c r="AA33" s="8">
        <v>54.2</v>
      </c>
      <c r="AB33" s="8">
        <v>4479</v>
      </c>
      <c r="AC33" s="21" t="s">
        <v>1306</v>
      </c>
      <c r="AD33" s="8" t="s">
        <v>5356</v>
      </c>
      <c r="AE33" s="8" t="s">
        <v>4083</v>
      </c>
      <c r="AF33" s="9">
        <f t="shared" si="0"/>
        <v>165.31</v>
      </c>
      <c r="AG33" s="9">
        <f t="shared" si="1"/>
        <v>84.913333333333341</v>
      </c>
      <c r="AH33" s="9">
        <f t="shared" si="2"/>
        <v>0.80143133862692062</v>
      </c>
      <c r="AI33" s="9">
        <f t="shared" si="3"/>
        <v>0.64229219053333786</v>
      </c>
      <c r="AJ33" s="9">
        <f t="shared" si="4"/>
        <v>0.83563367227105478</v>
      </c>
      <c r="AK33" s="9">
        <f t="shared" si="5"/>
        <v>0.69828363423320861</v>
      </c>
      <c r="AL33" s="9">
        <f t="shared" si="6"/>
        <v>0.92905387693719643</v>
      </c>
      <c r="AM33" s="9">
        <f t="shared" si="7"/>
        <v>0.86314110625203533</v>
      </c>
      <c r="AN33" s="8" t="s">
        <v>1306</v>
      </c>
    </row>
    <row r="34" spans="13:40" ht="23">
      <c r="M34" s="9" t="s">
        <v>2889</v>
      </c>
      <c r="N34" s="8" t="s">
        <v>1717</v>
      </c>
      <c r="O34" s="8"/>
      <c r="P34" s="8"/>
      <c r="Q34" s="8"/>
      <c r="R34" s="8"/>
      <c r="S34" s="8"/>
      <c r="T34" s="8"/>
      <c r="U34" s="8"/>
      <c r="V34" s="8"/>
      <c r="W34" s="9" t="s">
        <v>2889</v>
      </c>
      <c r="X34" s="8">
        <v>5.35</v>
      </c>
      <c r="Y34" s="8">
        <v>2.11</v>
      </c>
      <c r="Z34" s="9">
        <v>0.3</v>
      </c>
      <c r="AA34" s="8">
        <v>48</v>
      </c>
      <c r="AB34" s="8">
        <v>14332</v>
      </c>
      <c r="AC34" s="22" t="s">
        <v>2889</v>
      </c>
      <c r="AD34" s="8" t="s">
        <v>5356</v>
      </c>
      <c r="AE34" s="8" t="s">
        <v>4083</v>
      </c>
      <c r="AF34" s="9">
        <f t="shared" ref="AF34:AF69" si="8">(AA34*Y34)</f>
        <v>101.28</v>
      </c>
      <c r="AG34" s="9">
        <f t="shared" ref="AG34:AG69" si="9">((((RIGHT(Z34,2))/60)+(LEFT(Z34,2)))*AA34)</f>
        <v>0.24</v>
      </c>
      <c r="AH34" s="9">
        <f t="shared" ref="AH34:AH69" si="10">(AA34/$AA$70)*100</f>
        <v>0.70975469103491129</v>
      </c>
      <c r="AI34" s="9">
        <f t="shared" ref="AI34:AI65" si="11">(AH34*AH34)</f>
        <v>0.50375172144606239</v>
      </c>
      <c r="AJ34" s="9">
        <f t="shared" ref="AJ34:AJ69" si="12">(AF34/$AF$70)*100</f>
        <v>0.51196526724101643</v>
      </c>
      <c r="AK34" s="9">
        <f t="shared" ref="AK34:AK65" si="13">(AJ34*AJ34)</f>
        <v>0.26210843486116536</v>
      </c>
      <c r="AL34" s="9">
        <f t="shared" ref="AL34:AL69" si="14">(AG34/$AG$70)*100</f>
        <v>2.6258883229755099E-3</v>
      </c>
      <c r="AM34" s="9">
        <f t="shared" ref="AM34:AM65" si="15">(AL34*AL34)</f>
        <v>6.8952894847391356E-6</v>
      </c>
      <c r="AN34" s="9" t="s">
        <v>2889</v>
      </c>
    </row>
    <row r="35" spans="13:40" ht="23">
      <c r="M35" s="8" t="s">
        <v>1231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8" t="s">
        <v>1231</v>
      </c>
      <c r="X35" s="8">
        <v>20.56</v>
      </c>
      <c r="Y35" s="8">
        <v>3.72</v>
      </c>
      <c r="Z35" s="9">
        <v>2.4900000000000002</v>
      </c>
      <c r="AA35" s="8">
        <v>44.9</v>
      </c>
      <c r="AB35" s="8">
        <v>4568</v>
      </c>
      <c r="AC35" s="21" t="s">
        <v>1231</v>
      </c>
      <c r="AD35" s="8" t="s">
        <v>5356</v>
      </c>
      <c r="AE35" s="8" t="s">
        <v>4083</v>
      </c>
      <c r="AF35" s="9">
        <f t="shared" si="8"/>
        <v>167.02799999999999</v>
      </c>
      <c r="AG35" s="9">
        <f t="shared" si="9"/>
        <v>126.46833333333332</v>
      </c>
      <c r="AH35" s="9">
        <f t="shared" si="10"/>
        <v>0.66391636723890657</v>
      </c>
      <c r="AI35" s="9">
        <f t="shared" si="11"/>
        <v>0.44078494268770663</v>
      </c>
      <c r="AJ35" s="9">
        <f t="shared" si="12"/>
        <v>0.84431807520470481</v>
      </c>
      <c r="AK35" s="9">
        <f t="shared" si="13"/>
        <v>0.71287301211737752</v>
      </c>
      <c r="AL35" s="9">
        <f t="shared" si="14"/>
        <v>1.3837154988590601</v>
      </c>
      <c r="AM35" s="9">
        <f t="shared" si="15"/>
        <v>1.9146685817827775</v>
      </c>
      <c r="AN35" s="8" t="s">
        <v>1231</v>
      </c>
    </row>
    <row r="36" spans="13:40" ht="23">
      <c r="M36" s="8" t="s">
        <v>1100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8" t="s">
        <v>1100</v>
      </c>
      <c r="X36" s="8">
        <v>26.63</v>
      </c>
      <c r="Y36" s="8">
        <v>1.1599999999999999</v>
      </c>
      <c r="Z36" s="9">
        <v>0.12</v>
      </c>
      <c r="AA36" s="8">
        <v>38.799999999999997</v>
      </c>
      <c r="AB36" s="8">
        <v>56738</v>
      </c>
      <c r="AC36" s="21" t="s">
        <v>1100</v>
      </c>
      <c r="AD36" s="8" t="s">
        <v>5356</v>
      </c>
      <c r="AE36" s="8" t="s">
        <v>4083</v>
      </c>
      <c r="AF36" s="9">
        <f t="shared" si="8"/>
        <v>45.007999999999996</v>
      </c>
      <c r="AG36" s="9">
        <f t="shared" si="9"/>
        <v>7.76</v>
      </c>
      <c r="AH36" s="9">
        <f t="shared" si="10"/>
        <v>0.57371837525321989</v>
      </c>
      <c r="AI36" s="9">
        <f t="shared" si="11"/>
        <v>0.32915277410319443</v>
      </c>
      <c r="AJ36" s="9">
        <f t="shared" si="12"/>
        <v>0.22751315904407254</v>
      </c>
      <c r="AK36" s="9">
        <f t="shared" si="13"/>
        <v>5.1762237538213449E-2</v>
      </c>
      <c r="AL36" s="9">
        <f t="shared" si="14"/>
        <v>8.4903722442874821E-2</v>
      </c>
      <c r="AM36" s="9">
        <f t="shared" si="15"/>
        <v>7.2086420846567256E-3</v>
      </c>
      <c r="AN36" s="8" t="s">
        <v>1100</v>
      </c>
    </row>
    <row r="37" spans="13:40" ht="23">
      <c r="M37" s="8" t="s">
        <v>238</v>
      </c>
      <c r="N37" s="8" t="s">
        <v>150</v>
      </c>
      <c r="O37" s="8"/>
      <c r="P37" s="8" t="s">
        <v>4013</v>
      </c>
      <c r="Q37" s="8"/>
      <c r="R37" s="8"/>
      <c r="S37" s="8"/>
      <c r="T37" s="8"/>
      <c r="U37" s="8"/>
      <c r="V37" s="8"/>
      <c r="W37" s="8" t="s">
        <v>238</v>
      </c>
      <c r="X37" s="8">
        <v>10.23</v>
      </c>
      <c r="Y37" s="8">
        <v>3.38</v>
      </c>
      <c r="Z37" s="9">
        <v>1.59</v>
      </c>
      <c r="AA37" s="8">
        <v>33.6</v>
      </c>
      <c r="AB37" s="8">
        <v>6997</v>
      </c>
      <c r="AC37" s="21" t="s">
        <v>238</v>
      </c>
      <c r="AD37" s="8" t="s">
        <v>5356</v>
      </c>
      <c r="AE37" s="8" t="s">
        <v>4083</v>
      </c>
      <c r="AF37" s="9">
        <f t="shared" si="8"/>
        <v>113.568</v>
      </c>
      <c r="AG37" s="9">
        <f t="shared" si="9"/>
        <v>66.64</v>
      </c>
      <c r="AH37" s="9">
        <f t="shared" si="10"/>
        <v>0.49682828372443788</v>
      </c>
      <c r="AI37" s="9">
        <f t="shared" si="11"/>
        <v>0.24683834350857053</v>
      </c>
      <c r="AJ37" s="9">
        <f t="shared" si="12"/>
        <v>0.57408048449869431</v>
      </c>
      <c r="AK37" s="9">
        <f t="shared" si="13"/>
        <v>0.32956840268225562</v>
      </c>
      <c r="AL37" s="9">
        <f t="shared" si="14"/>
        <v>0.7291216576795333</v>
      </c>
      <c r="AM37" s="9">
        <f t="shared" si="15"/>
        <v>0.53161839169735059</v>
      </c>
      <c r="AN37" s="8" t="s">
        <v>238</v>
      </c>
    </row>
    <row r="38" spans="13:40" ht="23">
      <c r="M38" s="9" t="s">
        <v>2273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9" t="s">
        <v>2273</v>
      </c>
      <c r="X38" s="8">
        <v>27.26</v>
      </c>
      <c r="Y38" s="8">
        <v>1.3</v>
      </c>
      <c r="Z38" s="9">
        <v>0.3</v>
      </c>
      <c r="AA38" s="8">
        <v>32.4</v>
      </c>
      <c r="AB38" s="8">
        <v>20038</v>
      </c>
      <c r="AC38" s="22" t="s">
        <v>2273</v>
      </c>
      <c r="AD38" s="8" t="s">
        <v>5356</v>
      </c>
      <c r="AE38" s="8" t="s">
        <v>4083</v>
      </c>
      <c r="AF38" s="9">
        <f t="shared" si="8"/>
        <v>42.12</v>
      </c>
      <c r="AG38" s="9">
        <f t="shared" si="9"/>
        <v>0.16200000000000001</v>
      </c>
      <c r="AH38" s="9">
        <f t="shared" si="10"/>
        <v>0.47908441644856509</v>
      </c>
      <c r="AI38" s="9">
        <f t="shared" si="11"/>
        <v>0.22952187808386215</v>
      </c>
      <c r="AJ38" s="9">
        <f t="shared" si="12"/>
        <v>0.21291446540473549</v>
      </c>
      <c r="AK38" s="9">
        <f t="shared" si="13"/>
        <v>4.5332569578584309E-2</v>
      </c>
      <c r="AL38" s="9">
        <f t="shared" si="14"/>
        <v>1.7724746180084693E-3</v>
      </c>
      <c r="AM38" s="9">
        <f t="shared" si="15"/>
        <v>3.1416662714842691E-6</v>
      </c>
      <c r="AN38" s="9" t="s">
        <v>2273</v>
      </c>
    </row>
    <row r="39" spans="13:40" ht="23">
      <c r="M39" s="9" t="s">
        <v>2201</v>
      </c>
      <c r="N39" s="8" t="s">
        <v>150</v>
      </c>
      <c r="O39" s="8"/>
      <c r="P39" s="8"/>
      <c r="Q39" s="8"/>
      <c r="R39" s="8"/>
      <c r="S39" s="8"/>
      <c r="T39" s="8"/>
      <c r="U39" s="8"/>
      <c r="V39" s="8"/>
      <c r="W39" s="9" t="s">
        <v>2201</v>
      </c>
      <c r="X39" s="8">
        <v>14.69</v>
      </c>
      <c r="Y39" s="8">
        <v>6.94</v>
      </c>
      <c r="Z39" s="9">
        <v>6.36</v>
      </c>
      <c r="AA39" s="8">
        <v>24.8</v>
      </c>
      <c r="AB39" s="8">
        <v>5617</v>
      </c>
      <c r="AC39" s="22" t="s">
        <v>2201</v>
      </c>
      <c r="AD39" s="8" t="s">
        <v>5356</v>
      </c>
      <c r="AE39" s="8" t="s">
        <v>4083</v>
      </c>
      <c r="AF39" s="9">
        <f t="shared" si="8"/>
        <v>172.11200000000002</v>
      </c>
      <c r="AG39" s="9">
        <f t="shared" si="9"/>
        <v>163.68</v>
      </c>
      <c r="AH39" s="9">
        <f t="shared" si="10"/>
        <v>0.36670659036803749</v>
      </c>
      <c r="AI39" s="9">
        <f t="shared" si="11"/>
        <v>0.13447372341935165</v>
      </c>
      <c r="AJ39" s="9">
        <f t="shared" si="12"/>
        <v>0.87001743755317773</v>
      </c>
      <c r="AK39" s="9">
        <f t="shared" si="13"/>
        <v>0.75693034164659756</v>
      </c>
      <c r="AL39" s="9">
        <f t="shared" si="14"/>
        <v>1.7908558362692979</v>
      </c>
      <c r="AM39" s="9">
        <f t="shared" si="15"/>
        <v>3.2071646262998064</v>
      </c>
      <c r="AN39" s="9" t="s">
        <v>2201</v>
      </c>
    </row>
    <row r="40" spans="13:40" ht="23">
      <c r="M40" s="9" t="s">
        <v>2729</v>
      </c>
      <c r="N40" s="8" t="s">
        <v>1614</v>
      </c>
      <c r="O40" s="8"/>
      <c r="P40" s="8"/>
      <c r="Q40" s="8"/>
      <c r="R40" s="8"/>
      <c r="S40" s="8"/>
      <c r="T40" s="8"/>
      <c r="U40" s="8"/>
      <c r="V40" s="8"/>
      <c r="W40" s="9" t="s">
        <v>2729</v>
      </c>
      <c r="X40" s="8">
        <v>9.7200000000000006</v>
      </c>
      <c r="Y40" s="8">
        <v>4.16</v>
      </c>
      <c r="Z40" s="9">
        <v>2.39</v>
      </c>
      <c r="AA40" s="8">
        <v>22.7</v>
      </c>
      <c r="AB40" s="8">
        <v>15120</v>
      </c>
      <c r="AC40" s="22" t="s">
        <v>2729</v>
      </c>
      <c r="AD40" s="8" t="s">
        <v>5356</v>
      </c>
      <c r="AE40" s="8" t="s">
        <v>4083</v>
      </c>
      <c r="AF40" s="9">
        <f t="shared" si="8"/>
        <v>94.432000000000002</v>
      </c>
      <c r="AG40" s="9">
        <f t="shared" si="9"/>
        <v>60.154999999999994</v>
      </c>
      <c r="AH40" s="9">
        <f t="shared" si="10"/>
        <v>0.33565482263526014</v>
      </c>
      <c r="AI40" s="9">
        <f t="shared" si="11"/>
        <v>0.11266415995830795</v>
      </c>
      <c r="AJ40" s="9">
        <f t="shared" si="12"/>
        <v>0.47734897429012307</v>
      </c>
      <c r="AK40" s="9">
        <f t="shared" si="13"/>
        <v>0.22786204325583259</v>
      </c>
      <c r="AL40" s="9">
        <f t="shared" si="14"/>
        <v>0.65816796695246582</v>
      </c>
      <c r="AM40" s="9">
        <f t="shared" si="15"/>
        <v>0.43318507272234213</v>
      </c>
      <c r="AN40" s="9" t="s">
        <v>2729</v>
      </c>
    </row>
    <row r="41" spans="13:40" ht="23">
      <c r="M41" s="8" t="s">
        <v>1461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8" t="s">
        <v>1461</v>
      </c>
      <c r="X41" s="8">
        <v>21.92</v>
      </c>
      <c r="Y41" s="8">
        <v>4.8899999999999997</v>
      </c>
      <c r="Z41" s="9">
        <v>4.13</v>
      </c>
      <c r="AA41" s="8">
        <v>21.7</v>
      </c>
      <c r="AB41" s="8">
        <v>5081</v>
      </c>
      <c r="AC41" s="21" t="s">
        <v>1461</v>
      </c>
      <c r="AD41" s="8" t="s">
        <v>5356</v>
      </c>
      <c r="AE41" s="8" t="s">
        <v>4083</v>
      </c>
      <c r="AF41" s="9">
        <f t="shared" si="8"/>
        <v>106.11299999999999</v>
      </c>
      <c r="AG41" s="9">
        <f t="shared" si="9"/>
        <v>91.501666666666665</v>
      </c>
      <c r="AH41" s="9">
        <f t="shared" si="10"/>
        <v>0.32086826657203277</v>
      </c>
      <c r="AI41" s="9">
        <f t="shared" si="11"/>
        <v>0.10295644449294108</v>
      </c>
      <c r="AJ41" s="9">
        <f t="shared" si="12"/>
        <v>0.53639583730989304</v>
      </c>
      <c r="AK41" s="9">
        <f t="shared" si="13"/>
        <v>0.28772049428338126</v>
      </c>
      <c r="AL41" s="9">
        <f t="shared" si="14"/>
        <v>1.0011381584699894</v>
      </c>
      <c r="AM41" s="9">
        <f t="shared" si="15"/>
        <v>1.0022776123446817</v>
      </c>
      <c r="AN41" s="8" t="s">
        <v>1461</v>
      </c>
    </row>
    <row r="42" spans="13:40" ht="23">
      <c r="M42" s="8" t="s">
        <v>1127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8" t="s">
        <v>1127</v>
      </c>
      <c r="X42" s="8">
        <v>10.210000000000001</v>
      </c>
      <c r="Y42" s="8">
        <v>9.5399999999999991</v>
      </c>
      <c r="Z42" s="9">
        <v>4.25</v>
      </c>
      <c r="AA42" s="8">
        <v>16.899999999999999</v>
      </c>
      <c r="AB42" s="8">
        <v>9964</v>
      </c>
      <c r="AC42" s="21" t="s">
        <v>1127</v>
      </c>
      <c r="AD42" s="8" t="s">
        <v>5356</v>
      </c>
      <c r="AE42" s="8" t="s">
        <v>4083</v>
      </c>
      <c r="AF42" s="9">
        <f t="shared" si="8"/>
        <v>161.22599999999997</v>
      </c>
      <c r="AG42" s="9">
        <f t="shared" si="9"/>
        <v>74.641666666666666</v>
      </c>
      <c r="AH42" s="9">
        <f t="shared" si="10"/>
        <v>0.24989279746854168</v>
      </c>
      <c r="AI42" s="9">
        <f t="shared" si="11"/>
        <v>6.2446410226653593E-2</v>
      </c>
      <c r="AJ42" s="9">
        <f t="shared" si="12"/>
        <v>0.81498925924368193</v>
      </c>
      <c r="AK42" s="9">
        <f t="shared" si="13"/>
        <v>0.6642074926825654</v>
      </c>
      <c r="AL42" s="9">
        <f t="shared" si="14"/>
        <v>0.8166695037809597</v>
      </c>
      <c r="AM42" s="9">
        <f t="shared" si="15"/>
        <v>0.66694907840583895</v>
      </c>
      <c r="AN42" s="8" t="s">
        <v>1127</v>
      </c>
    </row>
    <row r="43" spans="13:40" ht="23">
      <c r="M43" s="8" t="s">
        <v>130</v>
      </c>
      <c r="N43" s="8" t="s">
        <v>125</v>
      </c>
      <c r="O43" s="8"/>
      <c r="P43" s="8"/>
      <c r="Q43" s="8"/>
      <c r="R43" s="8"/>
      <c r="S43" s="8"/>
      <c r="T43" s="8"/>
      <c r="U43" s="8"/>
      <c r="V43" s="8"/>
      <c r="W43" s="8" t="s">
        <v>130</v>
      </c>
      <c r="X43" s="8">
        <v>6.18</v>
      </c>
      <c r="Y43" s="8">
        <v>10.45</v>
      </c>
      <c r="Z43" s="9">
        <v>3.22</v>
      </c>
      <c r="AA43" s="8">
        <v>15.3</v>
      </c>
      <c r="AB43" s="8">
        <v>18266</v>
      </c>
      <c r="AC43" s="21" t="s">
        <v>130</v>
      </c>
      <c r="AD43" s="8" t="s">
        <v>5356</v>
      </c>
      <c r="AE43" s="8" t="s">
        <v>4083</v>
      </c>
      <c r="AF43" s="9">
        <f t="shared" si="8"/>
        <v>159.88499999999999</v>
      </c>
      <c r="AG43" s="9">
        <f t="shared" si="9"/>
        <v>51.510000000000005</v>
      </c>
      <c r="AH43" s="9">
        <f t="shared" si="10"/>
        <v>0.22623430776737796</v>
      </c>
      <c r="AI43" s="9">
        <f t="shared" si="11"/>
        <v>5.118196201098469E-2</v>
      </c>
      <c r="AJ43" s="9">
        <f t="shared" si="12"/>
        <v>0.80821057220408676</v>
      </c>
      <c r="AK43" s="9">
        <f t="shared" si="13"/>
        <v>0.6532043290224574</v>
      </c>
      <c r="AL43" s="9">
        <f t="shared" si="14"/>
        <v>0.56358128131861895</v>
      </c>
      <c r="AM43" s="9">
        <f t="shared" si="15"/>
        <v>0.31762386065273635</v>
      </c>
      <c r="AN43" s="8" t="s">
        <v>130</v>
      </c>
    </row>
    <row r="44" spans="13:40" ht="23">
      <c r="M44" s="8" t="s">
        <v>634</v>
      </c>
      <c r="N44" s="8" t="s">
        <v>150</v>
      </c>
      <c r="O44" s="8"/>
      <c r="P44" s="8"/>
      <c r="Q44" s="8"/>
      <c r="R44" s="8"/>
      <c r="S44" s="8"/>
      <c r="T44" s="8"/>
      <c r="U44" s="8"/>
      <c r="V44" s="8"/>
      <c r="W44" s="8" t="s">
        <v>634</v>
      </c>
      <c r="X44" s="8">
        <v>20.18</v>
      </c>
      <c r="Y44" s="8">
        <v>5.55</v>
      </c>
      <c r="Z44" s="9">
        <v>5.16</v>
      </c>
      <c r="AA44" s="8">
        <v>14.8</v>
      </c>
      <c r="AB44" s="8">
        <v>6567</v>
      </c>
      <c r="AC44" s="21" t="s">
        <v>634</v>
      </c>
      <c r="AD44" s="8" t="s">
        <v>5356</v>
      </c>
      <c r="AE44" s="8" t="s">
        <v>4083</v>
      </c>
      <c r="AF44" s="9">
        <f t="shared" si="8"/>
        <v>82.14</v>
      </c>
      <c r="AG44" s="9">
        <f t="shared" si="9"/>
        <v>77.946666666666673</v>
      </c>
      <c r="AH44" s="9">
        <f t="shared" si="10"/>
        <v>0.21884102973576433</v>
      </c>
      <c r="AI44" s="9">
        <f t="shared" si="11"/>
        <v>4.7891396295809685E-2</v>
      </c>
      <c r="AJ44" s="9">
        <f t="shared" si="12"/>
        <v>0.4152135372351608</v>
      </c>
      <c r="AK44" s="9">
        <f t="shared" si="13"/>
        <v>0.17240228150333425</v>
      </c>
      <c r="AL44" s="9">
        <f t="shared" si="14"/>
        <v>0.85283017422860175</v>
      </c>
      <c r="AM44" s="9">
        <f t="shared" si="15"/>
        <v>0.72731930607478723</v>
      </c>
      <c r="AN44" s="8" t="s">
        <v>634</v>
      </c>
    </row>
    <row r="45" spans="13:40" ht="23">
      <c r="M45" s="9" t="s">
        <v>2830</v>
      </c>
      <c r="N45" s="8" t="s">
        <v>1614</v>
      </c>
      <c r="O45" s="8"/>
      <c r="P45" s="8" t="s">
        <v>3691</v>
      </c>
      <c r="Q45" s="8"/>
      <c r="R45" s="8"/>
      <c r="S45" s="8"/>
      <c r="T45" s="8"/>
      <c r="U45" s="8"/>
      <c r="V45" s="8"/>
      <c r="W45" s="9" t="s">
        <v>2830</v>
      </c>
      <c r="X45" s="8">
        <v>7.57</v>
      </c>
      <c r="Y45" s="8">
        <v>1.72</v>
      </c>
      <c r="Z45" s="9">
        <v>0.4</v>
      </c>
      <c r="AA45" s="8">
        <v>13.2</v>
      </c>
      <c r="AB45" s="8">
        <v>25776</v>
      </c>
      <c r="AC45" s="22" t="s">
        <v>2830</v>
      </c>
      <c r="AD45" s="8" t="s">
        <v>5356</v>
      </c>
      <c r="AE45" s="8" t="s">
        <v>4083</v>
      </c>
      <c r="AF45" s="9">
        <f t="shared" si="8"/>
        <v>22.703999999999997</v>
      </c>
      <c r="AG45" s="9">
        <f t="shared" si="9"/>
        <v>8.7999999999999995E-2</v>
      </c>
      <c r="AH45" s="9">
        <f t="shared" si="10"/>
        <v>0.19518254003460062</v>
      </c>
      <c r="AI45" s="9">
        <f t="shared" si="11"/>
        <v>3.8096223934358471E-2</v>
      </c>
      <c r="AJ45" s="9">
        <f t="shared" si="12"/>
        <v>0.11476756938625628</v>
      </c>
      <c r="AK45" s="9">
        <f t="shared" si="13"/>
        <v>1.317159498282915E-2</v>
      </c>
      <c r="AL45" s="9">
        <f t="shared" si="14"/>
        <v>9.628257184243537E-4</v>
      </c>
      <c r="AM45" s="9">
        <f t="shared" si="15"/>
        <v>9.2703336405937286E-7</v>
      </c>
      <c r="AN45" s="9" t="s">
        <v>2830</v>
      </c>
    </row>
    <row r="46" spans="13:40" ht="23">
      <c r="M46" s="9" t="s">
        <v>5080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9" t="s">
        <v>5080</v>
      </c>
      <c r="X46" s="8">
        <v>10.23</v>
      </c>
      <c r="Y46" s="8">
        <v>9.82</v>
      </c>
      <c r="Z46" s="9">
        <v>11.14</v>
      </c>
      <c r="AA46" s="8">
        <v>13.1</v>
      </c>
      <c r="AB46" s="8">
        <v>5715</v>
      </c>
      <c r="AC46" s="22" t="s">
        <v>5080</v>
      </c>
      <c r="AD46" s="8" t="s">
        <v>5356</v>
      </c>
      <c r="AE46" s="8" t="s">
        <v>4083</v>
      </c>
      <c r="AF46" s="9">
        <f t="shared" si="8"/>
        <v>128.642</v>
      </c>
      <c r="AG46" s="9">
        <f t="shared" si="9"/>
        <v>147.15666666666664</v>
      </c>
      <c r="AH46" s="9">
        <f t="shared" si="10"/>
        <v>0.19370388442827788</v>
      </c>
      <c r="AI46" s="9">
        <f t="shared" si="11"/>
        <v>3.7521194842603633E-2</v>
      </c>
      <c r="AJ46" s="9">
        <f t="shared" si="12"/>
        <v>0.65027879056495697</v>
      </c>
      <c r="AK46" s="9">
        <f t="shared" si="13"/>
        <v>0.42286250545862314</v>
      </c>
      <c r="AL46" s="9">
        <f t="shared" si="14"/>
        <v>1.6100707193666641</v>
      </c>
      <c r="AM46" s="9">
        <f t="shared" si="15"/>
        <v>2.5923277213618872</v>
      </c>
      <c r="AN46" s="9" t="s">
        <v>5080</v>
      </c>
    </row>
    <row r="47" spans="13:40" ht="23">
      <c r="M47" s="8" t="s">
        <v>419</v>
      </c>
      <c r="N47" s="8" t="s">
        <v>150</v>
      </c>
      <c r="O47" s="8"/>
      <c r="P47" s="8"/>
      <c r="Q47" s="8"/>
      <c r="R47" s="8"/>
      <c r="S47" s="8"/>
      <c r="T47" s="8"/>
      <c r="U47" s="8"/>
      <c r="V47" s="8"/>
      <c r="W47" s="8" t="s">
        <v>419</v>
      </c>
      <c r="X47" s="8">
        <v>39.76</v>
      </c>
      <c r="Y47" s="8">
        <v>2.4500000000000002</v>
      </c>
      <c r="Z47" s="9">
        <v>1.08</v>
      </c>
      <c r="AA47" s="8">
        <v>12.4</v>
      </c>
      <c r="AB47" s="8">
        <v>20806</v>
      </c>
      <c r="AC47" s="21" t="s">
        <v>419</v>
      </c>
      <c r="AD47" s="8" t="s">
        <v>5356</v>
      </c>
      <c r="AE47" s="8" t="s">
        <v>4083</v>
      </c>
      <c r="AF47" s="9">
        <f t="shared" si="8"/>
        <v>30.380000000000003</v>
      </c>
      <c r="AG47" s="9">
        <f t="shared" si="9"/>
        <v>14.053333333333333</v>
      </c>
      <c r="AH47" s="9">
        <f t="shared" si="10"/>
        <v>0.18335329518401874</v>
      </c>
      <c r="AI47" s="9">
        <f t="shared" si="11"/>
        <v>3.3618430854837913E-2</v>
      </c>
      <c r="AJ47" s="9">
        <f t="shared" si="12"/>
        <v>0.15356936037502056</v>
      </c>
      <c r="AK47" s="9">
        <f t="shared" si="13"/>
        <v>2.3583548445992933E-2</v>
      </c>
      <c r="AL47" s="9">
        <f t="shared" si="14"/>
        <v>0.15376034957867707</v>
      </c>
      <c r="AM47" s="9">
        <f t="shared" si="15"/>
        <v>2.3642245102556976E-2</v>
      </c>
      <c r="AN47" s="8" t="s">
        <v>419</v>
      </c>
    </row>
    <row r="48" spans="13:40" ht="23">
      <c r="M48" s="8" t="s">
        <v>1756</v>
      </c>
      <c r="N48" s="8" t="s">
        <v>1717</v>
      </c>
      <c r="O48" s="8"/>
      <c r="P48" s="8"/>
      <c r="Q48" s="8"/>
      <c r="R48" s="8"/>
      <c r="S48" s="8"/>
      <c r="T48" s="8"/>
      <c r="U48" s="8"/>
      <c r="V48" s="8"/>
      <c r="W48" s="8" t="s">
        <v>1756</v>
      </c>
      <c r="X48" s="8">
        <v>31.58</v>
      </c>
      <c r="Y48" s="8">
        <v>1.29</v>
      </c>
      <c r="Z48" s="9">
        <v>0.24</v>
      </c>
      <c r="AA48" s="8">
        <v>11.7</v>
      </c>
      <c r="AB48" s="8">
        <v>34218</v>
      </c>
      <c r="AC48" s="21" t="s">
        <v>1756</v>
      </c>
      <c r="AD48" s="8" t="s">
        <v>5356</v>
      </c>
      <c r="AE48" s="8" t="s">
        <v>4083</v>
      </c>
      <c r="AF48" s="9">
        <f t="shared" si="8"/>
        <v>15.093</v>
      </c>
      <c r="AG48" s="9">
        <f t="shared" si="9"/>
        <v>4.68</v>
      </c>
      <c r="AH48" s="9">
        <f t="shared" si="10"/>
        <v>0.17300270593975961</v>
      </c>
      <c r="AI48" s="9">
        <f t="shared" si="11"/>
        <v>2.9929936262478935E-2</v>
      </c>
      <c r="AJ48" s="9">
        <f t="shared" si="12"/>
        <v>7.6294350103363551E-2</v>
      </c>
      <c r="AK48" s="9">
        <f t="shared" si="13"/>
        <v>5.8208278576946096E-3</v>
      </c>
      <c r="AL48" s="9">
        <f t="shared" si="14"/>
        <v>5.1204822298022444E-2</v>
      </c>
      <c r="AM48" s="9">
        <f t="shared" si="15"/>
        <v>2.6219338265720564E-3</v>
      </c>
      <c r="AN48" s="8" t="s">
        <v>1756</v>
      </c>
    </row>
    <row r="49" spans="13:40" ht="23">
      <c r="M49" s="8" t="s">
        <v>946</v>
      </c>
      <c r="N49" s="8" t="s">
        <v>150</v>
      </c>
      <c r="O49" s="8"/>
      <c r="P49" s="8" t="s">
        <v>3691</v>
      </c>
      <c r="Q49" s="8"/>
      <c r="R49" s="8"/>
      <c r="S49" s="8"/>
      <c r="T49" s="8"/>
      <c r="U49" s="8"/>
      <c r="V49" s="8"/>
      <c r="W49" s="8" t="s">
        <v>946</v>
      </c>
      <c r="X49" s="8">
        <v>10.43</v>
      </c>
      <c r="Y49" s="8">
        <v>4.84</v>
      </c>
      <c r="Z49" s="9">
        <v>4.58</v>
      </c>
      <c r="AA49" s="8">
        <v>10.9</v>
      </c>
      <c r="AB49" s="8">
        <v>19466</v>
      </c>
      <c r="AC49" s="21" t="s">
        <v>946</v>
      </c>
      <c r="AD49" s="8" t="s">
        <v>5356</v>
      </c>
      <c r="AE49" s="8" t="s">
        <v>4083</v>
      </c>
      <c r="AF49" s="9">
        <f t="shared" si="8"/>
        <v>52.756</v>
      </c>
      <c r="AG49" s="9">
        <f t="shared" si="9"/>
        <v>54.13666666666667</v>
      </c>
      <c r="AH49" s="9">
        <f t="shared" si="10"/>
        <v>0.16117346108917777</v>
      </c>
      <c r="AI49" s="9">
        <f t="shared" si="11"/>
        <v>2.5976884559464699E-2</v>
      </c>
      <c r="AJ49" s="9">
        <f t="shared" si="12"/>
        <v>0.26667890638395603</v>
      </c>
      <c r="AK49" s="9">
        <f t="shared" si="13"/>
        <v>7.111763911014278E-2</v>
      </c>
      <c r="AL49" s="9">
        <f t="shared" si="14"/>
        <v>0.59232017018673966</v>
      </c>
      <c r="AM49" s="9">
        <f t="shared" si="15"/>
        <v>0.35084318401004821</v>
      </c>
      <c r="AN49" s="8" t="s">
        <v>946</v>
      </c>
    </row>
    <row r="50" spans="13:40" ht="23">
      <c r="M50" s="9" t="s">
        <v>2976</v>
      </c>
      <c r="N50" s="8" t="s">
        <v>1717</v>
      </c>
      <c r="O50" s="8"/>
      <c r="P50" s="8"/>
      <c r="Q50" s="8"/>
      <c r="R50" s="8"/>
      <c r="S50" s="8"/>
      <c r="T50" s="8"/>
      <c r="U50" s="8"/>
      <c r="V50" s="8"/>
      <c r="W50" s="9" t="s">
        <v>2976</v>
      </c>
      <c r="X50" s="8">
        <v>37.799999999999997</v>
      </c>
      <c r="Y50" s="8">
        <v>1.31</v>
      </c>
      <c r="Z50" s="9">
        <v>0.11</v>
      </c>
      <c r="AA50" s="8">
        <v>10.199999999999999</v>
      </c>
      <c r="AB50" s="8">
        <v>57464</v>
      </c>
      <c r="AC50" s="22" t="s">
        <v>2976</v>
      </c>
      <c r="AD50" s="8" t="s">
        <v>5356</v>
      </c>
      <c r="AE50" s="8" t="s">
        <v>4083</v>
      </c>
      <c r="AF50" s="9">
        <f t="shared" si="8"/>
        <v>13.362</v>
      </c>
      <c r="AG50" s="9">
        <f t="shared" si="9"/>
        <v>1.8699999999999997</v>
      </c>
      <c r="AH50" s="9">
        <f t="shared" si="10"/>
        <v>0.15082287184491863</v>
      </c>
      <c r="AI50" s="9">
        <f t="shared" si="11"/>
        <v>2.2747538671548748E-2</v>
      </c>
      <c r="AJ50" s="9">
        <f t="shared" si="12"/>
        <v>6.7544232828539316E-2</v>
      </c>
      <c r="AK50" s="9">
        <f t="shared" si="13"/>
        <v>4.5622233883959281E-3</v>
      </c>
      <c r="AL50" s="9">
        <f t="shared" si="14"/>
        <v>2.0460046516517512E-2</v>
      </c>
      <c r="AM50" s="9">
        <f t="shared" si="15"/>
        <v>4.1861350345806037E-4</v>
      </c>
      <c r="AN50" s="9" t="s">
        <v>2976</v>
      </c>
    </row>
    <row r="51" spans="13:40" ht="23">
      <c r="M51" s="8" t="s">
        <v>1976</v>
      </c>
      <c r="N51" s="8" t="s">
        <v>1964</v>
      </c>
      <c r="O51" s="8"/>
      <c r="P51" s="8"/>
      <c r="Q51" s="8"/>
      <c r="R51" s="8"/>
      <c r="S51" s="8"/>
      <c r="T51" s="8"/>
      <c r="U51" s="8"/>
      <c r="V51" s="8"/>
      <c r="W51" s="8" t="s">
        <v>1976</v>
      </c>
      <c r="X51" s="8">
        <v>4.1900000000000004</v>
      </c>
      <c r="Y51" s="8">
        <v>5.78</v>
      </c>
      <c r="Z51" s="9">
        <v>5.15</v>
      </c>
      <c r="AA51" s="8">
        <v>9.4</v>
      </c>
      <c r="AB51" s="8">
        <v>12611</v>
      </c>
      <c r="AC51" s="21" t="s">
        <v>1976</v>
      </c>
      <c r="AD51" s="8" t="s">
        <v>5356</v>
      </c>
      <c r="AE51" s="8" t="s">
        <v>4083</v>
      </c>
      <c r="AF51" s="9">
        <f t="shared" si="8"/>
        <v>54.332000000000008</v>
      </c>
      <c r="AG51" s="9">
        <f t="shared" si="9"/>
        <v>49.35</v>
      </c>
      <c r="AH51" s="9">
        <f t="shared" si="10"/>
        <v>0.13899362699433682</v>
      </c>
      <c r="AI51" s="9">
        <f t="shared" si="11"/>
        <v>1.9319228345040837E-2</v>
      </c>
      <c r="AJ51" s="9">
        <f t="shared" si="12"/>
        <v>0.27464550651400976</v>
      </c>
      <c r="AK51" s="9">
        <f t="shared" si="13"/>
        <v>7.5430154248336975E-2</v>
      </c>
      <c r="AL51" s="9">
        <f t="shared" si="14"/>
        <v>0.53994828641183934</v>
      </c>
      <c r="AM51" s="9">
        <f t="shared" si="15"/>
        <v>0.29154415199908168</v>
      </c>
      <c r="AN51" s="8" t="s">
        <v>1976</v>
      </c>
    </row>
    <row r="52" spans="13:40" ht="23">
      <c r="M52" s="9" t="s">
        <v>3538</v>
      </c>
      <c r="N52" s="8" t="s">
        <v>2041</v>
      </c>
      <c r="O52" s="8"/>
      <c r="P52" s="8" t="s">
        <v>3691</v>
      </c>
      <c r="Q52" s="8"/>
      <c r="R52" s="8"/>
      <c r="S52" s="8"/>
      <c r="T52" s="8"/>
      <c r="U52" s="8"/>
      <c r="V52" s="8"/>
      <c r="W52" s="9" t="s">
        <v>3538</v>
      </c>
      <c r="X52" s="8">
        <v>17.46</v>
      </c>
      <c r="Y52" s="8">
        <v>8.58</v>
      </c>
      <c r="Z52" s="9">
        <v>7.12</v>
      </c>
      <c r="AA52" s="8">
        <v>7.5</v>
      </c>
      <c r="AB52" s="8">
        <v>11055</v>
      </c>
      <c r="AC52" s="22" t="s">
        <v>3538</v>
      </c>
      <c r="AD52" s="8" t="s">
        <v>5356</v>
      </c>
      <c r="AE52" s="8" t="s">
        <v>4083</v>
      </c>
      <c r="AF52" s="9">
        <f t="shared" si="8"/>
        <v>64.349999999999994</v>
      </c>
      <c r="AG52" s="9">
        <f t="shared" si="9"/>
        <v>54</v>
      </c>
      <c r="AH52" s="9">
        <f t="shared" si="10"/>
        <v>0.11089917047420489</v>
      </c>
      <c r="AI52" s="9">
        <f t="shared" si="11"/>
        <v>1.2298626011866758E-2</v>
      </c>
      <c r="AJ52" s="9">
        <f t="shared" si="12"/>
        <v>0.32528598881279036</v>
      </c>
      <c r="AK52" s="9">
        <f t="shared" si="13"/>
        <v>0.10581097451791478</v>
      </c>
      <c r="AL52" s="9">
        <f t="shared" si="14"/>
        <v>0.5908248726694898</v>
      </c>
      <c r="AM52" s="9">
        <f t="shared" si="15"/>
        <v>0.34907403016491884</v>
      </c>
      <c r="AN52" s="9" t="s">
        <v>3538</v>
      </c>
    </row>
    <row r="53" spans="13:40" ht="23">
      <c r="M53" s="8" t="s">
        <v>715</v>
      </c>
      <c r="N53" s="8" t="s">
        <v>150</v>
      </c>
      <c r="O53" s="8"/>
      <c r="P53" s="8"/>
      <c r="Q53" s="8"/>
      <c r="R53" s="8"/>
      <c r="S53" s="8"/>
      <c r="T53" s="8"/>
      <c r="U53" s="8"/>
      <c r="V53" s="8"/>
      <c r="W53" s="8" t="s">
        <v>715</v>
      </c>
      <c r="X53" s="8">
        <v>22.93</v>
      </c>
      <c r="Y53" s="8">
        <v>10.38</v>
      </c>
      <c r="Z53" s="9">
        <v>4.42</v>
      </c>
      <c r="AA53" s="8">
        <v>6.1</v>
      </c>
      <c r="AB53" s="8">
        <v>10957</v>
      </c>
      <c r="AC53" s="21" t="s">
        <v>715</v>
      </c>
      <c r="AD53" s="8" t="s">
        <v>5356</v>
      </c>
      <c r="AE53" s="8" t="s">
        <v>4083</v>
      </c>
      <c r="AF53" s="9">
        <f t="shared" si="8"/>
        <v>63.317999999999998</v>
      </c>
      <c r="AG53" s="9">
        <f t="shared" si="9"/>
        <v>28.669999999999998</v>
      </c>
      <c r="AH53" s="9">
        <f t="shared" si="10"/>
        <v>9.0197991985686635E-2</v>
      </c>
      <c r="AI53" s="9">
        <f t="shared" si="11"/>
        <v>8.1356777582499897E-3</v>
      </c>
      <c r="AJ53" s="9">
        <f t="shared" si="12"/>
        <v>0.32006928111341509</v>
      </c>
      <c r="AK53" s="9">
        <f t="shared" si="13"/>
        <v>0.10244434471245834</v>
      </c>
      <c r="AL53" s="9">
        <f t="shared" si="14"/>
        <v>0.31368424258211614</v>
      </c>
      <c r="AM53" s="9">
        <f t="shared" si="15"/>
        <v>9.8397804044315876E-2</v>
      </c>
      <c r="AN53" s="8" t="s">
        <v>715</v>
      </c>
    </row>
    <row r="54" spans="13:40" ht="23">
      <c r="M54" s="8" t="s">
        <v>579</v>
      </c>
      <c r="N54" s="8" t="s">
        <v>150</v>
      </c>
      <c r="O54" s="8"/>
      <c r="P54" s="8"/>
      <c r="Q54" s="8"/>
      <c r="R54" s="8"/>
      <c r="S54" s="8"/>
      <c r="T54" s="8"/>
      <c r="U54" s="8"/>
      <c r="V54" s="8"/>
      <c r="W54" s="8" t="s">
        <v>579</v>
      </c>
      <c r="X54" s="8">
        <v>10.34</v>
      </c>
      <c r="Y54" s="8">
        <v>16.8</v>
      </c>
      <c r="Z54" s="9">
        <v>34.15</v>
      </c>
      <c r="AA54" s="8">
        <v>6</v>
      </c>
      <c r="AB54" s="8">
        <v>8377</v>
      </c>
      <c r="AC54" s="21" t="s">
        <v>579</v>
      </c>
      <c r="AD54" s="8" t="s">
        <v>5356</v>
      </c>
      <c r="AE54" s="8" t="s">
        <v>4083</v>
      </c>
      <c r="AF54" s="9">
        <f t="shared" si="8"/>
        <v>100.80000000000001</v>
      </c>
      <c r="AG54" s="9">
        <f t="shared" si="9"/>
        <v>205.5</v>
      </c>
      <c r="AH54" s="9">
        <f t="shared" si="10"/>
        <v>8.8719336379363911E-2</v>
      </c>
      <c r="AI54" s="9">
        <f t="shared" si="11"/>
        <v>7.8711206475947249E-3</v>
      </c>
      <c r="AJ54" s="9">
        <f t="shared" si="12"/>
        <v>0.50953889156688847</v>
      </c>
      <c r="AK54" s="9">
        <f t="shared" si="13"/>
        <v>0.25962988201921333</v>
      </c>
      <c r="AL54" s="9">
        <f t="shared" si="14"/>
        <v>2.2484168765477803</v>
      </c>
      <c r="AM54" s="9">
        <f t="shared" si="15"/>
        <v>5.0553784507448762</v>
      </c>
      <c r="AN54" s="8" t="s">
        <v>579</v>
      </c>
    </row>
    <row r="55" spans="13:40" ht="23">
      <c r="M55" s="9" t="s">
        <v>2139</v>
      </c>
      <c r="N55" s="8" t="s">
        <v>150</v>
      </c>
      <c r="O55" s="8"/>
      <c r="P55" s="8"/>
      <c r="Q55" s="8"/>
      <c r="R55" s="8"/>
      <c r="S55" s="8"/>
      <c r="T55" s="8"/>
      <c r="U55" s="8"/>
      <c r="V55" s="8"/>
      <c r="W55" s="9" t="s">
        <v>2139</v>
      </c>
      <c r="X55" s="8">
        <v>30.35</v>
      </c>
      <c r="Y55" s="8">
        <v>4.01</v>
      </c>
      <c r="Z55" s="9">
        <v>3.49</v>
      </c>
      <c r="AA55" s="8">
        <v>5.9</v>
      </c>
      <c r="AB55" s="8">
        <v>16106</v>
      </c>
      <c r="AC55" s="22" t="s">
        <v>2139</v>
      </c>
      <c r="AD55" s="8" t="s">
        <v>5356</v>
      </c>
      <c r="AE55" s="8" t="s">
        <v>4083</v>
      </c>
      <c r="AF55" s="9">
        <f t="shared" si="8"/>
        <v>23.658999999999999</v>
      </c>
      <c r="AG55" s="9">
        <f t="shared" si="9"/>
        <v>22.518333333333334</v>
      </c>
      <c r="AH55" s="9">
        <f t="shared" si="10"/>
        <v>8.7240680773041174E-2</v>
      </c>
      <c r="AI55" s="9">
        <f t="shared" si="11"/>
        <v>7.6109363817436762E-3</v>
      </c>
      <c r="AJ55" s="9">
        <f t="shared" si="12"/>
        <v>0.11959504598790688</v>
      </c>
      <c r="AK55" s="9">
        <f t="shared" si="13"/>
        <v>1.4302975024849561E-2</v>
      </c>
      <c r="AL55" s="9">
        <f t="shared" si="14"/>
        <v>0.24637761897029248</v>
      </c>
      <c r="AM55" s="9">
        <f t="shared" si="15"/>
        <v>6.0701931129470622E-2</v>
      </c>
      <c r="AN55" s="9" t="s">
        <v>2139</v>
      </c>
    </row>
    <row r="56" spans="13:40" ht="23">
      <c r="M56" s="8" t="s">
        <v>1458</v>
      </c>
      <c r="N56" s="8" t="s">
        <v>150</v>
      </c>
      <c r="O56" s="8"/>
      <c r="P56" s="8"/>
      <c r="Q56" s="8"/>
      <c r="R56" s="8"/>
      <c r="S56" s="8"/>
      <c r="T56" s="8"/>
      <c r="U56" s="8"/>
      <c r="V56" s="8"/>
      <c r="W56" s="8" t="s">
        <v>1458</v>
      </c>
      <c r="X56" s="8">
        <v>18.82</v>
      </c>
      <c r="Y56" s="8">
        <v>2.62</v>
      </c>
      <c r="Z56" s="9">
        <v>1.1200000000000001</v>
      </c>
      <c r="AA56" s="8">
        <v>5.3</v>
      </c>
      <c r="AB56" s="8">
        <v>29171</v>
      </c>
      <c r="AC56" s="21" t="s">
        <v>1458</v>
      </c>
      <c r="AD56" s="8" t="s">
        <v>5356</v>
      </c>
      <c r="AE56" s="8" t="s">
        <v>4083</v>
      </c>
      <c r="AF56" s="9">
        <f t="shared" si="8"/>
        <v>13.885999999999999</v>
      </c>
      <c r="AG56" s="9">
        <f t="shared" si="9"/>
        <v>6.3599999999999994</v>
      </c>
      <c r="AH56" s="9">
        <f t="shared" si="10"/>
        <v>7.8368747135104791E-2</v>
      </c>
      <c r="AI56" s="9">
        <f t="shared" si="11"/>
        <v>6.1416605275259953E-3</v>
      </c>
      <c r="AJ56" s="9">
        <f t="shared" si="12"/>
        <v>7.0193026272795764E-2</v>
      </c>
      <c r="AK56" s="9">
        <f t="shared" si="13"/>
        <v>4.9270609373333963E-3</v>
      </c>
      <c r="AL56" s="9">
        <f t="shared" si="14"/>
        <v>6.9586040558851009E-2</v>
      </c>
      <c r="AM56" s="9">
        <f t="shared" si="15"/>
        <v>4.8422170406580579E-3</v>
      </c>
      <c r="AN56" s="8" t="s">
        <v>1458</v>
      </c>
    </row>
    <row r="57" spans="13:40" ht="23">
      <c r="M57" s="9" t="s">
        <v>2349</v>
      </c>
      <c r="N57" s="8" t="s">
        <v>150</v>
      </c>
      <c r="O57" s="8"/>
      <c r="P57" s="8"/>
      <c r="Q57" s="8"/>
      <c r="R57" s="8"/>
      <c r="S57" s="8"/>
      <c r="T57" s="8"/>
      <c r="U57" s="8"/>
      <c r="V57" s="8"/>
      <c r="W57" s="9" t="s">
        <v>2349</v>
      </c>
      <c r="X57" s="8">
        <v>49.01</v>
      </c>
      <c r="Y57" s="8">
        <v>4.24</v>
      </c>
      <c r="Z57" s="9">
        <v>2.5499999999999998</v>
      </c>
      <c r="AA57" s="8">
        <v>3.8</v>
      </c>
      <c r="AB57" s="8">
        <v>27992</v>
      </c>
      <c r="AC57" s="22" t="s">
        <v>2349</v>
      </c>
      <c r="AD57" s="8" t="s">
        <v>5356</v>
      </c>
      <c r="AE57" s="8" t="s">
        <v>4083</v>
      </c>
      <c r="AF57" s="9">
        <f t="shared" si="8"/>
        <v>16.111999999999998</v>
      </c>
      <c r="AG57" s="9">
        <f t="shared" si="9"/>
        <v>11.083333333333332</v>
      </c>
      <c r="AH57" s="9">
        <f t="shared" si="10"/>
        <v>5.6188913040263813E-2</v>
      </c>
      <c r="AI57" s="9">
        <f t="shared" si="11"/>
        <v>3.157193948646329E-3</v>
      </c>
      <c r="AJ57" s="9">
        <f t="shared" si="12"/>
        <v>8.144534346156454E-2</v>
      </c>
      <c r="AK57" s="9">
        <f t="shared" si="13"/>
        <v>6.6333439715722141E-3</v>
      </c>
      <c r="AL57" s="9">
        <f t="shared" si="14"/>
        <v>0.12126498158185513</v>
      </c>
      <c r="AM57" s="9">
        <f t="shared" si="15"/>
        <v>1.4705195758047664E-2</v>
      </c>
      <c r="AN57" s="9" t="s">
        <v>2349</v>
      </c>
    </row>
    <row r="58" spans="13:40" ht="23">
      <c r="M58" s="9" t="s">
        <v>2440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9" t="s">
        <v>2440</v>
      </c>
      <c r="X58" s="8">
        <v>10.09</v>
      </c>
      <c r="Y58" s="8">
        <v>3.93</v>
      </c>
      <c r="Z58" s="9">
        <v>1.03</v>
      </c>
      <c r="AA58" s="8">
        <v>3.8</v>
      </c>
      <c r="AB58" s="8">
        <v>23384</v>
      </c>
      <c r="AC58" s="22" t="s">
        <v>2440</v>
      </c>
      <c r="AD58" s="8" t="s">
        <v>5356</v>
      </c>
      <c r="AE58" s="8" t="s">
        <v>4083</v>
      </c>
      <c r="AF58" s="9">
        <f t="shared" si="8"/>
        <v>14.933999999999999</v>
      </c>
      <c r="AG58" s="9">
        <f t="shared" si="9"/>
        <v>3.9899999999999998</v>
      </c>
      <c r="AH58" s="9">
        <f t="shared" si="10"/>
        <v>5.6188913040263813E-2</v>
      </c>
      <c r="AI58" s="9">
        <f t="shared" si="11"/>
        <v>3.157193948646329E-3</v>
      </c>
      <c r="AJ58" s="9">
        <f t="shared" si="12"/>
        <v>7.5490613161308645E-2</v>
      </c>
      <c r="AK58" s="9">
        <f t="shared" si="13"/>
        <v>5.6988326754703464E-3</v>
      </c>
      <c r="AL58" s="9">
        <f t="shared" si="14"/>
        <v>4.3655393369467846E-2</v>
      </c>
      <c r="AM58" s="9">
        <f t="shared" si="15"/>
        <v>1.9057933702429771E-3</v>
      </c>
      <c r="AN58" s="9" t="s">
        <v>2440</v>
      </c>
    </row>
    <row r="59" spans="13:40" ht="23">
      <c r="M59" s="9" t="s">
        <v>3275</v>
      </c>
      <c r="N59" s="8" t="s">
        <v>1939</v>
      </c>
      <c r="O59" s="8"/>
      <c r="P59" s="8"/>
      <c r="Q59" s="8"/>
      <c r="R59" s="8"/>
      <c r="S59" s="8"/>
      <c r="T59" s="8"/>
      <c r="U59" s="8"/>
      <c r="V59" s="8"/>
      <c r="W59" s="9" t="s">
        <v>3275</v>
      </c>
      <c r="X59" s="8">
        <v>58.56</v>
      </c>
      <c r="Y59" s="8">
        <v>1.64</v>
      </c>
      <c r="Z59" s="9">
        <v>0.14000000000000001</v>
      </c>
      <c r="AA59" s="8">
        <v>3.8</v>
      </c>
      <c r="AB59" s="8">
        <v>33743</v>
      </c>
      <c r="AC59" s="22" t="s">
        <v>3275</v>
      </c>
      <c r="AD59" s="8" t="s">
        <v>5356</v>
      </c>
      <c r="AE59" s="8" t="s">
        <v>4083</v>
      </c>
      <c r="AF59" s="9">
        <f t="shared" si="8"/>
        <v>6.2319999999999993</v>
      </c>
      <c r="AG59" s="9">
        <f t="shared" si="9"/>
        <v>0.8866666666666666</v>
      </c>
      <c r="AH59" s="9">
        <f t="shared" si="10"/>
        <v>5.6188913040263813E-2</v>
      </c>
      <c r="AI59" s="9">
        <f t="shared" si="11"/>
        <v>3.157193948646329E-3</v>
      </c>
      <c r="AJ59" s="9">
        <f t="shared" si="12"/>
        <v>3.1502444169095714E-2</v>
      </c>
      <c r="AK59" s="9">
        <f t="shared" si="13"/>
        <v>9.9240398862699255E-4</v>
      </c>
      <c r="AL59" s="9">
        <f t="shared" si="14"/>
        <v>9.7011985265484102E-3</v>
      </c>
      <c r="AM59" s="9">
        <f t="shared" si="15"/>
        <v>9.4113252851505045E-5</v>
      </c>
      <c r="AN59" s="9" t="s">
        <v>3275</v>
      </c>
    </row>
    <row r="60" spans="13:40" ht="23">
      <c r="M60" s="8" t="s">
        <v>512</v>
      </c>
      <c r="N60" s="8" t="s">
        <v>150</v>
      </c>
      <c r="O60" s="8"/>
      <c r="P60" s="8"/>
      <c r="Q60" s="8"/>
      <c r="R60" s="8"/>
      <c r="S60" s="8"/>
      <c r="T60" s="8"/>
      <c r="U60" s="8"/>
      <c r="V60" s="8"/>
      <c r="W60" s="8" t="s">
        <v>512</v>
      </c>
      <c r="X60" s="8">
        <v>15.19</v>
      </c>
      <c r="Y60" s="8">
        <v>3.59</v>
      </c>
      <c r="Z60" s="9">
        <v>1.36</v>
      </c>
      <c r="AA60" s="8">
        <v>3</v>
      </c>
      <c r="AB60" s="8">
        <v>33553</v>
      </c>
      <c r="AC60" s="21" t="s">
        <v>512</v>
      </c>
      <c r="AD60" s="8" t="s">
        <v>5356</v>
      </c>
      <c r="AE60" s="8" t="s">
        <v>4083</v>
      </c>
      <c r="AF60" s="9">
        <f t="shared" si="8"/>
        <v>10.77</v>
      </c>
      <c r="AG60" s="9">
        <f t="shared" si="9"/>
        <v>4.8000000000000007</v>
      </c>
      <c r="AH60" s="9">
        <f t="shared" si="10"/>
        <v>4.4359668189681956E-2</v>
      </c>
      <c r="AI60" s="9">
        <f t="shared" si="11"/>
        <v>1.9677801618986812E-3</v>
      </c>
      <c r="AJ60" s="9">
        <f t="shared" si="12"/>
        <v>5.44418041882479E-2</v>
      </c>
      <c r="AK60" s="9">
        <f t="shared" si="13"/>
        <v>2.9639100432715267E-3</v>
      </c>
      <c r="AL60" s="9">
        <f t="shared" si="14"/>
        <v>5.2517766459510208E-2</v>
      </c>
      <c r="AM60" s="9">
        <f t="shared" si="15"/>
        <v>2.7581157938956552E-3</v>
      </c>
      <c r="AN60" s="8" t="s">
        <v>512</v>
      </c>
    </row>
    <row r="61" spans="13:40" ht="23">
      <c r="M61" s="8" t="s">
        <v>1654</v>
      </c>
      <c r="N61" s="8" t="s">
        <v>1614</v>
      </c>
      <c r="O61" s="8"/>
      <c r="P61" s="8"/>
      <c r="Q61" s="8"/>
      <c r="R61" s="8"/>
      <c r="S61" s="8"/>
      <c r="T61" s="8"/>
      <c r="U61" s="8"/>
      <c r="V61" s="8"/>
      <c r="W61" s="8" t="s">
        <v>1654</v>
      </c>
      <c r="X61" s="8">
        <v>72.64</v>
      </c>
      <c r="Y61" s="8">
        <v>1.43</v>
      </c>
      <c r="Z61" s="9">
        <v>1</v>
      </c>
      <c r="AA61" s="8">
        <v>2.7</v>
      </c>
      <c r="AB61" s="8">
        <v>46198</v>
      </c>
      <c r="AC61" s="21" t="s">
        <v>1654</v>
      </c>
      <c r="AD61" s="8" t="s">
        <v>5356</v>
      </c>
      <c r="AE61" s="8" t="s">
        <v>4083</v>
      </c>
      <c r="AF61" s="9">
        <f t="shared" si="8"/>
        <v>3.8610000000000002</v>
      </c>
      <c r="AG61" s="9">
        <f t="shared" si="9"/>
        <v>2.7450000000000001</v>
      </c>
      <c r="AH61" s="9">
        <f t="shared" si="10"/>
        <v>3.9923701370713764E-2</v>
      </c>
      <c r="AI61" s="9">
        <f t="shared" si="11"/>
        <v>1.5939019311379322E-3</v>
      </c>
      <c r="AJ61" s="9">
        <f t="shared" si="12"/>
        <v>1.9517159328767422E-2</v>
      </c>
      <c r="AK61" s="9">
        <f t="shared" si="13"/>
        <v>3.8091950826449323E-4</v>
      </c>
      <c r="AL61" s="9">
        <f t="shared" si="14"/>
        <v>3.00335976940324E-2</v>
      </c>
      <c r="AM61" s="9">
        <f t="shared" si="15"/>
        <v>9.0201699044698826E-4</v>
      </c>
      <c r="AN61" s="8" t="s">
        <v>1654</v>
      </c>
    </row>
    <row r="62" spans="13:40" ht="23">
      <c r="M62" s="8" t="s">
        <v>5037</v>
      </c>
      <c r="N62" s="8" t="s">
        <v>150</v>
      </c>
      <c r="O62" s="8"/>
      <c r="P62" s="8"/>
      <c r="Q62" s="8"/>
      <c r="R62" s="8"/>
      <c r="S62" s="8"/>
      <c r="T62" s="8"/>
      <c r="U62" s="8"/>
      <c r="V62" s="8"/>
      <c r="W62" s="8" t="s">
        <v>5037</v>
      </c>
      <c r="X62" s="8">
        <v>32.58</v>
      </c>
      <c r="Y62" s="8">
        <v>2.48</v>
      </c>
      <c r="Z62" s="9">
        <v>0.42</v>
      </c>
      <c r="AA62" s="8">
        <v>2.5</v>
      </c>
      <c r="AB62" s="8">
        <v>43926</v>
      </c>
      <c r="AC62" s="21" t="s">
        <v>5037</v>
      </c>
      <c r="AD62" s="8" t="s">
        <v>5356</v>
      </c>
      <c r="AE62" s="8" t="s">
        <v>4083</v>
      </c>
      <c r="AF62" s="9">
        <f t="shared" si="8"/>
        <v>6.2</v>
      </c>
      <c r="AG62" s="9">
        <f t="shared" si="9"/>
        <v>1.75</v>
      </c>
      <c r="AH62" s="9">
        <f t="shared" si="10"/>
        <v>3.6966390158068296E-2</v>
      </c>
      <c r="AI62" s="9">
        <f t="shared" si="11"/>
        <v>1.3665140013185285E-3</v>
      </c>
      <c r="AJ62" s="9">
        <f t="shared" si="12"/>
        <v>3.1340685790820513E-2</v>
      </c>
      <c r="AK62" s="9">
        <f t="shared" si="13"/>
        <v>9.8223858583893885E-4</v>
      </c>
      <c r="AL62" s="9">
        <f t="shared" si="14"/>
        <v>1.9147102355029758E-2</v>
      </c>
      <c r="AM62" s="9">
        <f t="shared" si="15"/>
        <v>3.666115285939861E-4</v>
      </c>
      <c r="AN62" s="8" t="s">
        <v>5037</v>
      </c>
    </row>
    <row r="63" spans="13:40" ht="23">
      <c r="M63" s="8" t="s">
        <v>1747</v>
      </c>
      <c r="N63" s="8" t="s">
        <v>1717</v>
      </c>
      <c r="O63" s="8"/>
      <c r="P63" s="8"/>
      <c r="Q63" s="8"/>
      <c r="R63" s="8"/>
      <c r="S63" s="8"/>
      <c r="T63" s="8"/>
      <c r="U63" s="8"/>
      <c r="V63" s="8"/>
      <c r="W63" s="8" t="s">
        <v>1747</v>
      </c>
      <c r="X63" s="8">
        <v>33.43</v>
      </c>
      <c r="Y63" s="8">
        <v>8.64</v>
      </c>
      <c r="Z63" s="9">
        <v>7.41</v>
      </c>
      <c r="AA63" s="8">
        <v>2.2000000000000002</v>
      </c>
      <c r="AB63" s="8">
        <v>27546</v>
      </c>
      <c r="AC63" s="21" t="s">
        <v>1747</v>
      </c>
      <c r="AD63" s="8" t="s">
        <v>5356</v>
      </c>
      <c r="AE63" s="8" t="s">
        <v>4083</v>
      </c>
      <c r="AF63" s="9">
        <f t="shared" si="8"/>
        <v>19.008000000000003</v>
      </c>
      <c r="AG63" s="9">
        <f t="shared" si="9"/>
        <v>16.903333333333336</v>
      </c>
      <c r="AH63" s="9">
        <f t="shared" si="10"/>
        <v>3.2530423339100105E-2</v>
      </c>
      <c r="AI63" s="9">
        <f t="shared" si="11"/>
        <v>1.0582284426210687E-3</v>
      </c>
      <c r="AJ63" s="9">
        <f t="shared" si="12"/>
        <v>9.6084476695470405E-2</v>
      </c>
      <c r="AK63" s="9">
        <f t="shared" si="13"/>
        <v>9.2322266618423948E-3</v>
      </c>
      <c r="AL63" s="9">
        <f t="shared" si="14"/>
        <v>0.1849427734140113</v>
      </c>
      <c r="AM63" s="9">
        <f t="shared" si="15"/>
        <v>3.4203829438066324E-2</v>
      </c>
      <c r="AN63" s="8" t="s">
        <v>1747</v>
      </c>
    </row>
    <row r="64" spans="13:40" ht="23">
      <c r="M64" s="9" t="s">
        <v>3545</v>
      </c>
      <c r="N64" s="8" t="s">
        <v>2041</v>
      </c>
      <c r="O64" s="8"/>
      <c r="P64" s="8"/>
      <c r="Q64" s="8"/>
      <c r="R64" s="8"/>
      <c r="S64" s="8"/>
      <c r="T64" s="8"/>
      <c r="U64" s="8"/>
      <c r="V64" s="8"/>
      <c r="W64" s="9" t="s">
        <v>3545</v>
      </c>
      <c r="X64" s="8">
        <v>30.04</v>
      </c>
      <c r="Y64" s="8">
        <v>3.79</v>
      </c>
      <c r="Z64" s="9">
        <v>5.24</v>
      </c>
      <c r="AA64" s="8">
        <v>1.8</v>
      </c>
      <c r="AB64" s="8">
        <v>41967</v>
      </c>
      <c r="AC64" s="22" t="s">
        <v>3545</v>
      </c>
      <c r="AD64" s="8" t="s">
        <v>5356</v>
      </c>
      <c r="AE64" s="8" t="s">
        <v>4083</v>
      </c>
      <c r="AF64" s="9">
        <f t="shared" si="8"/>
        <v>6.8220000000000001</v>
      </c>
      <c r="AG64" s="9">
        <f t="shared" si="9"/>
        <v>9.7200000000000006</v>
      </c>
      <c r="AH64" s="9">
        <f t="shared" si="10"/>
        <v>2.6615800913809173E-2</v>
      </c>
      <c r="AI64" s="9">
        <f t="shared" si="11"/>
        <v>7.0840085828352518E-4</v>
      </c>
      <c r="AJ64" s="9">
        <f t="shared" si="12"/>
        <v>3.4484864268544767E-2</v>
      </c>
      <c r="AK64" s="9">
        <f t="shared" si="13"/>
        <v>1.1892058636199555E-3</v>
      </c>
      <c r="AL64" s="9">
        <f t="shared" si="14"/>
        <v>0.10634847708050817</v>
      </c>
      <c r="AM64" s="9">
        <f t="shared" si="15"/>
        <v>1.1309998577343371E-2</v>
      </c>
      <c r="AN64" s="9" t="s">
        <v>3545</v>
      </c>
    </row>
    <row r="65" spans="13:40" ht="23">
      <c r="M65" s="8" t="s">
        <v>1208</v>
      </c>
      <c r="N65" s="8" t="s">
        <v>150</v>
      </c>
      <c r="O65" s="8"/>
      <c r="P65" s="8"/>
      <c r="Q65" s="8"/>
      <c r="R65" s="8"/>
      <c r="S65" s="8"/>
      <c r="T65" s="8"/>
      <c r="U65" s="8"/>
      <c r="V65" s="8"/>
      <c r="W65" s="8" t="s">
        <v>1208</v>
      </c>
      <c r="X65" s="8">
        <v>18.62</v>
      </c>
      <c r="Y65" s="8">
        <v>5.63</v>
      </c>
      <c r="Z65" s="9">
        <v>3.42</v>
      </c>
      <c r="AA65" s="8">
        <v>1.7</v>
      </c>
      <c r="AB65" s="8">
        <v>34070</v>
      </c>
      <c r="AC65" s="21" t="s">
        <v>1208</v>
      </c>
      <c r="AD65" s="8" t="s">
        <v>5356</v>
      </c>
      <c r="AE65" s="8" t="s">
        <v>4083</v>
      </c>
      <c r="AF65" s="9">
        <f t="shared" si="8"/>
        <v>9.5709999999999997</v>
      </c>
      <c r="AG65" s="9">
        <f t="shared" si="9"/>
        <v>6.29</v>
      </c>
      <c r="AH65" s="9">
        <f t="shared" si="10"/>
        <v>2.5137145307486442E-2</v>
      </c>
      <c r="AI65" s="9">
        <f t="shared" si="11"/>
        <v>6.3187607420968762E-4</v>
      </c>
      <c r="AJ65" s="9">
        <f t="shared" si="12"/>
        <v>4.8380919952248892E-2</v>
      </c>
      <c r="AK65" s="9">
        <f t="shared" si="13"/>
        <v>2.3407134154259149E-3</v>
      </c>
      <c r="AL65" s="9">
        <f t="shared" si="14"/>
        <v>6.8820156464649826E-2</v>
      </c>
      <c r="AM65" s="9">
        <f t="shared" si="15"/>
        <v>4.7362139358188829E-3</v>
      </c>
      <c r="AN65" s="8" t="s">
        <v>1208</v>
      </c>
    </row>
    <row r="66" spans="13:40" ht="23">
      <c r="M66" s="9" t="s">
        <v>2877</v>
      </c>
      <c r="N66" s="8" t="s">
        <v>1717</v>
      </c>
      <c r="O66" s="8"/>
      <c r="P66" s="8"/>
      <c r="Q66" s="8"/>
      <c r="R66" s="8"/>
      <c r="S66" s="8"/>
      <c r="T66" s="8"/>
      <c r="U66" s="8"/>
      <c r="V66" s="8"/>
      <c r="W66" s="9" t="s">
        <v>2877</v>
      </c>
      <c r="X66" s="8">
        <v>40.729999999999997</v>
      </c>
      <c r="Y66" s="8">
        <v>1.7</v>
      </c>
      <c r="Z66" s="9">
        <v>1.21</v>
      </c>
      <c r="AA66" s="8">
        <v>1.2</v>
      </c>
      <c r="AB66" s="8">
        <v>83095</v>
      </c>
      <c r="AC66" s="22" t="s">
        <v>2877</v>
      </c>
      <c r="AD66" s="8" t="s">
        <v>5356</v>
      </c>
      <c r="AE66" s="8" t="s">
        <v>4083</v>
      </c>
      <c r="AF66" s="9">
        <f t="shared" si="8"/>
        <v>2.04</v>
      </c>
      <c r="AG66" s="9">
        <f t="shared" si="9"/>
        <v>1.62</v>
      </c>
      <c r="AH66" s="9">
        <f t="shared" si="10"/>
        <v>1.7743867275872783E-2</v>
      </c>
      <c r="AI66" s="9">
        <f t="shared" ref="AI66:AI69" si="16">(AH66*AH66)</f>
        <v>3.1484482590378904E-4</v>
      </c>
      <c r="AJ66" s="9">
        <f t="shared" si="12"/>
        <v>1.031209661504417E-2</v>
      </c>
      <c r="AK66" s="9">
        <f t="shared" ref="AK66:AK69" si="17">(AJ66*AJ66)</f>
        <v>1.0633933659800542E-4</v>
      </c>
      <c r="AL66" s="9">
        <f t="shared" si="14"/>
        <v>1.7724746180084693E-2</v>
      </c>
      <c r="AM66" s="9">
        <f t="shared" ref="AM66:AM69" si="18">(AL66*AL66)</f>
        <v>3.1416662714842694E-4</v>
      </c>
      <c r="AN66" s="9" t="s">
        <v>2877</v>
      </c>
    </row>
    <row r="67" spans="13:40" ht="23">
      <c r="M67" s="9" t="s">
        <v>3156</v>
      </c>
      <c r="N67" s="8" t="s">
        <v>1869</v>
      </c>
      <c r="O67" s="8"/>
      <c r="P67" s="8"/>
      <c r="Q67" s="8"/>
      <c r="R67" s="8"/>
      <c r="S67" s="8"/>
      <c r="T67" s="8"/>
      <c r="U67" s="8"/>
      <c r="V67" s="8"/>
      <c r="W67" s="9" t="s">
        <v>3156</v>
      </c>
      <c r="X67" s="8">
        <v>22.84</v>
      </c>
      <c r="Y67" s="8">
        <v>2.97</v>
      </c>
      <c r="Z67" s="9">
        <v>1.1299999999999999</v>
      </c>
      <c r="AA67" s="8">
        <v>1.2</v>
      </c>
      <c r="AB67" s="8">
        <v>69710</v>
      </c>
      <c r="AC67" s="22" t="s">
        <v>3156</v>
      </c>
      <c r="AD67" s="8" t="s">
        <v>5356</v>
      </c>
      <c r="AE67" s="8" t="s">
        <v>4083</v>
      </c>
      <c r="AF67" s="9">
        <f t="shared" si="8"/>
        <v>3.5640000000000001</v>
      </c>
      <c r="AG67" s="9">
        <f t="shared" si="9"/>
        <v>1.4600000000000002</v>
      </c>
      <c r="AH67" s="9">
        <f t="shared" si="10"/>
        <v>1.7743867275872783E-2</v>
      </c>
      <c r="AI67" s="9">
        <f t="shared" si="16"/>
        <v>3.1484482590378904E-4</v>
      </c>
      <c r="AJ67" s="9">
        <f t="shared" si="12"/>
        <v>1.8015839380400699E-2</v>
      </c>
      <c r="AK67" s="9">
        <f t="shared" si="17"/>
        <v>3.2457046858039664E-4</v>
      </c>
      <c r="AL67" s="9">
        <f t="shared" si="14"/>
        <v>1.5974153964767687E-2</v>
      </c>
      <c r="AM67" s="9">
        <f t="shared" si="18"/>
        <v>2.5517359489010325E-4</v>
      </c>
      <c r="AN67" s="9" t="s">
        <v>3156</v>
      </c>
    </row>
    <row r="68" spans="13:40" ht="23">
      <c r="M68" s="9" t="s">
        <v>2943</v>
      </c>
      <c r="N68" s="8" t="s">
        <v>1717</v>
      </c>
      <c r="O68" s="8"/>
      <c r="P68" s="8"/>
      <c r="Q68" s="8"/>
      <c r="R68" s="8"/>
      <c r="S68" s="8"/>
      <c r="T68" s="8"/>
      <c r="U68" s="8"/>
      <c r="V68" s="8"/>
      <c r="W68" s="9" t="s">
        <v>2943</v>
      </c>
      <c r="X68" s="8">
        <v>39.119999999999997</v>
      </c>
      <c r="Y68" s="8">
        <v>4.95</v>
      </c>
      <c r="Z68" s="9">
        <v>5.59</v>
      </c>
      <c r="AA68" s="8">
        <v>1.1000000000000001</v>
      </c>
      <c r="AB68" s="8">
        <v>56407</v>
      </c>
      <c r="AC68" s="22" t="s">
        <v>2943</v>
      </c>
      <c r="AD68" s="8" t="s">
        <v>5356</v>
      </c>
      <c r="AE68" s="8" t="s">
        <v>4083</v>
      </c>
      <c r="AF68" s="9">
        <f t="shared" si="8"/>
        <v>5.4450000000000003</v>
      </c>
      <c r="AG68" s="9">
        <f t="shared" si="9"/>
        <v>6.581666666666667</v>
      </c>
      <c r="AH68" s="9">
        <f t="shared" si="10"/>
        <v>1.6265211669550052E-2</v>
      </c>
      <c r="AI68" s="9">
        <f t="shared" si="16"/>
        <v>2.6455711065526718E-4</v>
      </c>
      <c r="AJ68" s="9">
        <f t="shared" si="12"/>
        <v>2.7524199053389955E-2</v>
      </c>
      <c r="AK68" s="9">
        <f t="shared" si="17"/>
        <v>7.5758153353063244E-4</v>
      </c>
      <c r="AL68" s="9">
        <f t="shared" si="14"/>
        <v>7.2011340190488118E-2</v>
      </c>
      <c r="AM68" s="9">
        <f t="shared" si="18"/>
        <v>5.1856331160302091E-3</v>
      </c>
      <c r="AN68" s="9" t="s">
        <v>2943</v>
      </c>
    </row>
    <row r="69" spans="13:40" ht="23">
      <c r="M69" s="9" t="s">
        <v>3298</v>
      </c>
      <c r="N69" s="8" t="s">
        <v>1939</v>
      </c>
      <c r="O69" s="8"/>
      <c r="P69" s="8"/>
      <c r="Q69" s="8"/>
      <c r="R69" s="8"/>
      <c r="S69" s="8"/>
      <c r="T69" s="8"/>
      <c r="U69" s="8"/>
      <c r="V69" s="8"/>
      <c r="W69" s="9" t="s">
        <v>3298</v>
      </c>
      <c r="X69" s="8">
        <v>54.02</v>
      </c>
      <c r="Y69" s="8">
        <v>2.6</v>
      </c>
      <c r="Z69" s="9">
        <v>0.2</v>
      </c>
      <c r="AA69" s="8">
        <v>1.1000000000000001</v>
      </c>
      <c r="AB69" s="8">
        <v>60333</v>
      </c>
      <c r="AC69" s="22" t="s">
        <v>3298</v>
      </c>
      <c r="AD69" s="8" t="s">
        <v>5356</v>
      </c>
      <c r="AE69" s="8" t="s">
        <v>4083</v>
      </c>
      <c r="AF69" s="9">
        <f t="shared" si="8"/>
        <v>2.8600000000000003</v>
      </c>
      <c r="AG69" s="9">
        <f t="shared" si="9"/>
        <v>3.666666666666667E-3</v>
      </c>
      <c r="AH69" s="9">
        <f t="shared" si="10"/>
        <v>1.6265211669550052E-2</v>
      </c>
      <c r="AI69" s="9">
        <f t="shared" si="16"/>
        <v>2.6455711065526718E-4</v>
      </c>
      <c r="AJ69" s="9">
        <f t="shared" si="12"/>
        <v>1.4457155058346239E-2</v>
      </c>
      <c r="AK69" s="9">
        <f t="shared" si="17"/>
        <v>2.0900933238106624E-4</v>
      </c>
      <c r="AL69" s="9">
        <f t="shared" si="14"/>
        <v>4.0117738267681406E-5</v>
      </c>
      <c r="AM69" s="9">
        <f t="shared" si="18"/>
        <v>1.6094329237141891E-9</v>
      </c>
      <c r="AN69" s="9" t="s">
        <v>3298</v>
      </c>
    </row>
    <row r="70" spans="13:40" ht="18"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9"/>
      <c r="AA70" s="48">
        <f>SUBTOTAL(109,Table136171921222324[ترافیک کل])</f>
        <v>6762.8999999999978</v>
      </c>
      <c r="AB70" s="48"/>
      <c r="AC70" s="53"/>
      <c r="AD70" s="48"/>
      <c r="AE70" s="48"/>
      <c r="AF70" s="49">
        <f>SUBTOTAL(109,Table136171921222324[[مجموع صفحات  مشاهده شده   ]])</f>
        <v>19782.592000000011</v>
      </c>
      <c r="AG70" s="49">
        <f>SUBTOTAL(109,Table136171921222324[[مجموع زمان حضور در سایت ]])</f>
        <v>9139.7641666666696</v>
      </c>
      <c r="AH70" s="49">
        <f>SUBTOTAL(109,Table136171921222324[سهم سایت از کل ترافیک طبقه بندی])</f>
        <v>100.00000000000006</v>
      </c>
      <c r="AI70" s="49">
        <f>SUBTOTAL(109,Table136171921222324[شاخص هرفیندال هیرشمن (ترافیک)])</f>
        <v>459.59608363567787</v>
      </c>
      <c r="AJ70" s="49">
        <f>SUBTOTAL(109,Table136171921222324[سهم سایت از کل صفحات مشاهده شده در طبقه بندی])</f>
        <v>99.999999999999972</v>
      </c>
      <c r="AK70" s="49">
        <f>SUBTOTAL(109,Table136171921222324[شاخص هرفیندال -هیرشمن (صفحات مشاهده شده )])</f>
        <v>412.28952762307529</v>
      </c>
      <c r="AL70" s="49">
        <f>SUBTOTAL(109,Table136171921222324[سهم سایت از کل زمان حضور در طبقه بندی])</f>
        <v>99.999999999999915</v>
      </c>
      <c r="AM70" s="49">
        <f>SUBTOTAL(109,Table136171921222324[شاخص هرفیندال هیرشمن (زمان حضور)])</f>
        <v>513.67716417813165</v>
      </c>
      <c r="AN70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{EFDD9AA8-9C94-45A7-BC83-D8C1B1963C98}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{D5E9F41C-0C7E-4920-B8A4-0C253AA6751E}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{31A5849E-13BE-4D88-B941-8D0CE2CB0F9D}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{35C80762-721B-4AB8-BCD9-8F6AF5E78DC4}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{0BAEE8BF-1952-4DEE-9A8B-A3030132A5BC}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{A41091AB-D578-40EA-BEE6-BC3D055260C4}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DD9AA8-9C94-45A7-BC83-D8C1B1963C9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D5E9F41C-0C7E-4920-B8A4-0C253AA6751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1A5849E-13BE-4D88-B941-8D0CE2CB0F9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5C80762-721B-4AB8-BCD9-8F6AF5E78DC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BAEE8BF-1952-4DEE-9A8B-A3030132A5B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A41091AB-D578-40EA-BEE6-BC3D055260C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00"/>
  <sheetViews>
    <sheetView showGridLines="0" rightToLeft="1" topLeftCell="Z1" zoomScale="70" zoomScaleNormal="70" workbookViewId="0">
      <selection activeCell="AC100" sqref="AC100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5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4498</v>
      </c>
      <c r="N2" s="8" t="s">
        <v>1869</v>
      </c>
      <c r="O2" s="8"/>
      <c r="P2" s="8" t="s">
        <v>3693</v>
      </c>
      <c r="Q2" s="8"/>
      <c r="R2" s="8"/>
      <c r="S2" s="8"/>
      <c r="T2" s="8"/>
      <c r="U2" s="8"/>
      <c r="V2" s="8"/>
      <c r="W2" s="9" t="s">
        <v>4498</v>
      </c>
      <c r="X2" s="8">
        <v>33.11</v>
      </c>
      <c r="Y2" s="8">
        <v>6.51</v>
      </c>
      <c r="Z2" s="9">
        <v>4.58</v>
      </c>
      <c r="AA2" s="8">
        <v>602.9</v>
      </c>
      <c r="AB2" s="8">
        <v>434</v>
      </c>
      <c r="AC2" s="22" t="s">
        <v>4498</v>
      </c>
      <c r="AD2" s="8" t="s">
        <v>4066</v>
      </c>
      <c r="AE2" s="8" t="s">
        <v>4083</v>
      </c>
      <c r="AF2" s="9">
        <f t="shared" ref="AF2:AF33" si="0">(AA2*Y2)</f>
        <v>3924.8789999999999</v>
      </c>
      <c r="AG2" s="9">
        <f t="shared" ref="AG2:AG33" si="1">((((RIGHT(Z2,2))/60)+(LEFT(Z2,2)))*AA2)</f>
        <v>2994.4033333333332</v>
      </c>
      <c r="AH2" s="9">
        <f t="shared" ref="AH2:AH33" si="2">(AA2/$AA$100)*100</f>
        <v>13.65757520840884</v>
      </c>
      <c r="AI2" s="9">
        <f t="shared" ref="AI2:AI33" si="3">(AH2*AH2)</f>
        <v>186.52936057334378</v>
      </c>
      <c r="AJ2" s="9">
        <f t="shared" ref="AJ2:AJ33" si="4">(AF2/$AF$100)*100</f>
        <v>20.354681272426166</v>
      </c>
      <c r="AK2" s="9">
        <f t="shared" ref="AK2:AK33" si="5">(AJ2*AJ2)</f>
        <v>414.3130497020565</v>
      </c>
      <c r="AL2" s="9">
        <f t="shared" ref="AL2:AL33" si="6">(AG2/$AG$100)*100</f>
        <v>20.149764451440301</v>
      </c>
      <c r="AM2" s="9">
        <f t="shared" ref="AM2:AM33" si="7">(AL2*AL2)</f>
        <v>406.01300744852728</v>
      </c>
      <c r="AN2" s="9" t="s">
        <v>4498</v>
      </c>
    </row>
    <row r="3" spans="8:40" ht="23">
      <c r="M3" s="9" t="s">
        <v>3028</v>
      </c>
      <c r="N3" s="8" t="s">
        <v>1814</v>
      </c>
      <c r="O3" s="8"/>
      <c r="P3" s="8" t="s">
        <v>3694</v>
      </c>
      <c r="Q3" s="8"/>
      <c r="R3" s="8"/>
      <c r="S3" s="8"/>
      <c r="T3" s="8"/>
      <c r="U3" s="8"/>
      <c r="V3" s="8"/>
      <c r="W3" s="9" t="s">
        <v>3028</v>
      </c>
      <c r="X3" s="8">
        <v>21.13</v>
      </c>
      <c r="Y3" s="8">
        <v>5.98</v>
      </c>
      <c r="Z3" s="9">
        <v>5.18</v>
      </c>
      <c r="AA3" s="8">
        <v>423.3</v>
      </c>
      <c r="AB3" s="8">
        <v>447</v>
      </c>
      <c r="AC3" s="22" t="s">
        <v>3028</v>
      </c>
      <c r="AD3" s="8" t="s">
        <v>4066</v>
      </c>
      <c r="AE3" s="8" t="s">
        <v>4083</v>
      </c>
      <c r="AF3" s="9">
        <f t="shared" si="0"/>
        <v>2531.3340000000003</v>
      </c>
      <c r="AG3" s="9">
        <f t="shared" si="1"/>
        <v>2243.4899999999998</v>
      </c>
      <c r="AH3" s="9">
        <f t="shared" si="2"/>
        <v>9.5890721275824546</v>
      </c>
      <c r="AI3" s="9">
        <f t="shared" si="3"/>
        <v>91.950304267978709</v>
      </c>
      <c r="AJ3" s="9">
        <f t="shared" si="4"/>
        <v>13.127665022044152</v>
      </c>
      <c r="AK3" s="9">
        <f t="shared" si="5"/>
        <v>172.33558893100147</v>
      </c>
      <c r="AL3" s="9">
        <f t="shared" si="6"/>
        <v>15.096762198310559</v>
      </c>
      <c r="AM3" s="9">
        <f t="shared" si="7"/>
        <v>227.91222887233866</v>
      </c>
      <c r="AN3" s="9" t="s">
        <v>3028</v>
      </c>
    </row>
    <row r="4" spans="8:40" ht="23">
      <c r="M4" s="8" t="s">
        <v>301</v>
      </c>
      <c r="N4" s="8" t="s">
        <v>150</v>
      </c>
      <c r="O4" s="8"/>
      <c r="P4" s="8" t="s">
        <v>3691</v>
      </c>
      <c r="Q4" s="8"/>
      <c r="R4" s="8"/>
      <c r="S4" s="8"/>
      <c r="T4" s="8"/>
      <c r="U4" s="8"/>
      <c r="V4" s="8"/>
      <c r="W4" s="8" t="s">
        <v>301</v>
      </c>
      <c r="X4" s="8">
        <v>28.36</v>
      </c>
      <c r="Y4" s="8">
        <v>3.88</v>
      </c>
      <c r="Z4" s="9">
        <v>3.48</v>
      </c>
      <c r="AA4" s="8">
        <v>265.10000000000002</v>
      </c>
      <c r="AB4" s="8">
        <v>1038</v>
      </c>
      <c r="AC4" s="21" t="s">
        <v>301</v>
      </c>
      <c r="AD4" s="8" t="s">
        <v>4066</v>
      </c>
      <c r="AE4" s="8" t="s">
        <v>4083</v>
      </c>
      <c r="AF4" s="9">
        <f t="shared" si="0"/>
        <v>1028.588</v>
      </c>
      <c r="AG4" s="9">
        <f t="shared" si="1"/>
        <v>1007.38</v>
      </c>
      <c r="AH4" s="9">
        <f t="shared" si="2"/>
        <v>6.0053461399057619</v>
      </c>
      <c r="AI4" s="9">
        <f t="shared" si="3"/>
        <v>36.064182260081033</v>
      </c>
      <c r="AJ4" s="9">
        <f t="shared" si="4"/>
        <v>5.3343251857298748</v>
      </c>
      <c r="AK4" s="9">
        <f t="shared" si="5"/>
        <v>28.455025187112064</v>
      </c>
      <c r="AL4" s="9">
        <f t="shared" si="6"/>
        <v>6.7788028042621518</v>
      </c>
      <c r="AM4" s="9">
        <f t="shared" si="7"/>
        <v>45.952167459072413</v>
      </c>
      <c r="AN4" s="8" t="s">
        <v>301</v>
      </c>
    </row>
    <row r="5" spans="8:40" ht="23">
      <c r="M5" s="9" t="s">
        <v>3287</v>
      </c>
      <c r="N5" s="8" t="s">
        <v>1939</v>
      </c>
      <c r="O5" s="8"/>
      <c r="P5" s="8"/>
      <c r="Q5" s="8"/>
      <c r="R5" s="8"/>
      <c r="S5" s="8"/>
      <c r="T5" s="8"/>
      <c r="U5" s="8"/>
      <c r="V5" s="8"/>
      <c r="W5" s="9" t="s">
        <v>3287</v>
      </c>
      <c r="X5" s="8">
        <v>50.62</v>
      </c>
      <c r="Y5" s="8">
        <v>1.1599999999999999</v>
      </c>
      <c r="Z5" s="9">
        <v>0.59</v>
      </c>
      <c r="AA5" s="8">
        <v>262.10000000000002</v>
      </c>
      <c r="AB5" s="8">
        <v>6996</v>
      </c>
      <c r="AC5" s="22" t="s">
        <v>3287</v>
      </c>
      <c r="AD5" s="8" t="s">
        <v>4066</v>
      </c>
      <c r="AE5" s="8" t="s">
        <v>4083</v>
      </c>
      <c r="AF5" s="9">
        <f t="shared" si="0"/>
        <v>304.036</v>
      </c>
      <c r="AG5" s="9">
        <f t="shared" si="1"/>
        <v>257.73166666666668</v>
      </c>
      <c r="AH5" s="9">
        <f t="shared" si="2"/>
        <v>5.9373867343240283</v>
      </c>
      <c r="AI5" s="9">
        <f t="shared" si="3"/>
        <v>35.252561232926951</v>
      </c>
      <c r="AJ5" s="9">
        <f t="shared" si="4"/>
        <v>1.5767507419574878</v>
      </c>
      <c r="AK5" s="9">
        <f t="shared" si="5"/>
        <v>2.486142902263488</v>
      </c>
      <c r="AL5" s="9">
        <f t="shared" si="6"/>
        <v>1.7343129154312753</v>
      </c>
      <c r="AM5" s="9">
        <f t="shared" si="7"/>
        <v>3.0078412886317301</v>
      </c>
      <c r="AN5" s="9" t="s">
        <v>3287</v>
      </c>
    </row>
    <row r="6" spans="8:40" ht="23">
      <c r="M6" s="9" t="s">
        <v>2725</v>
      </c>
      <c r="N6" s="8" t="s">
        <v>1614</v>
      </c>
      <c r="O6" s="8"/>
      <c r="P6" s="8" t="s">
        <v>3691</v>
      </c>
      <c r="Q6" s="8"/>
      <c r="R6" s="8"/>
      <c r="S6" s="8"/>
      <c r="T6" s="8"/>
      <c r="U6" s="8"/>
      <c r="V6" s="8"/>
      <c r="W6" s="9" t="s">
        <v>2725</v>
      </c>
      <c r="X6" s="8">
        <v>25.41</v>
      </c>
      <c r="Y6" s="8">
        <v>4.58</v>
      </c>
      <c r="Z6" s="9">
        <v>2.56</v>
      </c>
      <c r="AA6" s="8">
        <v>213.2</v>
      </c>
      <c r="AB6" s="8">
        <v>1046</v>
      </c>
      <c r="AC6" s="22" t="s">
        <v>2725</v>
      </c>
      <c r="AD6" s="8" t="s">
        <v>4066</v>
      </c>
      <c r="AE6" s="8" t="s">
        <v>4083</v>
      </c>
      <c r="AF6" s="9">
        <f t="shared" si="0"/>
        <v>976.45600000000002</v>
      </c>
      <c r="AG6" s="9">
        <f t="shared" si="1"/>
        <v>625.38666666666666</v>
      </c>
      <c r="AH6" s="9">
        <f t="shared" si="2"/>
        <v>4.8296484233417889</v>
      </c>
      <c r="AI6" s="9">
        <f t="shared" si="3"/>
        <v>23.325503893087827</v>
      </c>
      <c r="AJ6" s="9">
        <f t="shared" si="4"/>
        <v>5.0639651965189669</v>
      </c>
      <c r="AK6" s="9">
        <f t="shared" si="5"/>
        <v>25.643743511555378</v>
      </c>
      <c r="AL6" s="9">
        <f t="shared" si="6"/>
        <v>4.2083155212016905</v>
      </c>
      <c r="AM6" s="9">
        <f t="shared" si="7"/>
        <v>17.709919525987058</v>
      </c>
      <c r="AN6" s="9" t="s">
        <v>2725</v>
      </c>
    </row>
    <row r="7" spans="8:40" ht="23">
      <c r="M7" s="9" t="s">
        <v>3297</v>
      </c>
      <c r="N7" s="8" t="s">
        <v>1939</v>
      </c>
      <c r="O7" s="8"/>
      <c r="P7" s="8"/>
      <c r="Q7" s="8"/>
      <c r="R7" s="8"/>
      <c r="S7" s="8"/>
      <c r="T7" s="8"/>
      <c r="U7" s="8"/>
      <c r="V7" s="8"/>
      <c r="W7" s="9" t="s">
        <v>3297</v>
      </c>
      <c r="X7" s="8">
        <v>6.32</v>
      </c>
      <c r="Y7" s="8">
        <v>7.68</v>
      </c>
      <c r="Z7" s="9">
        <v>6.13</v>
      </c>
      <c r="AA7" s="8">
        <v>206</v>
      </c>
      <c r="AB7" s="8">
        <v>12743</v>
      </c>
      <c r="AC7" s="22" t="s">
        <v>3297</v>
      </c>
      <c r="AD7" s="8" t="s">
        <v>4066</v>
      </c>
      <c r="AE7" s="8" t="s">
        <v>4083</v>
      </c>
      <c r="AF7" s="9">
        <f t="shared" si="0"/>
        <v>1582.08</v>
      </c>
      <c r="AG7" s="9">
        <f t="shared" si="1"/>
        <v>1280.6333333333334</v>
      </c>
      <c r="AH7" s="9">
        <f t="shared" si="2"/>
        <v>4.6665458499456314</v>
      </c>
      <c r="AI7" s="9">
        <f t="shared" si="3"/>
        <v>21.776650169644796</v>
      </c>
      <c r="AJ7" s="9">
        <f t="shared" si="4"/>
        <v>8.2047711910303445</v>
      </c>
      <c r="AK7" s="9">
        <f t="shared" si="5"/>
        <v>67.318270297161504</v>
      </c>
      <c r="AL7" s="9">
        <f t="shared" si="6"/>
        <v>8.6175632147070491</v>
      </c>
      <c r="AM7" s="9">
        <f t="shared" si="7"/>
        <v>74.262395759472085</v>
      </c>
      <c r="AN7" s="9" t="s">
        <v>3297</v>
      </c>
    </row>
    <row r="8" spans="8:40" ht="23">
      <c r="M8" s="9" t="s">
        <v>3072</v>
      </c>
      <c r="N8" s="8" t="s">
        <v>1814</v>
      </c>
      <c r="O8" s="8"/>
      <c r="P8" s="8" t="s">
        <v>3691</v>
      </c>
      <c r="Q8" s="8"/>
      <c r="R8" s="8"/>
      <c r="S8" s="8"/>
      <c r="T8" s="8"/>
      <c r="U8" s="8"/>
      <c r="V8" s="8"/>
      <c r="W8" s="9" t="s">
        <v>3072</v>
      </c>
      <c r="X8" s="8">
        <v>40.01</v>
      </c>
      <c r="Y8" s="8">
        <v>2.48</v>
      </c>
      <c r="Z8" s="9">
        <v>0.56000000000000005</v>
      </c>
      <c r="AA8" s="8">
        <v>162.6</v>
      </c>
      <c r="AB8" s="8">
        <v>6049</v>
      </c>
      <c r="AC8" s="22" t="s">
        <v>3072</v>
      </c>
      <c r="AD8" s="8" t="s">
        <v>4066</v>
      </c>
      <c r="AE8" s="8" t="s">
        <v>4083</v>
      </c>
      <c r="AF8" s="9">
        <f t="shared" si="0"/>
        <v>403.24799999999999</v>
      </c>
      <c r="AG8" s="9">
        <f t="shared" si="1"/>
        <v>151.76</v>
      </c>
      <c r="AH8" s="9">
        <f t="shared" si="2"/>
        <v>3.683399782529901</v>
      </c>
      <c r="AI8" s="9">
        <f t="shared" si="3"/>
        <v>13.567433957941322</v>
      </c>
      <c r="AJ8" s="9">
        <f t="shared" si="4"/>
        <v>2.0912707152865875</v>
      </c>
      <c r="AK8" s="9">
        <f t="shared" si="5"/>
        <v>4.3734132046152752</v>
      </c>
      <c r="AL8" s="9">
        <f t="shared" si="6"/>
        <v>1.0212145501943892</v>
      </c>
      <c r="AM8" s="9">
        <f t="shared" si="7"/>
        <v>1.0428791575287286</v>
      </c>
      <c r="AN8" s="9" t="s">
        <v>3072</v>
      </c>
    </row>
    <row r="9" spans="8:40" ht="23">
      <c r="M9" s="9" t="s">
        <v>3593</v>
      </c>
      <c r="N9" s="8" t="s">
        <v>2084</v>
      </c>
      <c r="O9" s="8"/>
      <c r="P9" s="8" t="s">
        <v>3693</v>
      </c>
      <c r="Q9" s="8"/>
      <c r="R9" s="8"/>
      <c r="S9" s="8"/>
      <c r="T9" s="8"/>
      <c r="U9" s="8"/>
      <c r="V9" s="8"/>
      <c r="W9" s="9" t="s">
        <v>3593</v>
      </c>
      <c r="X9" s="8">
        <v>13.32</v>
      </c>
      <c r="Y9" s="8">
        <v>2.39</v>
      </c>
      <c r="Z9" s="9">
        <v>1.1299999999999999</v>
      </c>
      <c r="AA9" s="8">
        <v>162.30000000000001</v>
      </c>
      <c r="AB9" s="8">
        <v>2967</v>
      </c>
      <c r="AC9" s="22" t="s">
        <v>3593</v>
      </c>
      <c r="AD9" s="8" t="s">
        <v>4066</v>
      </c>
      <c r="AE9" s="8" t="s">
        <v>4083</v>
      </c>
      <c r="AF9" s="9">
        <f t="shared" si="0"/>
        <v>387.89700000000005</v>
      </c>
      <c r="AG9" s="9">
        <f t="shared" si="1"/>
        <v>197.46500000000003</v>
      </c>
      <c r="AH9" s="9">
        <f t="shared" si="2"/>
        <v>3.6766038419717284</v>
      </c>
      <c r="AI9" s="9">
        <f t="shared" si="3"/>
        <v>13.517415810801275</v>
      </c>
      <c r="AJ9" s="9">
        <f t="shared" si="4"/>
        <v>2.0116594171515336</v>
      </c>
      <c r="AK9" s="9">
        <f t="shared" si="5"/>
        <v>4.0467736106144478</v>
      </c>
      <c r="AL9" s="9">
        <f t="shared" si="6"/>
        <v>1.3287699733403739</v>
      </c>
      <c r="AM9" s="9">
        <f t="shared" si="7"/>
        <v>1.7656296420509781</v>
      </c>
      <c r="AN9" s="9" t="s">
        <v>3593</v>
      </c>
    </row>
    <row r="10" spans="8:40" ht="23">
      <c r="M10" s="9" t="s">
        <v>2230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9" t="s">
        <v>2230</v>
      </c>
      <c r="X10" s="8">
        <v>31.32</v>
      </c>
      <c r="Y10" s="8">
        <v>2.09</v>
      </c>
      <c r="Z10" s="9">
        <v>1.39</v>
      </c>
      <c r="AA10" s="8">
        <v>140.80000000000001</v>
      </c>
      <c r="AB10" s="8">
        <v>2729</v>
      </c>
      <c r="AC10" s="22" t="s">
        <v>2230</v>
      </c>
      <c r="AD10" s="8" t="s">
        <v>4066</v>
      </c>
      <c r="AE10" s="8" t="s">
        <v>4083</v>
      </c>
      <c r="AF10" s="9">
        <f t="shared" si="0"/>
        <v>294.27199999999999</v>
      </c>
      <c r="AG10" s="9">
        <f t="shared" si="1"/>
        <v>232.32</v>
      </c>
      <c r="AH10" s="9">
        <f t="shared" si="2"/>
        <v>3.1895614353026449</v>
      </c>
      <c r="AI10" s="9">
        <f t="shared" si="3"/>
        <v>10.173302149569869</v>
      </c>
      <c r="AJ10" s="9">
        <f t="shared" si="4"/>
        <v>1.5261139941892203</v>
      </c>
      <c r="AK10" s="9">
        <f t="shared" si="5"/>
        <v>2.3290239232601757</v>
      </c>
      <c r="AL10" s="9">
        <f t="shared" si="6"/>
        <v>1.5633142086265193</v>
      </c>
      <c r="AM10" s="9">
        <f t="shared" si="7"/>
        <v>2.4439513148935603</v>
      </c>
      <c r="AN10" s="9" t="s">
        <v>2230</v>
      </c>
    </row>
    <row r="11" spans="8:40" ht="23">
      <c r="M11" s="9" t="s">
        <v>2528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9" t="s">
        <v>2528</v>
      </c>
      <c r="X11" s="8">
        <v>8.09</v>
      </c>
      <c r="Y11" s="8">
        <v>1.56</v>
      </c>
      <c r="Z11" s="9">
        <v>2.14</v>
      </c>
      <c r="AA11" s="8">
        <v>137.6</v>
      </c>
      <c r="AB11" s="8">
        <v>11856</v>
      </c>
      <c r="AC11" s="22" t="s">
        <v>2528</v>
      </c>
      <c r="AD11" s="8" t="s">
        <v>4066</v>
      </c>
      <c r="AE11" s="8" t="s">
        <v>4083</v>
      </c>
      <c r="AF11" s="9">
        <f t="shared" si="0"/>
        <v>214.65600000000001</v>
      </c>
      <c r="AG11" s="9">
        <f t="shared" si="1"/>
        <v>307.30666666666667</v>
      </c>
      <c r="AH11" s="9">
        <f t="shared" si="2"/>
        <v>3.11707140268213</v>
      </c>
      <c r="AI11" s="9">
        <f t="shared" si="3"/>
        <v>9.7161341294187409</v>
      </c>
      <c r="AJ11" s="9">
        <f t="shared" si="4"/>
        <v>1.1132201688800882</v>
      </c>
      <c r="AK11" s="9">
        <f t="shared" si="5"/>
        <v>1.2392591444014123</v>
      </c>
      <c r="AL11" s="9">
        <f t="shared" si="6"/>
        <v>2.0679101171042249</v>
      </c>
      <c r="AM11" s="9">
        <f t="shared" si="7"/>
        <v>4.276252252422009</v>
      </c>
      <c r="AN11" s="9" t="s">
        <v>2528</v>
      </c>
    </row>
    <row r="12" spans="8:40" ht="23">
      <c r="M12" s="9" t="s">
        <v>2449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9" t="s">
        <v>2449</v>
      </c>
      <c r="X12" s="8">
        <v>33</v>
      </c>
      <c r="Y12" s="8">
        <v>1.03</v>
      </c>
      <c r="Z12" s="9">
        <v>0.02</v>
      </c>
      <c r="AA12" s="8">
        <v>131.30000000000001</v>
      </c>
      <c r="AB12" s="8">
        <v>29748</v>
      </c>
      <c r="AC12" s="22" t="s">
        <v>2449</v>
      </c>
      <c r="AD12" s="8" t="s">
        <v>4066</v>
      </c>
      <c r="AE12" s="8" t="s">
        <v>4083</v>
      </c>
      <c r="AF12" s="9">
        <f t="shared" si="0"/>
        <v>135.239</v>
      </c>
      <c r="AG12" s="9">
        <f t="shared" si="1"/>
        <v>4.3766666666666669</v>
      </c>
      <c r="AH12" s="9">
        <f t="shared" si="2"/>
        <v>2.9743566509604924</v>
      </c>
      <c r="AI12" s="9">
        <f t="shared" si="3"/>
        <v>8.8467974871129158</v>
      </c>
      <c r="AJ12" s="9">
        <f t="shared" si="4"/>
        <v>0.70135837069159146</v>
      </c>
      <c r="AK12" s="9">
        <f t="shared" si="5"/>
        <v>0.49190356413916381</v>
      </c>
      <c r="AL12" s="9">
        <f t="shared" si="6"/>
        <v>2.9451210341004071E-2</v>
      </c>
      <c r="AM12" s="9">
        <f t="shared" si="7"/>
        <v>8.6737379055006514E-4</v>
      </c>
      <c r="AN12" s="9" t="s">
        <v>2449</v>
      </c>
    </row>
    <row r="13" spans="8:40" ht="23">
      <c r="M13" s="8" t="s">
        <v>1785</v>
      </c>
      <c r="N13" s="8" t="s">
        <v>1717</v>
      </c>
      <c r="O13" s="8"/>
      <c r="P13" s="8"/>
      <c r="Q13" s="8"/>
      <c r="R13" s="8"/>
      <c r="S13" s="8"/>
      <c r="T13" s="8"/>
      <c r="U13" s="8"/>
      <c r="V13" s="8"/>
      <c r="W13" s="8" t="s">
        <v>1785</v>
      </c>
      <c r="X13" s="8">
        <v>1</v>
      </c>
      <c r="Y13" s="8">
        <v>1.94</v>
      </c>
      <c r="Z13" s="9">
        <v>0.54</v>
      </c>
      <c r="AA13" s="8">
        <v>129.9</v>
      </c>
      <c r="AB13" s="8">
        <v>19135</v>
      </c>
      <c r="AC13" s="21" t="s">
        <v>1785</v>
      </c>
      <c r="AD13" s="8" t="s">
        <v>4066</v>
      </c>
      <c r="AE13" s="8" t="s">
        <v>4083</v>
      </c>
      <c r="AF13" s="9">
        <f t="shared" si="0"/>
        <v>252.006</v>
      </c>
      <c r="AG13" s="9">
        <f t="shared" si="1"/>
        <v>116.91000000000001</v>
      </c>
      <c r="AH13" s="9">
        <f t="shared" si="2"/>
        <v>2.9426422616890169</v>
      </c>
      <c r="AI13" s="9">
        <f t="shared" si="3"/>
        <v>8.659143480278253</v>
      </c>
      <c r="AJ13" s="9">
        <f t="shared" si="4"/>
        <v>1.3069197314717291</v>
      </c>
      <c r="AK13" s="9">
        <f t="shared" si="5"/>
        <v>1.7080391845101366</v>
      </c>
      <c r="AL13" s="9">
        <f t="shared" si="6"/>
        <v>0.78670396061693515</v>
      </c>
      <c r="AM13" s="9">
        <f t="shared" si="7"/>
        <v>0.6189031216503722</v>
      </c>
      <c r="AN13" s="8" t="s">
        <v>1785</v>
      </c>
    </row>
    <row r="14" spans="8:40" ht="23">
      <c r="M14" s="8" t="s">
        <v>1624</v>
      </c>
      <c r="N14" s="8" t="s">
        <v>1614</v>
      </c>
      <c r="O14" s="8"/>
      <c r="P14" s="8" t="s">
        <v>3694</v>
      </c>
      <c r="Q14" s="8"/>
      <c r="R14" s="8"/>
      <c r="S14" s="8"/>
      <c r="T14" s="8"/>
      <c r="U14" s="8"/>
      <c r="V14" s="8"/>
      <c r="W14" s="8" t="s">
        <v>1624</v>
      </c>
      <c r="X14" s="8">
        <v>16.13</v>
      </c>
      <c r="Y14" s="8">
        <v>8.14</v>
      </c>
      <c r="Z14" s="9">
        <v>4.1100000000000003</v>
      </c>
      <c r="AA14" s="8">
        <v>120.8</v>
      </c>
      <c r="AB14" s="8">
        <v>2015</v>
      </c>
      <c r="AC14" s="21" t="s">
        <v>1624</v>
      </c>
      <c r="AD14" s="8" t="s">
        <v>4066</v>
      </c>
      <c r="AE14" s="8" t="s">
        <v>4083</v>
      </c>
      <c r="AF14" s="9">
        <f t="shared" si="0"/>
        <v>983.31200000000001</v>
      </c>
      <c r="AG14" s="9">
        <f t="shared" si="1"/>
        <v>505.34666666666669</v>
      </c>
      <c r="AH14" s="9">
        <f t="shared" si="2"/>
        <v>2.7364987314244282</v>
      </c>
      <c r="AI14" s="9">
        <f t="shared" si="3"/>
        <v>7.4884253070875051</v>
      </c>
      <c r="AJ14" s="9">
        <f t="shared" si="4"/>
        <v>5.0995208645545302</v>
      </c>
      <c r="AK14" s="9">
        <f t="shared" si="5"/>
        <v>26.005113048026985</v>
      </c>
      <c r="AL14" s="9">
        <f t="shared" si="6"/>
        <v>3.4005493469440831</v>
      </c>
      <c r="AM14" s="9">
        <f t="shared" si="7"/>
        <v>11.563735861001829</v>
      </c>
      <c r="AN14" s="8" t="s">
        <v>1624</v>
      </c>
    </row>
    <row r="15" spans="8:40" ht="23">
      <c r="M15" s="8" t="s">
        <v>1339</v>
      </c>
      <c r="N15" s="8" t="s">
        <v>150</v>
      </c>
      <c r="O15" s="8"/>
      <c r="P15" s="8" t="s">
        <v>4167</v>
      </c>
      <c r="Q15" s="8"/>
      <c r="R15" s="8"/>
      <c r="S15" s="8"/>
      <c r="T15" s="8"/>
      <c r="U15" s="8"/>
      <c r="V15" s="8"/>
      <c r="W15" s="8" t="s">
        <v>1339</v>
      </c>
      <c r="X15" s="8">
        <v>8.5399999999999991</v>
      </c>
      <c r="Y15" s="8">
        <v>8.98</v>
      </c>
      <c r="Z15" s="9">
        <v>6.03</v>
      </c>
      <c r="AA15" s="8">
        <v>108.7</v>
      </c>
      <c r="AB15" s="8">
        <v>2972</v>
      </c>
      <c r="AC15" s="21" t="s">
        <v>1339</v>
      </c>
      <c r="AD15" s="8" t="s">
        <v>4066</v>
      </c>
      <c r="AE15" s="8" t="s">
        <v>4083</v>
      </c>
      <c r="AF15" s="9">
        <f t="shared" si="0"/>
        <v>976.12600000000009</v>
      </c>
      <c r="AG15" s="9">
        <f t="shared" si="1"/>
        <v>657.63499999999999</v>
      </c>
      <c r="AH15" s="9">
        <f t="shared" si="2"/>
        <v>2.4623957955781073</v>
      </c>
      <c r="AI15" s="9">
        <f t="shared" si="3"/>
        <v>6.0633930540807395</v>
      </c>
      <c r="AJ15" s="9">
        <f t="shared" si="4"/>
        <v>5.0622537947611299</v>
      </c>
      <c r="AK15" s="9">
        <f t="shared" si="5"/>
        <v>25.626413482573462</v>
      </c>
      <c r="AL15" s="9">
        <f t="shared" si="6"/>
        <v>4.4253191270235064</v>
      </c>
      <c r="AM15" s="9">
        <f t="shared" si="7"/>
        <v>19.58344937600009</v>
      </c>
      <c r="AN15" s="8" t="s">
        <v>1339</v>
      </c>
    </row>
    <row r="16" spans="8:40" ht="23">
      <c r="M16" s="9" t="s">
        <v>2915</v>
      </c>
      <c r="N16" s="8" t="s">
        <v>1717</v>
      </c>
      <c r="O16" s="8"/>
      <c r="P16" s="8" t="s">
        <v>3691</v>
      </c>
      <c r="Q16" s="8"/>
      <c r="R16" s="8"/>
      <c r="S16" s="8"/>
      <c r="T16" s="8"/>
      <c r="U16" s="8"/>
      <c r="V16" s="8"/>
      <c r="W16" s="9" t="s">
        <v>2915</v>
      </c>
      <c r="X16" s="8">
        <v>6.3</v>
      </c>
      <c r="Y16" s="8">
        <v>9.58</v>
      </c>
      <c r="Z16" s="9">
        <v>5.22</v>
      </c>
      <c r="AA16" s="8">
        <v>79.2</v>
      </c>
      <c r="AB16" s="8">
        <v>5284</v>
      </c>
      <c r="AC16" s="22" t="s">
        <v>2915</v>
      </c>
      <c r="AD16" s="8" t="s">
        <v>4066</v>
      </c>
      <c r="AE16" s="8" t="s">
        <v>4083</v>
      </c>
      <c r="AF16" s="9">
        <f t="shared" si="0"/>
        <v>758.73599999999999</v>
      </c>
      <c r="AG16" s="9">
        <f t="shared" si="1"/>
        <v>425.03999999999996</v>
      </c>
      <c r="AH16" s="9">
        <f t="shared" si="2"/>
        <v>1.7941283073577379</v>
      </c>
      <c r="AI16" s="9">
        <f t="shared" si="3"/>
        <v>3.2188963832623414</v>
      </c>
      <c r="AJ16" s="9">
        <f t="shared" si="4"/>
        <v>3.9348549216206514</v>
      </c>
      <c r="AK16" s="9">
        <f t="shared" si="5"/>
        <v>15.483083254202263</v>
      </c>
      <c r="AL16" s="9">
        <f t="shared" si="6"/>
        <v>2.8601544044189726</v>
      </c>
      <c r="AM16" s="9">
        <f t="shared" si="7"/>
        <v>8.1804832171172475</v>
      </c>
      <c r="AN16" s="9" t="s">
        <v>2915</v>
      </c>
    </row>
    <row r="17" spans="13:40" ht="23">
      <c r="M17" s="8" t="s">
        <v>1295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1295</v>
      </c>
      <c r="X17" s="8">
        <v>36.99</v>
      </c>
      <c r="Y17" s="8">
        <v>1.17</v>
      </c>
      <c r="Z17" s="9">
        <v>0.09</v>
      </c>
      <c r="AA17" s="8">
        <v>76.900000000000006</v>
      </c>
      <c r="AB17" s="8">
        <v>24019</v>
      </c>
      <c r="AC17" s="21" t="s">
        <v>1295</v>
      </c>
      <c r="AD17" s="8" t="s">
        <v>4066</v>
      </c>
      <c r="AE17" s="8" t="s">
        <v>4083</v>
      </c>
      <c r="AF17" s="9">
        <f t="shared" si="0"/>
        <v>89.972999999999999</v>
      </c>
      <c r="AG17" s="9">
        <f t="shared" si="1"/>
        <v>11.535</v>
      </c>
      <c r="AH17" s="9">
        <f t="shared" si="2"/>
        <v>1.7420260964117429</v>
      </c>
      <c r="AI17" s="9">
        <f t="shared" si="3"/>
        <v>3.034654920579535</v>
      </c>
      <c r="AJ17" s="9">
        <f t="shared" si="4"/>
        <v>0.46660591017557473</v>
      </c>
      <c r="AK17" s="9">
        <f t="shared" si="5"/>
        <v>0.21772107541077651</v>
      </c>
      <c r="AL17" s="9">
        <f t="shared" si="6"/>
        <v>7.7620649950529003E-2</v>
      </c>
      <c r="AM17" s="9">
        <f t="shared" si="7"/>
        <v>6.0249652987425578E-3</v>
      </c>
      <c r="AN17" s="8" t="s">
        <v>1295</v>
      </c>
    </row>
    <row r="18" spans="13:40" ht="23">
      <c r="M18" s="8" t="s">
        <v>4784</v>
      </c>
      <c r="N18" s="8" t="s">
        <v>18</v>
      </c>
      <c r="O18" s="8"/>
      <c r="P18" s="8"/>
      <c r="Q18" s="8"/>
      <c r="R18" s="8"/>
      <c r="S18" s="8"/>
      <c r="T18" s="8"/>
      <c r="U18" s="8"/>
      <c r="V18" s="8"/>
      <c r="W18" s="8" t="s">
        <v>4784</v>
      </c>
      <c r="X18" s="8">
        <v>20.059999999999999</v>
      </c>
      <c r="Y18" s="8">
        <v>2.09</v>
      </c>
      <c r="Z18" s="9">
        <v>0.38</v>
      </c>
      <c r="AA18" s="8">
        <v>72.7</v>
      </c>
      <c r="AB18" s="8">
        <v>6038</v>
      </c>
      <c r="AC18" s="21" t="s">
        <v>4784</v>
      </c>
      <c r="AD18" s="8" t="s">
        <v>4066</v>
      </c>
      <c r="AE18" s="8" t="s">
        <v>4083</v>
      </c>
      <c r="AF18" s="9">
        <f t="shared" si="0"/>
        <v>151.94299999999998</v>
      </c>
      <c r="AG18" s="9">
        <f t="shared" si="1"/>
        <v>46.043333333333329</v>
      </c>
      <c r="AH18" s="9">
        <f t="shared" si="2"/>
        <v>1.6468829285973172</v>
      </c>
      <c r="AI18" s="9">
        <f t="shared" si="3"/>
        <v>2.7122233805052764</v>
      </c>
      <c r="AJ18" s="9">
        <f t="shared" si="4"/>
        <v>0.78798641603378061</v>
      </c>
      <c r="AK18" s="9">
        <f t="shared" si="5"/>
        <v>0.62092259185376242</v>
      </c>
      <c r="AL18" s="9">
        <f t="shared" si="6"/>
        <v>0.3098321161007534</v>
      </c>
      <c r="AM18" s="9">
        <f t="shared" si="7"/>
        <v>9.5995940167470734E-2</v>
      </c>
      <c r="AN18" s="8" t="s">
        <v>4784</v>
      </c>
    </row>
    <row r="19" spans="13:40" ht="23">
      <c r="M19" s="8" t="s">
        <v>1088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1088</v>
      </c>
      <c r="X19" s="8">
        <v>26.97</v>
      </c>
      <c r="Y19" s="8">
        <v>1.7</v>
      </c>
      <c r="Z19" s="9">
        <v>1.06</v>
      </c>
      <c r="AA19" s="8">
        <v>69.8</v>
      </c>
      <c r="AB19" s="8">
        <v>6507</v>
      </c>
      <c r="AC19" s="21" t="s">
        <v>1088</v>
      </c>
      <c r="AD19" s="8" t="s">
        <v>4066</v>
      </c>
      <c r="AE19" s="8" t="s">
        <v>4083</v>
      </c>
      <c r="AF19" s="9">
        <f t="shared" si="0"/>
        <v>118.66</v>
      </c>
      <c r="AG19" s="9">
        <f t="shared" si="1"/>
        <v>76.78</v>
      </c>
      <c r="AH19" s="9">
        <f t="shared" si="2"/>
        <v>1.5811888365349758</v>
      </c>
      <c r="AI19" s="9">
        <f t="shared" si="3"/>
        <v>2.5001581367828303</v>
      </c>
      <c r="AJ19" s="9">
        <f t="shared" si="4"/>
        <v>0.61537858359100728</v>
      </c>
      <c r="AK19" s="9">
        <f t="shared" si="5"/>
        <v>0.37869080114247433</v>
      </c>
      <c r="AL19" s="9">
        <f t="shared" si="6"/>
        <v>0.51666350266160532</v>
      </c>
      <c r="AM19" s="9">
        <f t="shared" si="7"/>
        <v>0.26694117498255865</v>
      </c>
      <c r="AN19" s="8" t="s">
        <v>1088</v>
      </c>
    </row>
    <row r="20" spans="13:40" ht="23">
      <c r="M20" s="8" t="s">
        <v>1092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1092</v>
      </c>
      <c r="X20" s="8">
        <v>13.47</v>
      </c>
      <c r="Y20" s="8">
        <v>2.48</v>
      </c>
      <c r="Z20" s="9">
        <v>1.2</v>
      </c>
      <c r="AA20" s="8">
        <v>65</v>
      </c>
      <c r="AB20" s="8">
        <v>5536</v>
      </c>
      <c r="AC20" s="21" t="s">
        <v>1092</v>
      </c>
      <c r="AD20" s="8" t="s">
        <v>4137</v>
      </c>
      <c r="AE20" s="8" t="s">
        <v>4083</v>
      </c>
      <c r="AF20" s="9">
        <f t="shared" si="0"/>
        <v>161.19999999999999</v>
      </c>
      <c r="AG20" s="9">
        <f t="shared" si="1"/>
        <v>65.216666666666669</v>
      </c>
      <c r="AH20" s="9">
        <f t="shared" si="2"/>
        <v>1.4724537876042039</v>
      </c>
      <c r="AI20" s="9">
        <f t="shared" si="3"/>
        <v>2.1681201566299659</v>
      </c>
      <c r="AJ20" s="9">
        <f t="shared" si="4"/>
        <v>0.83599382837409708</v>
      </c>
      <c r="AK20" s="9">
        <f t="shared" si="5"/>
        <v>0.69888568107957927</v>
      </c>
      <c r="AL20" s="9">
        <f t="shared" si="6"/>
        <v>0.43885219369515971</v>
      </c>
      <c r="AM20" s="9">
        <f t="shared" si="7"/>
        <v>0.19259124791105398</v>
      </c>
      <c r="AN20" s="8" t="s">
        <v>1092</v>
      </c>
    </row>
    <row r="21" spans="13:40" ht="23">
      <c r="M21" s="8" t="s">
        <v>1070</v>
      </c>
      <c r="N21" s="8" t="s">
        <v>150</v>
      </c>
      <c r="O21" s="8"/>
      <c r="P21" s="8" t="s">
        <v>3705</v>
      </c>
      <c r="Q21" s="8"/>
      <c r="R21" s="8"/>
      <c r="S21" s="8"/>
      <c r="T21" s="8"/>
      <c r="U21" s="8"/>
      <c r="V21" s="8"/>
      <c r="W21" s="8" t="s">
        <v>1070</v>
      </c>
      <c r="X21" s="8">
        <v>16.78</v>
      </c>
      <c r="Y21" s="8">
        <v>5.84</v>
      </c>
      <c r="Z21" s="9">
        <v>8.48</v>
      </c>
      <c r="AA21" s="8">
        <v>64.8</v>
      </c>
      <c r="AB21" s="8">
        <v>1612</v>
      </c>
      <c r="AC21" s="21" t="s">
        <v>1070</v>
      </c>
      <c r="AD21" s="8" t="s">
        <v>4066</v>
      </c>
      <c r="AE21" s="8" t="s">
        <v>4083</v>
      </c>
      <c r="AF21" s="9">
        <f t="shared" si="0"/>
        <v>378.43199999999996</v>
      </c>
      <c r="AG21" s="9">
        <f t="shared" si="1"/>
        <v>570.24</v>
      </c>
      <c r="AH21" s="9">
        <f t="shared" si="2"/>
        <v>1.4679231605654217</v>
      </c>
      <c r="AI21" s="9">
        <f t="shared" si="3"/>
        <v>2.1547984053243767</v>
      </c>
      <c r="AJ21" s="9">
        <f t="shared" si="4"/>
        <v>1.9625733030971857</v>
      </c>
      <c r="AK21" s="9">
        <f t="shared" si="5"/>
        <v>3.8516939700297979</v>
      </c>
      <c r="AL21" s="9">
        <f t="shared" si="6"/>
        <v>3.8372257848105473</v>
      </c>
      <c r="AM21" s="9">
        <f t="shared" si="7"/>
        <v>14.724301723614921</v>
      </c>
      <c r="AN21" s="8" t="s">
        <v>1070</v>
      </c>
    </row>
    <row r="22" spans="13:40" ht="23">
      <c r="M22" s="8" t="s">
        <v>464</v>
      </c>
      <c r="N22" s="8" t="s">
        <v>150</v>
      </c>
      <c r="O22" s="8"/>
      <c r="P22" s="8" t="s">
        <v>3691</v>
      </c>
      <c r="Q22" s="8"/>
      <c r="R22" s="8"/>
      <c r="S22" s="8"/>
      <c r="T22" s="8"/>
      <c r="U22" s="8"/>
      <c r="V22" s="8"/>
      <c r="W22" s="8" t="s">
        <v>464</v>
      </c>
      <c r="X22" s="8">
        <v>28.02</v>
      </c>
      <c r="Y22" s="8">
        <v>2.84</v>
      </c>
      <c r="Z22" s="9">
        <v>2.36</v>
      </c>
      <c r="AA22" s="8">
        <v>61.1</v>
      </c>
      <c r="AB22" s="8">
        <v>3612</v>
      </c>
      <c r="AC22" s="21" t="s">
        <v>464</v>
      </c>
      <c r="AD22" s="8" t="s">
        <v>4066</v>
      </c>
      <c r="AE22" s="8" t="s">
        <v>4083</v>
      </c>
      <c r="AF22" s="9">
        <f t="shared" si="0"/>
        <v>173.524</v>
      </c>
      <c r="AG22" s="9">
        <f t="shared" si="1"/>
        <v>158.86000000000001</v>
      </c>
      <c r="AH22" s="9">
        <f t="shared" si="2"/>
        <v>1.3841065603479519</v>
      </c>
      <c r="AI22" s="9">
        <f t="shared" si="3"/>
        <v>1.9157509703982385</v>
      </c>
      <c r="AJ22" s="9">
        <f t="shared" si="4"/>
        <v>0.89990690493043946</v>
      </c>
      <c r="AK22" s="9">
        <f t="shared" si="5"/>
        <v>0.80983243754148304</v>
      </c>
      <c r="AL22" s="9">
        <f t="shared" si="6"/>
        <v>1.0689914565358509</v>
      </c>
      <c r="AM22" s="9">
        <f t="shared" si="7"/>
        <v>1.1427427341466401</v>
      </c>
      <c r="AN22" s="8" t="s">
        <v>464</v>
      </c>
    </row>
    <row r="23" spans="13:40" ht="23">
      <c r="M23" s="8" t="s">
        <v>1182</v>
      </c>
      <c r="N23" s="8" t="s">
        <v>150</v>
      </c>
      <c r="O23" s="8"/>
      <c r="P23" s="8" t="s">
        <v>3696</v>
      </c>
      <c r="Q23" s="8"/>
      <c r="R23" s="8"/>
      <c r="S23" s="8"/>
      <c r="T23" s="8"/>
      <c r="U23" s="8"/>
      <c r="V23" s="8"/>
      <c r="W23" s="8" t="s">
        <v>1182</v>
      </c>
      <c r="X23" s="8">
        <v>22.47</v>
      </c>
      <c r="Y23" s="8">
        <v>4.1500000000000004</v>
      </c>
      <c r="Z23" s="9">
        <v>3.21</v>
      </c>
      <c r="AA23" s="8">
        <v>56.6</v>
      </c>
      <c r="AB23" s="8">
        <v>2782</v>
      </c>
      <c r="AC23" s="21" t="s">
        <v>1182</v>
      </c>
      <c r="AD23" s="8" t="s">
        <v>4066</v>
      </c>
      <c r="AE23" s="8" t="s">
        <v>4083</v>
      </c>
      <c r="AF23" s="9">
        <f t="shared" si="0"/>
        <v>234.89000000000001</v>
      </c>
      <c r="AG23" s="9">
        <f t="shared" si="1"/>
        <v>189.61</v>
      </c>
      <c r="AH23" s="9">
        <f t="shared" si="2"/>
        <v>1.282167451975353</v>
      </c>
      <c r="AI23" s="9">
        <f t="shared" si="3"/>
        <v>1.6439533749049691</v>
      </c>
      <c r="AJ23" s="9">
        <f t="shared" si="4"/>
        <v>1.2181550269652091</v>
      </c>
      <c r="AK23" s="9">
        <f t="shared" si="5"/>
        <v>1.4839016697206091</v>
      </c>
      <c r="AL23" s="9">
        <f t="shared" si="6"/>
        <v>1.2759125649865457</v>
      </c>
      <c r="AM23" s="9">
        <f t="shared" si="7"/>
        <v>1.6279528734905462</v>
      </c>
      <c r="AN23" s="8" t="s">
        <v>1182</v>
      </c>
    </row>
    <row r="24" spans="13:40" ht="23">
      <c r="M24" s="8" t="s">
        <v>1594</v>
      </c>
      <c r="N24" s="8" t="s">
        <v>150</v>
      </c>
      <c r="O24" s="8"/>
      <c r="P24" s="8" t="s">
        <v>3691</v>
      </c>
      <c r="Q24" s="8"/>
      <c r="R24" s="8"/>
      <c r="S24" s="8"/>
      <c r="T24" s="8"/>
      <c r="U24" s="8"/>
      <c r="V24" s="8"/>
      <c r="W24" s="8" t="s">
        <v>1594</v>
      </c>
      <c r="X24" s="8">
        <v>25.79</v>
      </c>
      <c r="Y24" s="8">
        <v>3.11</v>
      </c>
      <c r="Z24" s="9">
        <v>2.3199999999999998</v>
      </c>
      <c r="AA24" s="8">
        <v>53.2</v>
      </c>
      <c r="AB24" s="8">
        <v>3940</v>
      </c>
      <c r="AC24" s="21" t="s">
        <v>1594</v>
      </c>
      <c r="AD24" s="8" t="s">
        <v>4066</v>
      </c>
      <c r="AE24" s="8" t="s">
        <v>4083</v>
      </c>
      <c r="AF24" s="9">
        <f t="shared" si="0"/>
        <v>165.452</v>
      </c>
      <c r="AG24" s="9">
        <f t="shared" si="1"/>
        <v>134.77333333333334</v>
      </c>
      <c r="AH24" s="9">
        <f t="shared" si="2"/>
        <v>1.2051467923160561</v>
      </c>
      <c r="AI24" s="9">
        <f t="shared" si="3"/>
        <v>1.4523787910296793</v>
      </c>
      <c r="AJ24" s="9">
        <f t="shared" si="4"/>
        <v>0.85804498072054058</v>
      </c>
      <c r="AK24" s="9">
        <f t="shared" si="5"/>
        <v>0.73624118893971291</v>
      </c>
      <c r="AL24" s="9">
        <f t="shared" si="6"/>
        <v>0.90690886253425496</v>
      </c>
      <c r="AM24" s="9">
        <f t="shared" si="7"/>
        <v>0.82248368494317614</v>
      </c>
      <c r="AN24" s="8" t="s">
        <v>1594</v>
      </c>
    </row>
    <row r="25" spans="13:40" ht="23">
      <c r="M25" s="9" t="s">
        <v>3419</v>
      </c>
      <c r="N25" s="8" t="s">
        <v>2003</v>
      </c>
      <c r="O25" s="8"/>
      <c r="P25" s="8" t="s">
        <v>3704</v>
      </c>
      <c r="Q25" s="8"/>
      <c r="R25" s="8"/>
      <c r="S25" s="8"/>
      <c r="T25" s="8"/>
      <c r="U25" s="8"/>
      <c r="V25" s="8"/>
      <c r="W25" s="9" t="s">
        <v>3419</v>
      </c>
      <c r="X25" s="8">
        <v>26.9</v>
      </c>
      <c r="Y25" s="8">
        <v>3.37</v>
      </c>
      <c r="Z25" s="9">
        <v>1.51</v>
      </c>
      <c r="AA25" s="8">
        <v>51.8</v>
      </c>
      <c r="AB25" s="8">
        <v>3828</v>
      </c>
      <c r="AC25" s="22" t="s">
        <v>3419</v>
      </c>
      <c r="AD25" s="8" t="s">
        <v>4066</v>
      </c>
      <c r="AE25" s="8" t="s">
        <v>4083</v>
      </c>
      <c r="AF25" s="9">
        <f t="shared" si="0"/>
        <v>174.566</v>
      </c>
      <c r="AG25" s="9">
        <f t="shared" si="1"/>
        <v>95.83</v>
      </c>
      <c r="AH25" s="9">
        <f t="shared" si="2"/>
        <v>1.1734324030445811</v>
      </c>
      <c r="AI25" s="9">
        <f t="shared" si="3"/>
        <v>1.3769436045149801</v>
      </c>
      <c r="AJ25" s="9">
        <f t="shared" si="4"/>
        <v>0.90531078563246059</v>
      </c>
      <c r="AK25" s="9">
        <f t="shared" si="5"/>
        <v>0.81958761858246298</v>
      </c>
      <c r="AL25" s="9">
        <f t="shared" si="6"/>
        <v>0.64485365277496276</v>
      </c>
      <c r="AM25" s="9">
        <f t="shared" si="7"/>
        <v>0.41583623349721222</v>
      </c>
      <c r="AN25" s="9" t="s">
        <v>3419</v>
      </c>
    </row>
    <row r="26" spans="13:40" ht="23">
      <c r="M26" s="8" t="s">
        <v>1638</v>
      </c>
      <c r="N26" s="8" t="s">
        <v>1614</v>
      </c>
      <c r="O26" s="8"/>
      <c r="P26" s="8" t="s">
        <v>4035</v>
      </c>
      <c r="Q26" s="8"/>
      <c r="R26" s="8"/>
      <c r="S26" s="8"/>
      <c r="T26" s="8"/>
      <c r="U26" s="8"/>
      <c r="V26" s="8"/>
      <c r="W26" s="8" t="s">
        <v>1638</v>
      </c>
      <c r="X26" s="8">
        <v>13.88</v>
      </c>
      <c r="Y26" s="8">
        <v>6.71</v>
      </c>
      <c r="Z26" s="9">
        <v>3.58</v>
      </c>
      <c r="AA26" s="8">
        <v>49</v>
      </c>
      <c r="AB26" s="8">
        <v>2307</v>
      </c>
      <c r="AC26" s="21" t="s">
        <v>1638</v>
      </c>
      <c r="AD26" s="8" t="s">
        <v>4066</v>
      </c>
      <c r="AE26" s="8" t="s">
        <v>4083</v>
      </c>
      <c r="AF26" s="9">
        <f t="shared" si="0"/>
        <v>328.79</v>
      </c>
      <c r="AG26" s="9">
        <f t="shared" si="1"/>
        <v>194.36666666666667</v>
      </c>
      <c r="AH26" s="9">
        <f t="shared" si="2"/>
        <v>1.1100036245016307</v>
      </c>
      <c r="AI26" s="9">
        <f t="shared" si="3"/>
        <v>1.2321080464067571</v>
      </c>
      <c r="AJ26" s="9">
        <f t="shared" si="4"/>
        <v>1.7051266180590534</v>
      </c>
      <c r="AK26" s="9">
        <f t="shared" si="5"/>
        <v>2.907456783613505</v>
      </c>
      <c r="AL26" s="9">
        <f t="shared" si="6"/>
        <v>1.3079208491880787</v>
      </c>
      <c r="AM26" s="9">
        <f t="shared" si="7"/>
        <v>1.7106569477408649</v>
      </c>
      <c r="AN26" s="8" t="s">
        <v>1638</v>
      </c>
    </row>
    <row r="27" spans="13:40" ht="23">
      <c r="M27" s="8" t="s">
        <v>554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554</v>
      </c>
      <c r="X27" s="8">
        <v>24.72</v>
      </c>
      <c r="Y27" s="8">
        <v>3.07</v>
      </c>
      <c r="Z27" s="9">
        <v>3.17</v>
      </c>
      <c r="AA27" s="8">
        <v>48.9</v>
      </c>
      <c r="AB27" s="8">
        <v>3288</v>
      </c>
      <c r="AC27" s="21" t="s">
        <v>554</v>
      </c>
      <c r="AD27" s="8" t="s">
        <v>4066</v>
      </c>
      <c r="AE27" s="8" t="s">
        <v>4083</v>
      </c>
      <c r="AF27" s="9">
        <f t="shared" si="0"/>
        <v>150.12299999999999</v>
      </c>
      <c r="AG27" s="9">
        <f t="shared" si="1"/>
        <v>160.55499999999998</v>
      </c>
      <c r="AH27" s="9">
        <f t="shared" si="2"/>
        <v>1.1077383109822396</v>
      </c>
      <c r="AI27" s="9">
        <f t="shared" si="3"/>
        <v>1.2270841656177851</v>
      </c>
      <c r="AJ27" s="9">
        <f t="shared" si="4"/>
        <v>0.77854777603600855</v>
      </c>
      <c r="AK27" s="9">
        <f t="shared" si="5"/>
        <v>0.60613663957061492</v>
      </c>
      <c r="AL27" s="9">
        <f t="shared" si="6"/>
        <v>1.0803973517821572</v>
      </c>
      <c r="AM27" s="9">
        <f t="shared" si="7"/>
        <v>1.1672584377378985</v>
      </c>
      <c r="AN27" s="8" t="s">
        <v>554</v>
      </c>
    </row>
    <row r="28" spans="13:40" ht="23">
      <c r="M28" s="8" t="s">
        <v>1436</v>
      </c>
      <c r="N28" s="8" t="s">
        <v>150</v>
      </c>
      <c r="O28" s="8"/>
      <c r="P28" s="8" t="s">
        <v>3691</v>
      </c>
      <c r="Q28" s="8"/>
      <c r="R28" s="8"/>
      <c r="S28" s="8"/>
      <c r="T28" s="8"/>
      <c r="U28" s="8"/>
      <c r="V28" s="8"/>
      <c r="W28" s="8" t="s">
        <v>1436</v>
      </c>
      <c r="X28" s="8">
        <v>16.36</v>
      </c>
      <c r="Y28" s="8">
        <v>6.46</v>
      </c>
      <c r="Z28" s="9">
        <v>6.42</v>
      </c>
      <c r="AA28" s="8">
        <v>45.7</v>
      </c>
      <c r="AB28" s="8">
        <v>2294</v>
      </c>
      <c r="AC28" s="21" t="s">
        <v>1436</v>
      </c>
      <c r="AD28" s="8" t="s">
        <v>4066</v>
      </c>
      <c r="AE28" s="8" t="s">
        <v>4083</v>
      </c>
      <c r="AF28" s="9">
        <f t="shared" si="0"/>
        <v>295.22200000000004</v>
      </c>
      <c r="AG28" s="9">
        <f t="shared" si="1"/>
        <v>306.19000000000005</v>
      </c>
      <c r="AH28" s="9">
        <f t="shared" si="2"/>
        <v>1.0352482783617249</v>
      </c>
      <c r="AI28" s="9">
        <f t="shared" si="3"/>
        <v>1.0717389978509155</v>
      </c>
      <c r="AJ28" s="9">
        <f t="shared" si="4"/>
        <v>1.5310407568254203</v>
      </c>
      <c r="AK28" s="9">
        <f t="shared" si="5"/>
        <v>2.3440857990605557</v>
      </c>
      <c r="AL28" s="9">
        <f t="shared" si="6"/>
        <v>2.060395908829864</v>
      </c>
      <c r="AM28" s="9">
        <f t="shared" si="7"/>
        <v>4.2452313011228409</v>
      </c>
      <c r="AN28" s="8" t="s">
        <v>1436</v>
      </c>
    </row>
    <row r="29" spans="13:40" ht="23">
      <c r="M29" s="9" t="s">
        <v>2687</v>
      </c>
      <c r="N29" s="8" t="s">
        <v>150</v>
      </c>
      <c r="O29" s="8"/>
      <c r="P29" s="8" t="s">
        <v>3693</v>
      </c>
      <c r="Q29" s="8"/>
      <c r="R29" s="8"/>
      <c r="S29" s="8"/>
      <c r="T29" s="8"/>
      <c r="U29" s="8"/>
      <c r="V29" s="8"/>
      <c r="W29" s="9" t="s">
        <v>2687</v>
      </c>
      <c r="X29" s="8">
        <v>19.95</v>
      </c>
      <c r="Y29" s="8">
        <v>2.8</v>
      </c>
      <c r="Z29" s="9">
        <v>2.25</v>
      </c>
      <c r="AA29" s="8">
        <v>36.799999999999997</v>
      </c>
      <c r="AB29" s="8">
        <v>4718</v>
      </c>
      <c r="AC29" s="22" t="s">
        <v>2687</v>
      </c>
      <c r="AD29" s="8" t="s">
        <v>4066</v>
      </c>
      <c r="AE29" s="8" t="s">
        <v>4083</v>
      </c>
      <c r="AF29" s="9">
        <f t="shared" si="0"/>
        <v>103.03999999999999</v>
      </c>
      <c r="AG29" s="9">
        <f t="shared" si="1"/>
        <v>88.933333333333323</v>
      </c>
      <c r="AH29" s="9">
        <f t="shared" si="2"/>
        <v>0.83363537513591845</v>
      </c>
      <c r="AI29" s="9">
        <f t="shared" si="3"/>
        <v>0.69494793867800353</v>
      </c>
      <c r="AJ29" s="9">
        <f t="shared" si="4"/>
        <v>0.53437223372001841</v>
      </c>
      <c r="AK29" s="9">
        <f t="shared" si="5"/>
        <v>0.28555368417092197</v>
      </c>
      <c r="AL29" s="9">
        <f t="shared" si="6"/>
        <v>0.598445005253609</v>
      </c>
      <c r="AM29" s="9">
        <f t="shared" si="7"/>
        <v>0.35813642431299209</v>
      </c>
      <c r="AN29" s="9" t="s">
        <v>2687</v>
      </c>
    </row>
    <row r="30" spans="13:40" ht="23">
      <c r="M30" s="8" t="s">
        <v>1037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1037</v>
      </c>
      <c r="X30" s="8">
        <v>36.32</v>
      </c>
      <c r="Y30" s="8">
        <v>3.2</v>
      </c>
      <c r="Z30" s="9">
        <v>2.2999999999999998</v>
      </c>
      <c r="AA30" s="8">
        <v>30.6</v>
      </c>
      <c r="AB30" s="8"/>
      <c r="AC30" s="21" t="s">
        <v>1037</v>
      </c>
      <c r="AD30" s="8" t="s">
        <v>4066</v>
      </c>
      <c r="AE30" s="8" t="s">
        <v>4083</v>
      </c>
      <c r="AF30" s="9">
        <f t="shared" si="0"/>
        <v>97.920000000000016</v>
      </c>
      <c r="AG30" s="9">
        <f t="shared" si="1"/>
        <v>61.353000000000002</v>
      </c>
      <c r="AH30" s="9">
        <f t="shared" si="2"/>
        <v>0.69318593693367148</v>
      </c>
      <c r="AI30" s="9">
        <f t="shared" si="3"/>
        <v>0.48050674316261199</v>
      </c>
      <c r="AJ30" s="9">
        <f t="shared" si="4"/>
        <v>0.50781957614386852</v>
      </c>
      <c r="AK30" s="9">
        <f t="shared" si="5"/>
        <v>0.25788072191493827</v>
      </c>
      <c r="AL30" s="9">
        <f t="shared" si="6"/>
        <v>0.41285303306586968</v>
      </c>
      <c r="AM30" s="9">
        <f t="shared" si="7"/>
        <v>0.17044762691168808</v>
      </c>
      <c r="AN30" s="8" t="s">
        <v>1037</v>
      </c>
    </row>
    <row r="31" spans="13:40" ht="23">
      <c r="M31" s="8" t="s">
        <v>709</v>
      </c>
      <c r="N31" s="8" t="s">
        <v>150</v>
      </c>
      <c r="O31" s="8"/>
      <c r="P31" s="8" t="s">
        <v>3693</v>
      </c>
      <c r="Q31" s="8"/>
      <c r="R31" s="8"/>
      <c r="S31" s="8"/>
      <c r="T31" s="8"/>
      <c r="U31" s="8"/>
      <c r="V31" s="8"/>
      <c r="W31" s="8" t="s">
        <v>709</v>
      </c>
      <c r="X31" s="8">
        <v>12.45</v>
      </c>
      <c r="Y31" s="8">
        <v>3.75</v>
      </c>
      <c r="Z31" s="9">
        <v>3.23</v>
      </c>
      <c r="AA31" s="8">
        <v>27.9</v>
      </c>
      <c r="AB31" s="8">
        <v>8779</v>
      </c>
      <c r="AC31" s="21" t="s">
        <v>709</v>
      </c>
      <c r="AD31" s="8" t="s">
        <v>4066</v>
      </c>
      <c r="AE31" s="8" t="s">
        <v>4083</v>
      </c>
      <c r="AF31" s="9">
        <f t="shared" si="0"/>
        <v>104.625</v>
      </c>
      <c r="AG31" s="9">
        <f t="shared" si="1"/>
        <v>94.394999999999996</v>
      </c>
      <c r="AH31" s="9">
        <f t="shared" si="2"/>
        <v>0.63202247191011207</v>
      </c>
      <c r="AI31" s="9">
        <f t="shared" si="3"/>
        <v>0.3994524049993684</v>
      </c>
      <c r="AJ31" s="9">
        <f t="shared" si="4"/>
        <v>0.54259214822357271</v>
      </c>
      <c r="AK31" s="9">
        <f t="shared" si="5"/>
        <v>0.2944062393138715</v>
      </c>
      <c r="AL31" s="9">
        <f t="shared" si="6"/>
        <v>0.63519733438059689</v>
      </c>
      <c r="AM31" s="9">
        <f t="shared" si="7"/>
        <v>0.40347565360421583</v>
      </c>
      <c r="AN31" s="8" t="s">
        <v>709</v>
      </c>
    </row>
    <row r="32" spans="13:40" ht="23">
      <c r="M32" s="9" t="s">
        <v>3478</v>
      </c>
      <c r="N32" s="8" t="s">
        <v>2017</v>
      </c>
      <c r="O32" s="8"/>
      <c r="P32" s="8" t="s">
        <v>3691</v>
      </c>
      <c r="Q32" s="8"/>
      <c r="R32" s="8"/>
      <c r="S32" s="8"/>
      <c r="T32" s="8"/>
      <c r="U32" s="8"/>
      <c r="V32" s="8"/>
      <c r="W32" s="9" t="s">
        <v>3478</v>
      </c>
      <c r="X32" s="8">
        <v>19.7</v>
      </c>
      <c r="Y32" s="8">
        <v>3.79</v>
      </c>
      <c r="Z32" s="9">
        <v>3.15</v>
      </c>
      <c r="AA32" s="8">
        <v>25.5</v>
      </c>
      <c r="AB32" s="8">
        <v>6525</v>
      </c>
      <c r="AC32" s="22" t="s">
        <v>3478</v>
      </c>
      <c r="AD32" s="8" t="s">
        <v>4066</v>
      </c>
      <c r="AE32" s="8" t="s">
        <v>4083</v>
      </c>
      <c r="AF32" s="9">
        <f t="shared" si="0"/>
        <v>96.644999999999996</v>
      </c>
      <c r="AG32" s="9">
        <f t="shared" si="1"/>
        <v>82.875</v>
      </c>
      <c r="AH32" s="9">
        <f t="shared" si="2"/>
        <v>0.57765494744472612</v>
      </c>
      <c r="AI32" s="9">
        <f t="shared" si="3"/>
        <v>0.33368523830736929</v>
      </c>
      <c r="AJ32" s="9">
        <f t="shared" si="4"/>
        <v>0.50120734207949513</v>
      </c>
      <c r="AK32" s="9">
        <f t="shared" si="5"/>
        <v>0.25120879975439203</v>
      </c>
      <c r="AL32" s="9">
        <f t="shared" si="6"/>
        <v>0.55767762155614142</v>
      </c>
      <c r="AM32" s="9">
        <f t="shared" si="7"/>
        <v>0.3110043295845149</v>
      </c>
      <c r="AN32" s="9" t="s">
        <v>3478</v>
      </c>
    </row>
    <row r="33" spans="13:40" ht="23">
      <c r="M33" s="9" t="s">
        <v>2593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9" t="s">
        <v>2593</v>
      </c>
      <c r="X33" s="8">
        <v>53.03</v>
      </c>
      <c r="Y33" s="8">
        <v>1.18</v>
      </c>
      <c r="Z33" s="9">
        <v>0.09</v>
      </c>
      <c r="AA33" s="8">
        <v>25.5</v>
      </c>
      <c r="AB33" s="8">
        <v>92288</v>
      </c>
      <c r="AC33" s="22" t="s">
        <v>2593</v>
      </c>
      <c r="AD33" s="8" t="s">
        <v>4066</v>
      </c>
      <c r="AE33" s="8" t="s">
        <v>4083</v>
      </c>
      <c r="AF33" s="9">
        <f t="shared" si="0"/>
        <v>30.09</v>
      </c>
      <c r="AG33" s="9">
        <f t="shared" si="1"/>
        <v>3.8249999999999997</v>
      </c>
      <c r="AH33" s="9">
        <f t="shared" si="2"/>
        <v>0.57765494744472612</v>
      </c>
      <c r="AI33" s="9">
        <f t="shared" si="3"/>
        <v>0.33368523830736929</v>
      </c>
      <c r="AJ33" s="9">
        <f t="shared" si="4"/>
        <v>0.15604872391920957</v>
      </c>
      <c r="AK33" s="9">
        <f t="shared" si="5"/>
        <v>2.4351204236813688E-2</v>
      </c>
      <c r="AL33" s="9">
        <f t="shared" si="6"/>
        <v>2.5738967148744987E-2</v>
      </c>
      <c r="AM33" s="9">
        <f t="shared" si="7"/>
        <v>6.6249442988417363E-4</v>
      </c>
      <c r="AN33" s="9" t="s">
        <v>2593</v>
      </c>
    </row>
    <row r="34" spans="13:40" ht="23">
      <c r="M34" s="9" t="s">
        <v>3535</v>
      </c>
      <c r="N34" s="8" t="s">
        <v>2041</v>
      </c>
      <c r="O34" s="8"/>
      <c r="P34" s="8"/>
      <c r="Q34" s="8"/>
      <c r="R34" s="8"/>
      <c r="S34" s="8"/>
      <c r="T34" s="8"/>
      <c r="U34" s="8"/>
      <c r="V34" s="8"/>
      <c r="W34" s="9" t="s">
        <v>3535</v>
      </c>
      <c r="X34" s="8">
        <v>28.82</v>
      </c>
      <c r="Y34" s="8">
        <v>1.62</v>
      </c>
      <c r="Z34" s="9">
        <v>0.39</v>
      </c>
      <c r="AA34" s="8">
        <v>24.3</v>
      </c>
      <c r="AB34" s="8">
        <v>17238</v>
      </c>
      <c r="AC34" s="22" t="s">
        <v>3535</v>
      </c>
      <c r="AD34" s="8" t="s">
        <v>4066</v>
      </c>
      <c r="AE34" s="8" t="s">
        <v>4083</v>
      </c>
      <c r="AF34" s="9">
        <f t="shared" ref="AF34:AF65" si="8">(AA34*Y34)</f>
        <v>39.366000000000007</v>
      </c>
      <c r="AG34" s="9">
        <f t="shared" ref="AG34:AG65" si="9">((((RIGHT(Z34,2))/60)+(LEFT(Z34,2)))*AA34)</f>
        <v>15.795000000000002</v>
      </c>
      <c r="AH34" s="9">
        <f t="shared" ref="AH34:AH65" si="10">(AA34/$AA$100)*100</f>
        <v>0.5504711852120332</v>
      </c>
      <c r="AI34" s="9">
        <f t="shared" ref="AI34:AI65" si="11">(AH34*AH34)</f>
        <v>0.30301852574874055</v>
      </c>
      <c r="AJ34" s="9">
        <f t="shared" ref="AJ34:AJ65" si="12">(AF34/$AF$100)*100</f>
        <v>0.20415467151225011</v>
      </c>
      <c r="AK34" s="9">
        <f t="shared" ref="AK34:AK65" si="13">(AJ34*AJ34)</f>
        <v>4.1679129900274746E-2</v>
      </c>
      <c r="AL34" s="9">
        <f t="shared" ref="AL34:AL65" si="14">(AG34/$AG$100)*100</f>
        <v>0.1062867937554058</v>
      </c>
      <c r="AM34" s="9">
        <f t="shared" ref="AM34:AM65" si="15">(AL34*AL34)</f>
        <v>1.1296882526804169E-2</v>
      </c>
      <c r="AN34" s="9" t="s">
        <v>3535</v>
      </c>
    </row>
    <row r="35" spans="13:40" ht="23">
      <c r="M35" s="9" t="s">
        <v>3444</v>
      </c>
      <c r="N35" s="8" t="s">
        <v>2003</v>
      </c>
      <c r="O35" s="8"/>
      <c r="P35" s="8"/>
      <c r="Q35" s="8"/>
      <c r="R35" s="8"/>
      <c r="S35" s="8"/>
      <c r="T35" s="8"/>
      <c r="U35" s="8"/>
      <c r="V35" s="8"/>
      <c r="W35" s="9" t="s">
        <v>3444</v>
      </c>
      <c r="X35" s="8">
        <v>29.88</v>
      </c>
      <c r="Y35" s="8">
        <v>1.18</v>
      </c>
      <c r="Z35" s="9">
        <v>0.17</v>
      </c>
      <c r="AA35" s="8">
        <v>23.3</v>
      </c>
      <c r="AB35" s="8">
        <v>36124</v>
      </c>
      <c r="AC35" s="22" t="s">
        <v>3444</v>
      </c>
      <c r="AD35" s="8" t="s">
        <v>4066</v>
      </c>
      <c r="AE35" s="8" t="s">
        <v>4083</v>
      </c>
      <c r="AF35" s="9">
        <f t="shared" si="8"/>
        <v>27.494</v>
      </c>
      <c r="AG35" s="9">
        <f t="shared" si="9"/>
        <v>6.6016666666666666</v>
      </c>
      <c r="AH35" s="9">
        <f t="shared" si="10"/>
        <v>0.52781805001812232</v>
      </c>
      <c r="AI35" s="9">
        <f t="shared" si="11"/>
        <v>0.27859189392493305</v>
      </c>
      <c r="AJ35" s="9">
        <f t="shared" si="12"/>
        <v>0.14258569675755228</v>
      </c>
      <c r="AK35" s="9">
        <f t="shared" si="13"/>
        <v>2.0330680919836655E-2</v>
      </c>
      <c r="AL35" s="9">
        <f t="shared" si="14"/>
        <v>4.4423550708574684E-2</v>
      </c>
      <c r="AM35" s="9">
        <f t="shared" si="15"/>
        <v>1.9734518575573062E-3</v>
      </c>
      <c r="AN35" s="9" t="s">
        <v>3444</v>
      </c>
    </row>
    <row r="36" spans="13:40" ht="23">
      <c r="M36" s="9" t="s">
        <v>2234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9" t="s">
        <v>2234</v>
      </c>
      <c r="X36" s="8">
        <v>22.57</v>
      </c>
      <c r="Y36" s="8">
        <v>2.21</v>
      </c>
      <c r="Z36" s="9">
        <v>1.28</v>
      </c>
      <c r="AA36" s="8">
        <v>22.8</v>
      </c>
      <c r="AB36" s="8">
        <v>12117</v>
      </c>
      <c r="AC36" s="22" t="s">
        <v>2234</v>
      </c>
      <c r="AD36" s="8" t="s">
        <v>4066</v>
      </c>
      <c r="AE36" s="8" t="s">
        <v>4083</v>
      </c>
      <c r="AF36" s="9">
        <f t="shared" si="8"/>
        <v>50.387999999999998</v>
      </c>
      <c r="AG36" s="9">
        <f t="shared" si="9"/>
        <v>33.440000000000005</v>
      </c>
      <c r="AH36" s="9">
        <f t="shared" si="10"/>
        <v>0.51649148242116694</v>
      </c>
      <c r="AI36" s="9">
        <f t="shared" si="11"/>
        <v>0.26676345141361457</v>
      </c>
      <c r="AJ36" s="9">
        <f t="shared" si="12"/>
        <v>0.26131549022403233</v>
      </c>
      <c r="AK36" s="9">
        <f t="shared" si="13"/>
        <v>6.8285785431026341E-2</v>
      </c>
      <c r="AL36" s="9">
        <f t="shared" si="14"/>
        <v>0.22502249972654445</v>
      </c>
      <c r="AM36" s="9">
        <f t="shared" si="15"/>
        <v>5.0635125383182697E-2</v>
      </c>
      <c r="AN36" s="9" t="s">
        <v>2234</v>
      </c>
    </row>
    <row r="37" spans="13:40" ht="23">
      <c r="M37" s="8" t="s">
        <v>1643</v>
      </c>
      <c r="N37" s="8" t="s">
        <v>1614</v>
      </c>
      <c r="O37" s="8"/>
      <c r="P37" s="8" t="s">
        <v>3691</v>
      </c>
      <c r="Q37" s="8"/>
      <c r="R37" s="8"/>
      <c r="S37" s="8"/>
      <c r="T37" s="8"/>
      <c r="U37" s="8"/>
      <c r="V37" s="8"/>
      <c r="W37" s="8" t="s">
        <v>1643</v>
      </c>
      <c r="X37" s="8">
        <v>13.08</v>
      </c>
      <c r="Y37" s="8">
        <v>10.130000000000001</v>
      </c>
      <c r="Z37" s="9">
        <v>7.31</v>
      </c>
      <c r="AA37" s="8">
        <v>20.9</v>
      </c>
      <c r="AB37" s="8">
        <v>3503</v>
      </c>
      <c r="AC37" s="21" t="s">
        <v>1643</v>
      </c>
      <c r="AD37" s="8" t="s">
        <v>4066</v>
      </c>
      <c r="AE37" s="8" t="s">
        <v>4083</v>
      </c>
      <c r="AF37" s="9">
        <f t="shared" si="8"/>
        <v>211.71700000000001</v>
      </c>
      <c r="AG37" s="9">
        <f t="shared" si="9"/>
        <v>157.09833333333333</v>
      </c>
      <c r="AH37" s="9">
        <f t="shared" si="10"/>
        <v>0.47345052555273631</v>
      </c>
      <c r="AI37" s="9">
        <f t="shared" si="11"/>
        <v>0.22415540014616223</v>
      </c>
      <c r="AJ37" s="9">
        <f t="shared" si="12"/>
        <v>1.0979783211034662</v>
      </c>
      <c r="AK37" s="9">
        <f t="shared" si="13"/>
        <v>1.2055563936131863</v>
      </c>
      <c r="AL37" s="9">
        <f t="shared" si="14"/>
        <v>1.0571369518403284</v>
      </c>
      <c r="AM37" s="9">
        <f t="shared" si="15"/>
        <v>1.1175385349462608</v>
      </c>
      <c r="AN37" s="8" t="s">
        <v>1643</v>
      </c>
    </row>
    <row r="38" spans="13:40" ht="23">
      <c r="M38" s="9" t="s">
        <v>3099</v>
      </c>
      <c r="N38" s="8" t="s">
        <v>1814</v>
      </c>
      <c r="O38" s="8"/>
      <c r="P38" s="8"/>
      <c r="Q38" s="8"/>
      <c r="R38" s="8"/>
      <c r="S38" s="8"/>
      <c r="T38" s="8"/>
      <c r="U38" s="8"/>
      <c r="V38" s="8"/>
      <c r="W38" s="9" t="s">
        <v>3099</v>
      </c>
      <c r="X38" s="8">
        <v>35.24</v>
      </c>
      <c r="Y38" s="8">
        <v>1.62</v>
      </c>
      <c r="Z38" s="9">
        <v>1.1200000000000001</v>
      </c>
      <c r="AA38" s="8">
        <v>18.899999999999999</v>
      </c>
      <c r="AB38" s="8">
        <v>21517</v>
      </c>
      <c r="AC38" s="22" t="s">
        <v>3099</v>
      </c>
      <c r="AD38" s="8" t="s">
        <v>4066</v>
      </c>
      <c r="AE38" s="8" t="s">
        <v>4083</v>
      </c>
      <c r="AF38" s="9">
        <f t="shared" si="8"/>
        <v>30.617999999999999</v>
      </c>
      <c r="AG38" s="9">
        <f t="shared" si="9"/>
        <v>22.679999999999996</v>
      </c>
      <c r="AH38" s="9">
        <f t="shared" si="10"/>
        <v>0.42814425516491461</v>
      </c>
      <c r="AI38" s="9">
        <f t="shared" si="11"/>
        <v>0.18330750323071951</v>
      </c>
      <c r="AJ38" s="9">
        <f t="shared" si="12"/>
        <v>0.15878696673175002</v>
      </c>
      <c r="AK38" s="9">
        <f t="shared" si="13"/>
        <v>2.5213300803869888E-2</v>
      </c>
      <c r="AL38" s="9">
        <f t="shared" si="14"/>
        <v>0.15261693462314674</v>
      </c>
      <c r="AM38" s="9">
        <f t="shared" si="15"/>
        <v>2.3291928733765847E-2</v>
      </c>
      <c r="AN38" s="9" t="s">
        <v>3099</v>
      </c>
    </row>
    <row r="39" spans="13:40" ht="23">
      <c r="M39" s="8" t="s">
        <v>936</v>
      </c>
      <c r="N39" s="8" t="s">
        <v>150</v>
      </c>
      <c r="O39" s="8"/>
      <c r="P39" s="8" t="s">
        <v>3693</v>
      </c>
      <c r="Q39" s="8"/>
      <c r="R39" s="8"/>
      <c r="S39" s="8"/>
      <c r="T39" s="8"/>
      <c r="U39" s="8"/>
      <c r="V39" s="8"/>
      <c r="W39" s="8" t="s">
        <v>936</v>
      </c>
      <c r="X39" s="8">
        <v>33.090000000000003</v>
      </c>
      <c r="Y39" s="8">
        <v>3.34</v>
      </c>
      <c r="Z39" s="9">
        <v>2.46</v>
      </c>
      <c r="AA39" s="8">
        <v>18.600000000000001</v>
      </c>
      <c r="AB39" s="8">
        <v>7218</v>
      </c>
      <c r="AC39" s="21" t="s">
        <v>936</v>
      </c>
      <c r="AD39" s="8" t="s">
        <v>4137</v>
      </c>
      <c r="AE39" s="8" t="s">
        <v>4083</v>
      </c>
      <c r="AF39" s="9">
        <f t="shared" si="8"/>
        <v>62.124000000000002</v>
      </c>
      <c r="AG39" s="9">
        <f t="shared" si="9"/>
        <v>51.46</v>
      </c>
      <c r="AH39" s="9">
        <f t="shared" si="10"/>
        <v>0.42134831460674149</v>
      </c>
      <c r="AI39" s="9">
        <f t="shared" si="11"/>
        <v>0.17753440222194161</v>
      </c>
      <c r="AJ39" s="9">
        <f t="shared" si="12"/>
        <v>0.32217916001186359</v>
      </c>
      <c r="AK39" s="9">
        <f t="shared" si="13"/>
        <v>0.10379941114595</v>
      </c>
      <c r="AL39" s="9">
        <f t="shared" si="14"/>
        <v>0.34628163384952088</v>
      </c>
      <c r="AM39" s="9">
        <f t="shared" si="15"/>
        <v>0.11991096994149364</v>
      </c>
      <c r="AN39" s="8" t="s">
        <v>936</v>
      </c>
    </row>
    <row r="40" spans="13:40" ht="23">
      <c r="M40" s="9" t="s">
        <v>2635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9" t="s">
        <v>2635</v>
      </c>
      <c r="X40" s="8">
        <v>13.88</v>
      </c>
      <c r="Y40" s="8">
        <v>12.39</v>
      </c>
      <c r="Z40" s="9">
        <v>20.57</v>
      </c>
      <c r="AA40" s="8">
        <v>15.3</v>
      </c>
      <c r="AB40" s="8">
        <v>5188</v>
      </c>
      <c r="AC40" s="22" t="s">
        <v>2635</v>
      </c>
      <c r="AD40" s="8" t="s">
        <v>4066</v>
      </c>
      <c r="AE40" s="8" t="s">
        <v>4083</v>
      </c>
      <c r="AF40" s="9">
        <f t="shared" si="8"/>
        <v>189.56700000000001</v>
      </c>
      <c r="AG40" s="9">
        <f t="shared" si="9"/>
        <v>320.53500000000003</v>
      </c>
      <c r="AH40" s="9">
        <f t="shared" si="10"/>
        <v>0.34659296846683574</v>
      </c>
      <c r="AI40" s="9">
        <f t="shared" si="11"/>
        <v>0.120126685790653</v>
      </c>
      <c r="AJ40" s="9">
        <f t="shared" si="12"/>
        <v>0.98310696069102044</v>
      </c>
      <c r="AK40" s="9">
        <f t="shared" si="13"/>
        <v>0.96649929615913566</v>
      </c>
      <c r="AL40" s="9">
        <f t="shared" si="14"/>
        <v>2.1569254470648302</v>
      </c>
      <c r="AM40" s="9">
        <f t="shared" si="15"/>
        <v>4.6523273841958179</v>
      </c>
      <c r="AN40" s="9" t="s">
        <v>2635</v>
      </c>
    </row>
    <row r="41" spans="13:40" ht="23">
      <c r="M41" s="9" t="s">
        <v>2911</v>
      </c>
      <c r="N41" s="8" t="s">
        <v>1717</v>
      </c>
      <c r="O41" s="8"/>
      <c r="P41" s="8" t="s">
        <v>3693</v>
      </c>
      <c r="Q41" s="8"/>
      <c r="R41" s="8"/>
      <c r="S41" s="8"/>
      <c r="T41" s="8"/>
      <c r="U41" s="8"/>
      <c r="V41" s="8"/>
      <c r="W41" s="9" t="s">
        <v>2911</v>
      </c>
      <c r="X41" s="8">
        <v>14.23</v>
      </c>
      <c r="Y41" s="8">
        <v>4.72</v>
      </c>
      <c r="Z41" s="9">
        <v>3.21</v>
      </c>
      <c r="AA41" s="8">
        <v>11.4</v>
      </c>
      <c r="AB41" s="8">
        <v>8805</v>
      </c>
      <c r="AC41" s="22" t="s">
        <v>2911</v>
      </c>
      <c r="AD41" s="8" t="s">
        <v>4066</v>
      </c>
      <c r="AE41" s="8" t="s">
        <v>4083</v>
      </c>
      <c r="AF41" s="9">
        <f t="shared" si="8"/>
        <v>53.808</v>
      </c>
      <c r="AG41" s="9">
        <f t="shared" si="9"/>
        <v>38.190000000000005</v>
      </c>
      <c r="AH41" s="9">
        <f t="shared" si="10"/>
        <v>0.25824574121058347</v>
      </c>
      <c r="AI41" s="9">
        <f t="shared" si="11"/>
        <v>6.6690862853403643E-2</v>
      </c>
      <c r="AJ41" s="9">
        <f t="shared" si="12"/>
        <v>0.27905183571435122</v>
      </c>
      <c r="AK41" s="9">
        <f t="shared" si="13"/>
        <v>7.7869927015549262E-2</v>
      </c>
      <c r="AL41" s="9">
        <f t="shared" si="14"/>
        <v>0.25698592298315592</v>
      </c>
      <c r="AM41" s="9">
        <f t="shared" si="15"/>
        <v>6.6041764611504544E-2</v>
      </c>
      <c r="AN41" s="9" t="s">
        <v>2911</v>
      </c>
    </row>
    <row r="42" spans="13:40" ht="23">
      <c r="M42" s="8" t="s">
        <v>1534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8" t="s">
        <v>1534</v>
      </c>
      <c r="X42" s="8">
        <v>40.520000000000003</v>
      </c>
      <c r="Y42" s="8">
        <v>4.72</v>
      </c>
      <c r="Z42" s="9">
        <v>3.31</v>
      </c>
      <c r="AA42" s="8">
        <v>11.1</v>
      </c>
      <c r="AB42" s="8">
        <v>15105</v>
      </c>
      <c r="AC42" s="21" t="s">
        <v>1534</v>
      </c>
      <c r="AD42" s="8" t="s">
        <v>4066</v>
      </c>
      <c r="AE42" s="8" t="s">
        <v>4083</v>
      </c>
      <c r="AF42" s="9">
        <f t="shared" si="8"/>
        <v>52.391999999999996</v>
      </c>
      <c r="AG42" s="9">
        <f t="shared" si="9"/>
        <v>39.034999999999997</v>
      </c>
      <c r="AH42" s="9">
        <f t="shared" si="10"/>
        <v>0.25144980065241018</v>
      </c>
      <c r="AI42" s="9">
        <f t="shared" si="11"/>
        <v>6.3227002248136821E-2</v>
      </c>
      <c r="AJ42" s="9">
        <f t="shared" si="12"/>
        <v>0.27170836635344725</v>
      </c>
      <c r="AK42" s="9">
        <f t="shared" si="13"/>
        <v>7.3825436346459106E-2</v>
      </c>
      <c r="AL42" s="9">
        <f t="shared" si="14"/>
        <v>0.26267204775196357</v>
      </c>
      <c r="AM42" s="9">
        <f t="shared" si="15"/>
        <v>6.8996604670209821E-2</v>
      </c>
      <c r="AN42" s="8" t="s">
        <v>1534</v>
      </c>
    </row>
    <row r="43" spans="13:40" ht="23">
      <c r="M43" s="9" t="s">
        <v>3404</v>
      </c>
      <c r="N43" s="8" t="s">
        <v>1990</v>
      </c>
      <c r="O43" s="8"/>
      <c r="P43" s="8"/>
      <c r="Q43" s="8"/>
      <c r="R43" s="8"/>
      <c r="S43" s="8"/>
      <c r="T43" s="8"/>
      <c r="U43" s="8"/>
      <c r="V43" s="8"/>
      <c r="W43" s="9" t="s">
        <v>3404</v>
      </c>
      <c r="X43" s="8">
        <v>23.28</v>
      </c>
      <c r="Y43" s="8">
        <v>3.46</v>
      </c>
      <c r="Z43" s="9">
        <v>2.48</v>
      </c>
      <c r="AA43" s="8">
        <v>10.199999999999999</v>
      </c>
      <c r="AB43" s="8">
        <v>14963</v>
      </c>
      <c r="AC43" s="22" t="s">
        <v>3404</v>
      </c>
      <c r="AD43" s="8" t="s">
        <v>4066</v>
      </c>
      <c r="AE43" s="8" t="s">
        <v>4083</v>
      </c>
      <c r="AF43" s="9">
        <f t="shared" si="8"/>
        <v>35.291999999999994</v>
      </c>
      <c r="AG43" s="9">
        <f t="shared" si="9"/>
        <v>28.559999999999995</v>
      </c>
      <c r="AH43" s="9">
        <f t="shared" si="10"/>
        <v>0.23106197897789044</v>
      </c>
      <c r="AI43" s="9">
        <f t="shared" si="11"/>
        <v>5.338963812917908E-2</v>
      </c>
      <c r="AJ43" s="9">
        <f t="shared" si="12"/>
        <v>0.18302663890185256</v>
      </c>
      <c r="AK43" s="9">
        <f t="shared" si="13"/>
        <v>3.3498750547709129E-2</v>
      </c>
      <c r="AL43" s="9">
        <f t="shared" si="14"/>
        <v>0.19218428804396254</v>
      </c>
      <c r="AM43" s="9">
        <f t="shared" si="15"/>
        <v>3.6934800570964758E-2</v>
      </c>
      <c r="AN43" s="9" t="s">
        <v>3404</v>
      </c>
    </row>
    <row r="44" spans="13:40" ht="23">
      <c r="M44" s="9" t="s">
        <v>2771</v>
      </c>
      <c r="N44" s="8" t="s">
        <v>1614</v>
      </c>
      <c r="O44" s="8"/>
      <c r="P44" s="8" t="s">
        <v>3691</v>
      </c>
      <c r="Q44" s="8"/>
      <c r="R44" s="8"/>
      <c r="S44" s="8"/>
      <c r="T44" s="8"/>
      <c r="U44" s="8"/>
      <c r="V44" s="8"/>
      <c r="W44" s="9" t="s">
        <v>2771</v>
      </c>
      <c r="X44" s="8">
        <v>25.32</v>
      </c>
      <c r="Y44" s="8">
        <v>4.1399999999999997</v>
      </c>
      <c r="Z44" s="9">
        <v>4.4000000000000004</v>
      </c>
      <c r="AA44" s="8">
        <v>10.1</v>
      </c>
      <c r="AB44" s="8">
        <v>9409</v>
      </c>
      <c r="AC44" s="22" t="s">
        <v>2771</v>
      </c>
      <c r="AD44" s="8" t="s">
        <v>4066</v>
      </c>
      <c r="AE44" s="8" t="s">
        <v>4083</v>
      </c>
      <c r="AF44" s="9">
        <f t="shared" si="8"/>
        <v>41.813999999999993</v>
      </c>
      <c r="AG44" s="9">
        <f t="shared" si="9"/>
        <v>40.467333333333336</v>
      </c>
      <c r="AH44" s="9">
        <f t="shared" si="10"/>
        <v>0.22879666545849936</v>
      </c>
      <c r="AI44" s="9">
        <f t="shared" si="11"/>
        <v>5.2347914124928473E-2</v>
      </c>
      <c r="AJ44" s="9">
        <f t="shared" si="12"/>
        <v>0.21685016091584675</v>
      </c>
      <c r="AK44" s="9">
        <f t="shared" si="13"/>
        <v>4.7023992289228628E-2</v>
      </c>
      <c r="AL44" s="9">
        <f t="shared" si="14"/>
        <v>0.27231042176836073</v>
      </c>
      <c r="AM44" s="9">
        <f t="shared" si="15"/>
        <v>7.4152965803662513E-2</v>
      </c>
      <c r="AN44" s="9" t="s">
        <v>2771</v>
      </c>
    </row>
    <row r="45" spans="13:40" ht="23">
      <c r="M45" s="8" t="s">
        <v>1999</v>
      </c>
      <c r="N45" s="8" t="s">
        <v>1990</v>
      </c>
      <c r="O45" s="8"/>
      <c r="P45" s="8"/>
      <c r="Q45" s="8"/>
      <c r="R45" s="8"/>
      <c r="S45" s="8"/>
      <c r="T45" s="8"/>
      <c r="U45" s="8"/>
      <c r="V45" s="8"/>
      <c r="W45" s="8" t="s">
        <v>1999</v>
      </c>
      <c r="X45" s="8">
        <v>38.200000000000003</v>
      </c>
      <c r="Y45" s="8">
        <v>4.0999999999999996</v>
      </c>
      <c r="Z45" s="9">
        <v>2.5</v>
      </c>
      <c r="AA45" s="8">
        <v>10</v>
      </c>
      <c r="AB45" s="8">
        <v>9462</v>
      </c>
      <c r="AC45" s="21" t="s">
        <v>1999</v>
      </c>
      <c r="AD45" s="8" t="s">
        <v>4066</v>
      </c>
      <c r="AE45" s="8" t="s">
        <v>4083</v>
      </c>
      <c r="AF45" s="9">
        <f t="shared" si="8"/>
        <v>41</v>
      </c>
      <c r="AG45" s="9">
        <f t="shared" si="9"/>
        <v>20.083333333333332</v>
      </c>
      <c r="AH45" s="9">
        <f t="shared" si="10"/>
        <v>0.22653135193910828</v>
      </c>
      <c r="AI45" s="9">
        <f t="shared" si="11"/>
        <v>5.1316453411360138E-2</v>
      </c>
      <c r="AJ45" s="9">
        <f t="shared" si="12"/>
        <v>0.21262870324651353</v>
      </c>
      <c r="AK45" s="9">
        <f t="shared" si="13"/>
        <v>4.5210965444293913E-2</v>
      </c>
      <c r="AL45" s="9">
        <f t="shared" si="14"/>
        <v>0.13514359657619918</v>
      </c>
      <c r="AM45" s="9">
        <f t="shared" si="15"/>
        <v>1.8263791695550473E-2</v>
      </c>
      <c r="AN45" s="8" t="s">
        <v>1999</v>
      </c>
    </row>
    <row r="46" spans="13:40" ht="23">
      <c r="M46" s="9" t="s">
        <v>3532</v>
      </c>
      <c r="N46" s="8" t="s">
        <v>2041</v>
      </c>
      <c r="O46" s="8"/>
      <c r="P46" s="8"/>
      <c r="Q46" s="8"/>
      <c r="R46" s="8"/>
      <c r="S46" s="8"/>
      <c r="T46" s="8"/>
      <c r="U46" s="8"/>
      <c r="V46" s="8"/>
      <c r="W46" s="9" t="s">
        <v>3532</v>
      </c>
      <c r="X46" s="8">
        <v>34.93</v>
      </c>
      <c r="Y46" s="8">
        <v>3.64</v>
      </c>
      <c r="Z46" s="9">
        <v>3.1</v>
      </c>
      <c r="AA46" s="8">
        <v>9.1999999999999993</v>
      </c>
      <c r="AB46" s="8">
        <v>14530</v>
      </c>
      <c r="AC46" s="22" t="s">
        <v>3532</v>
      </c>
      <c r="AD46" s="8" t="s">
        <v>4066</v>
      </c>
      <c r="AE46" s="8" t="s">
        <v>4083</v>
      </c>
      <c r="AF46" s="9">
        <f t="shared" si="8"/>
        <v>33.488</v>
      </c>
      <c r="AG46" s="9">
        <f t="shared" si="9"/>
        <v>27.615333333333329</v>
      </c>
      <c r="AH46" s="9">
        <f t="shared" si="10"/>
        <v>0.20840884378397961</v>
      </c>
      <c r="AI46" s="9">
        <f t="shared" si="11"/>
        <v>4.3434246167375221E-2</v>
      </c>
      <c r="AJ46" s="9">
        <f t="shared" si="12"/>
        <v>0.17367097595900599</v>
      </c>
      <c r="AK46" s="9">
        <f t="shared" si="13"/>
        <v>3.0161607890553638E-2</v>
      </c>
      <c r="AL46" s="9">
        <f t="shared" si="14"/>
        <v>0.18582749214857752</v>
      </c>
      <c r="AM46" s="9">
        <f t="shared" si="15"/>
        <v>3.4531856838229638E-2</v>
      </c>
      <c r="AN46" s="9" t="s">
        <v>3532</v>
      </c>
    </row>
    <row r="47" spans="13:40" ht="23">
      <c r="M47" s="9" t="s">
        <v>2812</v>
      </c>
      <c r="N47" s="8" t="s">
        <v>1614</v>
      </c>
      <c r="O47" s="8"/>
      <c r="P47" s="8"/>
      <c r="Q47" s="8"/>
      <c r="R47" s="8"/>
      <c r="S47" s="8"/>
      <c r="T47" s="8"/>
      <c r="U47" s="8"/>
      <c r="V47" s="8"/>
      <c r="W47" s="9" t="s">
        <v>2812</v>
      </c>
      <c r="X47" s="8">
        <v>28.27</v>
      </c>
      <c r="Y47" s="8">
        <v>2.44</v>
      </c>
      <c r="Z47" s="9">
        <v>2.39</v>
      </c>
      <c r="AA47" s="8">
        <v>8.6</v>
      </c>
      <c r="AB47" s="8">
        <v>14465</v>
      </c>
      <c r="AC47" s="22" t="s">
        <v>2812</v>
      </c>
      <c r="AD47" s="8" t="s">
        <v>4066</v>
      </c>
      <c r="AE47" s="8" t="s">
        <v>4083</v>
      </c>
      <c r="AF47" s="9">
        <f t="shared" si="8"/>
        <v>20.983999999999998</v>
      </c>
      <c r="AG47" s="9">
        <f t="shared" si="9"/>
        <v>22.79</v>
      </c>
      <c r="AH47" s="9">
        <f t="shared" si="10"/>
        <v>0.19481696266763313</v>
      </c>
      <c r="AI47" s="9">
        <f t="shared" si="11"/>
        <v>3.7953648943041957E-2</v>
      </c>
      <c r="AJ47" s="9">
        <f t="shared" si="12"/>
        <v>0.1088244075347522</v>
      </c>
      <c r="AK47" s="9">
        <f t="shared" si="13"/>
        <v>1.1842751675289831E-2</v>
      </c>
      <c r="AL47" s="9">
        <f t="shared" si="14"/>
        <v>0.15335714021435248</v>
      </c>
      <c r="AM47" s="9">
        <f t="shared" si="15"/>
        <v>2.3518412454724566E-2</v>
      </c>
      <c r="AN47" s="9" t="s">
        <v>2812</v>
      </c>
    </row>
    <row r="48" spans="13:40" ht="23">
      <c r="M48" s="8" t="s">
        <v>405</v>
      </c>
      <c r="N48" s="8" t="s">
        <v>150</v>
      </c>
      <c r="O48" s="8"/>
      <c r="P48" s="8" t="s">
        <v>3691</v>
      </c>
      <c r="Q48" s="8"/>
      <c r="R48" s="8"/>
      <c r="S48" s="8"/>
      <c r="T48" s="8"/>
      <c r="U48" s="8"/>
      <c r="V48" s="8"/>
      <c r="W48" s="8" t="s">
        <v>405</v>
      </c>
      <c r="X48" s="8">
        <v>24.67</v>
      </c>
      <c r="Y48" s="8">
        <v>4.2</v>
      </c>
      <c r="Z48" s="9">
        <v>2.4</v>
      </c>
      <c r="AA48" s="8">
        <v>7.9</v>
      </c>
      <c r="AB48" s="8">
        <v>10999</v>
      </c>
      <c r="AC48" s="21" t="s">
        <v>405</v>
      </c>
      <c r="AD48" s="8" t="s">
        <v>4066</v>
      </c>
      <c r="AE48" s="8" t="s">
        <v>4083</v>
      </c>
      <c r="AF48" s="9">
        <f t="shared" si="8"/>
        <v>33.18</v>
      </c>
      <c r="AG48" s="9">
        <f t="shared" si="9"/>
        <v>15.852666666666668</v>
      </c>
      <c r="AH48" s="9">
        <f t="shared" si="10"/>
        <v>0.17895976803189556</v>
      </c>
      <c r="AI48" s="9">
        <f t="shared" si="11"/>
        <v>3.2026598574029869E-2</v>
      </c>
      <c r="AJ48" s="9">
        <f t="shared" si="12"/>
        <v>0.17207366765169071</v>
      </c>
      <c r="AK48" s="9">
        <f t="shared" si="13"/>
        <v>2.960934709910451E-2</v>
      </c>
      <c r="AL48" s="9">
        <f t="shared" si="14"/>
        <v>0.10667484092897728</v>
      </c>
      <c r="AM48" s="9">
        <f t="shared" si="15"/>
        <v>1.1379521687222605E-2</v>
      </c>
      <c r="AN48" s="8" t="s">
        <v>405</v>
      </c>
    </row>
    <row r="49" spans="13:40" ht="23">
      <c r="M49" s="8" t="s">
        <v>635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8" t="s">
        <v>635</v>
      </c>
      <c r="X49" s="8">
        <v>30</v>
      </c>
      <c r="Y49" s="8">
        <v>6.11</v>
      </c>
      <c r="Z49" s="9">
        <v>6.2</v>
      </c>
      <c r="AA49" s="8">
        <v>7.4</v>
      </c>
      <c r="AB49" s="8">
        <v>10399</v>
      </c>
      <c r="AC49" s="21" t="s">
        <v>635</v>
      </c>
      <c r="AD49" s="8" t="s">
        <v>4066</v>
      </c>
      <c r="AE49" s="8" t="s">
        <v>4083</v>
      </c>
      <c r="AF49" s="9">
        <f t="shared" si="8"/>
        <v>45.214000000000006</v>
      </c>
      <c r="AG49" s="9">
        <f t="shared" si="9"/>
        <v>44.424666666666667</v>
      </c>
      <c r="AH49" s="9">
        <f t="shared" si="10"/>
        <v>0.16763320043494015</v>
      </c>
      <c r="AI49" s="9">
        <f t="shared" si="11"/>
        <v>2.810088988806082E-2</v>
      </c>
      <c r="AJ49" s="9">
        <f t="shared" si="12"/>
        <v>0.23448278508750889</v>
      </c>
      <c r="AK49" s="9">
        <f t="shared" si="13"/>
        <v>5.4982176502394883E-2</v>
      </c>
      <c r="AL49" s="9">
        <f t="shared" si="14"/>
        <v>0.29893987867379868</v>
      </c>
      <c r="AM49" s="9">
        <f t="shared" si="15"/>
        <v>8.9365051061505468E-2</v>
      </c>
      <c r="AN49" s="8" t="s">
        <v>635</v>
      </c>
    </row>
    <row r="50" spans="13:40" ht="23">
      <c r="M50" s="8" t="s">
        <v>1235</v>
      </c>
      <c r="N50" s="8" t="s">
        <v>150</v>
      </c>
      <c r="O50" s="8"/>
      <c r="P50" s="8"/>
      <c r="Q50" s="8"/>
      <c r="R50" s="8"/>
      <c r="S50" s="8"/>
      <c r="T50" s="8"/>
      <c r="U50" s="8"/>
      <c r="V50" s="8"/>
      <c r="W50" s="8" t="s">
        <v>1235</v>
      </c>
      <c r="X50" s="8">
        <v>28.9</v>
      </c>
      <c r="Y50" s="8">
        <v>3.74</v>
      </c>
      <c r="Z50" s="9">
        <v>3.11</v>
      </c>
      <c r="AA50" s="8">
        <v>7.3</v>
      </c>
      <c r="AB50" s="8">
        <v>14927</v>
      </c>
      <c r="AC50" s="21" t="s">
        <v>1235</v>
      </c>
      <c r="AD50" s="8" t="s">
        <v>4066</v>
      </c>
      <c r="AE50" s="8" t="s">
        <v>4083</v>
      </c>
      <c r="AF50" s="9">
        <f t="shared" si="8"/>
        <v>27.302</v>
      </c>
      <c r="AG50" s="9">
        <f t="shared" si="9"/>
        <v>23.23833333333333</v>
      </c>
      <c r="AH50" s="9">
        <f t="shared" si="10"/>
        <v>0.16536788691554907</v>
      </c>
      <c r="AI50" s="9">
        <f t="shared" si="11"/>
        <v>2.7346538022913827E-2</v>
      </c>
      <c r="AJ50" s="9">
        <f t="shared" si="12"/>
        <v>0.14158997209844665</v>
      </c>
      <c r="AK50" s="9">
        <f t="shared" si="13"/>
        <v>2.0047720198838902E-2</v>
      </c>
      <c r="AL50" s="9">
        <f t="shared" si="14"/>
        <v>0.15637403876032738</v>
      </c>
      <c r="AM50" s="9">
        <f t="shared" si="15"/>
        <v>2.4452839998216368E-2</v>
      </c>
      <c r="AN50" s="8" t="s">
        <v>1235</v>
      </c>
    </row>
    <row r="51" spans="13:40" ht="23">
      <c r="M51" s="9" t="s">
        <v>3065</v>
      </c>
      <c r="N51" s="8" t="s">
        <v>1814</v>
      </c>
      <c r="O51" s="8"/>
      <c r="P51" s="8" t="s">
        <v>3691</v>
      </c>
      <c r="Q51" s="8"/>
      <c r="R51" s="8"/>
      <c r="S51" s="8"/>
      <c r="T51" s="8"/>
      <c r="U51" s="8"/>
      <c r="V51" s="8"/>
      <c r="W51" s="9" t="s">
        <v>3065</v>
      </c>
      <c r="X51" s="8">
        <v>28.87</v>
      </c>
      <c r="Y51" s="8">
        <v>3.66</v>
      </c>
      <c r="Z51" s="9">
        <v>4.34</v>
      </c>
      <c r="AA51" s="8">
        <v>6.6</v>
      </c>
      <c r="AB51" s="8">
        <v>18588</v>
      </c>
      <c r="AC51" s="22" t="s">
        <v>3065</v>
      </c>
      <c r="AD51" s="8" t="s">
        <v>4066</v>
      </c>
      <c r="AE51" s="8" t="s">
        <v>4083</v>
      </c>
      <c r="AF51" s="9">
        <f t="shared" si="8"/>
        <v>24.155999999999999</v>
      </c>
      <c r="AG51" s="9">
        <f t="shared" si="9"/>
        <v>30.139999999999997</v>
      </c>
      <c r="AH51" s="9">
        <f t="shared" si="10"/>
        <v>0.14951069227981148</v>
      </c>
      <c r="AI51" s="9">
        <f t="shared" si="11"/>
        <v>2.235344710598848E-2</v>
      </c>
      <c r="AJ51" s="9">
        <f t="shared" si="12"/>
        <v>0.12527460867372636</v>
      </c>
      <c r="AK51" s="9">
        <f t="shared" si="13"/>
        <v>1.5693727578355278E-2</v>
      </c>
      <c r="AL51" s="9">
        <f t="shared" si="14"/>
        <v>0.20281633199037227</v>
      </c>
      <c r="AM51" s="9">
        <f t="shared" si="15"/>
        <v>4.1134464522028902E-2</v>
      </c>
      <c r="AN51" s="9" t="s">
        <v>3065</v>
      </c>
    </row>
    <row r="52" spans="13:40" ht="23">
      <c r="M52" s="9" t="s">
        <v>3276</v>
      </c>
      <c r="N52" s="8" t="s">
        <v>1939</v>
      </c>
      <c r="O52" s="8"/>
      <c r="P52" s="8"/>
      <c r="Q52" s="8"/>
      <c r="R52" s="8"/>
      <c r="S52" s="8"/>
      <c r="T52" s="8"/>
      <c r="U52" s="8"/>
      <c r="V52" s="8"/>
      <c r="W52" s="9" t="s">
        <v>3276</v>
      </c>
      <c r="X52" s="8">
        <v>33.31</v>
      </c>
      <c r="Y52" s="8">
        <v>2.52</v>
      </c>
      <c r="Z52" s="9">
        <v>1.06</v>
      </c>
      <c r="AA52" s="8">
        <v>6.5</v>
      </c>
      <c r="AB52" s="8">
        <v>17634</v>
      </c>
      <c r="AC52" s="22" t="s">
        <v>3276</v>
      </c>
      <c r="AD52" s="8" t="s">
        <v>4066</v>
      </c>
      <c r="AE52" s="8" t="s">
        <v>4083</v>
      </c>
      <c r="AF52" s="9">
        <f t="shared" si="8"/>
        <v>16.38</v>
      </c>
      <c r="AG52" s="9">
        <f t="shared" si="9"/>
        <v>7.15</v>
      </c>
      <c r="AH52" s="9">
        <f t="shared" si="10"/>
        <v>0.1472453787604204</v>
      </c>
      <c r="AI52" s="9">
        <f t="shared" si="11"/>
        <v>2.1681201566299664E-2</v>
      </c>
      <c r="AJ52" s="9">
        <f t="shared" si="12"/>
        <v>8.4947759979948578E-2</v>
      </c>
      <c r="AK52" s="9">
        <f t="shared" si="13"/>
        <v>7.2161219256109532E-3</v>
      </c>
      <c r="AL52" s="9">
        <f t="shared" si="14"/>
        <v>4.8113363428372989E-2</v>
      </c>
      <c r="AM52" s="9">
        <f t="shared" si="15"/>
        <v>2.3148957403906992E-3</v>
      </c>
      <c r="AN52" s="9" t="s">
        <v>3276</v>
      </c>
    </row>
    <row r="53" spans="13:40" ht="23">
      <c r="M53" s="8" t="s">
        <v>1861</v>
      </c>
      <c r="N53" s="8" t="s">
        <v>1814</v>
      </c>
      <c r="O53" s="8"/>
      <c r="P53" s="8"/>
      <c r="Q53" s="8"/>
      <c r="R53" s="8"/>
      <c r="S53" s="8"/>
      <c r="T53" s="8"/>
      <c r="U53" s="8"/>
      <c r="V53" s="8"/>
      <c r="W53" s="8" t="s">
        <v>1861</v>
      </c>
      <c r="X53" s="8">
        <v>29.22</v>
      </c>
      <c r="Y53" s="8">
        <v>3.01</v>
      </c>
      <c r="Z53" s="9">
        <v>1.22</v>
      </c>
      <c r="AA53" s="8">
        <v>6</v>
      </c>
      <c r="AB53" s="8">
        <v>15830</v>
      </c>
      <c r="AC53" s="21" t="s">
        <v>1861</v>
      </c>
      <c r="AD53" s="8" t="s">
        <v>4066</v>
      </c>
      <c r="AE53" s="8" t="s">
        <v>4083</v>
      </c>
      <c r="AF53" s="9">
        <f t="shared" si="8"/>
        <v>18.059999999999999</v>
      </c>
      <c r="AG53" s="9">
        <f t="shared" si="9"/>
        <v>8.1999999999999993</v>
      </c>
      <c r="AH53" s="9">
        <f t="shared" si="10"/>
        <v>0.13591881116346496</v>
      </c>
      <c r="AI53" s="9">
        <f t="shared" si="11"/>
        <v>1.8473923228089648E-2</v>
      </c>
      <c r="AJ53" s="9">
        <f t="shared" si="12"/>
        <v>9.3660350747122798E-2</v>
      </c>
      <c r="AK53" s="9">
        <f t="shared" si="13"/>
        <v>8.7722613020740654E-3</v>
      </c>
      <c r="AL53" s="9">
        <f t="shared" si="14"/>
        <v>5.5178962253518669E-2</v>
      </c>
      <c r="AM53" s="9">
        <f t="shared" si="15"/>
        <v>3.0447178753752382E-3</v>
      </c>
      <c r="AN53" s="8" t="s">
        <v>1861</v>
      </c>
    </row>
    <row r="54" spans="13:40" ht="23">
      <c r="M54" s="9" t="s">
        <v>2840</v>
      </c>
      <c r="N54" s="8" t="s">
        <v>1614</v>
      </c>
      <c r="O54" s="8"/>
      <c r="P54" s="8"/>
      <c r="Q54" s="8"/>
      <c r="R54" s="8"/>
      <c r="S54" s="8"/>
      <c r="T54" s="8"/>
      <c r="U54" s="8"/>
      <c r="V54" s="8"/>
      <c r="W54" s="9" t="s">
        <v>2840</v>
      </c>
      <c r="X54" s="8">
        <v>40.1</v>
      </c>
      <c r="Y54" s="8">
        <v>3.24</v>
      </c>
      <c r="Z54" s="9">
        <v>2.13</v>
      </c>
      <c r="AA54" s="8">
        <v>5.9</v>
      </c>
      <c r="AB54" s="8">
        <v>18401</v>
      </c>
      <c r="AC54" s="22" t="s">
        <v>2840</v>
      </c>
      <c r="AD54" s="8" t="s">
        <v>4066</v>
      </c>
      <c r="AE54" s="8" t="s">
        <v>4083</v>
      </c>
      <c r="AF54" s="9">
        <f t="shared" si="8"/>
        <v>19.116000000000003</v>
      </c>
      <c r="AG54" s="9">
        <f t="shared" si="9"/>
        <v>13.078333333333335</v>
      </c>
      <c r="AH54" s="9">
        <f t="shared" si="10"/>
        <v>0.13365349764407392</v>
      </c>
      <c r="AI54" s="9">
        <f t="shared" si="11"/>
        <v>1.7863257432494471E-2</v>
      </c>
      <c r="AJ54" s="9">
        <f t="shared" si="12"/>
        <v>9.913683637220376E-2</v>
      </c>
      <c r="AK54" s="9">
        <f t="shared" si="13"/>
        <v>9.8281123258891021E-3</v>
      </c>
      <c r="AL54" s="9">
        <f t="shared" si="14"/>
        <v>8.8005958699870143E-2</v>
      </c>
      <c r="AM54" s="9">
        <f t="shared" si="15"/>
        <v>7.745048766683249E-3</v>
      </c>
      <c r="AN54" s="9" t="s">
        <v>2840</v>
      </c>
    </row>
    <row r="55" spans="13:40" ht="23">
      <c r="M55" s="9" t="s">
        <v>3636</v>
      </c>
      <c r="N55" s="8" t="s">
        <v>2100</v>
      </c>
      <c r="O55" s="8"/>
      <c r="P55" s="8"/>
      <c r="Q55" s="8"/>
      <c r="R55" s="8"/>
      <c r="S55" s="8"/>
      <c r="T55" s="8"/>
      <c r="U55" s="8"/>
      <c r="V55" s="8"/>
      <c r="W55" s="9" t="s">
        <v>3636</v>
      </c>
      <c r="X55" s="8">
        <v>7.28</v>
      </c>
      <c r="Y55" s="8">
        <v>4.62</v>
      </c>
      <c r="Z55" s="9">
        <v>0.03</v>
      </c>
      <c r="AA55" s="8">
        <v>5.9</v>
      </c>
      <c r="AB55" s="8">
        <v>107974</v>
      </c>
      <c r="AC55" s="22" t="s">
        <v>3636</v>
      </c>
      <c r="AD55" s="8" t="s">
        <v>4066</v>
      </c>
      <c r="AE55" s="8" t="s">
        <v>4083</v>
      </c>
      <c r="AF55" s="9">
        <f t="shared" si="8"/>
        <v>27.258000000000003</v>
      </c>
      <c r="AG55" s="9">
        <f t="shared" si="9"/>
        <v>0.29500000000000004</v>
      </c>
      <c r="AH55" s="9">
        <f t="shared" si="10"/>
        <v>0.13365349764407392</v>
      </c>
      <c r="AI55" s="9">
        <f t="shared" si="11"/>
        <v>1.7863257432494471E-2</v>
      </c>
      <c r="AJ55" s="9">
        <f t="shared" si="12"/>
        <v>0.14136178519740164</v>
      </c>
      <c r="AK55" s="9">
        <f t="shared" si="13"/>
        <v>1.9983154314196321E-2</v>
      </c>
      <c r="AL55" s="9">
        <f t="shared" si="14"/>
        <v>1.9850968127790259E-3</v>
      </c>
      <c r="AM55" s="9">
        <f t="shared" si="15"/>
        <v>3.9406093561054468E-6</v>
      </c>
      <c r="AN55" s="9" t="s">
        <v>3636</v>
      </c>
    </row>
    <row r="56" spans="13:40" ht="23">
      <c r="M56" s="9" t="s">
        <v>3104</v>
      </c>
      <c r="N56" s="8" t="s">
        <v>1814</v>
      </c>
      <c r="O56" s="8"/>
      <c r="P56" s="8" t="s">
        <v>3691</v>
      </c>
      <c r="Q56" s="8"/>
      <c r="R56" s="8"/>
      <c r="S56" s="8"/>
      <c r="T56" s="8"/>
      <c r="U56" s="8"/>
      <c r="V56" s="8"/>
      <c r="W56" s="9" t="s">
        <v>3104</v>
      </c>
      <c r="X56" s="8">
        <v>20.51</v>
      </c>
      <c r="Y56" s="8">
        <v>4.1500000000000004</v>
      </c>
      <c r="Z56" s="9">
        <v>2.58</v>
      </c>
      <c r="AA56" s="8">
        <v>5.7</v>
      </c>
      <c r="AB56" s="8">
        <v>17090</v>
      </c>
      <c r="AC56" s="22" t="s">
        <v>3104</v>
      </c>
      <c r="AD56" s="8" t="s">
        <v>4066</v>
      </c>
      <c r="AE56" s="8" t="s">
        <v>4083</v>
      </c>
      <c r="AF56" s="9">
        <f t="shared" si="8"/>
        <v>23.655000000000001</v>
      </c>
      <c r="AG56" s="9">
        <f t="shared" si="9"/>
        <v>16.91</v>
      </c>
      <c r="AH56" s="9">
        <f t="shared" si="10"/>
        <v>0.12912287060529173</v>
      </c>
      <c r="AI56" s="9">
        <f t="shared" si="11"/>
        <v>1.6672715713350911E-2</v>
      </c>
      <c r="AJ56" s="9">
        <f t="shared" si="12"/>
        <v>0.12267638964137265</v>
      </c>
      <c r="AK56" s="9">
        <f t="shared" si="13"/>
        <v>1.5049496575441882E-2</v>
      </c>
      <c r="AL56" s="9">
        <f t="shared" si="14"/>
        <v>0.11378978679353667</v>
      </c>
      <c r="AM56" s="9">
        <f t="shared" si="15"/>
        <v>1.2948115578518533E-2</v>
      </c>
      <c r="AN56" s="9" t="s">
        <v>3104</v>
      </c>
    </row>
    <row r="57" spans="13:40" ht="23">
      <c r="M57" s="8" t="s">
        <v>1839</v>
      </c>
      <c r="N57" s="8" t="s">
        <v>1814</v>
      </c>
      <c r="O57" s="8"/>
      <c r="P57" s="8" t="s">
        <v>3691</v>
      </c>
      <c r="Q57" s="8"/>
      <c r="R57" s="8"/>
      <c r="S57" s="8"/>
      <c r="T57" s="8"/>
      <c r="U57" s="8"/>
      <c r="V57" s="8"/>
      <c r="W57" s="8" t="s">
        <v>1839</v>
      </c>
      <c r="X57" s="8">
        <v>29.98</v>
      </c>
      <c r="Y57" s="8">
        <v>2.46</v>
      </c>
      <c r="Z57" s="9">
        <v>2.0499999999999998</v>
      </c>
      <c r="AA57" s="8">
        <v>5.5</v>
      </c>
      <c r="AB57" s="8">
        <v>20078</v>
      </c>
      <c r="AC57" s="21" t="s">
        <v>1839</v>
      </c>
      <c r="AD57" s="8" t="s">
        <v>4066</v>
      </c>
      <c r="AE57" s="8" t="s">
        <v>4083</v>
      </c>
      <c r="AF57" s="9">
        <f t="shared" si="8"/>
        <v>13.53</v>
      </c>
      <c r="AG57" s="9">
        <f t="shared" si="9"/>
        <v>11.458333333333334</v>
      </c>
      <c r="AH57" s="9">
        <f t="shared" si="10"/>
        <v>0.12459224356650955</v>
      </c>
      <c r="AI57" s="9">
        <f t="shared" si="11"/>
        <v>1.5523227156936442E-2</v>
      </c>
      <c r="AJ57" s="9">
        <f t="shared" si="12"/>
        <v>7.0167472071349463E-2</v>
      </c>
      <c r="AK57" s="9">
        <f t="shared" si="13"/>
        <v>4.9234741368836066E-3</v>
      </c>
      <c r="AL57" s="9">
        <f t="shared" si="14"/>
        <v>7.7104749083931085E-2</v>
      </c>
      <c r="AM57" s="9">
        <f t="shared" si="15"/>
        <v>5.9451423312959712E-3</v>
      </c>
      <c r="AN57" s="8" t="s">
        <v>1839</v>
      </c>
    </row>
    <row r="58" spans="13:40" ht="23">
      <c r="M58" s="8" t="s">
        <v>1617</v>
      </c>
      <c r="N58" s="8" t="s">
        <v>1614</v>
      </c>
      <c r="O58" s="8"/>
      <c r="P58" s="8"/>
      <c r="Q58" s="8"/>
      <c r="R58" s="8"/>
      <c r="S58" s="8"/>
      <c r="T58" s="8"/>
      <c r="U58" s="8"/>
      <c r="V58" s="8"/>
      <c r="W58" s="8" t="s">
        <v>1617</v>
      </c>
      <c r="X58" s="8">
        <v>24.87</v>
      </c>
      <c r="Y58" s="8">
        <v>3.41</v>
      </c>
      <c r="Z58" s="9">
        <v>3.09</v>
      </c>
      <c r="AA58" s="8">
        <v>5.4</v>
      </c>
      <c r="AB58" s="8">
        <v>17105</v>
      </c>
      <c r="AC58" s="21" t="s">
        <v>1617</v>
      </c>
      <c r="AD58" s="8" t="s">
        <v>4066</v>
      </c>
      <c r="AE58" s="8" t="s">
        <v>4083</v>
      </c>
      <c r="AF58" s="9">
        <f t="shared" si="8"/>
        <v>18.414000000000001</v>
      </c>
      <c r="AG58" s="9">
        <f t="shared" si="9"/>
        <v>17.010000000000002</v>
      </c>
      <c r="AH58" s="9">
        <f t="shared" si="10"/>
        <v>0.12232693004711849</v>
      </c>
      <c r="AI58" s="9">
        <f t="shared" si="11"/>
        <v>1.496387781475262E-2</v>
      </c>
      <c r="AJ58" s="9">
        <f t="shared" si="12"/>
        <v>9.5496218087348803E-2</v>
      </c>
      <c r="AK58" s="9">
        <f t="shared" si="13"/>
        <v>9.1195276689864848E-3</v>
      </c>
      <c r="AL58" s="9">
        <f t="shared" si="14"/>
        <v>0.11446270096736007</v>
      </c>
      <c r="AM58" s="9">
        <f t="shared" si="15"/>
        <v>1.3101709912743292E-2</v>
      </c>
      <c r="AN58" s="8" t="s">
        <v>1617</v>
      </c>
    </row>
    <row r="59" spans="13:40" ht="23">
      <c r="M59" s="8" t="s">
        <v>170</v>
      </c>
      <c r="N59" s="8" t="s">
        <v>150</v>
      </c>
      <c r="O59" s="8"/>
      <c r="P59" s="8"/>
      <c r="Q59" s="8"/>
      <c r="R59" s="8"/>
      <c r="S59" s="8"/>
      <c r="T59" s="8"/>
      <c r="U59" s="8"/>
      <c r="V59" s="8"/>
      <c r="W59" s="8" t="s">
        <v>170</v>
      </c>
      <c r="X59" s="8">
        <v>25.83</v>
      </c>
      <c r="Y59" s="8">
        <v>5.03</v>
      </c>
      <c r="Z59" s="9">
        <v>6.35</v>
      </c>
      <c r="AA59" s="8">
        <v>5.2</v>
      </c>
      <c r="AB59" s="8">
        <v>15121</v>
      </c>
      <c r="AC59" s="21" t="s">
        <v>170</v>
      </c>
      <c r="AD59" s="8" t="s">
        <v>4066</v>
      </c>
      <c r="AE59" s="8" t="s">
        <v>4083</v>
      </c>
      <c r="AF59" s="9">
        <f t="shared" si="8"/>
        <v>26.156000000000002</v>
      </c>
      <c r="AG59" s="9">
        <f t="shared" si="9"/>
        <v>34.233333333333334</v>
      </c>
      <c r="AH59" s="9">
        <f t="shared" si="10"/>
        <v>0.11779630300833632</v>
      </c>
      <c r="AI59" s="9">
        <f t="shared" si="11"/>
        <v>1.3875969002431786E-2</v>
      </c>
      <c r="AJ59" s="9">
        <f t="shared" si="12"/>
        <v>0.13564674053940998</v>
      </c>
      <c r="AK59" s="9">
        <f t="shared" si="13"/>
        <v>1.8400038218966009E-2</v>
      </c>
      <c r="AL59" s="9">
        <f t="shared" si="14"/>
        <v>0.23036095217221006</v>
      </c>
      <c r="AM59" s="9">
        <f t="shared" si="15"/>
        <v>5.3066168285687249E-2</v>
      </c>
      <c r="AN59" s="8" t="s">
        <v>170</v>
      </c>
    </row>
    <row r="60" spans="13:40" ht="23">
      <c r="M60" s="8" t="s">
        <v>2078</v>
      </c>
      <c r="N60" s="8" t="s">
        <v>2074</v>
      </c>
      <c r="O60" s="8"/>
      <c r="P60" s="8"/>
      <c r="Q60" s="8"/>
      <c r="R60" s="8"/>
      <c r="S60" s="8"/>
      <c r="T60" s="8"/>
      <c r="U60" s="8"/>
      <c r="V60" s="8"/>
      <c r="W60" s="8" t="s">
        <v>2078</v>
      </c>
      <c r="X60" s="8">
        <v>31.19</v>
      </c>
      <c r="Y60" s="8">
        <v>3.14</v>
      </c>
      <c r="Z60" s="9">
        <v>2.35</v>
      </c>
      <c r="AA60" s="8">
        <v>5.2</v>
      </c>
      <c r="AB60" s="8">
        <v>17793</v>
      </c>
      <c r="AC60" s="21" t="s">
        <v>2078</v>
      </c>
      <c r="AD60" s="8" t="s">
        <v>4066</v>
      </c>
      <c r="AE60" s="8" t="s">
        <v>4083</v>
      </c>
      <c r="AF60" s="9">
        <f t="shared" si="8"/>
        <v>16.328000000000003</v>
      </c>
      <c r="AG60" s="9">
        <f t="shared" si="9"/>
        <v>13.433333333333335</v>
      </c>
      <c r="AH60" s="9">
        <f t="shared" si="10"/>
        <v>0.11779630300833632</v>
      </c>
      <c r="AI60" s="9">
        <f t="shared" si="11"/>
        <v>1.3875969002431786E-2</v>
      </c>
      <c r="AJ60" s="9">
        <f t="shared" si="12"/>
        <v>8.4678084551440824E-2</v>
      </c>
      <c r="AK60" s="9">
        <f t="shared" si="13"/>
        <v>7.1703780033009609E-3</v>
      </c>
      <c r="AL60" s="9">
        <f t="shared" si="14"/>
        <v>9.0394804016943206E-2</v>
      </c>
      <c r="AM60" s="9">
        <f t="shared" si="15"/>
        <v>8.1712205932615717E-3</v>
      </c>
      <c r="AN60" s="8" t="s">
        <v>2078</v>
      </c>
    </row>
    <row r="61" spans="13:40" ht="23">
      <c r="M61" s="9" t="s">
        <v>3051</v>
      </c>
      <c r="N61" s="8" t="s">
        <v>1814</v>
      </c>
      <c r="O61" s="8"/>
      <c r="P61" s="8"/>
      <c r="Q61" s="8"/>
      <c r="R61" s="8"/>
      <c r="S61" s="8"/>
      <c r="T61" s="8"/>
      <c r="U61" s="8"/>
      <c r="V61" s="8"/>
      <c r="W61" s="9" t="s">
        <v>3051</v>
      </c>
      <c r="X61" s="8">
        <v>27.11</v>
      </c>
      <c r="Y61" s="8">
        <v>2.31</v>
      </c>
      <c r="Z61" s="9">
        <v>2.14</v>
      </c>
      <c r="AA61" s="8">
        <v>5.2</v>
      </c>
      <c r="AB61" s="8">
        <v>25552</v>
      </c>
      <c r="AC61" s="22" t="s">
        <v>3051</v>
      </c>
      <c r="AD61" s="8" t="s">
        <v>4066</v>
      </c>
      <c r="AE61" s="8" t="s">
        <v>4083</v>
      </c>
      <c r="AF61" s="9">
        <f t="shared" si="8"/>
        <v>12.012</v>
      </c>
      <c r="AG61" s="9">
        <f t="shared" si="9"/>
        <v>11.613333333333333</v>
      </c>
      <c r="AH61" s="9">
        <f t="shared" si="10"/>
        <v>0.11779630300833632</v>
      </c>
      <c r="AI61" s="9">
        <f t="shared" si="11"/>
        <v>1.3875969002431786E-2</v>
      </c>
      <c r="AJ61" s="9">
        <f t="shared" si="12"/>
        <v>6.2295023985295635E-2</v>
      </c>
      <c r="AK61" s="9">
        <f t="shared" si="13"/>
        <v>3.8806700133285584E-3</v>
      </c>
      <c r="AL61" s="9">
        <f t="shared" si="14"/>
        <v>7.814776605335734E-2</v>
      </c>
      <c r="AM61" s="9">
        <f t="shared" si="15"/>
        <v>6.1070733391302701E-3</v>
      </c>
      <c r="AN61" s="9" t="s">
        <v>3051</v>
      </c>
    </row>
    <row r="62" spans="13:40" ht="23">
      <c r="M62" s="8" t="s">
        <v>1763</v>
      </c>
      <c r="N62" s="8" t="s">
        <v>1717</v>
      </c>
      <c r="O62" s="8"/>
      <c r="P62" s="8" t="s">
        <v>3691</v>
      </c>
      <c r="Q62" s="8"/>
      <c r="R62" s="8"/>
      <c r="S62" s="8"/>
      <c r="T62" s="8"/>
      <c r="U62" s="8"/>
      <c r="V62" s="8"/>
      <c r="W62" s="8" t="s">
        <v>1763</v>
      </c>
      <c r="X62" s="8">
        <v>34.1</v>
      </c>
      <c r="Y62" s="8">
        <v>4.25</v>
      </c>
      <c r="Z62" s="9">
        <v>5.13</v>
      </c>
      <c r="AA62" s="8">
        <v>5</v>
      </c>
      <c r="AB62" s="8">
        <v>17287</v>
      </c>
      <c r="AC62" s="21" t="s">
        <v>1763</v>
      </c>
      <c r="AD62" s="8" t="s">
        <v>4066</v>
      </c>
      <c r="AE62" s="8" t="s">
        <v>4083</v>
      </c>
      <c r="AF62" s="9">
        <f t="shared" si="8"/>
        <v>21.25</v>
      </c>
      <c r="AG62" s="9">
        <f t="shared" si="9"/>
        <v>26.083333333333336</v>
      </c>
      <c r="AH62" s="9">
        <f t="shared" si="10"/>
        <v>0.11326567596955414</v>
      </c>
      <c r="AI62" s="9">
        <f t="shared" si="11"/>
        <v>1.2829113352840035E-2</v>
      </c>
      <c r="AJ62" s="9">
        <f t="shared" si="12"/>
        <v>0.11020390107288813</v>
      </c>
      <c r="AK62" s="9">
        <f t="shared" si="13"/>
        <v>1.2144899811682914E-2</v>
      </c>
      <c r="AL62" s="9">
        <f t="shared" si="14"/>
        <v>0.17551844700560312</v>
      </c>
      <c r="AM62" s="9">
        <f t="shared" si="15"/>
        <v>3.0806725239258714E-2</v>
      </c>
      <c r="AN62" s="8" t="s">
        <v>1763</v>
      </c>
    </row>
    <row r="63" spans="13:40" ht="23">
      <c r="M63" s="9" t="s">
        <v>2971</v>
      </c>
      <c r="N63" s="8" t="s">
        <v>1717</v>
      </c>
      <c r="O63" s="8"/>
      <c r="P63" s="8" t="s">
        <v>3691</v>
      </c>
      <c r="Q63" s="8"/>
      <c r="R63" s="8"/>
      <c r="S63" s="8"/>
      <c r="T63" s="8"/>
      <c r="U63" s="8"/>
      <c r="V63" s="8"/>
      <c r="W63" s="9" t="s">
        <v>2971</v>
      </c>
      <c r="X63" s="8">
        <v>23.73</v>
      </c>
      <c r="Y63" s="8">
        <v>12.32</v>
      </c>
      <c r="Z63" s="9">
        <v>13.15</v>
      </c>
      <c r="AA63" s="8">
        <v>4.9000000000000004</v>
      </c>
      <c r="AB63" s="8">
        <v>11316</v>
      </c>
      <c r="AC63" s="22" t="s">
        <v>2971</v>
      </c>
      <c r="AD63" s="8" t="s">
        <v>4066</v>
      </c>
      <c r="AE63" s="8" t="s">
        <v>4083</v>
      </c>
      <c r="AF63" s="9">
        <f t="shared" si="8"/>
        <v>60.368000000000009</v>
      </c>
      <c r="AG63" s="9">
        <f t="shared" si="9"/>
        <v>64.925000000000011</v>
      </c>
      <c r="AH63" s="9">
        <f t="shared" si="10"/>
        <v>0.11100036245016308</v>
      </c>
      <c r="AI63" s="9">
        <f t="shared" si="11"/>
        <v>1.2321080464067574E-2</v>
      </c>
      <c r="AJ63" s="9">
        <f t="shared" si="12"/>
        <v>0.3130724282337935</v>
      </c>
      <c r="AK63" s="9">
        <f t="shared" si="13"/>
        <v>9.8014345320203783E-2</v>
      </c>
      <c r="AL63" s="9">
        <f t="shared" si="14"/>
        <v>0.43688952735484149</v>
      </c>
      <c r="AM63" s="9">
        <f t="shared" si="15"/>
        <v>0.1908724591123368</v>
      </c>
      <c r="AN63" s="9" t="s">
        <v>2971</v>
      </c>
    </row>
    <row r="64" spans="13:40" ht="23">
      <c r="M64" s="8" t="s">
        <v>2075</v>
      </c>
      <c r="N64" s="8" t="s">
        <v>2074</v>
      </c>
      <c r="O64" s="8"/>
      <c r="P64" s="8"/>
      <c r="Q64" s="8"/>
      <c r="R64" s="8"/>
      <c r="S64" s="8"/>
      <c r="T64" s="8"/>
      <c r="U64" s="8"/>
      <c r="V64" s="8"/>
      <c r="W64" s="8" t="s">
        <v>2075</v>
      </c>
      <c r="X64" s="8">
        <v>21.24</v>
      </c>
      <c r="Y64" s="8">
        <v>3.73</v>
      </c>
      <c r="Z64" s="9">
        <v>5.49</v>
      </c>
      <c r="AA64" s="8">
        <v>4.9000000000000004</v>
      </c>
      <c r="AB64" s="8">
        <v>17668</v>
      </c>
      <c r="AC64" s="21" t="s">
        <v>2075</v>
      </c>
      <c r="AD64" s="8" t="s">
        <v>4066</v>
      </c>
      <c r="AE64" s="8" t="s">
        <v>4083</v>
      </c>
      <c r="AF64" s="9">
        <f t="shared" si="8"/>
        <v>18.277000000000001</v>
      </c>
      <c r="AG64" s="9">
        <f t="shared" si="9"/>
        <v>28.501666666666669</v>
      </c>
      <c r="AH64" s="9">
        <f t="shared" si="10"/>
        <v>0.11100036245016308</v>
      </c>
      <c r="AI64" s="9">
        <f t="shared" si="11"/>
        <v>1.2321080464067574E-2</v>
      </c>
      <c r="AJ64" s="9">
        <f t="shared" si="12"/>
        <v>9.4785727054549476E-2</v>
      </c>
      <c r="AK64" s="9">
        <f t="shared" si="13"/>
        <v>8.9843340532595531E-3</v>
      </c>
      <c r="AL64" s="9">
        <f t="shared" si="14"/>
        <v>0.19179175477589896</v>
      </c>
      <c r="AM64" s="9">
        <f t="shared" si="15"/>
        <v>3.6784077200018563E-2</v>
      </c>
      <c r="AN64" s="8" t="s">
        <v>2075</v>
      </c>
    </row>
    <row r="65" spans="13:40" ht="23">
      <c r="M65" s="9" t="s">
        <v>3183</v>
      </c>
      <c r="N65" s="8" t="s">
        <v>1869</v>
      </c>
      <c r="O65" s="8"/>
      <c r="P65" s="8"/>
      <c r="Q65" s="8"/>
      <c r="R65" s="8"/>
      <c r="S65" s="8"/>
      <c r="T65" s="8"/>
      <c r="U65" s="8"/>
      <c r="V65" s="8"/>
      <c r="W65" s="9" t="s">
        <v>3183</v>
      </c>
      <c r="X65" s="8">
        <v>25.41</v>
      </c>
      <c r="Y65" s="8">
        <v>3.15</v>
      </c>
      <c r="Z65" s="9">
        <v>3.23</v>
      </c>
      <c r="AA65" s="8">
        <v>4.4000000000000004</v>
      </c>
      <c r="AB65" s="8">
        <v>21901</v>
      </c>
      <c r="AC65" s="22" t="s">
        <v>3183</v>
      </c>
      <c r="AD65" s="8" t="s">
        <v>4066</v>
      </c>
      <c r="AE65" s="8" t="s">
        <v>4083</v>
      </c>
      <c r="AF65" s="9">
        <f t="shared" si="8"/>
        <v>13.860000000000001</v>
      </c>
      <c r="AG65" s="9">
        <f t="shared" si="9"/>
        <v>14.886666666666668</v>
      </c>
      <c r="AH65" s="9">
        <f t="shared" si="10"/>
        <v>9.9673794853207653E-2</v>
      </c>
      <c r="AI65" s="9">
        <f t="shared" si="11"/>
        <v>9.9348653804393252E-3</v>
      </c>
      <c r="AJ65" s="9">
        <f t="shared" si="12"/>
        <v>7.187887382918727E-2</v>
      </c>
      <c r="AK65" s="9">
        <f t="shared" si="13"/>
        <v>5.1665725029522228E-3</v>
      </c>
      <c r="AL65" s="9">
        <f t="shared" si="14"/>
        <v>0.10017449000984326</v>
      </c>
      <c r="AM65" s="9">
        <f t="shared" si="15"/>
        <v>1.0034928448732187E-2</v>
      </c>
      <c r="AN65" s="9" t="s">
        <v>3183</v>
      </c>
    </row>
    <row r="66" spans="13:40" ht="23">
      <c r="M66" s="9" t="s">
        <v>2429</v>
      </c>
      <c r="N66" s="8" t="s">
        <v>150</v>
      </c>
      <c r="O66" s="8"/>
      <c r="P66" s="8" t="s">
        <v>3691</v>
      </c>
      <c r="Q66" s="8"/>
      <c r="R66" s="8"/>
      <c r="S66" s="8"/>
      <c r="T66" s="8"/>
      <c r="U66" s="8"/>
      <c r="V66" s="8"/>
      <c r="W66" s="9" t="s">
        <v>2429</v>
      </c>
      <c r="X66" s="8">
        <v>20.190000000000001</v>
      </c>
      <c r="Y66" s="8">
        <v>5.97</v>
      </c>
      <c r="Z66" s="9">
        <v>6.55</v>
      </c>
      <c r="AA66" s="8">
        <v>4.0999999999999996</v>
      </c>
      <c r="AB66" s="8">
        <v>24600</v>
      </c>
      <c r="AC66" s="22" t="s">
        <v>2429</v>
      </c>
      <c r="AD66" s="8" t="s">
        <v>4137</v>
      </c>
      <c r="AE66" s="8" t="s">
        <v>4083</v>
      </c>
      <c r="AF66" s="9">
        <f t="shared" ref="AF66:AF99" si="16">(AA66*Y66)</f>
        <v>24.476999999999997</v>
      </c>
      <c r="AG66" s="9">
        <f t="shared" ref="AG66:AG99" si="17">((((RIGHT(Z66,2))/60)+(LEFT(Z66,2)))*AA66)</f>
        <v>28.358333333333331</v>
      </c>
      <c r="AH66" s="9">
        <f t="shared" ref="AH66:AH99" si="18">(AA66/$AA$100)*100</f>
        <v>9.2877854295034395E-2</v>
      </c>
      <c r="AI66" s="9">
        <f t="shared" ref="AI66:AI97" si="19">(AH66*AH66)</f>
        <v>8.6262958184496388E-3</v>
      </c>
      <c r="AJ66" s="9">
        <f t="shared" ref="AJ66:AJ99" si="20">(AF66/$AF$100)*100</f>
        <v>0.12693933583816858</v>
      </c>
      <c r="AK66" s="9">
        <f t="shared" ref="AK66:AK97" si="21">(AJ66*AJ66)</f>
        <v>1.6113594983035349E-2</v>
      </c>
      <c r="AL66" s="9">
        <f t="shared" ref="AL66:AL99" si="22">(AG66/$AG$100)*100</f>
        <v>0.19082724446008539</v>
      </c>
      <c r="AM66" s="9">
        <f t="shared" ref="AM66:AM97" si="23">(AL66*AL66)</f>
        <v>3.641503722822919E-2</v>
      </c>
      <c r="AN66" s="9" t="s">
        <v>2429</v>
      </c>
    </row>
    <row r="67" spans="13:40" ht="23">
      <c r="M67" s="8" t="s">
        <v>1835</v>
      </c>
      <c r="N67" s="8" t="s">
        <v>1814</v>
      </c>
      <c r="O67" s="8"/>
      <c r="P67" s="8"/>
      <c r="Q67" s="8"/>
      <c r="R67" s="8"/>
      <c r="S67" s="8"/>
      <c r="T67" s="8"/>
      <c r="U67" s="8"/>
      <c r="V67" s="8"/>
      <c r="W67" s="8" t="s">
        <v>1835</v>
      </c>
      <c r="X67" s="8">
        <v>30.43</v>
      </c>
      <c r="Y67" s="8">
        <v>2.73</v>
      </c>
      <c r="Z67" s="9">
        <v>2.0699999999999998</v>
      </c>
      <c r="AA67" s="8">
        <v>4</v>
      </c>
      <c r="AB67" s="8">
        <v>25533</v>
      </c>
      <c r="AC67" s="21" t="s">
        <v>1835</v>
      </c>
      <c r="AD67" s="8" t="s">
        <v>4066</v>
      </c>
      <c r="AE67" s="8" t="s">
        <v>4083</v>
      </c>
      <c r="AF67" s="9">
        <f t="shared" si="16"/>
        <v>10.92</v>
      </c>
      <c r="AG67" s="9">
        <f t="shared" si="17"/>
        <v>8.4666666666666668</v>
      </c>
      <c r="AH67" s="9">
        <f t="shared" si="18"/>
        <v>9.0612540775643319E-2</v>
      </c>
      <c r="AI67" s="9">
        <f t="shared" si="19"/>
        <v>8.2106325458176227E-3</v>
      </c>
      <c r="AJ67" s="9">
        <f t="shared" si="20"/>
        <v>5.663183998663239E-2</v>
      </c>
      <c r="AK67" s="9">
        <f t="shared" si="21"/>
        <v>3.2071653002715352E-3</v>
      </c>
      <c r="AL67" s="9">
        <f t="shared" si="22"/>
        <v>5.6973400050381068E-2</v>
      </c>
      <c r="AM67" s="9">
        <f t="shared" si="23"/>
        <v>3.2459683133007613E-3</v>
      </c>
      <c r="AN67" s="8" t="s">
        <v>1835</v>
      </c>
    </row>
    <row r="68" spans="13:40" ht="23">
      <c r="M68" s="8" t="s">
        <v>4998</v>
      </c>
      <c r="N68" s="8" t="s">
        <v>1717</v>
      </c>
      <c r="O68" s="8"/>
      <c r="P68" s="8"/>
      <c r="Q68" s="8"/>
      <c r="R68" s="8"/>
      <c r="S68" s="8"/>
      <c r="T68" s="8"/>
      <c r="U68" s="8"/>
      <c r="V68" s="8"/>
      <c r="W68" s="8" t="s">
        <v>4998</v>
      </c>
      <c r="X68" s="8">
        <v>53.73</v>
      </c>
      <c r="Y68" s="8">
        <v>1.58</v>
      </c>
      <c r="Z68" s="9">
        <v>0.09</v>
      </c>
      <c r="AA68" s="8">
        <v>3.7</v>
      </c>
      <c r="AB68" s="8">
        <v>33958</v>
      </c>
      <c r="AC68" s="21" t="s">
        <v>4998</v>
      </c>
      <c r="AD68" s="8" t="s">
        <v>4066</v>
      </c>
      <c r="AE68" s="8" t="s">
        <v>4083</v>
      </c>
      <c r="AF68" s="9">
        <f t="shared" si="16"/>
        <v>5.846000000000001</v>
      </c>
      <c r="AG68" s="9">
        <f t="shared" si="17"/>
        <v>0.55500000000000005</v>
      </c>
      <c r="AH68" s="9">
        <f t="shared" si="18"/>
        <v>8.3816600217470075E-2</v>
      </c>
      <c r="AI68" s="9">
        <f t="shared" si="19"/>
        <v>7.0252224720152049E-3</v>
      </c>
      <c r="AJ68" s="9">
        <f t="shared" si="20"/>
        <v>3.031774144339313E-2</v>
      </c>
      <c r="AK68" s="9">
        <f t="shared" si="21"/>
        <v>9.1916544622843734E-4</v>
      </c>
      <c r="AL68" s="9">
        <f t="shared" si="22"/>
        <v>3.7346736647198616E-3</v>
      </c>
      <c r="AM68" s="9">
        <f t="shared" si="23"/>
        <v>1.3947787381952081E-5</v>
      </c>
      <c r="AN68" s="8" t="s">
        <v>4998</v>
      </c>
    </row>
    <row r="69" spans="13:40" ht="23">
      <c r="M69" s="8" t="s">
        <v>901</v>
      </c>
      <c r="N69" s="8" t="s">
        <v>150</v>
      </c>
      <c r="O69" s="8"/>
      <c r="P69" s="8"/>
      <c r="Q69" s="8"/>
      <c r="R69" s="8"/>
      <c r="S69" s="8"/>
      <c r="T69" s="8"/>
      <c r="U69" s="8"/>
      <c r="V69" s="8"/>
      <c r="W69" s="8" t="s">
        <v>901</v>
      </c>
      <c r="X69" s="8">
        <v>38.97</v>
      </c>
      <c r="Y69" s="8">
        <v>3.4</v>
      </c>
      <c r="Z69" s="9">
        <v>2.4700000000000002</v>
      </c>
      <c r="AA69" s="8">
        <v>3.6</v>
      </c>
      <c r="AB69" s="8">
        <v>24963</v>
      </c>
      <c r="AC69" s="21" t="s">
        <v>901</v>
      </c>
      <c r="AD69" s="8" t="s">
        <v>4137</v>
      </c>
      <c r="AE69" s="8" t="s">
        <v>4083</v>
      </c>
      <c r="AF69" s="9">
        <f t="shared" si="16"/>
        <v>12.24</v>
      </c>
      <c r="AG69" s="9">
        <f t="shared" si="17"/>
        <v>10.02</v>
      </c>
      <c r="AH69" s="9">
        <f t="shared" si="18"/>
        <v>8.1551286698078984E-2</v>
      </c>
      <c r="AI69" s="9">
        <f t="shared" si="19"/>
        <v>6.6506123621122744E-3</v>
      </c>
      <c r="AJ69" s="9">
        <f t="shared" si="20"/>
        <v>6.3477447017983551E-2</v>
      </c>
      <c r="AK69" s="9">
        <f t="shared" si="21"/>
        <v>4.0293862799209088E-3</v>
      </c>
      <c r="AL69" s="9">
        <f t="shared" si="22"/>
        <v>6.7426000217104529E-2</v>
      </c>
      <c r="AM69" s="9">
        <f t="shared" si="23"/>
        <v>4.5462655052769798E-3</v>
      </c>
      <c r="AN69" s="8" t="s">
        <v>901</v>
      </c>
    </row>
    <row r="70" spans="13:40" ht="23">
      <c r="M70" s="9" t="s">
        <v>3129</v>
      </c>
      <c r="N70" s="8" t="s">
        <v>1862</v>
      </c>
      <c r="O70" s="8"/>
      <c r="P70" s="8"/>
      <c r="Q70" s="8"/>
      <c r="R70" s="8"/>
      <c r="S70" s="8"/>
      <c r="T70" s="8"/>
      <c r="U70" s="8"/>
      <c r="V70" s="8"/>
      <c r="W70" s="9" t="s">
        <v>3129</v>
      </c>
      <c r="X70" s="8">
        <v>28.84</v>
      </c>
      <c r="Y70" s="8">
        <v>3.42</v>
      </c>
      <c r="Z70" s="9">
        <v>2.42</v>
      </c>
      <c r="AA70" s="8">
        <v>3.6</v>
      </c>
      <c r="AB70" s="8">
        <v>27605</v>
      </c>
      <c r="AC70" s="22" t="s">
        <v>3129</v>
      </c>
      <c r="AD70" s="8" t="s">
        <v>4066</v>
      </c>
      <c r="AE70" s="8" t="s">
        <v>4083</v>
      </c>
      <c r="AF70" s="9">
        <f t="shared" si="16"/>
        <v>12.311999999999999</v>
      </c>
      <c r="AG70" s="9">
        <f t="shared" si="17"/>
        <v>9.7200000000000006</v>
      </c>
      <c r="AH70" s="9">
        <f t="shared" si="18"/>
        <v>8.1551286698078984E-2</v>
      </c>
      <c r="AI70" s="9">
        <f t="shared" si="19"/>
        <v>6.6506123621122744E-3</v>
      </c>
      <c r="AJ70" s="9">
        <f t="shared" si="20"/>
        <v>6.3850843765148171E-2</v>
      </c>
      <c r="AK70" s="9">
        <f t="shared" si="21"/>
        <v>4.0769302495213613E-3</v>
      </c>
      <c r="AL70" s="9">
        <f t="shared" si="22"/>
        <v>6.5407257695634324E-2</v>
      </c>
      <c r="AM70" s="9">
        <f t="shared" si="23"/>
        <v>4.2781093592631153E-3</v>
      </c>
      <c r="AN70" s="9" t="s">
        <v>3129</v>
      </c>
    </row>
    <row r="71" spans="13:40" ht="23">
      <c r="M71" s="8" t="s">
        <v>737</v>
      </c>
      <c r="N71" s="8" t="s">
        <v>150</v>
      </c>
      <c r="O71" s="8"/>
      <c r="P71" s="8"/>
      <c r="Q71" s="8"/>
      <c r="R71" s="8"/>
      <c r="S71" s="8"/>
      <c r="T71" s="8"/>
      <c r="U71" s="8"/>
      <c r="V71" s="8"/>
      <c r="W71" s="8" t="s">
        <v>737</v>
      </c>
      <c r="X71" s="8">
        <v>28.67</v>
      </c>
      <c r="Y71" s="8">
        <v>2.39</v>
      </c>
      <c r="Z71" s="9">
        <v>2.1800000000000002</v>
      </c>
      <c r="AA71" s="8">
        <v>3.6</v>
      </c>
      <c r="AB71" s="8">
        <v>28806</v>
      </c>
      <c r="AC71" s="21" t="s">
        <v>737</v>
      </c>
      <c r="AD71" s="8" t="s">
        <v>4066</v>
      </c>
      <c r="AE71" s="8" t="s">
        <v>4083</v>
      </c>
      <c r="AF71" s="9">
        <f t="shared" si="16"/>
        <v>8.604000000000001</v>
      </c>
      <c r="AG71" s="9">
        <f t="shared" si="17"/>
        <v>8.2799999999999994</v>
      </c>
      <c r="AH71" s="9">
        <f t="shared" si="18"/>
        <v>8.1551286698078984E-2</v>
      </c>
      <c r="AI71" s="9">
        <f t="shared" si="19"/>
        <v>6.6506123621122744E-3</v>
      </c>
      <c r="AJ71" s="9">
        <f t="shared" si="20"/>
        <v>4.4620911286170802E-2</v>
      </c>
      <c r="AK71" s="9">
        <f t="shared" si="21"/>
        <v>1.9910257240083246E-3</v>
      </c>
      <c r="AL71" s="9">
        <f t="shared" si="22"/>
        <v>5.5717293592577384E-2</v>
      </c>
      <c r="AM71" s="9">
        <f t="shared" si="23"/>
        <v>3.1044168052814648E-3</v>
      </c>
      <c r="AN71" s="8" t="s">
        <v>737</v>
      </c>
    </row>
    <row r="72" spans="13:40" ht="23">
      <c r="M72" s="8" t="s">
        <v>747</v>
      </c>
      <c r="N72" s="8" t="s">
        <v>150</v>
      </c>
      <c r="O72" s="8"/>
      <c r="P72" s="8" t="s">
        <v>3691</v>
      </c>
      <c r="Q72" s="8"/>
      <c r="R72" s="8"/>
      <c r="S72" s="8"/>
      <c r="T72" s="8"/>
      <c r="U72" s="8"/>
      <c r="V72" s="8"/>
      <c r="W72" s="8" t="s">
        <v>747</v>
      </c>
      <c r="X72" s="8">
        <v>31.11</v>
      </c>
      <c r="Y72" s="8">
        <v>6.92</v>
      </c>
      <c r="Z72" s="9">
        <v>5.18</v>
      </c>
      <c r="AA72" s="8">
        <v>3.4</v>
      </c>
      <c r="AB72" s="8">
        <v>20789</v>
      </c>
      <c r="AC72" s="21" t="s">
        <v>747</v>
      </c>
      <c r="AD72" s="8" t="s">
        <v>4066</v>
      </c>
      <c r="AE72" s="8" t="s">
        <v>4083</v>
      </c>
      <c r="AF72" s="9">
        <f t="shared" si="16"/>
        <v>23.527999999999999</v>
      </c>
      <c r="AG72" s="9">
        <f t="shared" si="17"/>
        <v>18.02</v>
      </c>
      <c r="AH72" s="9">
        <f t="shared" si="18"/>
        <v>7.7020659659296817E-2</v>
      </c>
      <c r="AI72" s="9">
        <f t="shared" si="19"/>
        <v>5.9321820143532324E-3</v>
      </c>
      <c r="AJ72" s="9">
        <f t="shared" si="20"/>
        <v>0.12201775926790172</v>
      </c>
      <c r="AK72" s="9">
        <f t="shared" si="21"/>
        <v>1.4888333576759616E-2</v>
      </c>
      <c r="AL72" s="9">
        <f t="shared" si="22"/>
        <v>0.1212591341229764</v>
      </c>
      <c r="AM72" s="9">
        <f t="shared" si="23"/>
        <v>1.470377760825398E-2</v>
      </c>
      <c r="AN72" s="8" t="s">
        <v>747</v>
      </c>
    </row>
    <row r="73" spans="13:40" ht="23">
      <c r="M73" s="9" t="s">
        <v>3064</v>
      </c>
      <c r="N73" s="8" t="s">
        <v>1814</v>
      </c>
      <c r="O73" s="8"/>
      <c r="P73" s="8"/>
      <c r="Q73" s="8"/>
      <c r="R73" s="8"/>
      <c r="S73" s="8"/>
      <c r="T73" s="8"/>
      <c r="U73" s="8"/>
      <c r="V73" s="8"/>
      <c r="W73" s="9" t="s">
        <v>3064</v>
      </c>
      <c r="X73" s="8">
        <v>23.34</v>
      </c>
      <c r="Y73" s="8">
        <v>7.03</v>
      </c>
      <c r="Z73" s="9">
        <v>4.1100000000000003</v>
      </c>
      <c r="AA73" s="8">
        <v>3.4</v>
      </c>
      <c r="AB73" s="8">
        <v>17992</v>
      </c>
      <c r="AC73" s="22" t="s">
        <v>3064</v>
      </c>
      <c r="AD73" s="8" t="s">
        <v>4066</v>
      </c>
      <c r="AE73" s="8" t="s">
        <v>4083</v>
      </c>
      <c r="AF73" s="9">
        <f t="shared" si="16"/>
        <v>23.902000000000001</v>
      </c>
      <c r="AG73" s="9">
        <f t="shared" si="17"/>
        <v>14.223333333333334</v>
      </c>
      <c r="AH73" s="9">
        <f t="shared" si="18"/>
        <v>7.7020659659296817E-2</v>
      </c>
      <c r="AI73" s="9">
        <f t="shared" si="19"/>
        <v>5.9321820143532324E-3</v>
      </c>
      <c r="AJ73" s="9">
        <f t="shared" si="20"/>
        <v>0.12395734792678456</v>
      </c>
      <c r="AK73" s="9">
        <f t="shared" si="21"/>
        <v>1.536542410504192E-2</v>
      </c>
      <c r="AL73" s="9">
        <f t="shared" si="22"/>
        <v>9.5710825990148046E-2</v>
      </c>
      <c r="AM73" s="9">
        <f t="shared" si="23"/>
        <v>9.1605622117163985E-3</v>
      </c>
      <c r="AN73" s="9" t="s">
        <v>3064</v>
      </c>
    </row>
    <row r="74" spans="13:40" ht="23">
      <c r="M74" s="9" t="s">
        <v>3033</v>
      </c>
      <c r="N74" s="8" t="s">
        <v>1814</v>
      </c>
      <c r="O74" s="8"/>
      <c r="P74" s="8"/>
      <c r="Q74" s="8"/>
      <c r="R74" s="8"/>
      <c r="S74" s="8"/>
      <c r="T74" s="8"/>
      <c r="U74" s="8"/>
      <c r="V74" s="8"/>
      <c r="W74" s="9" t="s">
        <v>3033</v>
      </c>
      <c r="X74" s="8">
        <v>31.78</v>
      </c>
      <c r="Y74" s="8">
        <v>2.86</v>
      </c>
      <c r="Z74" s="9">
        <v>2.4500000000000002</v>
      </c>
      <c r="AA74" s="8">
        <v>3.4</v>
      </c>
      <c r="AB74" s="8">
        <v>31179</v>
      </c>
      <c r="AC74" s="22" t="s">
        <v>3033</v>
      </c>
      <c r="AD74" s="8" t="s">
        <v>4066</v>
      </c>
      <c r="AE74" s="8" t="s">
        <v>4083</v>
      </c>
      <c r="AF74" s="9">
        <f t="shared" si="16"/>
        <v>9.7240000000000002</v>
      </c>
      <c r="AG74" s="9">
        <f t="shared" si="17"/>
        <v>9.35</v>
      </c>
      <c r="AH74" s="9">
        <f t="shared" si="18"/>
        <v>7.7020659659296817E-2</v>
      </c>
      <c r="AI74" s="9">
        <f t="shared" si="19"/>
        <v>5.9321820143532324E-3</v>
      </c>
      <c r="AJ74" s="9">
        <f t="shared" si="20"/>
        <v>5.042930513095361E-2</v>
      </c>
      <c r="AK74" s="9">
        <f t="shared" si="21"/>
        <v>2.5431148159908239E-3</v>
      </c>
      <c r="AL74" s="9">
        <f t="shared" si="22"/>
        <v>6.2917475252487753E-2</v>
      </c>
      <c r="AM74" s="9">
        <f t="shared" si="23"/>
        <v>3.9586086921474086E-3</v>
      </c>
      <c r="AN74" s="9" t="s">
        <v>3033</v>
      </c>
    </row>
    <row r="75" spans="13:40" ht="23">
      <c r="M75" s="8" t="s">
        <v>1529</v>
      </c>
      <c r="N75" s="8" t="s">
        <v>150</v>
      </c>
      <c r="O75" s="8"/>
      <c r="P75" s="8"/>
      <c r="Q75" s="8"/>
      <c r="R75" s="8"/>
      <c r="S75" s="8"/>
      <c r="T75" s="8"/>
      <c r="U75" s="8"/>
      <c r="V75" s="8"/>
      <c r="W75" s="8" t="s">
        <v>1529</v>
      </c>
      <c r="X75" s="8">
        <v>26.46</v>
      </c>
      <c r="Y75" s="8">
        <v>3.44</v>
      </c>
      <c r="Z75" s="9">
        <v>2.25</v>
      </c>
      <c r="AA75" s="8">
        <v>3.4</v>
      </c>
      <c r="AB75" s="8">
        <v>24605</v>
      </c>
      <c r="AC75" s="21" t="s">
        <v>1529</v>
      </c>
      <c r="AD75" s="8" t="s">
        <v>4066</v>
      </c>
      <c r="AE75" s="8" t="s">
        <v>4083</v>
      </c>
      <c r="AF75" s="9">
        <f t="shared" si="16"/>
        <v>11.696</v>
      </c>
      <c r="AG75" s="9">
        <f t="shared" si="17"/>
        <v>8.2166666666666668</v>
      </c>
      <c r="AH75" s="9">
        <f t="shared" si="18"/>
        <v>7.7020659659296817E-2</v>
      </c>
      <c r="AI75" s="9">
        <f t="shared" si="19"/>
        <v>5.9321820143532324E-3</v>
      </c>
      <c r="AJ75" s="9">
        <f t="shared" si="20"/>
        <v>6.0656227150517626E-2</v>
      </c>
      <c r="AK75" s="9">
        <f t="shared" si="21"/>
        <v>3.6791778921351917E-3</v>
      </c>
      <c r="AL75" s="9">
        <f t="shared" si="22"/>
        <v>5.5291114615822569E-2</v>
      </c>
      <c r="AM75" s="9">
        <f t="shared" si="23"/>
        <v>3.057107355460028E-3</v>
      </c>
      <c r="AN75" s="8" t="s">
        <v>1529</v>
      </c>
    </row>
    <row r="76" spans="13:40" ht="23">
      <c r="M76" s="9" t="s">
        <v>2781</v>
      </c>
      <c r="N76" s="8" t="s">
        <v>1614</v>
      </c>
      <c r="O76" s="8"/>
      <c r="P76" s="8"/>
      <c r="Q76" s="8"/>
      <c r="R76" s="8"/>
      <c r="S76" s="8"/>
      <c r="T76" s="8"/>
      <c r="U76" s="8"/>
      <c r="V76" s="8"/>
      <c r="W76" s="9" t="s">
        <v>2781</v>
      </c>
      <c r="X76" s="8">
        <v>26.43</v>
      </c>
      <c r="Y76" s="8">
        <v>2.88</v>
      </c>
      <c r="Z76" s="9">
        <v>3.18</v>
      </c>
      <c r="AA76" s="8">
        <v>3.2</v>
      </c>
      <c r="AB76" s="8">
        <v>29963</v>
      </c>
      <c r="AC76" s="22" t="s">
        <v>2781</v>
      </c>
      <c r="AD76" s="8" t="s">
        <v>4066</v>
      </c>
      <c r="AE76" s="8" t="s">
        <v>4083</v>
      </c>
      <c r="AF76" s="9">
        <f t="shared" si="16"/>
        <v>9.2159999999999993</v>
      </c>
      <c r="AG76" s="9">
        <f t="shared" si="17"/>
        <v>10.56</v>
      </c>
      <c r="AH76" s="9">
        <f t="shared" si="18"/>
        <v>7.2490032620514649E-2</v>
      </c>
      <c r="AI76" s="9">
        <f t="shared" si="19"/>
        <v>5.2548048293232777E-3</v>
      </c>
      <c r="AJ76" s="9">
        <f t="shared" si="20"/>
        <v>4.7794783637069967E-2</v>
      </c>
      <c r="AK76" s="9">
        <f t="shared" si="21"/>
        <v>2.2843413429143311E-3</v>
      </c>
      <c r="AL76" s="9">
        <f t="shared" si="22"/>
        <v>7.1059736755750877E-2</v>
      </c>
      <c r="AM76" s="9">
        <f t="shared" si="23"/>
        <v>5.0494861877966122E-3</v>
      </c>
      <c r="AN76" s="9" t="s">
        <v>2781</v>
      </c>
    </row>
    <row r="77" spans="13:40" ht="23">
      <c r="M77" s="8" t="s">
        <v>5038</v>
      </c>
      <c r="N77" s="8"/>
      <c r="O77" s="8"/>
      <c r="P77" s="8"/>
      <c r="Q77" s="8"/>
      <c r="R77" s="8"/>
      <c r="S77" s="8"/>
      <c r="T77" s="8"/>
      <c r="U77" s="8"/>
      <c r="V77" s="8"/>
      <c r="W77" s="8" t="s">
        <v>5038</v>
      </c>
      <c r="X77" s="8">
        <v>26.18</v>
      </c>
      <c r="Y77" s="8">
        <v>4.82</v>
      </c>
      <c r="Z77" s="9">
        <v>9.2899999999999991</v>
      </c>
      <c r="AA77" s="8">
        <v>3.1</v>
      </c>
      <c r="AB77" s="8">
        <v>26320</v>
      </c>
      <c r="AC77" s="21" t="s">
        <v>5038</v>
      </c>
      <c r="AD77" s="8" t="s">
        <v>4066</v>
      </c>
      <c r="AE77" s="8" t="s">
        <v>4083</v>
      </c>
      <c r="AF77" s="9">
        <f t="shared" si="16"/>
        <v>14.942000000000002</v>
      </c>
      <c r="AG77" s="9">
        <f t="shared" si="17"/>
        <v>29.39833333333333</v>
      </c>
      <c r="AH77" s="9">
        <f t="shared" si="18"/>
        <v>7.0224719101123573E-2</v>
      </c>
      <c r="AI77" s="9">
        <f t="shared" si="19"/>
        <v>4.9315111728317103E-3</v>
      </c>
      <c r="AJ77" s="9">
        <f t="shared" si="20"/>
        <v>7.7490197168522096E-2</v>
      </c>
      <c r="AK77" s="9">
        <f t="shared" si="21"/>
        <v>6.0047306572164295E-3</v>
      </c>
      <c r="AL77" s="9">
        <f t="shared" si="22"/>
        <v>0.19782555186784873</v>
      </c>
      <c r="AM77" s="9">
        <f t="shared" si="23"/>
        <v>3.9134948971818906E-2</v>
      </c>
      <c r="AN77" s="8" t="s">
        <v>5038</v>
      </c>
    </row>
    <row r="78" spans="13:40" ht="23">
      <c r="M78" s="8" t="s">
        <v>1095</v>
      </c>
      <c r="N78" s="8" t="s">
        <v>150</v>
      </c>
      <c r="O78" s="8"/>
      <c r="P78" s="8" t="s">
        <v>3693</v>
      </c>
      <c r="Q78" s="8"/>
      <c r="R78" s="8"/>
      <c r="S78" s="8"/>
      <c r="T78" s="8"/>
      <c r="U78" s="8"/>
      <c r="V78" s="8"/>
      <c r="W78" s="8" t="s">
        <v>1095</v>
      </c>
      <c r="X78" s="8">
        <v>18.71</v>
      </c>
      <c r="Y78" s="8">
        <v>7.04</v>
      </c>
      <c r="Z78" s="9">
        <v>4.57</v>
      </c>
      <c r="AA78" s="8">
        <v>3</v>
      </c>
      <c r="AB78" s="8">
        <v>22054</v>
      </c>
      <c r="AC78" s="21" t="s">
        <v>1095</v>
      </c>
      <c r="AD78" s="8" t="s">
        <v>4066</v>
      </c>
      <c r="AE78" s="8" t="s">
        <v>4083</v>
      </c>
      <c r="AF78" s="9">
        <f t="shared" si="16"/>
        <v>21.12</v>
      </c>
      <c r="AG78" s="9">
        <f t="shared" si="17"/>
        <v>14.850000000000001</v>
      </c>
      <c r="AH78" s="9">
        <f t="shared" si="18"/>
        <v>6.7959405581732482E-2</v>
      </c>
      <c r="AI78" s="9">
        <f t="shared" si="19"/>
        <v>4.6184808070224119E-3</v>
      </c>
      <c r="AJ78" s="9">
        <f t="shared" si="20"/>
        <v>0.10952971250161869</v>
      </c>
      <c r="AK78" s="9">
        <f t="shared" si="21"/>
        <v>1.1996757920687245E-2</v>
      </c>
      <c r="AL78" s="9">
        <f t="shared" si="22"/>
        <v>9.9927754812774675E-2</v>
      </c>
      <c r="AM78" s="9">
        <f t="shared" si="23"/>
        <v>9.9855561819220118E-3</v>
      </c>
      <c r="AN78" s="8" t="s">
        <v>1095</v>
      </c>
    </row>
    <row r="79" spans="13:40" ht="23">
      <c r="M79" s="8" t="s">
        <v>1974</v>
      </c>
      <c r="N79" s="8" t="s">
        <v>1964</v>
      </c>
      <c r="O79" s="8"/>
      <c r="P79" s="8"/>
      <c r="Q79" s="8"/>
      <c r="R79" s="8"/>
      <c r="S79" s="8"/>
      <c r="T79" s="8"/>
      <c r="U79" s="8"/>
      <c r="V79" s="8"/>
      <c r="W79" s="8" t="s">
        <v>1974</v>
      </c>
      <c r="X79" s="8">
        <v>27.16</v>
      </c>
      <c r="Y79" s="8">
        <v>4.1100000000000003</v>
      </c>
      <c r="Z79" s="9">
        <v>4.21</v>
      </c>
      <c r="AA79" s="8">
        <v>3</v>
      </c>
      <c r="AB79" s="8">
        <v>24112</v>
      </c>
      <c r="AC79" s="21" t="s">
        <v>1974</v>
      </c>
      <c r="AD79" s="8" t="s">
        <v>4066</v>
      </c>
      <c r="AE79" s="8" t="s">
        <v>4083</v>
      </c>
      <c r="AF79" s="9">
        <f t="shared" si="16"/>
        <v>12.330000000000002</v>
      </c>
      <c r="AG79" s="9">
        <f t="shared" si="17"/>
        <v>13.049999999999999</v>
      </c>
      <c r="AH79" s="9">
        <f t="shared" si="18"/>
        <v>6.7959405581732482E-2</v>
      </c>
      <c r="AI79" s="9">
        <f t="shared" si="19"/>
        <v>4.6184808070224119E-3</v>
      </c>
      <c r="AJ79" s="9">
        <f t="shared" si="20"/>
        <v>6.394419295193933E-2</v>
      </c>
      <c r="AK79" s="9">
        <f t="shared" si="21"/>
        <v>4.0888598122748475E-3</v>
      </c>
      <c r="AL79" s="9">
        <f t="shared" si="22"/>
        <v>8.7815299683953491E-2</v>
      </c>
      <c r="AM79" s="9">
        <f t="shared" si="23"/>
        <v>7.7115268585825616E-3</v>
      </c>
      <c r="AN79" s="8" t="s">
        <v>1974</v>
      </c>
    </row>
    <row r="80" spans="13:40" ht="23">
      <c r="M80" s="9" t="s">
        <v>2624</v>
      </c>
      <c r="N80" s="8" t="s">
        <v>150</v>
      </c>
      <c r="O80" s="8"/>
      <c r="P80" s="8"/>
      <c r="Q80" s="8"/>
      <c r="R80" s="8"/>
      <c r="S80" s="8"/>
      <c r="T80" s="8"/>
      <c r="U80" s="8"/>
      <c r="V80" s="8"/>
      <c r="W80" s="9" t="s">
        <v>2624</v>
      </c>
      <c r="X80" s="8">
        <v>21.98</v>
      </c>
      <c r="Y80" s="8">
        <v>2.68</v>
      </c>
      <c r="Z80" s="9">
        <v>3.36</v>
      </c>
      <c r="AA80" s="8">
        <v>3</v>
      </c>
      <c r="AB80" s="8">
        <v>32028</v>
      </c>
      <c r="AC80" s="22" t="s">
        <v>2624</v>
      </c>
      <c r="AD80" s="8" t="s">
        <v>4066</v>
      </c>
      <c r="AE80" s="8" t="s">
        <v>4083</v>
      </c>
      <c r="AF80" s="9">
        <f t="shared" si="16"/>
        <v>8.0400000000000009</v>
      </c>
      <c r="AG80" s="9">
        <f t="shared" si="17"/>
        <v>10.8</v>
      </c>
      <c r="AH80" s="9">
        <f t="shared" si="18"/>
        <v>6.7959405581732482E-2</v>
      </c>
      <c r="AI80" s="9">
        <f t="shared" si="19"/>
        <v>4.6184808070224119E-3</v>
      </c>
      <c r="AJ80" s="9">
        <f t="shared" si="20"/>
        <v>4.1695970100048024E-2</v>
      </c>
      <c r="AK80" s="9">
        <f t="shared" si="21"/>
        <v>1.7385539225840988E-3</v>
      </c>
      <c r="AL80" s="9">
        <f t="shared" si="22"/>
        <v>7.2674730772927035E-2</v>
      </c>
      <c r="AM80" s="9">
        <f t="shared" si="23"/>
        <v>5.2816164929174276E-3</v>
      </c>
      <c r="AN80" s="9" t="s">
        <v>2624</v>
      </c>
    </row>
    <row r="81" spans="13:40" ht="23">
      <c r="M81" s="9" t="s">
        <v>3291</v>
      </c>
      <c r="N81" s="8" t="s">
        <v>1939</v>
      </c>
      <c r="O81" s="8"/>
      <c r="P81" s="8" t="s">
        <v>3697</v>
      </c>
      <c r="Q81" s="8"/>
      <c r="R81" s="8"/>
      <c r="S81" s="8"/>
      <c r="T81" s="8"/>
      <c r="U81" s="8"/>
      <c r="V81" s="8"/>
      <c r="W81" s="9" t="s">
        <v>3291</v>
      </c>
      <c r="X81" s="8">
        <v>22.85</v>
      </c>
      <c r="Y81" s="8">
        <v>6.29</v>
      </c>
      <c r="Z81" s="9">
        <v>5.56</v>
      </c>
      <c r="AA81" s="8">
        <v>2.8</v>
      </c>
      <c r="AB81" s="8">
        <v>21376</v>
      </c>
      <c r="AC81" s="22" t="s">
        <v>3291</v>
      </c>
      <c r="AD81" s="8" t="s">
        <v>4066</v>
      </c>
      <c r="AE81" s="8" t="s">
        <v>4083</v>
      </c>
      <c r="AF81" s="9">
        <f t="shared" si="16"/>
        <v>17.611999999999998</v>
      </c>
      <c r="AG81" s="9">
        <f t="shared" si="17"/>
        <v>16.613333333333333</v>
      </c>
      <c r="AH81" s="9">
        <f t="shared" si="18"/>
        <v>6.3428778542950315E-2</v>
      </c>
      <c r="AI81" s="9">
        <f t="shared" si="19"/>
        <v>4.0232099474506343E-3</v>
      </c>
      <c r="AJ81" s="9">
        <f t="shared" si="20"/>
        <v>9.1336993209209669E-2</v>
      </c>
      <c r="AK81" s="9">
        <f t="shared" si="21"/>
        <v>8.3424463284992138E-3</v>
      </c>
      <c r="AL81" s="9">
        <f t="shared" si="22"/>
        <v>0.11179347474452726</v>
      </c>
      <c r="AM81" s="9">
        <f t="shared" si="23"/>
        <v>1.2497780995455255E-2</v>
      </c>
      <c r="AN81" s="9" t="s">
        <v>3291</v>
      </c>
    </row>
    <row r="82" spans="13:40" ht="23">
      <c r="M82" s="9" t="s">
        <v>3603</v>
      </c>
      <c r="N82" s="8" t="s">
        <v>2084</v>
      </c>
      <c r="O82" s="8"/>
      <c r="P82" s="8" t="s">
        <v>3693</v>
      </c>
      <c r="Q82" s="8"/>
      <c r="R82" s="8"/>
      <c r="S82" s="8"/>
      <c r="T82" s="8"/>
      <c r="U82" s="8"/>
      <c r="V82" s="8"/>
      <c r="W82" s="9" t="s">
        <v>3603</v>
      </c>
      <c r="X82" s="8">
        <v>49.57</v>
      </c>
      <c r="Y82" s="8">
        <v>5.09</v>
      </c>
      <c r="Z82" s="9">
        <v>3.3</v>
      </c>
      <c r="AA82" s="8">
        <v>2.6</v>
      </c>
      <c r="AB82" s="8">
        <v>30721</v>
      </c>
      <c r="AC82" s="22" t="s">
        <v>3603</v>
      </c>
      <c r="AD82" s="8" t="s">
        <v>4066</v>
      </c>
      <c r="AE82" s="8" t="s">
        <v>4083</v>
      </c>
      <c r="AF82" s="9">
        <f t="shared" si="16"/>
        <v>13.234</v>
      </c>
      <c r="AG82" s="9">
        <f t="shared" si="17"/>
        <v>7.8129999999999997</v>
      </c>
      <c r="AH82" s="9">
        <f t="shared" si="18"/>
        <v>5.8898151504168161E-2</v>
      </c>
      <c r="AI82" s="9">
        <f t="shared" si="19"/>
        <v>3.4689922506079465E-3</v>
      </c>
      <c r="AJ82" s="9">
        <f t="shared" si="20"/>
        <v>6.8632396555228306E-2</v>
      </c>
      <c r="AK82" s="9">
        <f t="shared" si="21"/>
        <v>4.7104058569141143E-3</v>
      </c>
      <c r="AL82" s="9">
        <f t="shared" si="22"/>
        <v>5.2574784400822118E-2</v>
      </c>
      <c r="AM82" s="9">
        <f t="shared" si="23"/>
        <v>2.7641079547929288E-3</v>
      </c>
      <c r="AN82" s="9" t="s">
        <v>3603</v>
      </c>
    </row>
    <row r="83" spans="13:40" ht="23">
      <c r="M83" s="9" t="s">
        <v>3529</v>
      </c>
      <c r="N83" s="8" t="s">
        <v>2041</v>
      </c>
      <c r="O83" s="8"/>
      <c r="P83" s="8"/>
      <c r="Q83" s="8"/>
      <c r="R83" s="8"/>
      <c r="S83" s="8"/>
      <c r="T83" s="8"/>
      <c r="U83" s="8"/>
      <c r="V83" s="8"/>
      <c r="W83" s="9" t="s">
        <v>3529</v>
      </c>
      <c r="X83" s="8">
        <v>32.630000000000003</v>
      </c>
      <c r="Y83" s="8">
        <v>3.19</v>
      </c>
      <c r="Z83" s="9">
        <v>3.33</v>
      </c>
      <c r="AA83" s="8">
        <v>2.4</v>
      </c>
      <c r="AB83" s="8">
        <v>45954</v>
      </c>
      <c r="AC83" s="22" t="s">
        <v>3529</v>
      </c>
      <c r="AD83" s="8" t="s">
        <v>4066</v>
      </c>
      <c r="AE83" s="8" t="s">
        <v>4083</v>
      </c>
      <c r="AF83" s="9">
        <f t="shared" si="16"/>
        <v>7.6559999999999997</v>
      </c>
      <c r="AG83" s="9">
        <f t="shared" si="17"/>
        <v>8.52</v>
      </c>
      <c r="AH83" s="9">
        <f t="shared" si="18"/>
        <v>5.4367524465385987E-2</v>
      </c>
      <c r="AI83" s="9">
        <f t="shared" si="19"/>
        <v>2.9558277164943437E-3</v>
      </c>
      <c r="AJ83" s="9">
        <f t="shared" si="20"/>
        <v>3.9704520781836769E-2</v>
      </c>
      <c r="AK83" s="9">
        <f t="shared" si="21"/>
        <v>1.5764489705153079E-3</v>
      </c>
      <c r="AL83" s="9">
        <f t="shared" si="22"/>
        <v>5.7332287609753549E-2</v>
      </c>
      <c r="AM83" s="9">
        <f t="shared" si="23"/>
        <v>3.2869912025675005E-3</v>
      </c>
      <c r="AN83" s="9" t="s">
        <v>3529</v>
      </c>
    </row>
    <row r="84" spans="13:40" ht="23">
      <c r="M84" s="9" t="s">
        <v>2834</v>
      </c>
      <c r="N84" s="8" t="s">
        <v>1614</v>
      </c>
      <c r="O84" s="8"/>
      <c r="P84" s="8"/>
      <c r="Q84" s="8"/>
      <c r="R84" s="8"/>
      <c r="S84" s="8"/>
      <c r="T84" s="8"/>
      <c r="U84" s="8"/>
      <c r="V84" s="8"/>
      <c r="W84" s="9" t="s">
        <v>2834</v>
      </c>
      <c r="X84" s="8">
        <v>38.409999999999997</v>
      </c>
      <c r="Y84" s="8">
        <v>1.98</v>
      </c>
      <c r="Z84" s="9">
        <v>0.16</v>
      </c>
      <c r="AA84" s="8">
        <v>2.4</v>
      </c>
      <c r="AB84" s="8">
        <v>41850</v>
      </c>
      <c r="AC84" s="22" t="s">
        <v>2834</v>
      </c>
      <c r="AD84" s="8" t="s">
        <v>4066</v>
      </c>
      <c r="AE84" s="8" t="s">
        <v>4083</v>
      </c>
      <c r="AF84" s="9">
        <f t="shared" si="16"/>
        <v>4.7519999999999998</v>
      </c>
      <c r="AG84" s="9">
        <f t="shared" si="17"/>
        <v>0.64</v>
      </c>
      <c r="AH84" s="9">
        <f t="shared" si="18"/>
        <v>5.4367524465385987E-2</v>
      </c>
      <c r="AI84" s="9">
        <f t="shared" si="19"/>
        <v>2.9558277164943437E-3</v>
      </c>
      <c r="AJ84" s="9">
        <f t="shared" si="20"/>
        <v>2.4644185312864202E-2</v>
      </c>
      <c r="AK84" s="9">
        <f t="shared" si="21"/>
        <v>6.0733586973479164E-4</v>
      </c>
      <c r="AL84" s="9">
        <f t="shared" si="22"/>
        <v>4.3066507124697494E-3</v>
      </c>
      <c r="AM84" s="9">
        <f t="shared" si="23"/>
        <v>1.8547240359216201E-5</v>
      </c>
      <c r="AN84" s="9" t="s">
        <v>2834</v>
      </c>
    </row>
    <row r="85" spans="13:40" ht="23">
      <c r="M85" s="8" t="s">
        <v>1694</v>
      </c>
      <c r="N85" s="8" t="s">
        <v>1614</v>
      </c>
      <c r="O85" s="8"/>
      <c r="P85" s="8"/>
      <c r="Q85" s="8"/>
      <c r="R85" s="8"/>
      <c r="S85" s="8"/>
      <c r="T85" s="8"/>
      <c r="U85" s="8"/>
      <c r="V85" s="8"/>
      <c r="W85" s="8" t="s">
        <v>1694</v>
      </c>
      <c r="X85" s="8">
        <v>23.49</v>
      </c>
      <c r="Y85" s="8">
        <v>4.71</v>
      </c>
      <c r="Z85" s="9">
        <v>3.26</v>
      </c>
      <c r="AA85" s="8">
        <v>2.2999999999999998</v>
      </c>
      <c r="AB85" s="8">
        <v>29334</v>
      </c>
      <c r="AC85" s="21" t="s">
        <v>1694</v>
      </c>
      <c r="AD85" s="8" t="s">
        <v>4066</v>
      </c>
      <c r="AE85" s="8" t="s">
        <v>4083</v>
      </c>
      <c r="AF85" s="9">
        <f t="shared" si="16"/>
        <v>10.832999999999998</v>
      </c>
      <c r="AG85" s="9">
        <f t="shared" si="17"/>
        <v>7.8966666666666665</v>
      </c>
      <c r="AH85" s="9">
        <f t="shared" si="18"/>
        <v>5.2102210945994903E-2</v>
      </c>
      <c r="AI85" s="9">
        <f t="shared" si="19"/>
        <v>2.7146403854609513E-3</v>
      </c>
      <c r="AJ85" s="9">
        <f t="shared" si="20"/>
        <v>5.6180652250475145E-2</v>
      </c>
      <c r="AK85" s="9">
        <f t="shared" si="21"/>
        <v>3.156265687288818E-3</v>
      </c>
      <c r="AL85" s="9">
        <f t="shared" si="22"/>
        <v>5.3137789259587696E-2</v>
      </c>
      <c r="AM85" s="9">
        <f t="shared" si="23"/>
        <v>2.8236246473963534E-3</v>
      </c>
      <c r="AN85" s="8" t="s">
        <v>1694</v>
      </c>
    </row>
    <row r="86" spans="13:40" ht="23">
      <c r="M86" s="9" t="s">
        <v>3565</v>
      </c>
      <c r="N86" s="8" t="s">
        <v>2066</v>
      </c>
      <c r="O86" s="8"/>
      <c r="P86" s="8"/>
      <c r="Q86" s="8"/>
      <c r="R86" s="8"/>
      <c r="S86" s="8"/>
      <c r="T86" s="8"/>
      <c r="U86" s="8"/>
      <c r="V86" s="8"/>
      <c r="W86" s="9" t="s">
        <v>3565</v>
      </c>
      <c r="X86" s="8">
        <v>31.24</v>
      </c>
      <c r="Y86" s="8">
        <v>2.92</v>
      </c>
      <c r="Z86" s="9">
        <v>2.15</v>
      </c>
      <c r="AA86" s="8">
        <v>2.2999999999999998</v>
      </c>
      <c r="AB86" s="8">
        <v>46645</v>
      </c>
      <c r="AC86" s="22" t="s">
        <v>3565</v>
      </c>
      <c r="AD86" s="8" t="s">
        <v>4066</v>
      </c>
      <c r="AE86" s="8" t="s">
        <v>4083</v>
      </c>
      <c r="AF86" s="9">
        <f t="shared" si="16"/>
        <v>6.7159999999999993</v>
      </c>
      <c r="AG86" s="9">
        <f t="shared" si="17"/>
        <v>5.1749999999999998</v>
      </c>
      <c r="AH86" s="9">
        <f t="shared" si="18"/>
        <v>5.2102210945994903E-2</v>
      </c>
      <c r="AI86" s="9">
        <f t="shared" si="19"/>
        <v>2.7146403854609513E-3</v>
      </c>
      <c r="AJ86" s="9">
        <f t="shared" si="20"/>
        <v>3.4829618804965483E-2</v>
      </c>
      <c r="AK86" s="9">
        <f t="shared" si="21"/>
        <v>1.2131023460992053E-3</v>
      </c>
      <c r="AL86" s="9">
        <f t="shared" si="22"/>
        <v>3.4823308495360868E-2</v>
      </c>
      <c r="AM86" s="9">
        <f t="shared" si="23"/>
        <v>1.2126628145630724E-3</v>
      </c>
      <c r="AN86" s="9" t="s">
        <v>3565</v>
      </c>
    </row>
    <row r="87" spans="13:40" ht="23">
      <c r="M87" s="9" t="s">
        <v>3581</v>
      </c>
      <c r="N87" s="8" t="s">
        <v>2074</v>
      </c>
      <c r="O87" s="8"/>
      <c r="P87" s="8"/>
      <c r="Q87" s="8"/>
      <c r="R87" s="8"/>
      <c r="S87" s="8"/>
      <c r="T87" s="8"/>
      <c r="U87" s="8"/>
      <c r="V87" s="8"/>
      <c r="W87" s="9" t="s">
        <v>3581</v>
      </c>
      <c r="X87" s="8">
        <v>5.79</v>
      </c>
      <c r="Y87" s="8">
        <v>5.52</v>
      </c>
      <c r="Z87" s="9">
        <v>6.07</v>
      </c>
      <c r="AA87" s="8">
        <v>2.1</v>
      </c>
      <c r="AB87" s="8">
        <v>28731</v>
      </c>
      <c r="AC87" s="22" t="s">
        <v>3581</v>
      </c>
      <c r="AD87" s="8" t="s">
        <v>4066</v>
      </c>
      <c r="AE87" s="8" t="s">
        <v>4083</v>
      </c>
      <c r="AF87" s="9">
        <f t="shared" si="16"/>
        <v>11.591999999999999</v>
      </c>
      <c r="AG87" s="9">
        <f t="shared" si="17"/>
        <v>12.844999999999999</v>
      </c>
      <c r="AH87" s="9">
        <f t="shared" si="18"/>
        <v>4.7571583907212743E-2</v>
      </c>
      <c r="AI87" s="9">
        <f t="shared" si="19"/>
        <v>2.2630555954409825E-3</v>
      </c>
      <c r="AJ87" s="9">
        <f t="shared" si="20"/>
        <v>6.011687629350207E-2</v>
      </c>
      <c r="AK87" s="9">
        <f t="shared" si="21"/>
        <v>3.614038815288231E-3</v>
      </c>
      <c r="AL87" s="9">
        <f t="shared" si="22"/>
        <v>8.6435825627615523E-2</v>
      </c>
      <c r="AM87" s="9">
        <f t="shared" si="23"/>
        <v>7.4711519519275564E-3</v>
      </c>
      <c r="AN87" s="9" t="s">
        <v>3581</v>
      </c>
    </row>
    <row r="88" spans="13:40" ht="23">
      <c r="M88" s="9" t="s">
        <v>3592</v>
      </c>
      <c r="N88" s="8" t="s">
        <v>2084</v>
      </c>
      <c r="O88" s="8"/>
      <c r="P88" s="8"/>
      <c r="Q88" s="8"/>
      <c r="R88" s="8"/>
      <c r="S88" s="8"/>
      <c r="T88" s="8"/>
      <c r="U88" s="8"/>
      <c r="V88" s="8"/>
      <c r="W88" s="9" t="s">
        <v>3592</v>
      </c>
      <c r="X88" s="8">
        <v>25.24</v>
      </c>
      <c r="Y88" s="8">
        <v>2.7</v>
      </c>
      <c r="Z88" s="9">
        <v>1.1499999999999999</v>
      </c>
      <c r="AA88" s="8">
        <v>2.1</v>
      </c>
      <c r="AB88" s="8">
        <v>39269</v>
      </c>
      <c r="AC88" s="22" t="s">
        <v>3592</v>
      </c>
      <c r="AD88" s="8" t="s">
        <v>4066</v>
      </c>
      <c r="AE88" s="8" t="s">
        <v>4083</v>
      </c>
      <c r="AF88" s="9">
        <f t="shared" si="16"/>
        <v>5.6700000000000008</v>
      </c>
      <c r="AG88" s="9">
        <f t="shared" si="17"/>
        <v>2.625</v>
      </c>
      <c r="AH88" s="9">
        <f t="shared" si="18"/>
        <v>4.7571583907212743E-2</v>
      </c>
      <c r="AI88" s="9">
        <f t="shared" si="19"/>
        <v>2.2630555954409825E-3</v>
      </c>
      <c r="AJ88" s="9">
        <f t="shared" si="20"/>
        <v>2.9404993839212974E-2</v>
      </c>
      <c r="AK88" s="9">
        <f t="shared" si="21"/>
        <v>8.6465366268415294E-4</v>
      </c>
      <c r="AL88" s="9">
        <f t="shared" si="22"/>
        <v>1.7663997062864208E-2</v>
      </c>
      <c r="AM88" s="9">
        <f t="shared" si="23"/>
        <v>3.1201679223687536E-4</v>
      </c>
      <c r="AN88" s="9" t="s">
        <v>3592</v>
      </c>
    </row>
    <row r="89" spans="13:40" ht="23">
      <c r="M89" s="9" t="s">
        <v>2279</v>
      </c>
      <c r="N89" s="8" t="s">
        <v>150</v>
      </c>
      <c r="O89" s="8"/>
      <c r="P89" s="8"/>
      <c r="Q89" s="8"/>
      <c r="R89" s="8"/>
      <c r="S89" s="8"/>
      <c r="T89" s="8"/>
      <c r="U89" s="8"/>
      <c r="V89" s="8"/>
      <c r="W89" s="9" t="s">
        <v>2279</v>
      </c>
      <c r="X89" s="8">
        <v>41.48</v>
      </c>
      <c r="Y89" s="8">
        <v>5.33</v>
      </c>
      <c r="Z89" s="9">
        <v>5.52</v>
      </c>
      <c r="AA89" s="8">
        <v>2</v>
      </c>
      <c r="AB89" s="8">
        <v>37149</v>
      </c>
      <c r="AC89" s="22" t="s">
        <v>2279</v>
      </c>
      <c r="AD89" s="8" t="s">
        <v>4066</v>
      </c>
      <c r="AE89" s="8" t="s">
        <v>4083</v>
      </c>
      <c r="AF89" s="9">
        <f t="shared" si="16"/>
        <v>10.66</v>
      </c>
      <c r="AG89" s="9">
        <f t="shared" si="17"/>
        <v>11.733333333333334</v>
      </c>
      <c r="AH89" s="9">
        <f t="shared" si="18"/>
        <v>4.5306270387821659E-2</v>
      </c>
      <c r="AI89" s="9">
        <f t="shared" si="19"/>
        <v>2.0526581364544057E-3</v>
      </c>
      <c r="AJ89" s="9">
        <f t="shared" si="20"/>
        <v>5.5283462844093523E-2</v>
      </c>
      <c r="AK89" s="9">
        <f t="shared" si="21"/>
        <v>3.0562612640342691E-3</v>
      </c>
      <c r="AL89" s="9">
        <f t="shared" si="22"/>
        <v>7.8955263061945419E-2</v>
      </c>
      <c r="AM89" s="9">
        <f t="shared" si="23"/>
        <v>6.2339335651810024E-3</v>
      </c>
      <c r="AN89" s="9" t="s">
        <v>2279</v>
      </c>
    </row>
    <row r="90" spans="13:40" ht="23">
      <c r="M90" s="8" t="s">
        <v>1625</v>
      </c>
      <c r="N90" s="8" t="s">
        <v>1614</v>
      </c>
      <c r="O90" s="8"/>
      <c r="P90" s="8"/>
      <c r="Q90" s="8"/>
      <c r="R90" s="8"/>
      <c r="S90" s="8"/>
      <c r="T90" s="8"/>
      <c r="U90" s="8"/>
      <c r="V90" s="8"/>
      <c r="W90" s="8" t="s">
        <v>1625</v>
      </c>
      <c r="X90" s="8">
        <v>27.99</v>
      </c>
      <c r="Y90" s="8">
        <v>3.7</v>
      </c>
      <c r="Z90" s="9">
        <v>3.23</v>
      </c>
      <c r="AA90" s="8">
        <v>2</v>
      </c>
      <c r="AB90" s="8">
        <v>50091</v>
      </c>
      <c r="AC90" s="21" t="s">
        <v>1625</v>
      </c>
      <c r="AD90" s="8" t="s">
        <v>4066</v>
      </c>
      <c r="AE90" s="8" t="s">
        <v>4083</v>
      </c>
      <c r="AF90" s="9">
        <f t="shared" si="16"/>
        <v>7.4</v>
      </c>
      <c r="AG90" s="9">
        <f t="shared" si="17"/>
        <v>6.7666666666666666</v>
      </c>
      <c r="AH90" s="9">
        <f t="shared" si="18"/>
        <v>4.5306270387821659E-2</v>
      </c>
      <c r="AI90" s="9">
        <f t="shared" si="19"/>
        <v>2.0526581364544057E-3</v>
      </c>
      <c r="AJ90" s="9">
        <f t="shared" si="20"/>
        <v>3.8376887903029275E-2</v>
      </c>
      <c r="AK90" s="9">
        <f t="shared" si="21"/>
        <v>1.4727855251216748E-3</v>
      </c>
      <c r="AL90" s="9">
        <f t="shared" si="22"/>
        <v>4.5533859095383294E-2</v>
      </c>
      <c r="AM90" s="9">
        <f t="shared" si="23"/>
        <v>2.0733323241182199E-3</v>
      </c>
      <c r="AN90" s="8" t="s">
        <v>1625</v>
      </c>
    </row>
    <row r="91" spans="13:40" ht="23">
      <c r="M91" s="9" t="s">
        <v>3240</v>
      </c>
      <c r="N91" s="8" t="s">
        <v>1902</v>
      </c>
      <c r="O91" s="8"/>
      <c r="P91" s="8"/>
      <c r="Q91" s="8"/>
      <c r="R91" s="8"/>
      <c r="S91" s="8"/>
      <c r="T91" s="8"/>
      <c r="U91" s="8"/>
      <c r="V91" s="8"/>
      <c r="W91" s="9" t="s">
        <v>3240</v>
      </c>
      <c r="X91" s="8">
        <v>51.54</v>
      </c>
      <c r="Y91" s="8">
        <v>5.89</v>
      </c>
      <c r="Z91" s="9">
        <v>3.34</v>
      </c>
      <c r="AA91" s="8">
        <v>1.9</v>
      </c>
      <c r="AB91" s="8">
        <v>31810</v>
      </c>
      <c r="AC91" s="22" t="s">
        <v>3240</v>
      </c>
      <c r="AD91" s="8" t="s">
        <v>4066</v>
      </c>
      <c r="AE91" s="8" t="s">
        <v>4083</v>
      </c>
      <c r="AF91" s="9">
        <f t="shared" si="16"/>
        <v>11.190999999999999</v>
      </c>
      <c r="AG91" s="9">
        <f t="shared" si="17"/>
        <v>6.7766666666666655</v>
      </c>
      <c r="AH91" s="9">
        <f t="shared" si="18"/>
        <v>4.3040956868430576E-2</v>
      </c>
      <c r="AI91" s="9">
        <f t="shared" si="19"/>
        <v>1.8525239681501011E-3</v>
      </c>
      <c r="AJ91" s="9">
        <f t="shared" si="20"/>
        <v>5.8037263854432503E-2</v>
      </c>
      <c r="AK91" s="9">
        <f t="shared" si="21"/>
        <v>3.3683239957090173E-3</v>
      </c>
      <c r="AL91" s="9">
        <f t="shared" si="22"/>
        <v>4.5601150512765629E-2</v>
      </c>
      <c r="AM91" s="9">
        <f t="shared" si="23"/>
        <v>2.0794649280879048E-3</v>
      </c>
      <c r="AN91" s="9" t="s">
        <v>3240</v>
      </c>
    </row>
    <row r="92" spans="13:40" ht="23">
      <c r="M92" s="8" t="s">
        <v>2071</v>
      </c>
      <c r="N92" s="8" t="s">
        <v>2066</v>
      </c>
      <c r="O92" s="8"/>
      <c r="P92" s="8"/>
      <c r="Q92" s="8"/>
      <c r="R92" s="8"/>
      <c r="S92" s="8"/>
      <c r="T92" s="8"/>
      <c r="U92" s="8"/>
      <c r="V92" s="8"/>
      <c r="W92" s="8" t="s">
        <v>2071</v>
      </c>
      <c r="X92" s="8">
        <v>35.82</v>
      </c>
      <c r="Y92" s="8">
        <v>2.27</v>
      </c>
      <c r="Z92" s="9">
        <v>0.52</v>
      </c>
      <c r="AA92" s="8">
        <v>1.7</v>
      </c>
      <c r="AB92" s="8">
        <v>51688</v>
      </c>
      <c r="AC92" s="21" t="s">
        <v>2071</v>
      </c>
      <c r="AD92" s="8" t="s">
        <v>4066</v>
      </c>
      <c r="AE92" s="8" t="s">
        <v>4083</v>
      </c>
      <c r="AF92" s="9">
        <f t="shared" si="16"/>
        <v>3.859</v>
      </c>
      <c r="AG92" s="9">
        <f t="shared" si="17"/>
        <v>1.4733333333333334</v>
      </c>
      <c r="AH92" s="9">
        <f t="shared" si="18"/>
        <v>3.8510329829648408E-2</v>
      </c>
      <c r="AI92" s="9">
        <f t="shared" si="19"/>
        <v>1.4830455035883081E-3</v>
      </c>
      <c r="AJ92" s="9">
        <f t="shared" si="20"/>
        <v>2.0013028434836485E-2</v>
      </c>
      <c r="AK92" s="9">
        <f t="shared" si="21"/>
        <v>4.0052130713357371E-4</v>
      </c>
      <c r="AL92" s="9">
        <f t="shared" si="22"/>
        <v>9.9142688276647375E-3</v>
      </c>
      <c r="AM92" s="9">
        <f t="shared" si="23"/>
        <v>9.8292726387204726E-5</v>
      </c>
      <c r="AN92" s="8" t="s">
        <v>2071</v>
      </c>
    </row>
    <row r="93" spans="13:40" ht="23">
      <c r="M93" s="9" t="s">
        <v>2776</v>
      </c>
      <c r="N93" s="8" t="s">
        <v>1614</v>
      </c>
      <c r="O93" s="8"/>
      <c r="P93" s="8"/>
      <c r="Q93" s="8"/>
      <c r="R93" s="8"/>
      <c r="S93" s="8"/>
      <c r="T93" s="8"/>
      <c r="U93" s="8"/>
      <c r="V93" s="8"/>
      <c r="W93" s="9" t="s">
        <v>2776</v>
      </c>
      <c r="X93" s="8">
        <v>45.64</v>
      </c>
      <c r="Y93" s="8">
        <v>4.87</v>
      </c>
      <c r="Z93" s="9">
        <v>1.1499999999999999</v>
      </c>
      <c r="AA93" s="8">
        <v>1.6</v>
      </c>
      <c r="AB93" s="8">
        <v>37090</v>
      </c>
      <c r="AC93" s="22" t="s">
        <v>2776</v>
      </c>
      <c r="AD93" s="8" t="s">
        <v>4066</v>
      </c>
      <c r="AE93" s="8" t="s">
        <v>4083</v>
      </c>
      <c r="AF93" s="9">
        <f t="shared" si="16"/>
        <v>7.7920000000000007</v>
      </c>
      <c r="AG93" s="9">
        <f t="shared" si="17"/>
        <v>2</v>
      </c>
      <c r="AH93" s="9">
        <f t="shared" si="18"/>
        <v>3.6245016310257325E-2</v>
      </c>
      <c r="AI93" s="9">
        <f t="shared" si="19"/>
        <v>1.3137012073308194E-3</v>
      </c>
      <c r="AJ93" s="9">
        <f t="shared" si="20"/>
        <v>4.0409825748703262E-2</v>
      </c>
      <c r="AK93" s="9">
        <f t="shared" si="21"/>
        <v>1.6329540170405613E-3</v>
      </c>
      <c r="AL93" s="9">
        <f t="shared" si="22"/>
        <v>1.3458283476467969E-2</v>
      </c>
      <c r="AM93" s="9">
        <f t="shared" si="23"/>
        <v>1.8112539413297075E-4</v>
      </c>
      <c r="AN93" s="9" t="s">
        <v>2776</v>
      </c>
    </row>
    <row r="94" spans="13:40" ht="23">
      <c r="M94" s="9" t="s">
        <v>3094</v>
      </c>
      <c r="N94" s="8" t="s">
        <v>1814</v>
      </c>
      <c r="O94" s="8"/>
      <c r="P94" s="8"/>
      <c r="Q94" s="8"/>
      <c r="R94" s="8"/>
      <c r="S94" s="8"/>
      <c r="T94" s="8"/>
      <c r="U94" s="8"/>
      <c r="V94" s="8"/>
      <c r="W94" s="9" t="s">
        <v>3094</v>
      </c>
      <c r="X94" s="8">
        <v>61.61</v>
      </c>
      <c r="Y94" s="8">
        <v>3.52</v>
      </c>
      <c r="Z94" s="9">
        <v>1.05</v>
      </c>
      <c r="AA94" s="8">
        <v>1.6</v>
      </c>
      <c r="AB94" s="8">
        <v>45932</v>
      </c>
      <c r="AC94" s="22" t="s">
        <v>3094</v>
      </c>
      <c r="AD94" s="8" t="s">
        <v>4066</v>
      </c>
      <c r="AE94" s="8" t="s">
        <v>4083</v>
      </c>
      <c r="AF94" s="9">
        <f t="shared" si="16"/>
        <v>5.6320000000000006</v>
      </c>
      <c r="AG94" s="9">
        <f t="shared" si="17"/>
        <v>1.7333333333333334</v>
      </c>
      <c r="AH94" s="9">
        <f t="shared" si="18"/>
        <v>3.6245016310257325E-2</v>
      </c>
      <c r="AI94" s="9">
        <f t="shared" si="19"/>
        <v>1.3137012073308194E-3</v>
      </c>
      <c r="AJ94" s="9">
        <f t="shared" si="20"/>
        <v>2.9207923333764988E-2</v>
      </c>
      <c r="AK94" s="9">
        <f t="shared" si="21"/>
        <v>8.5310278547109323E-4</v>
      </c>
      <c r="AL94" s="9">
        <f t="shared" si="22"/>
        <v>1.1663845679605574E-2</v>
      </c>
      <c r="AM94" s="9">
        <f t="shared" si="23"/>
        <v>1.3604529603765362E-4</v>
      </c>
      <c r="AN94" s="9" t="s">
        <v>3094</v>
      </c>
    </row>
    <row r="95" spans="13:40" ht="23">
      <c r="M95" s="8" t="s">
        <v>1572</v>
      </c>
      <c r="N95" s="8" t="s">
        <v>150</v>
      </c>
      <c r="O95" s="8"/>
      <c r="P95" s="8"/>
      <c r="Q95" s="8"/>
      <c r="R95" s="8"/>
      <c r="S95" s="8"/>
      <c r="T95" s="8"/>
      <c r="U95" s="8"/>
      <c r="V95" s="8"/>
      <c r="W95" s="8" t="s">
        <v>1572</v>
      </c>
      <c r="X95" s="8">
        <v>41.56</v>
      </c>
      <c r="Y95" s="8">
        <v>2.12</v>
      </c>
      <c r="Z95" s="9">
        <v>2.12</v>
      </c>
      <c r="AA95" s="8">
        <v>1.3</v>
      </c>
      <c r="AB95" s="8">
        <v>65759</v>
      </c>
      <c r="AC95" s="21" t="s">
        <v>1572</v>
      </c>
      <c r="AD95" s="8" t="s">
        <v>4066</v>
      </c>
      <c r="AE95" s="8" t="s">
        <v>4083</v>
      </c>
      <c r="AF95" s="9">
        <f t="shared" si="16"/>
        <v>2.7560000000000002</v>
      </c>
      <c r="AG95" s="9">
        <f t="shared" si="17"/>
        <v>2.8600000000000003</v>
      </c>
      <c r="AH95" s="9">
        <f t="shared" si="18"/>
        <v>2.9449075752084081E-2</v>
      </c>
      <c r="AI95" s="9">
        <f t="shared" si="19"/>
        <v>8.6724806265198661E-4</v>
      </c>
      <c r="AJ95" s="9">
        <f t="shared" si="20"/>
        <v>1.4292797710911985E-2</v>
      </c>
      <c r="AK95" s="9">
        <f t="shared" si="21"/>
        <v>2.0428406640505089E-4</v>
      </c>
      <c r="AL95" s="9">
        <f t="shared" si="22"/>
        <v>1.9245345371349198E-2</v>
      </c>
      <c r="AM95" s="9">
        <f t="shared" si="23"/>
        <v>3.7038331846251201E-4</v>
      </c>
      <c r="AN95" s="8" t="s">
        <v>1572</v>
      </c>
    </row>
    <row r="96" spans="13:40" ht="23">
      <c r="M96" s="9" t="s">
        <v>3144</v>
      </c>
      <c r="N96" s="8" t="s">
        <v>1869</v>
      </c>
      <c r="O96" s="8"/>
      <c r="P96" s="8"/>
      <c r="Q96" s="8"/>
      <c r="R96" s="8"/>
      <c r="S96" s="8"/>
      <c r="T96" s="8"/>
      <c r="U96" s="8"/>
      <c r="V96" s="8"/>
      <c r="W96" s="9" t="s">
        <v>3144</v>
      </c>
      <c r="X96" s="8">
        <v>53.34</v>
      </c>
      <c r="Y96" s="8">
        <v>3.01</v>
      </c>
      <c r="Z96" s="9">
        <v>1.37</v>
      </c>
      <c r="AA96" s="8">
        <v>1.3</v>
      </c>
      <c r="AB96" s="8">
        <v>80717</v>
      </c>
      <c r="AC96" s="22" t="s">
        <v>3144</v>
      </c>
      <c r="AD96" s="8" t="s">
        <v>4066</v>
      </c>
      <c r="AE96" s="8" t="s">
        <v>4083</v>
      </c>
      <c r="AF96" s="9">
        <f t="shared" si="16"/>
        <v>3.9129999999999998</v>
      </c>
      <c r="AG96" s="9">
        <f t="shared" si="17"/>
        <v>2.1016666666666666</v>
      </c>
      <c r="AH96" s="9">
        <f t="shared" si="18"/>
        <v>2.9449075752084081E-2</v>
      </c>
      <c r="AI96" s="9">
        <f t="shared" si="19"/>
        <v>8.6724806265198661E-4</v>
      </c>
      <c r="AJ96" s="9">
        <f t="shared" si="20"/>
        <v>2.0293075995209939E-2</v>
      </c>
      <c r="AK96" s="9">
        <f t="shared" si="21"/>
        <v>4.1180893334736586E-4</v>
      </c>
      <c r="AL96" s="9">
        <f t="shared" si="22"/>
        <v>1.4142412886521755E-2</v>
      </c>
      <c r="AM96" s="9">
        <f t="shared" si="23"/>
        <v>2.0000784225285661E-4</v>
      </c>
      <c r="AN96" s="9" t="s">
        <v>3144</v>
      </c>
    </row>
    <row r="97" spans="13:40" ht="23">
      <c r="M97" s="9" t="s">
        <v>3066</v>
      </c>
      <c r="N97" s="8" t="s">
        <v>1814</v>
      </c>
      <c r="O97" s="8"/>
      <c r="P97" s="8"/>
      <c r="Q97" s="8"/>
      <c r="R97" s="8"/>
      <c r="S97" s="8"/>
      <c r="T97" s="8"/>
      <c r="U97" s="8"/>
      <c r="V97" s="8"/>
      <c r="W97" s="9" t="s">
        <v>3066</v>
      </c>
      <c r="X97" s="8">
        <v>34.83</v>
      </c>
      <c r="Y97" s="8">
        <v>3.97</v>
      </c>
      <c r="Z97" s="9">
        <v>6.37</v>
      </c>
      <c r="AA97" s="8">
        <v>1.1000000000000001</v>
      </c>
      <c r="AB97" s="8">
        <v>49550</v>
      </c>
      <c r="AC97" s="22" t="s">
        <v>3066</v>
      </c>
      <c r="AD97" s="8" t="s">
        <v>4066</v>
      </c>
      <c r="AE97" s="8" t="s">
        <v>4083</v>
      </c>
      <c r="AF97" s="9">
        <f t="shared" si="16"/>
        <v>4.3670000000000009</v>
      </c>
      <c r="AG97" s="9">
        <f t="shared" si="17"/>
        <v>7.2783333333333342</v>
      </c>
      <c r="AH97" s="9">
        <f t="shared" si="18"/>
        <v>2.4918448713301913E-2</v>
      </c>
      <c r="AI97" s="9">
        <f t="shared" si="19"/>
        <v>6.2092908627745782E-4</v>
      </c>
      <c r="AJ97" s="9">
        <f t="shared" si="20"/>
        <v>2.2647549928720121E-2</v>
      </c>
      <c r="AK97" s="9">
        <f t="shared" si="21"/>
        <v>5.1291151777387077E-4</v>
      </c>
      <c r="AL97" s="9">
        <f t="shared" si="22"/>
        <v>4.8976936618113025E-2</v>
      </c>
      <c r="AM97" s="9">
        <f t="shared" si="23"/>
        <v>2.3987403204946607E-3</v>
      </c>
      <c r="AN97" s="9" t="s">
        <v>3066</v>
      </c>
    </row>
    <row r="98" spans="13:40" ht="23">
      <c r="M98" s="9" t="s">
        <v>3184</v>
      </c>
      <c r="N98" s="8" t="s">
        <v>1869</v>
      </c>
      <c r="O98" s="8"/>
      <c r="P98" s="8"/>
      <c r="Q98" s="8"/>
      <c r="R98" s="8"/>
      <c r="S98" s="8"/>
      <c r="T98" s="8"/>
      <c r="U98" s="8"/>
      <c r="V98" s="8"/>
      <c r="W98" s="9" t="s">
        <v>3184</v>
      </c>
      <c r="X98" s="8">
        <v>31.01</v>
      </c>
      <c r="Y98" s="8">
        <v>2.63</v>
      </c>
      <c r="Z98" s="9">
        <v>4.58</v>
      </c>
      <c r="AA98" s="8">
        <v>1.1000000000000001</v>
      </c>
      <c r="AB98" s="8">
        <v>61602</v>
      </c>
      <c r="AC98" s="22" t="s">
        <v>3184</v>
      </c>
      <c r="AD98" s="8" t="s">
        <v>4066</v>
      </c>
      <c r="AE98" s="8" t="s">
        <v>4083</v>
      </c>
      <c r="AF98" s="9">
        <f t="shared" si="16"/>
        <v>2.8930000000000002</v>
      </c>
      <c r="AG98" s="9">
        <f t="shared" si="17"/>
        <v>5.4633333333333338</v>
      </c>
      <c r="AH98" s="9">
        <f t="shared" si="18"/>
        <v>2.4918448713301913E-2</v>
      </c>
      <c r="AI98" s="9">
        <f t="shared" ref="AI98:AI99" si="24">(AH98*AH98)</f>
        <v>6.2092908627745782E-4</v>
      </c>
      <c r="AJ98" s="9">
        <f t="shared" si="20"/>
        <v>1.5003288743711311E-2</v>
      </c>
      <c r="AK98" s="9">
        <f t="shared" ref="AK98:AK99" si="25">(AJ98*AJ98)</f>
        <v>2.2509867312717454E-4</v>
      </c>
      <c r="AL98" s="9">
        <f t="shared" si="22"/>
        <v>3.676354436321834E-2</v>
      </c>
      <c r="AM98" s="9">
        <f t="shared" ref="AM98:AM99" si="26">(AL98*AL98)</f>
        <v>1.351558194146323E-3</v>
      </c>
      <c r="AN98" s="9" t="s">
        <v>3184</v>
      </c>
    </row>
    <row r="99" spans="13:40" ht="23">
      <c r="M99" s="9" t="s">
        <v>3651</v>
      </c>
      <c r="N99" s="8" t="s">
        <v>2100</v>
      </c>
      <c r="O99" s="8"/>
      <c r="P99" s="8"/>
      <c r="Q99" s="8"/>
      <c r="R99" s="8"/>
      <c r="S99" s="8"/>
      <c r="T99" s="8"/>
      <c r="U99" s="8"/>
      <c r="V99" s="8"/>
      <c r="W99" s="9" t="s">
        <v>3651</v>
      </c>
      <c r="X99" s="8">
        <v>55.18</v>
      </c>
      <c r="Y99" s="8">
        <v>2.2599999999999998</v>
      </c>
      <c r="Z99" s="9">
        <v>2.1</v>
      </c>
      <c r="AA99" s="8">
        <v>1.1000000000000001</v>
      </c>
      <c r="AB99" s="8">
        <v>65831</v>
      </c>
      <c r="AC99" s="22" t="s">
        <v>3651</v>
      </c>
      <c r="AD99" s="8" t="s">
        <v>4066</v>
      </c>
      <c r="AE99" s="8" t="s">
        <v>4083</v>
      </c>
      <c r="AF99" s="9">
        <f t="shared" si="16"/>
        <v>2.4859999999999998</v>
      </c>
      <c r="AG99" s="9">
        <f t="shared" si="17"/>
        <v>2.2018333333333335</v>
      </c>
      <c r="AH99" s="9">
        <f t="shared" si="18"/>
        <v>2.4918448713301913E-2</v>
      </c>
      <c r="AI99" s="9">
        <f t="shared" si="24"/>
        <v>6.2092908627745782E-4</v>
      </c>
      <c r="AJ99" s="9">
        <f t="shared" si="20"/>
        <v>1.2892559909044699E-2</v>
      </c>
      <c r="AK99" s="9">
        <f t="shared" si="25"/>
        <v>1.6621810100830663E-4</v>
      </c>
      <c r="AL99" s="9">
        <f t="shared" si="22"/>
        <v>1.4816448583968196E-2</v>
      </c>
      <c r="AM99" s="9">
        <f t="shared" si="26"/>
        <v>2.1952714864137318E-4</v>
      </c>
      <c r="AN99" s="9" t="s">
        <v>3651</v>
      </c>
    </row>
    <row r="100" spans="13:40" ht="23">
      <c r="M100" s="9"/>
      <c r="N100" s="8"/>
      <c r="O100" s="8"/>
      <c r="P100" s="8"/>
      <c r="Q100" s="8"/>
      <c r="R100" s="8"/>
      <c r="S100" s="8"/>
      <c r="T100" s="8"/>
      <c r="U100" s="8"/>
      <c r="V100" s="8"/>
      <c r="W100" s="9"/>
      <c r="X100" s="8"/>
      <c r="Y100" s="8"/>
      <c r="Z100" s="9"/>
      <c r="AA100" s="8">
        <f>SUBTOTAL(109,Table136324344[ترافیک کل])</f>
        <v>4414.4000000000015</v>
      </c>
      <c r="AB100" s="8"/>
      <c r="AC100" s="22"/>
      <c r="AD100" s="8"/>
      <c r="AE100" s="8"/>
      <c r="AF100" s="9">
        <f>SUBTOTAL(109,Table136324344[[مجموع صفحات  مشاهده شده   ]])</f>
        <v>19282.439000000002</v>
      </c>
      <c r="AG100" s="9">
        <f>SUBTOTAL(109,Table136324344[[مجموع زمان حضور در سایت ]])</f>
        <v>14860.736166666671</v>
      </c>
      <c r="AH100" s="9">
        <f>SUBTOTAL(109,Table136324344[سهم سایت از کل ترافیک طبقه بندی])</f>
        <v>100.00000000000001</v>
      </c>
      <c r="AI100" s="9">
        <f>SUBTOTAL(109,Table136324344[شاخص هرفیندال هیرشمن (ترافیک)])</f>
        <v>503.25406457511406</v>
      </c>
      <c r="AJ100" s="9">
        <f>SUBTOTAL(109,Table136324344[سهم سایت از کل صفحات مشاهده شده در طبقه بندی])</f>
        <v>100.00000000000006</v>
      </c>
      <c r="AK100" s="9">
        <f>SUBTOTAL(109,Table136324344[شاخص هرفیندال -هیرشمن (صفحات مشاهده شده )])</f>
        <v>811.67249916991568</v>
      </c>
      <c r="AL100" s="9">
        <f>SUBTOTAL(109,Table136324344[سهم سایت از کل زمان حضور در طبقه بندی])</f>
        <v>100</v>
      </c>
      <c r="AM100" s="9">
        <f>SUBTOTAL(109,Table136324344[شاخص هرفیندال هیرشمن (زمان حضور)])</f>
        <v>859.03752426872961</v>
      </c>
      <c r="AN100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{613323E5-0DB4-427B-A252-3A032D884B88}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{1DCD3AC0-FFDF-474E-BE82-03710B19693D}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{B1D4CFCB-483F-48A8-8882-57D7A4FF85C7}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{661D3702-176E-4D18-90D4-778C9E0D5E56}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{29953A50-61E4-473A-B2D5-1CBD5FE35FD6}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{70B916F8-A64E-422B-B42E-B8DFB0B8EB0C}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3323E5-0DB4-427B-A252-3A032D884B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DCD3AC0-FFDF-474E-BE82-03710B19693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1D4CFCB-483F-48A8-8882-57D7A4FF85C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61D3702-176E-4D18-90D4-778C9E0D5E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9953A50-61E4-473A-B2D5-1CBD5FE35FD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70B916F8-A64E-422B-B42E-B8DFB0B8EB0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67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7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0">
      <c r="M2" s="16" t="s">
        <v>903</v>
      </c>
      <c r="N2" s="16" t="s">
        <v>150</v>
      </c>
      <c r="O2" s="16"/>
      <c r="P2" s="16" t="s">
        <v>3694</v>
      </c>
      <c r="Q2" s="16"/>
      <c r="R2" s="16"/>
      <c r="S2" s="16"/>
      <c r="T2" s="16"/>
      <c r="U2" s="16"/>
      <c r="V2" s="16"/>
      <c r="W2" s="16" t="s">
        <v>903</v>
      </c>
      <c r="X2" s="16">
        <v>59.88</v>
      </c>
      <c r="Y2" s="16">
        <v>2.95</v>
      </c>
      <c r="Z2" s="17">
        <v>2.48</v>
      </c>
      <c r="AA2" s="16">
        <v>1524.9</v>
      </c>
      <c r="AB2" s="16">
        <v>634</v>
      </c>
      <c r="AC2" s="36" t="s">
        <v>903</v>
      </c>
      <c r="AD2" s="16" t="s">
        <v>3724</v>
      </c>
      <c r="AE2" s="16" t="s">
        <v>4083</v>
      </c>
      <c r="AF2" s="17">
        <f t="shared" ref="AF2:AF33" si="0">(AA2*Y2)</f>
        <v>4498.4550000000008</v>
      </c>
      <c r="AG2" s="17">
        <f t="shared" ref="AG2:AG33" si="1">((((RIGHT(Z2,2))/60)+(LEFT(Z2,2)))*AA2)</f>
        <v>4269.72</v>
      </c>
      <c r="AH2" s="17">
        <f t="shared" ref="AH2:AH33" si="2">(AA2/$AA$67)*100</f>
        <v>15.344442431926586</v>
      </c>
      <c r="AI2" s="17">
        <f t="shared" ref="AI2:AI33" si="3">(AH2*AH2)</f>
        <v>235.45191354670908</v>
      </c>
      <c r="AJ2" s="17">
        <f t="shared" ref="AJ2:AJ33" si="4">(AF2/$AF$67)*100</f>
        <v>15.896963464076466</v>
      </c>
      <c r="AK2" s="17">
        <f t="shared" ref="AK2:AK33" si="5">(AJ2*AJ2)</f>
        <v>252.71344737818202</v>
      </c>
      <c r="AL2" s="17">
        <f t="shared" ref="AL2:AL33" si="6">(AG2/$AG$67)*100</f>
        <v>29.122112284154429</v>
      </c>
      <c r="AM2" s="17">
        <f t="shared" ref="AM2:AM33" si="7">(AL2*AL2)</f>
        <v>848.09742389089831</v>
      </c>
      <c r="AN2" s="16" t="s">
        <v>903</v>
      </c>
    </row>
    <row r="3" spans="8:40" ht="20">
      <c r="M3" s="16" t="s">
        <v>1277</v>
      </c>
      <c r="N3" s="16" t="s">
        <v>150</v>
      </c>
      <c r="O3" s="16"/>
      <c r="P3" s="16" t="s">
        <v>4667</v>
      </c>
      <c r="Q3" s="16"/>
      <c r="R3" s="16"/>
      <c r="S3" s="16"/>
      <c r="T3" s="16"/>
      <c r="U3" s="16"/>
      <c r="V3" s="16"/>
      <c r="W3" s="16" t="s">
        <v>1277</v>
      </c>
      <c r="X3" s="16">
        <v>47.63</v>
      </c>
      <c r="Y3" s="16">
        <v>2.5499999999999998</v>
      </c>
      <c r="Z3" s="17">
        <v>0.48</v>
      </c>
      <c r="AA3" s="16">
        <v>544</v>
      </c>
      <c r="AB3" s="16">
        <v>2230</v>
      </c>
      <c r="AC3" s="36" t="s">
        <v>1277</v>
      </c>
      <c r="AD3" s="16" t="s">
        <v>3724</v>
      </c>
      <c r="AE3" s="16" t="s">
        <v>4083</v>
      </c>
      <c r="AF3" s="17">
        <f t="shared" si="0"/>
        <v>1387.1999999999998</v>
      </c>
      <c r="AG3" s="17">
        <f t="shared" si="1"/>
        <v>435.20000000000005</v>
      </c>
      <c r="AH3" s="17">
        <f t="shared" si="2"/>
        <v>5.4740485821811671</v>
      </c>
      <c r="AI3" s="17">
        <f t="shared" si="3"/>
        <v>29.965207880079646</v>
      </c>
      <c r="AJ3" s="17">
        <f t="shared" si="4"/>
        <v>4.9021870214033187</v>
      </c>
      <c r="AK3" s="17">
        <f t="shared" si="5"/>
        <v>24.031437592815141</v>
      </c>
      <c r="AL3" s="17">
        <f t="shared" si="6"/>
        <v>2.9683312409394542</v>
      </c>
      <c r="AM3" s="17">
        <f t="shared" si="7"/>
        <v>8.810990355937161</v>
      </c>
      <c r="AN3" s="16" t="s">
        <v>1277</v>
      </c>
    </row>
    <row r="4" spans="8:40" ht="20">
      <c r="M4" s="16" t="s">
        <v>458</v>
      </c>
      <c r="N4" s="16" t="s">
        <v>150</v>
      </c>
      <c r="O4" s="16"/>
      <c r="P4" s="16"/>
      <c r="Q4" s="16"/>
      <c r="R4" s="16"/>
      <c r="S4" s="16"/>
      <c r="T4" s="16"/>
      <c r="U4" s="16"/>
      <c r="V4" s="16"/>
      <c r="W4" s="16" t="s">
        <v>458</v>
      </c>
      <c r="X4" s="16">
        <v>39.590000000000003</v>
      </c>
      <c r="Y4" s="16">
        <v>4.09</v>
      </c>
      <c r="Z4" s="17">
        <v>2.27</v>
      </c>
      <c r="AA4" s="16">
        <v>542.79999999999995</v>
      </c>
      <c r="AB4" s="16">
        <v>2464</v>
      </c>
      <c r="AC4" s="36" t="s">
        <v>458</v>
      </c>
      <c r="AD4" s="16" t="s">
        <v>3724</v>
      </c>
      <c r="AE4" s="16" t="s">
        <v>4083</v>
      </c>
      <c r="AF4" s="17">
        <f t="shared" si="0"/>
        <v>2220.0519999999997</v>
      </c>
      <c r="AG4" s="17">
        <f t="shared" si="1"/>
        <v>1329.86</v>
      </c>
      <c r="AH4" s="17">
        <f t="shared" si="2"/>
        <v>5.4619734750145907</v>
      </c>
      <c r="AI4" s="17">
        <f t="shared" si="3"/>
        <v>29.833154241762966</v>
      </c>
      <c r="AJ4" s="17">
        <f t="shared" si="4"/>
        <v>7.8453792540660903</v>
      </c>
      <c r="AK4" s="17">
        <f t="shared" si="5"/>
        <v>61.549975640130604</v>
      </c>
      <c r="AL4" s="17">
        <f t="shared" si="6"/>
        <v>9.0704618200269813</v>
      </c>
      <c r="AM4" s="17">
        <f t="shared" si="7"/>
        <v>82.273277628567172</v>
      </c>
      <c r="AN4" s="16" t="s">
        <v>458</v>
      </c>
    </row>
    <row r="5" spans="8:40" ht="20">
      <c r="M5" s="16" t="s">
        <v>760</v>
      </c>
      <c r="N5" s="16" t="s">
        <v>150</v>
      </c>
      <c r="O5" s="16"/>
      <c r="P5" s="16" t="s">
        <v>3693</v>
      </c>
      <c r="Q5" s="16"/>
      <c r="R5" s="16"/>
      <c r="S5" s="16"/>
      <c r="T5" s="16"/>
      <c r="U5" s="16"/>
      <c r="V5" s="16"/>
      <c r="W5" s="16" t="s">
        <v>760</v>
      </c>
      <c r="X5" s="16">
        <v>37.72</v>
      </c>
      <c r="Y5" s="16">
        <v>6.29</v>
      </c>
      <c r="Z5" s="17">
        <v>3.25</v>
      </c>
      <c r="AA5" s="16">
        <v>461.7</v>
      </c>
      <c r="AB5" s="16">
        <v>2052</v>
      </c>
      <c r="AC5" s="36" t="s">
        <v>760</v>
      </c>
      <c r="AD5" s="16" t="s">
        <v>3724</v>
      </c>
      <c r="AE5" s="16" t="s">
        <v>4083</v>
      </c>
      <c r="AF5" s="17">
        <f t="shared" si="0"/>
        <v>2904.0929999999998</v>
      </c>
      <c r="AG5" s="17">
        <f t="shared" si="1"/>
        <v>1577.4749999999999</v>
      </c>
      <c r="AH5" s="17">
        <f t="shared" si="2"/>
        <v>4.645897482340156</v>
      </c>
      <c r="AI5" s="17">
        <f t="shared" si="3"/>
        <v>21.5843634164146</v>
      </c>
      <c r="AJ5" s="17">
        <f t="shared" si="4"/>
        <v>10.262692483815044</v>
      </c>
      <c r="AK5" s="17">
        <f t="shared" si="5"/>
        <v>105.32285701735381</v>
      </c>
      <c r="AL5" s="17">
        <f t="shared" si="6"/>
        <v>10.759348171647439</v>
      </c>
      <c r="AM5" s="17">
        <f t="shared" si="7"/>
        <v>115.76357307873307</v>
      </c>
      <c r="AN5" s="16" t="s">
        <v>760</v>
      </c>
    </row>
    <row r="6" spans="8:40" ht="20">
      <c r="M6" s="16" t="s">
        <v>898</v>
      </c>
      <c r="N6" s="16" t="s">
        <v>150</v>
      </c>
      <c r="O6" s="16"/>
      <c r="P6" s="16" t="s">
        <v>3693</v>
      </c>
      <c r="Q6" s="16"/>
      <c r="R6" s="16"/>
      <c r="S6" s="16"/>
      <c r="T6" s="16"/>
      <c r="U6" s="16"/>
      <c r="V6" s="16"/>
      <c r="W6" s="16" t="s">
        <v>898</v>
      </c>
      <c r="X6" s="16">
        <v>47.35</v>
      </c>
      <c r="Y6" s="16">
        <v>1.59</v>
      </c>
      <c r="Z6" s="17">
        <v>0.23</v>
      </c>
      <c r="AA6" s="16">
        <v>452</v>
      </c>
      <c r="AB6" s="16">
        <v>5315</v>
      </c>
      <c r="AC6" s="36" t="s">
        <v>898</v>
      </c>
      <c r="AD6" s="16" t="s">
        <v>3724</v>
      </c>
      <c r="AE6" s="16" t="s">
        <v>4083</v>
      </c>
      <c r="AF6" s="17">
        <f t="shared" si="0"/>
        <v>718.68000000000006</v>
      </c>
      <c r="AG6" s="17">
        <f t="shared" si="1"/>
        <v>173.26666666666668</v>
      </c>
      <c r="AH6" s="17">
        <f t="shared" si="2"/>
        <v>4.5482903660769995</v>
      </c>
      <c r="AI6" s="17">
        <f t="shared" si="3"/>
        <v>20.686945254148846</v>
      </c>
      <c r="AJ6" s="17">
        <f t="shared" si="4"/>
        <v>2.5397230165384501</v>
      </c>
      <c r="AK6" s="17">
        <f t="shared" si="5"/>
        <v>6.4501930007351644</v>
      </c>
      <c r="AL6" s="17">
        <f t="shared" si="6"/>
        <v>1.1817850636031926</v>
      </c>
      <c r="AM6" s="17">
        <f t="shared" si="7"/>
        <v>1.3966159365556019</v>
      </c>
      <c r="AN6" s="16" t="s">
        <v>898</v>
      </c>
    </row>
    <row r="7" spans="8:40" ht="20">
      <c r="M7" s="17" t="s">
        <v>2280</v>
      </c>
      <c r="N7" s="16" t="s">
        <v>150</v>
      </c>
      <c r="O7" s="16"/>
      <c r="P7" s="16"/>
      <c r="Q7" s="16"/>
      <c r="R7" s="16"/>
      <c r="S7" s="16"/>
      <c r="T7" s="16"/>
      <c r="U7" s="16"/>
      <c r="V7" s="16"/>
      <c r="W7" s="17" t="s">
        <v>2280</v>
      </c>
      <c r="X7" s="16">
        <v>50</v>
      </c>
      <c r="Y7" s="16">
        <v>1.81</v>
      </c>
      <c r="Z7" s="17">
        <v>1.1100000000000001</v>
      </c>
      <c r="AA7" s="16">
        <v>434.1</v>
      </c>
      <c r="AB7" s="16">
        <v>7289</v>
      </c>
      <c r="AC7" s="37" t="s">
        <v>2280</v>
      </c>
      <c r="AD7" s="16" t="s">
        <v>3724</v>
      </c>
      <c r="AE7" s="16" t="s">
        <v>4083</v>
      </c>
      <c r="AF7" s="17">
        <f t="shared" si="0"/>
        <v>785.72100000000012</v>
      </c>
      <c r="AG7" s="17">
        <f t="shared" si="1"/>
        <v>513.68500000000006</v>
      </c>
      <c r="AH7" s="17">
        <f t="shared" si="2"/>
        <v>4.3681700175089055</v>
      </c>
      <c r="AI7" s="17">
        <f t="shared" si="3"/>
        <v>19.080909301863752</v>
      </c>
      <c r="AJ7" s="17">
        <f t="shared" si="4"/>
        <v>2.7766373188033726</v>
      </c>
      <c r="AK7" s="17">
        <f t="shared" si="5"/>
        <v>7.7097148001715823</v>
      </c>
      <c r="AL7" s="17">
        <f t="shared" si="6"/>
        <v>3.5036471358041901</v>
      </c>
      <c r="AM7" s="17">
        <f t="shared" si="7"/>
        <v>12.275543252228905</v>
      </c>
      <c r="AN7" s="17" t="s">
        <v>2280</v>
      </c>
    </row>
    <row r="8" spans="8:40" ht="20">
      <c r="M8" s="17" t="s">
        <v>5022</v>
      </c>
      <c r="N8" s="16" t="s">
        <v>150</v>
      </c>
      <c r="O8" s="16"/>
      <c r="P8" s="16"/>
      <c r="Q8" s="16"/>
      <c r="R8" s="16"/>
      <c r="S8" s="16"/>
      <c r="T8" s="16"/>
      <c r="U8" s="16"/>
      <c r="V8" s="16"/>
      <c r="W8" s="17" t="s">
        <v>5022</v>
      </c>
      <c r="X8" s="16">
        <v>52.16</v>
      </c>
      <c r="Y8" s="16">
        <v>1.1399999999999999</v>
      </c>
      <c r="Z8" s="17">
        <v>0.04</v>
      </c>
      <c r="AA8" s="16">
        <v>398.4</v>
      </c>
      <c r="AB8" s="16">
        <v>4468</v>
      </c>
      <c r="AC8" s="37" t="s">
        <v>5022</v>
      </c>
      <c r="AD8" s="16" t="s">
        <v>3724</v>
      </c>
      <c r="AE8" s="16" t="s">
        <v>4083</v>
      </c>
      <c r="AF8" s="17">
        <f t="shared" si="0"/>
        <v>454.17599999999993</v>
      </c>
      <c r="AG8" s="17">
        <f t="shared" si="1"/>
        <v>26.56</v>
      </c>
      <c r="AH8" s="17">
        <f t="shared" si="2"/>
        <v>4.0089355793032659</v>
      </c>
      <c r="AI8" s="17">
        <f t="shared" si="3"/>
        <v>16.071564479003612</v>
      </c>
      <c r="AJ8" s="17">
        <f t="shared" si="4"/>
        <v>1.6049997784262353</v>
      </c>
      <c r="AK8" s="17">
        <f t="shared" si="5"/>
        <v>2.5760242887482643</v>
      </c>
      <c r="AL8" s="17">
        <f t="shared" si="6"/>
        <v>0.18115550955733431</v>
      </c>
      <c r="AM8" s="17">
        <f t="shared" si="7"/>
        <v>3.281731864297744E-2</v>
      </c>
      <c r="AN8" s="17" t="s">
        <v>5022</v>
      </c>
    </row>
    <row r="9" spans="8:40" ht="20">
      <c r="M9" s="17" t="s">
        <v>2954</v>
      </c>
      <c r="N9" s="16" t="s">
        <v>1717</v>
      </c>
      <c r="O9" s="16"/>
      <c r="P9" s="16"/>
      <c r="Q9" s="16"/>
      <c r="R9" s="16"/>
      <c r="S9" s="16"/>
      <c r="T9" s="16"/>
      <c r="U9" s="16"/>
      <c r="V9" s="16"/>
      <c r="W9" s="17" t="s">
        <v>2954</v>
      </c>
      <c r="X9" s="16">
        <v>67.37</v>
      </c>
      <c r="Y9" s="16">
        <v>3.8</v>
      </c>
      <c r="Z9" s="17">
        <v>2.44</v>
      </c>
      <c r="AA9" s="16">
        <v>368.9</v>
      </c>
      <c r="AB9" s="16">
        <v>8668</v>
      </c>
      <c r="AC9" s="37" t="s">
        <v>2954</v>
      </c>
      <c r="AD9" s="16" t="s">
        <v>3724</v>
      </c>
      <c r="AE9" s="16" t="s">
        <v>4083</v>
      </c>
      <c r="AF9" s="17">
        <f t="shared" si="0"/>
        <v>1401.82</v>
      </c>
      <c r="AG9" s="17">
        <f t="shared" si="1"/>
        <v>1008.3266666666666</v>
      </c>
      <c r="AH9" s="17">
        <f t="shared" si="2"/>
        <v>3.7120891947916039</v>
      </c>
      <c r="AI9" s="17">
        <f t="shared" si="3"/>
        <v>13.779606190088579</v>
      </c>
      <c r="AJ9" s="17">
        <f t="shared" si="4"/>
        <v>4.9538522277563448</v>
      </c>
      <c r="AK9" s="17">
        <f t="shared" si="5"/>
        <v>24.540651894446501</v>
      </c>
      <c r="AL9" s="17">
        <f t="shared" si="6"/>
        <v>6.8774070444370627</v>
      </c>
      <c r="AM9" s="17">
        <f t="shared" si="7"/>
        <v>47.298727654872536</v>
      </c>
      <c r="AN9" s="17" t="s">
        <v>2954</v>
      </c>
    </row>
    <row r="10" spans="8:40" ht="20">
      <c r="M10" s="16" t="s">
        <v>4669</v>
      </c>
      <c r="N10" s="16" t="s">
        <v>150</v>
      </c>
      <c r="O10" s="16"/>
      <c r="P10" s="16"/>
      <c r="Q10" s="16"/>
      <c r="R10" s="16"/>
      <c r="S10" s="16"/>
      <c r="T10" s="16"/>
      <c r="U10" s="16"/>
      <c r="V10" s="16"/>
      <c r="W10" s="16" t="s">
        <v>4669</v>
      </c>
      <c r="X10" s="16">
        <v>34.32</v>
      </c>
      <c r="Y10" s="16">
        <v>1.67</v>
      </c>
      <c r="Z10" s="17">
        <v>0.33</v>
      </c>
      <c r="AA10" s="16">
        <v>351.2</v>
      </c>
      <c r="AB10" s="16">
        <v>8350</v>
      </c>
      <c r="AC10" s="36" t="s">
        <v>4669</v>
      </c>
      <c r="AD10" s="16" t="s">
        <v>3724</v>
      </c>
      <c r="AE10" s="16" t="s">
        <v>4083</v>
      </c>
      <c r="AF10" s="17">
        <f t="shared" si="0"/>
        <v>586.50399999999991</v>
      </c>
      <c r="AG10" s="17">
        <f t="shared" si="1"/>
        <v>193.16</v>
      </c>
      <c r="AH10" s="17">
        <f t="shared" si="2"/>
        <v>3.5339813640846063</v>
      </c>
      <c r="AI10" s="17">
        <f t="shared" si="3"/>
        <v>12.489024281697295</v>
      </c>
      <c r="AJ10" s="17">
        <f t="shared" si="4"/>
        <v>2.0726299717424541</v>
      </c>
      <c r="AK10" s="17">
        <f t="shared" si="5"/>
        <v>4.2957949997651266</v>
      </c>
      <c r="AL10" s="17">
        <f t="shared" si="6"/>
        <v>1.3174698127294691</v>
      </c>
      <c r="AM10" s="17">
        <f t="shared" si="7"/>
        <v>1.7357267074534222</v>
      </c>
      <c r="AN10" s="16" t="s">
        <v>4669</v>
      </c>
    </row>
    <row r="11" spans="8:40" ht="20">
      <c r="M11" s="16" t="s">
        <v>21</v>
      </c>
      <c r="N11" s="16" t="s">
        <v>23</v>
      </c>
      <c r="O11" s="16"/>
      <c r="P11" s="16"/>
      <c r="Q11" s="16"/>
      <c r="R11" s="16"/>
      <c r="S11" s="16"/>
      <c r="T11" s="16"/>
      <c r="U11" s="16"/>
      <c r="V11" s="16"/>
      <c r="W11" s="16" t="s">
        <v>21</v>
      </c>
      <c r="X11" s="16">
        <v>30.9</v>
      </c>
      <c r="Y11" s="16">
        <v>2.16</v>
      </c>
      <c r="Z11" s="17">
        <v>1.42</v>
      </c>
      <c r="AA11" s="16">
        <v>348.8</v>
      </c>
      <c r="AB11" s="16">
        <v>4434</v>
      </c>
      <c r="AC11" s="36" t="s">
        <v>21</v>
      </c>
      <c r="AD11" s="16" t="s">
        <v>3724</v>
      </c>
      <c r="AE11" s="16" t="s">
        <v>4083</v>
      </c>
      <c r="AF11" s="17">
        <f t="shared" si="0"/>
        <v>753.40800000000013</v>
      </c>
      <c r="AG11" s="17">
        <f t="shared" si="1"/>
        <v>592.96</v>
      </c>
      <c r="AH11" s="17">
        <f t="shared" si="2"/>
        <v>3.5098311497514545</v>
      </c>
      <c r="AI11" s="17">
        <f t="shared" si="3"/>
        <v>12.318914699765617</v>
      </c>
      <c r="AJ11" s="17">
        <f t="shared" si="4"/>
        <v>2.6624473179220249</v>
      </c>
      <c r="AK11" s="17">
        <f t="shared" si="5"/>
        <v>7.0886257207101844</v>
      </c>
      <c r="AL11" s="17">
        <f t="shared" si="6"/>
        <v>4.0443513157800064</v>
      </c>
      <c r="AM11" s="17">
        <f t="shared" si="7"/>
        <v>16.35677756545147</v>
      </c>
      <c r="AN11" s="16" t="s">
        <v>21</v>
      </c>
    </row>
    <row r="12" spans="8:40" ht="20">
      <c r="M12" s="17" t="s">
        <v>3335</v>
      </c>
      <c r="N12" s="16" t="s">
        <v>1964</v>
      </c>
      <c r="O12" s="16"/>
      <c r="P12" s="16"/>
      <c r="Q12" s="16"/>
      <c r="R12" s="16"/>
      <c r="S12" s="16"/>
      <c r="T12" s="16"/>
      <c r="U12" s="16"/>
      <c r="V12" s="16"/>
      <c r="W12" s="17" t="s">
        <v>3335</v>
      </c>
      <c r="X12" s="16">
        <v>27.21</v>
      </c>
      <c r="Y12" s="16">
        <v>7.18</v>
      </c>
      <c r="Z12" s="17">
        <v>2.4</v>
      </c>
      <c r="AA12" s="16">
        <v>346.9</v>
      </c>
      <c r="AB12" s="16">
        <v>6200</v>
      </c>
      <c r="AC12" s="37" t="s">
        <v>3335</v>
      </c>
      <c r="AD12" s="16" t="s">
        <v>3724</v>
      </c>
      <c r="AE12" s="16" t="s">
        <v>4083</v>
      </c>
      <c r="AF12" s="17">
        <f t="shared" si="0"/>
        <v>2490.7419999999997</v>
      </c>
      <c r="AG12" s="17">
        <f t="shared" si="1"/>
        <v>696.11266666666666</v>
      </c>
      <c r="AH12" s="17">
        <f t="shared" si="2"/>
        <v>3.490712230071042</v>
      </c>
      <c r="AI12" s="17">
        <f t="shared" si="3"/>
        <v>12.185071873167548</v>
      </c>
      <c r="AJ12" s="17">
        <f t="shared" si="4"/>
        <v>8.8019630234026422</v>
      </c>
      <c r="AK12" s="17">
        <f t="shared" si="5"/>
        <v>77.474553065347379</v>
      </c>
      <c r="AL12" s="17">
        <f t="shared" si="6"/>
        <v>4.7479158448537211</v>
      </c>
      <c r="AM12" s="17">
        <f t="shared" si="7"/>
        <v>22.542704869813026</v>
      </c>
      <c r="AN12" s="17" t="s">
        <v>3335</v>
      </c>
    </row>
    <row r="13" spans="8:40" ht="20">
      <c r="M13" s="17" t="s">
        <v>3136</v>
      </c>
      <c r="N13" s="16" t="s">
        <v>1869</v>
      </c>
      <c r="O13" s="16"/>
      <c r="P13" s="16" t="s">
        <v>3691</v>
      </c>
      <c r="Q13" s="16"/>
      <c r="R13" s="16"/>
      <c r="S13" s="16"/>
      <c r="T13" s="16"/>
      <c r="U13" s="16"/>
      <c r="V13" s="16"/>
      <c r="W13" s="17" t="s">
        <v>3136</v>
      </c>
      <c r="X13" s="16">
        <v>39.729999999999997</v>
      </c>
      <c r="Y13" s="16">
        <v>1.59</v>
      </c>
      <c r="Z13" s="17">
        <v>0.24</v>
      </c>
      <c r="AA13" s="16">
        <v>306.89999999999998</v>
      </c>
      <c r="AB13" s="16">
        <v>10877</v>
      </c>
      <c r="AC13" s="37" t="s">
        <v>3136</v>
      </c>
      <c r="AD13" s="16" t="s">
        <v>3724</v>
      </c>
      <c r="AE13" s="16" t="s">
        <v>4083</v>
      </c>
      <c r="AF13" s="17">
        <f t="shared" si="0"/>
        <v>487.971</v>
      </c>
      <c r="AG13" s="17">
        <f t="shared" si="1"/>
        <v>122.75999999999999</v>
      </c>
      <c r="AH13" s="17">
        <f t="shared" si="2"/>
        <v>3.0882086578518386</v>
      </c>
      <c r="AI13" s="17">
        <f t="shared" si="3"/>
        <v>9.5370327144310547</v>
      </c>
      <c r="AJ13" s="17">
        <f t="shared" si="4"/>
        <v>1.7244269773797571</v>
      </c>
      <c r="AK13" s="17">
        <f t="shared" si="5"/>
        <v>2.9736484003150854</v>
      </c>
      <c r="AL13" s="17">
        <f t="shared" si="6"/>
        <v>0.83729858257749845</v>
      </c>
      <c r="AM13" s="17">
        <f t="shared" si="7"/>
        <v>0.70106891638628799</v>
      </c>
      <c r="AN13" s="17" t="s">
        <v>3136</v>
      </c>
    </row>
    <row r="14" spans="8:40" ht="20">
      <c r="M14" s="16" t="s">
        <v>490</v>
      </c>
      <c r="N14" s="16" t="s">
        <v>150</v>
      </c>
      <c r="O14" s="16"/>
      <c r="P14" s="16" t="s">
        <v>3693</v>
      </c>
      <c r="Q14" s="16"/>
      <c r="R14" s="16"/>
      <c r="S14" s="16"/>
      <c r="T14" s="16"/>
      <c r="U14" s="16"/>
      <c r="V14" s="16"/>
      <c r="W14" s="16" t="s">
        <v>490</v>
      </c>
      <c r="X14" s="16">
        <v>28.96</v>
      </c>
      <c r="Y14" s="16">
        <v>3.12</v>
      </c>
      <c r="Z14" s="17">
        <v>1.28</v>
      </c>
      <c r="AA14" s="16">
        <v>279.60000000000002</v>
      </c>
      <c r="AB14" s="16">
        <v>2532</v>
      </c>
      <c r="AC14" s="36" t="s">
        <v>490</v>
      </c>
      <c r="AD14" s="16" t="s">
        <v>3724</v>
      </c>
      <c r="AE14" s="16" t="s">
        <v>4083</v>
      </c>
      <c r="AF14" s="17">
        <f t="shared" si="0"/>
        <v>872.35200000000009</v>
      </c>
      <c r="AG14" s="17">
        <f t="shared" si="1"/>
        <v>410.08000000000004</v>
      </c>
      <c r="AH14" s="17">
        <f t="shared" si="2"/>
        <v>2.8134999698122325</v>
      </c>
      <c r="AI14" s="17">
        <f t="shared" si="3"/>
        <v>7.9157820801334333</v>
      </c>
      <c r="AJ14" s="17">
        <f t="shared" si="4"/>
        <v>3.0827801704838729</v>
      </c>
      <c r="AK14" s="17">
        <f t="shared" si="5"/>
        <v>9.5035335795285771</v>
      </c>
      <c r="AL14" s="17">
        <f t="shared" si="6"/>
        <v>2.7969974156352282</v>
      </c>
      <c r="AM14" s="17">
        <f t="shared" si="7"/>
        <v>7.8231945430701453</v>
      </c>
      <c r="AN14" s="16" t="s">
        <v>490</v>
      </c>
    </row>
    <row r="15" spans="8:40" ht="20">
      <c r="M15" s="16" t="s">
        <v>385</v>
      </c>
      <c r="N15" s="16" t="s">
        <v>150</v>
      </c>
      <c r="O15" s="16"/>
      <c r="P15" s="16" t="s">
        <v>3692</v>
      </c>
      <c r="Q15" s="16"/>
      <c r="R15" s="16"/>
      <c r="S15" s="16"/>
      <c r="T15" s="16"/>
      <c r="U15" s="16"/>
      <c r="V15" s="16"/>
      <c r="W15" s="16" t="s">
        <v>385</v>
      </c>
      <c r="X15" s="16">
        <v>10</v>
      </c>
      <c r="Y15" s="16">
        <v>1.97</v>
      </c>
      <c r="Z15" s="17">
        <v>0.23</v>
      </c>
      <c r="AA15" s="16">
        <v>268.3</v>
      </c>
      <c r="AB15" s="16">
        <v>8579</v>
      </c>
      <c r="AC15" s="36" t="s">
        <v>385</v>
      </c>
      <c r="AD15" s="16" t="s">
        <v>3724</v>
      </c>
      <c r="AE15" s="16" t="s">
        <v>4083</v>
      </c>
      <c r="AF15" s="17">
        <f t="shared" si="0"/>
        <v>528.55100000000004</v>
      </c>
      <c r="AG15" s="17">
        <f t="shared" si="1"/>
        <v>102.84833333333334</v>
      </c>
      <c r="AH15" s="17">
        <f t="shared" si="2"/>
        <v>2.6997927106603075</v>
      </c>
      <c r="AI15" s="17">
        <f t="shared" si="3"/>
        <v>7.2888806805345308</v>
      </c>
      <c r="AJ15" s="17">
        <f t="shared" si="4"/>
        <v>1.8678314967919163</v>
      </c>
      <c r="AK15" s="17">
        <f t="shared" si="5"/>
        <v>3.4887945004079306</v>
      </c>
      <c r="AL15" s="17">
        <f t="shared" si="6"/>
        <v>0.70148878886003674</v>
      </c>
      <c r="AM15" s="17">
        <f t="shared" si="7"/>
        <v>0.49208652089632121</v>
      </c>
      <c r="AN15" s="16" t="s">
        <v>385</v>
      </c>
    </row>
    <row r="16" spans="8:40" ht="20">
      <c r="M16" s="16" t="s">
        <v>4953</v>
      </c>
      <c r="N16" s="16" t="s">
        <v>150</v>
      </c>
      <c r="O16" s="16"/>
      <c r="P16" s="16"/>
      <c r="Q16" s="16"/>
      <c r="R16" s="16"/>
      <c r="S16" s="16"/>
      <c r="T16" s="16"/>
      <c r="U16" s="16"/>
      <c r="V16" s="16"/>
      <c r="W16" s="16" t="s">
        <v>4953</v>
      </c>
      <c r="X16" s="16">
        <v>56.69</v>
      </c>
      <c r="Y16" s="16">
        <v>1.57</v>
      </c>
      <c r="Z16" s="17">
        <v>1.17</v>
      </c>
      <c r="AA16" s="16">
        <v>260.3</v>
      </c>
      <c r="AB16" s="16">
        <v>1032</v>
      </c>
      <c r="AC16" s="36" t="s">
        <v>4953</v>
      </c>
      <c r="AD16" s="16" t="s">
        <v>3724</v>
      </c>
      <c r="AE16" s="16" t="s">
        <v>4083</v>
      </c>
      <c r="AF16" s="17">
        <f t="shared" si="0"/>
        <v>408.67100000000005</v>
      </c>
      <c r="AG16" s="17">
        <f t="shared" si="1"/>
        <v>334.05166666666668</v>
      </c>
      <c r="AH16" s="17">
        <f t="shared" si="2"/>
        <v>2.6192919962164667</v>
      </c>
      <c r="AI16" s="17">
        <f t="shared" si="3"/>
        <v>6.8606905614436426</v>
      </c>
      <c r="AJ16" s="17">
        <f t="shared" si="4"/>
        <v>1.4441909401844839</v>
      </c>
      <c r="AK16" s="17">
        <f t="shared" si="5"/>
        <v>2.0856874717109437</v>
      </c>
      <c r="AL16" s="17">
        <f t="shared" si="6"/>
        <v>2.2784374959893374</v>
      </c>
      <c r="AM16" s="17">
        <f t="shared" si="7"/>
        <v>5.1912774231301624</v>
      </c>
      <c r="AN16" s="16" t="s">
        <v>4953</v>
      </c>
    </row>
    <row r="17" spans="13:40" ht="20">
      <c r="M17" s="16" t="s">
        <v>4980</v>
      </c>
      <c r="N17" s="16" t="s">
        <v>150</v>
      </c>
      <c r="O17" s="16"/>
      <c r="P17" s="16"/>
      <c r="Q17" s="16"/>
      <c r="R17" s="16"/>
      <c r="S17" s="16"/>
      <c r="T17" s="16"/>
      <c r="U17" s="16"/>
      <c r="V17" s="16"/>
      <c r="W17" s="16" t="s">
        <v>4980</v>
      </c>
      <c r="X17" s="16">
        <v>41.39</v>
      </c>
      <c r="Y17" s="16">
        <v>1.89</v>
      </c>
      <c r="Z17" s="17">
        <v>0.41</v>
      </c>
      <c r="AA17" s="16">
        <v>231.4</v>
      </c>
      <c r="AB17" s="16">
        <v>3444</v>
      </c>
      <c r="AC17" s="36" t="s">
        <v>4980</v>
      </c>
      <c r="AD17" s="16" t="s">
        <v>3724</v>
      </c>
      <c r="AE17" s="16" t="s">
        <v>4083</v>
      </c>
      <c r="AF17" s="17">
        <f t="shared" si="0"/>
        <v>437.346</v>
      </c>
      <c r="AG17" s="17">
        <f t="shared" si="1"/>
        <v>158.12333333333333</v>
      </c>
      <c r="AH17" s="17">
        <f t="shared" si="2"/>
        <v>2.328483165288092</v>
      </c>
      <c r="AI17" s="17">
        <f t="shared" si="3"/>
        <v>5.4218338510300521</v>
      </c>
      <c r="AJ17" s="17">
        <f t="shared" si="4"/>
        <v>1.545524715298916</v>
      </c>
      <c r="AK17" s="17">
        <f t="shared" si="5"/>
        <v>2.3886466455997954</v>
      </c>
      <c r="AL17" s="17">
        <f t="shared" si="6"/>
        <v>1.0784982312840448</v>
      </c>
      <c r="AM17" s="17">
        <f t="shared" si="7"/>
        <v>1.163158434882813</v>
      </c>
      <c r="AN17" s="16" t="s">
        <v>4980</v>
      </c>
    </row>
    <row r="18" spans="13:40" ht="20">
      <c r="M18" s="16" t="s">
        <v>1033</v>
      </c>
      <c r="N18" s="16" t="s">
        <v>150</v>
      </c>
      <c r="O18" s="16"/>
      <c r="P18" s="16"/>
      <c r="Q18" s="16"/>
      <c r="R18" s="16"/>
      <c r="S18" s="16"/>
      <c r="T18" s="16"/>
      <c r="U18" s="16"/>
      <c r="V18" s="16"/>
      <c r="W18" s="16" t="s">
        <v>1033</v>
      </c>
      <c r="X18" s="16">
        <v>24.89</v>
      </c>
      <c r="Y18" s="16">
        <v>4.38</v>
      </c>
      <c r="Z18" s="17">
        <v>1.57</v>
      </c>
      <c r="AA18" s="16">
        <v>230.8</v>
      </c>
      <c r="AB18" s="16">
        <v>3792</v>
      </c>
      <c r="AC18" s="36" t="s">
        <v>1033</v>
      </c>
      <c r="AD18" s="16" t="s">
        <v>3724</v>
      </c>
      <c r="AE18" s="16" t="s">
        <v>4083</v>
      </c>
      <c r="AF18" s="17">
        <f t="shared" si="0"/>
        <v>1010.904</v>
      </c>
      <c r="AG18" s="17">
        <f t="shared" si="1"/>
        <v>450.06</v>
      </c>
      <c r="AH18" s="17">
        <f t="shared" si="2"/>
        <v>2.3224456117048042</v>
      </c>
      <c r="AI18" s="17">
        <f t="shared" si="3"/>
        <v>5.393753619326902</v>
      </c>
      <c r="AJ18" s="17">
        <f t="shared" si="4"/>
        <v>3.5724051821544847</v>
      </c>
      <c r="AK18" s="17">
        <f t="shared" si="5"/>
        <v>12.762078785484217</v>
      </c>
      <c r="AL18" s="17">
        <f t="shared" si="6"/>
        <v>3.069685565940282</v>
      </c>
      <c r="AM18" s="17">
        <f t="shared" si="7"/>
        <v>9.4229694737421088</v>
      </c>
      <c r="AN18" s="16" t="s">
        <v>1033</v>
      </c>
    </row>
    <row r="19" spans="13:40" ht="20">
      <c r="M19" s="17" t="s">
        <v>3542</v>
      </c>
      <c r="N19" s="16" t="s">
        <v>2041</v>
      </c>
      <c r="O19" s="16"/>
      <c r="P19" s="16"/>
      <c r="Q19" s="16"/>
      <c r="R19" s="16"/>
      <c r="S19" s="16"/>
      <c r="T19" s="16"/>
      <c r="U19" s="16"/>
      <c r="V19" s="16"/>
      <c r="W19" s="17" t="s">
        <v>3542</v>
      </c>
      <c r="X19" s="16">
        <v>20.260000000000002</v>
      </c>
      <c r="Y19" s="16">
        <v>2.96</v>
      </c>
      <c r="Z19" s="17">
        <v>0.56999999999999995</v>
      </c>
      <c r="AA19" s="16">
        <v>211.6</v>
      </c>
      <c r="AB19" s="16">
        <v>7397</v>
      </c>
      <c r="AC19" s="37" t="s">
        <v>3542</v>
      </c>
      <c r="AD19" s="16" t="s">
        <v>3724</v>
      </c>
      <c r="AE19" s="16" t="s">
        <v>4083</v>
      </c>
      <c r="AF19" s="17">
        <f t="shared" si="0"/>
        <v>626.33600000000001</v>
      </c>
      <c r="AG19" s="17">
        <f t="shared" si="1"/>
        <v>201.01999999999998</v>
      </c>
      <c r="AH19" s="17">
        <f t="shared" si="2"/>
        <v>2.1292438970395864</v>
      </c>
      <c r="AI19" s="17">
        <f t="shared" si="3"/>
        <v>4.5336795730803248</v>
      </c>
      <c r="AJ19" s="17">
        <f t="shared" si="4"/>
        <v>2.2133911550156213</v>
      </c>
      <c r="AK19" s="17">
        <f t="shared" si="5"/>
        <v>4.899100405101386</v>
      </c>
      <c r="AL19" s="17">
        <f t="shared" si="6"/>
        <v>1.3710798392776862</v>
      </c>
      <c r="AM19" s="17">
        <f t="shared" si="7"/>
        <v>1.8798599256737258</v>
      </c>
      <c r="AN19" s="17" t="s">
        <v>3542</v>
      </c>
    </row>
    <row r="20" spans="13:40" ht="20">
      <c r="M20" s="16" t="s">
        <v>1998</v>
      </c>
      <c r="N20" s="16" t="s">
        <v>1990</v>
      </c>
      <c r="O20" s="16"/>
      <c r="P20" s="16"/>
      <c r="Q20" s="16"/>
      <c r="R20" s="16"/>
      <c r="S20" s="16"/>
      <c r="T20" s="16"/>
      <c r="U20" s="16"/>
      <c r="V20" s="16"/>
      <c r="W20" s="16" t="s">
        <v>1998</v>
      </c>
      <c r="X20" s="16">
        <v>31.87</v>
      </c>
      <c r="Y20" s="16">
        <v>1.02</v>
      </c>
      <c r="Z20" s="17">
        <v>0.01</v>
      </c>
      <c r="AA20" s="16">
        <v>196.5</v>
      </c>
      <c r="AB20" s="16">
        <v>23179</v>
      </c>
      <c r="AC20" s="36" t="s">
        <v>1998</v>
      </c>
      <c r="AD20" s="16" t="s">
        <v>3724</v>
      </c>
      <c r="AE20" s="16" t="s">
        <v>4083</v>
      </c>
      <c r="AF20" s="17">
        <f t="shared" si="0"/>
        <v>200.43</v>
      </c>
      <c r="AG20" s="17">
        <f t="shared" si="1"/>
        <v>3.2749999999999999</v>
      </c>
      <c r="AH20" s="17">
        <f t="shared" si="2"/>
        <v>1.9772987985268369</v>
      </c>
      <c r="AI20" s="17">
        <f t="shared" si="3"/>
        <v>3.9097105386556725</v>
      </c>
      <c r="AJ20" s="17">
        <f t="shared" si="4"/>
        <v>0.70829393360717074</v>
      </c>
      <c r="AK20" s="17">
        <f t="shared" si="5"/>
        <v>0.50168029638471923</v>
      </c>
      <c r="AL20" s="17">
        <f t="shared" si="6"/>
        <v>2.2337511061757149E-2</v>
      </c>
      <c r="AM20" s="17">
        <f t="shared" si="7"/>
        <v>4.98964400434123E-4</v>
      </c>
      <c r="AN20" s="16" t="s">
        <v>1998</v>
      </c>
    </row>
    <row r="21" spans="13:40" ht="20">
      <c r="M21" s="17" t="s">
        <v>2999</v>
      </c>
      <c r="N21" s="16" t="s">
        <v>1717</v>
      </c>
      <c r="O21" s="16"/>
      <c r="P21" s="16"/>
      <c r="Q21" s="16"/>
      <c r="R21" s="16"/>
      <c r="S21" s="16"/>
      <c r="T21" s="16"/>
      <c r="U21" s="16"/>
      <c r="V21" s="16"/>
      <c r="W21" s="17" t="s">
        <v>2999</v>
      </c>
      <c r="X21" s="16">
        <v>41.72</v>
      </c>
      <c r="Y21" s="16">
        <v>1.63</v>
      </c>
      <c r="Z21" s="17">
        <v>0.31</v>
      </c>
      <c r="AA21" s="16">
        <v>180.9</v>
      </c>
      <c r="AB21" s="16">
        <v>4940</v>
      </c>
      <c r="AC21" s="37" t="s">
        <v>2999</v>
      </c>
      <c r="AD21" s="16" t="s">
        <v>3724</v>
      </c>
      <c r="AE21" s="16" t="s">
        <v>4083</v>
      </c>
      <c r="AF21" s="17">
        <f t="shared" si="0"/>
        <v>294.86699999999996</v>
      </c>
      <c r="AG21" s="17">
        <f t="shared" si="1"/>
        <v>93.465000000000018</v>
      </c>
      <c r="AH21" s="17">
        <f t="shared" si="2"/>
        <v>1.8203224053613478</v>
      </c>
      <c r="AI21" s="17">
        <f t="shared" si="3"/>
        <v>3.313573659460523</v>
      </c>
      <c r="AJ21" s="17">
        <f t="shared" si="4"/>
        <v>1.0420221888985959</v>
      </c>
      <c r="AK21" s="17">
        <f t="shared" si="5"/>
        <v>1.085810242157021</v>
      </c>
      <c r="AL21" s="17">
        <f t="shared" si="6"/>
        <v>0.63748869355332283</v>
      </c>
      <c r="AM21" s="17">
        <f t="shared" si="7"/>
        <v>0.40639183440832233</v>
      </c>
      <c r="AN21" s="17" t="s">
        <v>2999</v>
      </c>
    </row>
    <row r="22" spans="13:40" ht="20">
      <c r="M22" s="16" t="s">
        <v>232</v>
      </c>
      <c r="N22" s="16" t="s">
        <v>150</v>
      </c>
      <c r="O22" s="16"/>
      <c r="P22" s="16" t="s">
        <v>3692</v>
      </c>
      <c r="Q22" s="16"/>
      <c r="R22" s="16"/>
      <c r="S22" s="16"/>
      <c r="T22" s="16"/>
      <c r="U22" s="16"/>
      <c r="V22" s="16"/>
      <c r="W22" s="16" t="s">
        <v>232</v>
      </c>
      <c r="X22" s="16">
        <v>48.74</v>
      </c>
      <c r="Y22" s="16">
        <v>1.24</v>
      </c>
      <c r="Z22" s="17">
        <v>0.08</v>
      </c>
      <c r="AA22" s="16">
        <v>167.6</v>
      </c>
      <c r="AB22" s="16">
        <v>14559</v>
      </c>
      <c r="AC22" s="36" t="s">
        <v>232</v>
      </c>
      <c r="AD22" s="16" t="s">
        <v>3724</v>
      </c>
      <c r="AE22" s="16" t="s">
        <v>4083</v>
      </c>
      <c r="AF22" s="17">
        <f t="shared" si="0"/>
        <v>207.82399999999998</v>
      </c>
      <c r="AG22" s="17">
        <f t="shared" si="1"/>
        <v>22.346666666666664</v>
      </c>
      <c r="AH22" s="17">
        <f t="shared" si="2"/>
        <v>1.6864899675984626</v>
      </c>
      <c r="AI22" s="17">
        <f t="shared" si="3"/>
        <v>2.8442484108102635</v>
      </c>
      <c r="AJ22" s="17">
        <f t="shared" si="4"/>
        <v>0.7344233820185434</v>
      </c>
      <c r="AK22" s="17">
        <f t="shared" si="5"/>
        <v>0.5393777040555553</v>
      </c>
      <c r="AL22" s="17">
        <f t="shared" si="6"/>
        <v>0.15241798896490577</v>
      </c>
      <c r="AM22" s="17">
        <f t="shared" si="7"/>
        <v>2.3231243360106138E-2</v>
      </c>
      <c r="AN22" s="16" t="s">
        <v>232</v>
      </c>
    </row>
    <row r="23" spans="13:40" ht="20">
      <c r="M23" s="17" t="s">
        <v>3585</v>
      </c>
      <c r="N23" s="16" t="s">
        <v>2074</v>
      </c>
      <c r="O23" s="16"/>
      <c r="P23" s="16"/>
      <c r="Q23" s="16"/>
      <c r="R23" s="16"/>
      <c r="S23" s="16"/>
      <c r="T23" s="16"/>
      <c r="U23" s="16"/>
      <c r="V23" s="16"/>
      <c r="W23" s="17" t="s">
        <v>3585</v>
      </c>
      <c r="X23" s="16">
        <v>29.25</v>
      </c>
      <c r="Y23" s="16">
        <v>1.56</v>
      </c>
      <c r="Z23" s="17">
        <v>0.11</v>
      </c>
      <c r="AA23" s="16">
        <v>161.4</v>
      </c>
      <c r="AB23" s="16">
        <v>15852</v>
      </c>
      <c r="AC23" s="37" t="s">
        <v>3585</v>
      </c>
      <c r="AD23" s="16" t="s">
        <v>3724</v>
      </c>
      <c r="AE23" s="16" t="s">
        <v>4083</v>
      </c>
      <c r="AF23" s="17">
        <f t="shared" si="0"/>
        <v>251.78400000000002</v>
      </c>
      <c r="AG23" s="17">
        <f t="shared" si="1"/>
        <v>29.59</v>
      </c>
      <c r="AH23" s="17">
        <f t="shared" si="2"/>
        <v>1.6241019139044861</v>
      </c>
      <c r="AI23" s="17">
        <f t="shared" si="3"/>
        <v>2.637707026748215</v>
      </c>
      <c r="AJ23" s="17">
        <f t="shared" si="4"/>
        <v>0.88977238826197635</v>
      </c>
      <c r="AK23" s="17">
        <f t="shared" si="5"/>
        <v>0.79169490291342115</v>
      </c>
      <c r="AL23" s="17">
        <f t="shared" si="6"/>
        <v>0.2018219701732501</v>
      </c>
      <c r="AM23" s="17">
        <f t="shared" si="7"/>
        <v>4.0732107644612249E-2</v>
      </c>
      <c r="AN23" s="17" t="s">
        <v>3585</v>
      </c>
    </row>
    <row r="24" spans="13:40" ht="20">
      <c r="M24" s="17" t="s">
        <v>3103</v>
      </c>
      <c r="N24" s="16" t="s">
        <v>1814</v>
      </c>
      <c r="O24" s="16"/>
      <c r="P24" s="16" t="s">
        <v>3691</v>
      </c>
      <c r="Q24" s="16"/>
      <c r="R24" s="16"/>
      <c r="S24" s="16"/>
      <c r="T24" s="16"/>
      <c r="U24" s="16"/>
      <c r="V24" s="16"/>
      <c r="W24" s="17" t="s">
        <v>3103</v>
      </c>
      <c r="X24" s="16">
        <v>41.93</v>
      </c>
      <c r="Y24" s="16">
        <v>2.56</v>
      </c>
      <c r="Z24" s="17">
        <v>2.2200000000000002</v>
      </c>
      <c r="AA24" s="16">
        <v>147.1</v>
      </c>
      <c r="AB24" s="16">
        <v>3441</v>
      </c>
      <c r="AC24" s="37" t="s">
        <v>3103</v>
      </c>
      <c r="AD24" s="16" t="s">
        <v>3724</v>
      </c>
      <c r="AE24" s="16" t="s">
        <v>4083</v>
      </c>
      <c r="AF24" s="17">
        <f t="shared" si="0"/>
        <v>376.57599999999996</v>
      </c>
      <c r="AG24" s="17">
        <f t="shared" si="1"/>
        <v>348.13666666666666</v>
      </c>
      <c r="AH24" s="17">
        <f t="shared" si="2"/>
        <v>1.4802068868361207</v>
      </c>
      <c r="AI24" s="17">
        <f t="shared" si="3"/>
        <v>2.1910124278370802</v>
      </c>
      <c r="AJ24" s="17">
        <f t="shared" si="4"/>
        <v>1.3307713233650347</v>
      </c>
      <c r="AK24" s="17">
        <f t="shared" si="5"/>
        <v>1.7709523150907256</v>
      </c>
      <c r="AL24" s="17">
        <f t="shared" si="6"/>
        <v>2.3745058450900545</v>
      </c>
      <c r="AM24" s="17">
        <f t="shared" si="7"/>
        <v>5.638278008366834</v>
      </c>
      <c r="AN24" s="17" t="s">
        <v>3103</v>
      </c>
    </row>
    <row r="25" spans="13:40" ht="20">
      <c r="M25" s="17" t="s">
        <v>2936</v>
      </c>
      <c r="N25" s="16" t="s">
        <v>1717</v>
      </c>
      <c r="O25" s="16"/>
      <c r="P25" s="16"/>
      <c r="Q25" s="16"/>
      <c r="R25" s="16"/>
      <c r="S25" s="16"/>
      <c r="T25" s="16"/>
      <c r="U25" s="16"/>
      <c r="V25" s="16"/>
      <c r="W25" s="17" t="s">
        <v>2936</v>
      </c>
      <c r="X25" s="16">
        <v>25.73</v>
      </c>
      <c r="Y25" s="16">
        <v>3.41</v>
      </c>
      <c r="Z25" s="17">
        <v>0.32</v>
      </c>
      <c r="AA25" s="16">
        <v>129.6</v>
      </c>
      <c r="AB25" s="16">
        <v>15961</v>
      </c>
      <c r="AC25" s="37" t="s">
        <v>2936</v>
      </c>
      <c r="AD25" s="16" t="s">
        <v>3724</v>
      </c>
      <c r="AE25" s="16" t="s">
        <v>4083</v>
      </c>
      <c r="AF25" s="17">
        <f t="shared" si="0"/>
        <v>441.93599999999998</v>
      </c>
      <c r="AG25" s="17">
        <f t="shared" si="1"/>
        <v>69.11999999999999</v>
      </c>
      <c r="AH25" s="17">
        <f t="shared" si="2"/>
        <v>1.3041115739902192</v>
      </c>
      <c r="AI25" s="17">
        <f t="shared" si="3"/>
        <v>1.7007069974152469</v>
      </c>
      <c r="AJ25" s="17">
        <f t="shared" si="4"/>
        <v>1.561745187060912</v>
      </c>
      <c r="AK25" s="17">
        <f t="shared" si="5"/>
        <v>2.4390480293079233</v>
      </c>
      <c r="AL25" s="17">
        <f t="shared" si="6"/>
        <v>0.47144084414920734</v>
      </c>
      <c r="AM25" s="17">
        <f t="shared" si="7"/>
        <v>0.2222564695321172</v>
      </c>
      <c r="AN25" s="17" t="s">
        <v>2936</v>
      </c>
    </row>
    <row r="26" spans="13:40" ht="20">
      <c r="M26" s="16" t="s">
        <v>1094</v>
      </c>
      <c r="N26" s="16" t="s">
        <v>150</v>
      </c>
      <c r="O26" s="16"/>
      <c r="P26" s="16"/>
      <c r="Q26" s="16"/>
      <c r="R26" s="16"/>
      <c r="S26" s="16"/>
      <c r="T26" s="16"/>
      <c r="U26" s="16"/>
      <c r="V26" s="16"/>
      <c r="W26" s="16" t="s">
        <v>1094</v>
      </c>
      <c r="X26" s="16">
        <v>28.03</v>
      </c>
      <c r="Y26" s="16">
        <v>2.58</v>
      </c>
      <c r="Z26" s="17">
        <v>2.39</v>
      </c>
      <c r="AA26" s="16">
        <v>115.4</v>
      </c>
      <c r="AB26" s="16">
        <v>7634</v>
      </c>
      <c r="AC26" s="36" t="s">
        <v>1094</v>
      </c>
      <c r="AD26" s="16" t="s">
        <v>3724</v>
      </c>
      <c r="AE26" s="16" t="s">
        <v>4083</v>
      </c>
      <c r="AF26" s="17">
        <f t="shared" si="0"/>
        <v>297.73200000000003</v>
      </c>
      <c r="AG26" s="17">
        <f t="shared" si="1"/>
        <v>305.81</v>
      </c>
      <c r="AH26" s="17">
        <f t="shared" si="2"/>
        <v>1.1612228058524021</v>
      </c>
      <c r="AI26" s="17">
        <f t="shared" si="3"/>
        <v>1.3484384048317255</v>
      </c>
      <c r="AJ26" s="17">
        <f t="shared" si="4"/>
        <v>1.0521467317304305</v>
      </c>
      <c r="AK26" s="17">
        <f t="shared" si="5"/>
        <v>1.1070127450910265</v>
      </c>
      <c r="AL26" s="17">
        <f t="shared" si="6"/>
        <v>2.0858119871132685</v>
      </c>
      <c r="AM26" s="17">
        <f t="shared" si="7"/>
        <v>4.3506116455854018</v>
      </c>
      <c r="AN26" s="16" t="s">
        <v>1094</v>
      </c>
    </row>
    <row r="27" spans="13:40" ht="20">
      <c r="M27" s="16" t="s">
        <v>76</v>
      </c>
      <c r="N27" s="16" t="s">
        <v>18</v>
      </c>
      <c r="O27" s="16"/>
      <c r="P27" s="16"/>
      <c r="Q27" s="16"/>
      <c r="R27" s="16"/>
      <c r="S27" s="16"/>
      <c r="T27" s="16"/>
      <c r="U27" s="16"/>
      <c r="V27" s="16"/>
      <c r="W27" s="16" t="s">
        <v>76</v>
      </c>
      <c r="X27" s="16">
        <v>19.3</v>
      </c>
      <c r="Y27" s="16">
        <v>1.6</v>
      </c>
      <c r="Z27" s="17">
        <v>0.04</v>
      </c>
      <c r="AA27" s="16">
        <v>101.6</v>
      </c>
      <c r="AB27" s="16">
        <v>37227</v>
      </c>
      <c r="AC27" s="36" t="s">
        <v>76</v>
      </c>
      <c r="AD27" s="16" t="s">
        <v>3724</v>
      </c>
      <c r="AE27" s="16" t="s">
        <v>4083</v>
      </c>
      <c r="AF27" s="17">
        <f t="shared" si="0"/>
        <v>162.56</v>
      </c>
      <c r="AG27" s="17">
        <f t="shared" si="1"/>
        <v>6.7733333333333325</v>
      </c>
      <c r="AH27" s="17">
        <f t="shared" si="2"/>
        <v>1.0223590734367767</v>
      </c>
      <c r="AI27" s="17">
        <f t="shared" si="3"/>
        <v>1.0452180750385045</v>
      </c>
      <c r="AJ27" s="17">
        <f t="shared" si="4"/>
        <v>0.57446620689109262</v>
      </c>
      <c r="AK27" s="17">
        <f t="shared" si="5"/>
        <v>0.33001142285983964</v>
      </c>
      <c r="AL27" s="17">
        <f t="shared" si="6"/>
        <v>4.6198292597954729E-2</v>
      </c>
      <c r="AM27" s="17">
        <f t="shared" si="7"/>
        <v>2.1342822389662387E-3</v>
      </c>
      <c r="AN27" s="16" t="s">
        <v>76</v>
      </c>
    </row>
    <row r="28" spans="13:40" ht="20">
      <c r="M28" s="17" t="s">
        <v>2945</v>
      </c>
      <c r="N28" s="16" t="s">
        <v>1717</v>
      </c>
      <c r="O28" s="16"/>
      <c r="P28" s="16" t="s">
        <v>3691</v>
      </c>
      <c r="Q28" s="16"/>
      <c r="R28" s="16"/>
      <c r="S28" s="16"/>
      <c r="T28" s="16"/>
      <c r="U28" s="16"/>
      <c r="V28" s="16"/>
      <c r="W28" s="17" t="s">
        <v>2945</v>
      </c>
      <c r="X28" s="16">
        <v>33.799999999999997</v>
      </c>
      <c r="Y28" s="16">
        <v>1.95</v>
      </c>
      <c r="Z28" s="17">
        <v>0.56000000000000005</v>
      </c>
      <c r="AA28" s="16">
        <v>100.2</v>
      </c>
      <c r="AB28" s="16">
        <v>5503</v>
      </c>
      <c r="AC28" s="37" t="s">
        <v>2945</v>
      </c>
      <c r="AD28" s="16" t="s">
        <v>3724</v>
      </c>
      <c r="AE28" s="16" t="s">
        <v>4083</v>
      </c>
      <c r="AF28" s="17">
        <f t="shared" si="0"/>
        <v>195.39000000000001</v>
      </c>
      <c r="AG28" s="17">
        <f t="shared" si="1"/>
        <v>93.52000000000001</v>
      </c>
      <c r="AH28" s="17">
        <f t="shared" si="2"/>
        <v>1.0082714484091049</v>
      </c>
      <c r="AI28" s="17">
        <f t="shared" si="3"/>
        <v>1.0166113136769943</v>
      </c>
      <c r="AJ28" s="17">
        <f t="shared" si="4"/>
        <v>0.69048321951556713</v>
      </c>
      <c r="AK28" s="17">
        <f t="shared" si="5"/>
        <v>0.47676707643258287</v>
      </c>
      <c r="AL28" s="17">
        <f t="shared" si="6"/>
        <v>0.63786382732687907</v>
      </c>
      <c r="AM28" s="17">
        <f t="shared" si="7"/>
        <v>0.4068702622120946</v>
      </c>
      <c r="AN28" s="17" t="s">
        <v>2945</v>
      </c>
    </row>
    <row r="29" spans="13:40" ht="20">
      <c r="M29" s="16" t="s">
        <v>5084</v>
      </c>
      <c r="N29" s="16" t="s">
        <v>150</v>
      </c>
      <c r="O29" s="16"/>
      <c r="P29" s="16" t="s">
        <v>3691</v>
      </c>
      <c r="Q29" s="16"/>
      <c r="R29" s="16"/>
      <c r="S29" s="16"/>
      <c r="T29" s="16"/>
      <c r="U29" s="16"/>
      <c r="V29" s="16"/>
      <c r="W29" s="16" t="s">
        <v>5084</v>
      </c>
      <c r="X29" s="16">
        <v>40.229999999999997</v>
      </c>
      <c r="Y29" s="16">
        <v>1.57</v>
      </c>
      <c r="Z29" s="17">
        <v>0.41</v>
      </c>
      <c r="AA29" s="16">
        <v>97.9</v>
      </c>
      <c r="AB29" s="16">
        <v>10764</v>
      </c>
      <c r="AC29" s="36" t="s">
        <v>5084</v>
      </c>
      <c r="AD29" s="16" t="s">
        <v>3724</v>
      </c>
      <c r="AE29" s="16" t="s">
        <v>4083</v>
      </c>
      <c r="AF29" s="17">
        <f t="shared" si="0"/>
        <v>153.703</v>
      </c>
      <c r="AG29" s="17">
        <f t="shared" si="1"/>
        <v>66.898333333333341</v>
      </c>
      <c r="AH29" s="17">
        <f t="shared" si="2"/>
        <v>0.9851274930065006</v>
      </c>
      <c r="AI29" s="17">
        <f t="shared" si="3"/>
        <v>0.97047617747727288</v>
      </c>
      <c r="AJ29" s="17">
        <f t="shared" si="4"/>
        <v>0.54316670397257383</v>
      </c>
      <c r="AK29" s="17">
        <f t="shared" si="5"/>
        <v>0.29503006830442963</v>
      </c>
      <c r="AL29" s="17">
        <f t="shared" si="6"/>
        <v>0.45628771323555745</v>
      </c>
      <c r="AM29" s="17">
        <f t="shared" si="7"/>
        <v>0.20819847724973431</v>
      </c>
      <c r="AN29" s="16" t="s">
        <v>5084</v>
      </c>
    </row>
    <row r="30" spans="13:40" ht="20">
      <c r="M30" s="16" t="s">
        <v>525</v>
      </c>
      <c r="N30" s="16" t="s">
        <v>150</v>
      </c>
      <c r="O30" s="16"/>
      <c r="P30" s="16" t="s">
        <v>3692</v>
      </c>
      <c r="Q30" s="16"/>
      <c r="R30" s="16"/>
      <c r="S30" s="16"/>
      <c r="T30" s="16"/>
      <c r="U30" s="16"/>
      <c r="V30" s="16"/>
      <c r="W30" s="16" t="s">
        <v>525</v>
      </c>
      <c r="X30" s="16">
        <v>29.01</v>
      </c>
      <c r="Y30" s="16">
        <v>2.15</v>
      </c>
      <c r="Z30" s="17">
        <v>1.03</v>
      </c>
      <c r="AA30" s="16">
        <v>95.9</v>
      </c>
      <c r="AB30" s="16">
        <v>15190</v>
      </c>
      <c r="AC30" s="36" t="s">
        <v>525</v>
      </c>
      <c r="AD30" s="16" t="s">
        <v>3724</v>
      </c>
      <c r="AE30" s="16" t="s">
        <v>4083</v>
      </c>
      <c r="AF30" s="17">
        <f t="shared" si="0"/>
        <v>206.185</v>
      </c>
      <c r="AG30" s="17">
        <f t="shared" si="1"/>
        <v>100.69500000000001</v>
      </c>
      <c r="AH30" s="17">
        <f t="shared" si="2"/>
        <v>0.96500231439554041</v>
      </c>
      <c r="AI30" s="17">
        <f t="shared" si="3"/>
        <v>0.9312294667887494</v>
      </c>
      <c r="AJ30" s="17">
        <f t="shared" si="4"/>
        <v>0.72863136606692869</v>
      </c>
      <c r="AK30" s="17">
        <f t="shared" si="5"/>
        <v>0.53090366761655861</v>
      </c>
      <c r="AL30" s="17">
        <f t="shared" si="6"/>
        <v>0.68680173324080507</v>
      </c>
      <c r="AM30" s="17">
        <f t="shared" si="7"/>
        <v>0.47169662078257396</v>
      </c>
      <c r="AN30" s="16" t="s">
        <v>525</v>
      </c>
    </row>
    <row r="31" spans="13:40" ht="20">
      <c r="M31" s="16" t="s">
        <v>446</v>
      </c>
      <c r="N31" s="16" t="s">
        <v>150</v>
      </c>
      <c r="O31" s="16"/>
      <c r="P31" s="16"/>
      <c r="Q31" s="16"/>
      <c r="R31" s="16"/>
      <c r="S31" s="16"/>
      <c r="T31" s="16"/>
      <c r="U31" s="16"/>
      <c r="V31" s="16"/>
      <c r="W31" s="16" t="s">
        <v>446</v>
      </c>
      <c r="X31" s="16">
        <v>3.81</v>
      </c>
      <c r="Y31" s="16">
        <v>3.59</v>
      </c>
      <c r="Z31" s="17">
        <v>1.43</v>
      </c>
      <c r="AA31" s="16">
        <v>87</v>
      </c>
      <c r="AB31" s="16">
        <v>9414</v>
      </c>
      <c r="AC31" s="36" t="s">
        <v>446</v>
      </c>
      <c r="AD31" s="16" t="s">
        <v>3724</v>
      </c>
      <c r="AE31" s="16" t="s">
        <v>4083</v>
      </c>
      <c r="AF31" s="17">
        <f t="shared" si="0"/>
        <v>312.33</v>
      </c>
      <c r="AG31" s="17">
        <f t="shared" si="1"/>
        <v>149.35000000000002</v>
      </c>
      <c r="AH31" s="17">
        <f t="shared" si="2"/>
        <v>0.8754452695767676</v>
      </c>
      <c r="AI31" s="17">
        <f t="shared" si="3"/>
        <v>0.76640442002433928</v>
      </c>
      <c r="AJ31" s="17">
        <f t="shared" si="4"/>
        <v>1.103734192902897</v>
      </c>
      <c r="AK31" s="17">
        <f t="shared" si="5"/>
        <v>1.2182291685830093</v>
      </c>
      <c r="AL31" s="17">
        <f t="shared" si="6"/>
        <v>1.0186587105567728</v>
      </c>
      <c r="AM31" s="17">
        <f t="shared" si="7"/>
        <v>1.037665568593187</v>
      </c>
      <c r="AN31" s="16" t="s">
        <v>446</v>
      </c>
    </row>
    <row r="32" spans="13:40" ht="20">
      <c r="M32" s="16" t="s">
        <v>1143</v>
      </c>
      <c r="N32" s="16" t="s">
        <v>150</v>
      </c>
      <c r="O32" s="16"/>
      <c r="P32" s="16"/>
      <c r="Q32" s="16"/>
      <c r="R32" s="16"/>
      <c r="S32" s="16"/>
      <c r="T32" s="16"/>
      <c r="U32" s="16"/>
      <c r="V32" s="16"/>
      <c r="W32" s="16" t="s">
        <v>1143</v>
      </c>
      <c r="X32" s="16">
        <v>29.35</v>
      </c>
      <c r="Y32" s="16">
        <v>1.73</v>
      </c>
      <c r="Z32" s="17">
        <v>0.28999999999999998</v>
      </c>
      <c r="AA32" s="16">
        <v>80</v>
      </c>
      <c r="AB32" s="16">
        <v>12961</v>
      </c>
      <c r="AC32" s="36" t="s">
        <v>1143</v>
      </c>
      <c r="AD32" s="16" t="s">
        <v>3724</v>
      </c>
      <c r="AE32" s="16" t="s">
        <v>4083</v>
      </c>
      <c r="AF32" s="17">
        <f t="shared" si="0"/>
        <v>138.4</v>
      </c>
      <c r="AG32" s="17">
        <f t="shared" si="1"/>
        <v>38.666666666666664</v>
      </c>
      <c r="AH32" s="17">
        <f t="shared" si="2"/>
        <v>0.80500714443840704</v>
      </c>
      <c r="AI32" s="17">
        <f t="shared" si="3"/>
        <v>0.64803650259687828</v>
      </c>
      <c r="AJ32" s="17">
        <f t="shared" si="4"/>
        <v>0.48908786315038888</v>
      </c>
      <c r="AK32" s="17">
        <f t="shared" si="5"/>
        <v>0.23920693788101352</v>
      </c>
      <c r="AL32" s="17">
        <f t="shared" si="6"/>
        <v>0.26373041050013529</v>
      </c>
      <c r="AM32" s="17">
        <f t="shared" si="7"/>
        <v>6.9553729422569877E-2</v>
      </c>
      <c r="AN32" s="16" t="s">
        <v>1143</v>
      </c>
    </row>
    <row r="33" spans="13:40" ht="20">
      <c r="M33" s="16" t="s">
        <v>102</v>
      </c>
      <c r="N33" s="16" t="s">
        <v>82</v>
      </c>
      <c r="O33" s="16"/>
      <c r="P33" s="16"/>
      <c r="Q33" s="16"/>
      <c r="R33" s="16"/>
      <c r="S33" s="16"/>
      <c r="T33" s="16"/>
      <c r="U33" s="16"/>
      <c r="V33" s="16"/>
      <c r="W33" s="16" t="s">
        <v>102</v>
      </c>
      <c r="X33" s="16">
        <v>23.53</v>
      </c>
      <c r="Y33" s="16">
        <v>1.24</v>
      </c>
      <c r="Z33" s="17">
        <v>0.02</v>
      </c>
      <c r="AA33" s="16">
        <v>79.5</v>
      </c>
      <c r="AB33" s="16">
        <v>58542</v>
      </c>
      <c r="AC33" s="36" t="s">
        <v>102</v>
      </c>
      <c r="AD33" s="16" t="s">
        <v>3724</v>
      </c>
      <c r="AE33" s="16" t="s">
        <v>4083</v>
      </c>
      <c r="AF33" s="17">
        <f t="shared" si="0"/>
        <v>98.58</v>
      </c>
      <c r="AG33" s="17">
        <f t="shared" si="1"/>
        <v>2.65</v>
      </c>
      <c r="AH33" s="17">
        <f t="shared" si="2"/>
        <v>0.79997584978566683</v>
      </c>
      <c r="AI33" s="17">
        <f t="shared" si="3"/>
        <v>0.63996136024029981</v>
      </c>
      <c r="AJ33" s="17">
        <f t="shared" si="4"/>
        <v>0.34836908633934488</v>
      </c>
      <c r="AK33" s="17">
        <f t="shared" si="5"/>
        <v>0.12136102031690993</v>
      </c>
      <c r="AL33" s="17">
        <f t="shared" si="6"/>
        <v>1.807462727134548E-2</v>
      </c>
      <c r="AM33" s="17">
        <f t="shared" si="7"/>
        <v>3.2669215099806573E-4</v>
      </c>
      <c r="AN33" s="16" t="s">
        <v>102</v>
      </c>
    </row>
    <row r="34" spans="13:40" ht="20">
      <c r="M34" s="17" t="s">
        <v>2404</v>
      </c>
      <c r="N34" s="16" t="s">
        <v>150</v>
      </c>
      <c r="O34" s="16"/>
      <c r="P34" s="16" t="s">
        <v>3691</v>
      </c>
      <c r="Q34" s="16"/>
      <c r="R34" s="16"/>
      <c r="S34" s="16"/>
      <c r="T34" s="16"/>
      <c r="U34" s="16"/>
      <c r="V34" s="16"/>
      <c r="W34" s="17" t="s">
        <v>2404</v>
      </c>
      <c r="X34" s="16">
        <v>16.27</v>
      </c>
      <c r="Y34" s="16">
        <v>2.2999999999999998</v>
      </c>
      <c r="Z34" s="17">
        <v>0.17</v>
      </c>
      <c r="AA34" s="16">
        <v>71.7</v>
      </c>
      <c r="AB34" s="16">
        <v>16862</v>
      </c>
      <c r="AC34" s="37" t="s">
        <v>2404</v>
      </c>
      <c r="AD34" s="16" t="s">
        <v>3724</v>
      </c>
      <c r="AE34" s="16" t="s">
        <v>4083</v>
      </c>
      <c r="AF34" s="17">
        <f t="shared" ref="AF34:AF66" si="8">(AA34*Y34)</f>
        <v>164.91</v>
      </c>
      <c r="AG34" s="17">
        <f t="shared" ref="AG34:AG66" si="9">((((RIGHT(Z34,2))/60)+(LEFT(Z34,2)))*AA34)</f>
        <v>20.315000000000001</v>
      </c>
      <c r="AH34" s="17">
        <f t="shared" ref="AH34:AH66" si="10">(AA34/$AA$67)*100</f>
        <v>0.72148765320292219</v>
      </c>
      <c r="AI34" s="17">
        <f t="shared" ref="AI34:AI65" si="11">(AH34*AH34)</f>
        <v>0.52054443372426007</v>
      </c>
      <c r="AJ34" s="17">
        <f t="shared" ref="AJ34:AJ66" si="12">(AF34/$AF$67)*100</f>
        <v>0.58277080572348716</v>
      </c>
      <c r="AK34" s="17">
        <f t="shared" ref="AK34:AK65" si="13">(AJ34*AJ34)</f>
        <v>0.33962181200360242</v>
      </c>
      <c r="AL34" s="17">
        <f t="shared" ref="AL34:AL66" si="14">(AG34/$AG$67)*100</f>
        <v>0.13856077472354092</v>
      </c>
      <c r="AM34" s="17">
        <f t="shared" ref="AM34:AM65" si="15">(AL34*AL34)</f>
        <v>1.9199088291987857E-2</v>
      </c>
      <c r="AN34" s="17" t="s">
        <v>2404</v>
      </c>
    </row>
    <row r="35" spans="13:40" ht="20">
      <c r="M35" s="16" t="s">
        <v>879</v>
      </c>
      <c r="N35" s="16" t="s">
        <v>150</v>
      </c>
      <c r="O35" s="16"/>
      <c r="P35" s="16" t="s">
        <v>4653</v>
      </c>
      <c r="Q35" s="16"/>
      <c r="R35" s="16"/>
      <c r="S35" s="16"/>
      <c r="T35" s="16"/>
      <c r="U35" s="16"/>
      <c r="V35" s="16"/>
      <c r="W35" s="16" t="s">
        <v>879</v>
      </c>
      <c r="X35" s="16">
        <v>31.67</v>
      </c>
      <c r="Y35" s="16">
        <v>4.9000000000000004</v>
      </c>
      <c r="Z35" s="17">
        <v>1.06</v>
      </c>
      <c r="AA35" s="16">
        <v>66.3</v>
      </c>
      <c r="AB35" s="16">
        <v>15858</v>
      </c>
      <c r="AC35" s="36" t="s">
        <v>879</v>
      </c>
      <c r="AD35" s="16" t="s">
        <v>3724</v>
      </c>
      <c r="AE35" s="16" t="s">
        <v>4083</v>
      </c>
      <c r="AF35" s="17">
        <f t="shared" si="8"/>
        <v>324.87</v>
      </c>
      <c r="AG35" s="17">
        <f t="shared" si="9"/>
        <v>72.930000000000007</v>
      </c>
      <c r="AH35" s="17">
        <f t="shared" si="10"/>
        <v>0.66714967095332978</v>
      </c>
      <c r="AI35" s="17">
        <f t="shared" si="11"/>
        <v>0.44508868345313618</v>
      </c>
      <c r="AJ35" s="17">
        <f t="shared" si="12"/>
        <v>1.1480489458212921</v>
      </c>
      <c r="AK35" s="17">
        <f t="shared" si="13"/>
        <v>1.3180163820013802</v>
      </c>
      <c r="AL35" s="17">
        <f t="shared" si="14"/>
        <v>0.497427383735557</v>
      </c>
      <c r="AM35" s="17">
        <f t="shared" si="15"/>
        <v>0.24743400209000108</v>
      </c>
      <c r="AN35" s="16" t="s">
        <v>879</v>
      </c>
    </row>
    <row r="36" spans="13:40" ht="20">
      <c r="M36" s="16" t="s">
        <v>1600</v>
      </c>
      <c r="N36" s="16" t="s">
        <v>150</v>
      </c>
      <c r="O36" s="16"/>
      <c r="P36" s="16"/>
      <c r="Q36" s="16"/>
      <c r="R36" s="16"/>
      <c r="S36" s="16"/>
      <c r="T36" s="16"/>
      <c r="U36" s="16"/>
      <c r="V36" s="16"/>
      <c r="W36" s="16" t="s">
        <v>1600</v>
      </c>
      <c r="X36" s="16">
        <v>1.03</v>
      </c>
      <c r="Y36" s="16">
        <v>1.77</v>
      </c>
      <c r="Z36" s="17">
        <v>0.1</v>
      </c>
      <c r="AA36" s="16">
        <v>65.7</v>
      </c>
      <c r="AB36" s="16">
        <v>45252</v>
      </c>
      <c r="AC36" s="36" t="s">
        <v>1600</v>
      </c>
      <c r="AD36" s="16" t="s">
        <v>3724</v>
      </c>
      <c r="AE36" s="16" t="s">
        <v>4083</v>
      </c>
      <c r="AF36" s="17">
        <f t="shared" si="8"/>
        <v>116.289</v>
      </c>
      <c r="AG36" s="17">
        <f t="shared" si="9"/>
        <v>0.10950000000000001</v>
      </c>
      <c r="AH36" s="17">
        <f t="shared" si="10"/>
        <v>0.66111211737004172</v>
      </c>
      <c r="AI36" s="17">
        <f t="shared" si="11"/>
        <v>0.43706923173349982</v>
      </c>
      <c r="AJ36" s="17">
        <f t="shared" si="12"/>
        <v>0.41095042281716454</v>
      </c>
      <c r="AK36" s="17">
        <f t="shared" si="13"/>
        <v>0.16888025001360632</v>
      </c>
      <c r="AL36" s="17">
        <f t="shared" si="14"/>
        <v>7.4685724008012469E-4</v>
      </c>
      <c r="AM36" s="17">
        <f t="shared" si="15"/>
        <v>5.5779573706010098E-7</v>
      </c>
      <c r="AN36" s="16" t="s">
        <v>1600</v>
      </c>
    </row>
    <row r="37" spans="13:40" ht="20">
      <c r="M37" s="16" t="s">
        <v>1423</v>
      </c>
      <c r="N37" s="16" t="s">
        <v>150</v>
      </c>
      <c r="O37" s="16"/>
      <c r="P37" s="16" t="s">
        <v>3691</v>
      </c>
      <c r="Q37" s="16"/>
      <c r="R37" s="16"/>
      <c r="S37" s="16"/>
      <c r="T37" s="16"/>
      <c r="U37" s="16"/>
      <c r="V37" s="16"/>
      <c r="W37" s="16" t="s">
        <v>1423</v>
      </c>
      <c r="X37" s="16">
        <v>4.9000000000000004</v>
      </c>
      <c r="Y37" s="16">
        <v>5.5</v>
      </c>
      <c r="Z37" s="17">
        <v>3.15</v>
      </c>
      <c r="AA37" s="16">
        <v>65.3</v>
      </c>
      <c r="AB37" s="16">
        <v>9363</v>
      </c>
      <c r="AC37" s="36" t="s">
        <v>1423</v>
      </c>
      <c r="AD37" s="16" t="s">
        <v>3724</v>
      </c>
      <c r="AE37" s="16" t="s">
        <v>4083</v>
      </c>
      <c r="AF37" s="17">
        <f t="shared" si="8"/>
        <v>359.15</v>
      </c>
      <c r="AG37" s="17">
        <f t="shared" si="9"/>
        <v>212.22499999999999</v>
      </c>
      <c r="AH37" s="17">
        <f t="shared" si="10"/>
        <v>0.65708708164784968</v>
      </c>
      <c r="AI37" s="17">
        <f t="shared" si="11"/>
        <v>0.4317634328684879</v>
      </c>
      <c r="AJ37" s="17">
        <f t="shared" si="12"/>
        <v>1.2691900726189462</v>
      </c>
      <c r="AK37" s="17">
        <f t="shared" si="13"/>
        <v>1.610843440434486</v>
      </c>
      <c r="AL37" s="17">
        <f t="shared" si="14"/>
        <v>1.4475048198721867</v>
      </c>
      <c r="AM37" s="17">
        <f t="shared" si="15"/>
        <v>2.0952702035532118</v>
      </c>
      <c r="AN37" s="16" t="s">
        <v>1423</v>
      </c>
    </row>
    <row r="38" spans="13:40" ht="20">
      <c r="M38" s="17" t="s">
        <v>3038</v>
      </c>
      <c r="N38" s="16" t="s">
        <v>1814</v>
      </c>
      <c r="O38" s="16"/>
      <c r="P38" s="16"/>
      <c r="Q38" s="16"/>
      <c r="R38" s="16"/>
      <c r="S38" s="16"/>
      <c r="T38" s="16"/>
      <c r="U38" s="16"/>
      <c r="V38" s="16"/>
      <c r="W38" s="17" t="s">
        <v>3038</v>
      </c>
      <c r="X38" s="16">
        <v>7.46</v>
      </c>
      <c r="Y38" s="16">
        <v>2.4500000000000002</v>
      </c>
      <c r="Z38" s="17">
        <v>0.17</v>
      </c>
      <c r="AA38" s="16">
        <v>53.3</v>
      </c>
      <c r="AB38" s="16">
        <v>22178</v>
      </c>
      <c r="AC38" s="37" t="s">
        <v>3038</v>
      </c>
      <c r="AD38" s="16" t="s">
        <v>3724</v>
      </c>
      <c r="AE38" s="16" t="s">
        <v>4083</v>
      </c>
      <c r="AF38" s="17">
        <f t="shared" si="8"/>
        <v>130.58500000000001</v>
      </c>
      <c r="AG38" s="17">
        <f t="shared" si="9"/>
        <v>15.101666666666665</v>
      </c>
      <c r="AH38" s="17">
        <f t="shared" si="10"/>
        <v>0.53633600998208864</v>
      </c>
      <c r="AI38" s="17">
        <f t="shared" si="11"/>
        <v>0.28765631560350707</v>
      </c>
      <c r="AJ38" s="17">
        <f t="shared" si="12"/>
        <v>0.46147065469287235</v>
      </c>
      <c r="AK38" s="17">
        <f t="shared" si="13"/>
        <v>0.21295516514266824</v>
      </c>
      <c r="AL38" s="17">
        <f t="shared" si="14"/>
        <v>0.1030026400664537</v>
      </c>
      <c r="AM38" s="17">
        <f t="shared" si="15"/>
        <v>1.0609543860659413E-2</v>
      </c>
      <c r="AN38" s="17" t="s">
        <v>3038</v>
      </c>
    </row>
    <row r="39" spans="13:40" ht="20">
      <c r="M39" s="17" t="s">
        <v>2238</v>
      </c>
      <c r="N39" s="16" t="s">
        <v>150</v>
      </c>
      <c r="O39" s="16"/>
      <c r="P39" s="16"/>
      <c r="Q39" s="16"/>
      <c r="R39" s="16"/>
      <c r="S39" s="16"/>
      <c r="T39" s="16"/>
      <c r="U39" s="16"/>
      <c r="V39" s="16"/>
      <c r="W39" s="17" t="s">
        <v>2238</v>
      </c>
      <c r="X39" s="16">
        <v>54.23</v>
      </c>
      <c r="Y39" s="16">
        <v>1.97</v>
      </c>
      <c r="Z39" s="17">
        <v>1</v>
      </c>
      <c r="AA39" s="16">
        <v>33.4</v>
      </c>
      <c r="AB39" s="16">
        <v>13540</v>
      </c>
      <c r="AC39" s="37" t="s">
        <v>2238</v>
      </c>
      <c r="AD39" s="16" t="s">
        <v>3724</v>
      </c>
      <c r="AE39" s="16" t="s">
        <v>4083</v>
      </c>
      <c r="AF39" s="17">
        <f t="shared" si="8"/>
        <v>65.798000000000002</v>
      </c>
      <c r="AG39" s="17">
        <f t="shared" si="9"/>
        <v>33.956666666666663</v>
      </c>
      <c r="AH39" s="17">
        <f t="shared" si="10"/>
        <v>0.33609048280303488</v>
      </c>
      <c r="AI39" s="17">
        <f t="shared" si="11"/>
        <v>0.11295681263077709</v>
      </c>
      <c r="AJ39" s="17">
        <f t="shared" si="12"/>
        <v>0.23252169956336191</v>
      </c>
      <c r="AK39" s="17">
        <f t="shared" si="13"/>
        <v>5.4066340767834342E-2</v>
      </c>
      <c r="AL39" s="17">
        <f t="shared" si="14"/>
        <v>0.23160531825559294</v>
      </c>
      <c r="AM39" s="17">
        <f t="shared" si="15"/>
        <v>5.3641023444274495E-2</v>
      </c>
      <c r="AN39" s="17" t="s">
        <v>2238</v>
      </c>
    </row>
    <row r="40" spans="13:40" ht="20">
      <c r="M40" s="16" t="s">
        <v>2086</v>
      </c>
      <c r="N40" s="16" t="s">
        <v>2084</v>
      </c>
      <c r="O40" s="16"/>
      <c r="P40" s="16"/>
      <c r="Q40" s="16"/>
      <c r="R40" s="16"/>
      <c r="S40" s="16"/>
      <c r="T40" s="16"/>
      <c r="U40" s="16"/>
      <c r="V40" s="16"/>
      <c r="W40" s="16" t="s">
        <v>2086</v>
      </c>
      <c r="X40" s="16">
        <v>14.57</v>
      </c>
      <c r="Y40" s="16">
        <v>1.06</v>
      </c>
      <c r="Z40" s="17">
        <v>0.06</v>
      </c>
      <c r="AA40" s="16">
        <v>31.6</v>
      </c>
      <c r="AB40" s="16">
        <v>87598</v>
      </c>
      <c r="AC40" s="36" t="s">
        <v>2086</v>
      </c>
      <c r="AD40" s="16" t="s">
        <v>3724</v>
      </c>
      <c r="AE40" s="16" t="s">
        <v>4083</v>
      </c>
      <c r="AF40" s="17">
        <f t="shared" si="8"/>
        <v>33.496000000000002</v>
      </c>
      <c r="AG40" s="17">
        <f t="shared" si="9"/>
        <v>3.16</v>
      </c>
      <c r="AH40" s="17">
        <f t="shared" si="10"/>
        <v>0.31797782205317077</v>
      </c>
      <c r="AI40" s="17">
        <f t="shared" si="11"/>
        <v>0.10110989531767793</v>
      </c>
      <c r="AJ40" s="17">
        <f t="shared" si="12"/>
        <v>0.11837057127229353</v>
      </c>
      <c r="AK40" s="17">
        <f t="shared" si="13"/>
        <v>1.4011592143329123E-2</v>
      </c>
      <c r="AL40" s="17">
        <f t="shared" si="14"/>
        <v>2.1553140444321404E-2</v>
      </c>
      <c r="AM40" s="17">
        <f t="shared" si="15"/>
        <v>4.6453786301264307E-4</v>
      </c>
      <c r="AN40" s="16" t="s">
        <v>2086</v>
      </c>
    </row>
    <row r="41" spans="13:40" ht="20">
      <c r="M41" s="17" t="s">
        <v>2417</v>
      </c>
      <c r="N41" s="16" t="s">
        <v>150</v>
      </c>
      <c r="O41" s="16"/>
      <c r="P41" s="16" t="s">
        <v>3691</v>
      </c>
      <c r="Q41" s="16"/>
      <c r="R41" s="16"/>
      <c r="S41" s="16"/>
      <c r="T41" s="16"/>
      <c r="U41" s="16"/>
      <c r="V41" s="16"/>
      <c r="W41" s="17" t="s">
        <v>2417</v>
      </c>
      <c r="X41" s="16">
        <v>3.17</v>
      </c>
      <c r="Y41" s="16">
        <v>8.8000000000000007</v>
      </c>
      <c r="Z41" s="17">
        <v>1.4</v>
      </c>
      <c r="AA41" s="16">
        <v>28.1</v>
      </c>
      <c r="AB41" s="16">
        <v>16873</v>
      </c>
      <c r="AC41" s="37" t="s">
        <v>2417</v>
      </c>
      <c r="AD41" s="16" t="s">
        <v>3724</v>
      </c>
      <c r="AE41" s="16" t="s">
        <v>4083</v>
      </c>
      <c r="AF41" s="17">
        <f t="shared" si="8"/>
        <v>247.28000000000003</v>
      </c>
      <c r="AG41" s="17">
        <f t="shared" si="9"/>
        <v>28.287333333333333</v>
      </c>
      <c r="AH41" s="17">
        <f t="shared" si="10"/>
        <v>0.28275875948399048</v>
      </c>
      <c r="AI41" s="17">
        <f t="shared" si="11"/>
        <v>7.9952516064925178E-2</v>
      </c>
      <c r="AJ41" s="17">
        <f t="shared" si="12"/>
        <v>0.87385582947852725</v>
      </c>
      <c r="AK41" s="17">
        <f t="shared" si="13"/>
        <v>0.76362401071360486</v>
      </c>
      <c r="AL41" s="17">
        <f t="shared" si="14"/>
        <v>0.19293698358502143</v>
      </c>
      <c r="AM41" s="17">
        <f t="shared" si="15"/>
        <v>3.7224679634886827E-2</v>
      </c>
      <c r="AN41" s="17" t="s">
        <v>2417</v>
      </c>
    </row>
    <row r="42" spans="13:40" ht="20">
      <c r="M42" s="17" t="s">
        <v>3638</v>
      </c>
      <c r="N42" s="16" t="s">
        <v>2100</v>
      </c>
      <c r="O42" s="16"/>
      <c r="P42" s="16"/>
      <c r="Q42" s="16"/>
      <c r="R42" s="16"/>
      <c r="S42" s="16"/>
      <c r="T42" s="16"/>
      <c r="U42" s="16"/>
      <c r="V42" s="16"/>
      <c r="W42" s="17" t="s">
        <v>3638</v>
      </c>
      <c r="X42" s="16">
        <v>2.4500000000000002</v>
      </c>
      <c r="Y42" s="16">
        <v>6.96</v>
      </c>
      <c r="Z42" s="17">
        <v>0.33</v>
      </c>
      <c r="AA42" s="16">
        <v>27.8</v>
      </c>
      <c r="AB42" s="16">
        <v>25955</v>
      </c>
      <c r="AC42" s="37" t="s">
        <v>3638</v>
      </c>
      <c r="AD42" s="16" t="s">
        <v>3724</v>
      </c>
      <c r="AE42" s="16" t="s">
        <v>4083</v>
      </c>
      <c r="AF42" s="17">
        <f t="shared" si="8"/>
        <v>193.488</v>
      </c>
      <c r="AG42" s="17">
        <f t="shared" si="9"/>
        <v>15.290000000000001</v>
      </c>
      <c r="AH42" s="17">
        <f t="shared" si="10"/>
        <v>0.2797399826923464</v>
      </c>
      <c r="AI42" s="17">
        <f t="shared" si="11"/>
        <v>7.825445791671426E-2</v>
      </c>
      <c r="AJ42" s="17">
        <f t="shared" si="12"/>
        <v>0.68376179526909275</v>
      </c>
      <c r="AK42" s="17">
        <f t="shared" si="13"/>
        <v>0.46753019266961271</v>
      </c>
      <c r="AL42" s="17">
        <f t="shared" si="14"/>
        <v>0.10428718904863112</v>
      </c>
      <c r="AM42" s="17">
        <f t="shared" si="15"/>
        <v>1.0875817799664926E-2</v>
      </c>
      <c r="AN42" s="17" t="s">
        <v>3638</v>
      </c>
    </row>
    <row r="43" spans="13:40" ht="20">
      <c r="M43" s="16" t="s">
        <v>1676</v>
      </c>
      <c r="N43" s="16" t="s">
        <v>1614</v>
      </c>
      <c r="O43" s="16"/>
      <c r="P43" s="16"/>
      <c r="Q43" s="16"/>
      <c r="R43" s="16"/>
      <c r="S43" s="16"/>
      <c r="T43" s="16"/>
      <c r="U43" s="16"/>
      <c r="V43" s="16"/>
      <c r="W43" s="16" t="s">
        <v>1676</v>
      </c>
      <c r="X43" s="16">
        <v>22.56</v>
      </c>
      <c r="Y43" s="16">
        <v>1.64</v>
      </c>
      <c r="Z43" s="17">
        <v>0.09</v>
      </c>
      <c r="AA43" s="16">
        <v>20.7</v>
      </c>
      <c r="AB43" s="16">
        <v>35525</v>
      </c>
      <c r="AC43" s="36" t="s">
        <v>1676</v>
      </c>
      <c r="AD43" s="16" t="s">
        <v>3724</v>
      </c>
      <c r="AE43" s="16" t="s">
        <v>4083</v>
      </c>
      <c r="AF43" s="17">
        <f t="shared" si="8"/>
        <v>33.947999999999993</v>
      </c>
      <c r="AG43" s="17">
        <f t="shared" si="9"/>
        <v>3.105</v>
      </c>
      <c r="AH43" s="17">
        <f t="shared" si="10"/>
        <v>0.2082955986234378</v>
      </c>
      <c r="AI43" s="17">
        <f t="shared" si="11"/>
        <v>4.3387056405896303E-2</v>
      </c>
      <c r="AJ43" s="17">
        <f t="shared" si="12"/>
        <v>0.11996788134558813</v>
      </c>
      <c r="AK43" s="17">
        <f t="shared" si="13"/>
        <v>1.4392292554549111E-2</v>
      </c>
      <c r="AL43" s="17">
        <f t="shared" si="14"/>
        <v>2.1178006670765175E-2</v>
      </c>
      <c r="AM43" s="17">
        <f t="shared" si="15"/>
        <v>4.4850796654697425E-4</v>
      </c>
      <c r="AN43" s="16" t="s">
        <v>1676</v>
      </c>
    </row>
    <row r="44" spans="13:40" ht="20">
      <c r="M44" s="16" t="s">
        <v>632</v>
      </c>
      <c r="N44" s="16" t="s">
        <v>150</v>
      </c>
      <c r="O44" s="16"/>
      <c r="P44" s="16"/>
      <c r="Q44" s="16"/>
      <c r="R44" s="16"/>
      <c r="S44" s="16"/>
      <c r="T44" s="16"/>
      <c r="U44" s="16"/>
      <c r="V44" s="16"/>
      <c r="W44" s="16" t="s">
        <v>632</v>
      </c>
      <c r="X44" s="16">
        <v>32.54</v>
      </c>
      <c r="Y44" s="16">
        <v>2.67</v>
      </c>
      <c r="Z44" s="17">
        <v>0.4</v>
      </c>
      <c r="AA44" s="16">
        <v>19.3</v>
      </c>
      <c r="AB44" s="16">
        <v>16413</v>
      </c>
      <c r="AC44" s="36" t="s">
        <v>632</v>
      </c>
      <c r="AD44" s="16" t="s">
        <v>3724</v>
      </c>
      <c r="AE44" s="16" t="s">
        <v>4083</v>
      </c>
      <c r="AF44" s="17">
        <f t="shared" si="8"/>
        <v>51.530999999999999</v>
      </c>
      <c r="AG44" s="17">
        <f t="shared" si="9"/>
        <v>0.12866666666666668</v>
      </c>
      <c r="AH44" s="17">
        <f t="shared" si="10"/>
        <v>0.19420797359576566</v>
      </c>
      <c r="AI44" s="17">
        <f t="shared" si="11"/>
        <v>3.7716737008173615E-2</v>
      </c>
      <c r="AJ44" s="17">
        <f t="shared" si="12"/>
        <v>0.18210394997111767</v>
      </c>
      <c r="AK44" s="17">
        <f t="shared" si="13"/>
        <v>3.3161848595083331E-2</v>
      </c>
      <c r="AL44" s="17">
        <f t="shared" si="14"/>
        <v>8.7758567631941601E-4</v>
      </c>
      <c r="AM44" s="17">
        <f t="shared" si="15"/>
        <v>7.7015661928100681E-7</v>
      </c>
      <c r="AN44" s="16" t="s">
        <v>632</v>
      </c>
    </row>
    <row r="45" spans="13:40" ht="20">
      <c r="M45" s="17" t="s">
        <v>5009</v>
      </c>
      <c r="N45" s="16" t="s">
        <v>150</v>
      </c>
      <c r="O45" s="16"/>
      <c r="P45" s="16"/>
      <c r="Q45" s="16"/>
      <c r="R45" s="16"/>
      <c r="S45" s="16"/>
      <c r="T45" s="16"/>
      <c r="U45" s="16"/>
      <c r="V45" s="16"/>
      <c r="W45" s="17" t="s">
        <v>5009</v>
      </c>
      <c r="X45" s="16">
        <v>2.31</v>
      </c>
      <c r="Y45" s="16">
        <v>5.77</v>
      </c>
      <c r="Z45" s="17">
        <v>0.52</v>
      </c>
      <c r="AA45" s="16">
        <v>17.8</v>
      </c>
      <c r="AB45" s="16">
        <v>31352</v>
      </c>
      <c r="AC45" s="37" t="s">
        <v>5009</v>
      </c>
      <c r="AD45" s="16" t="s">
        <v>3724</v>
      </c>
      <c r="AE45" s="16" t="s">
        <v>4083</v>
      </c>
      <c r="AF45" s="17">
        <f t="shared" si="8"/>
        <v>102.706</v>
      </c>
      <c r="AG45" s="17">
        <f t="shared" si="9"/>
        <v>15.426666666666668</v>
      </c>
      <c r="AH45" s="17">
        <f t="shared" si="10"/>
        <v>0.17911408963754555</v>
      </c>
      <c r="AI45" s="17">
        <f t="shared" si="11"/>
        <v>3.2081857106686699E-2</v>
      </c>
      <c r="AJ45" s="17">
        <f t="shared" si="12"/>
        <v>0.36294984156592369</v>
      </c>
      <c r="AK45" s="17">
        <f t="shared" si="13"/>
        <v>0.13173258749272912</v>
      </c>
      <c r="AL45" s="17">
        <f t="shared" si="14"/>
        <v>0.1052193396374678</v>
      </c>
      <c r="AM45" s="17">
        <f t="shared" si="15"/>
        <v>1.1071109433744801E-2</v>
      </c>
      <c r="AN45" s="17" t="s">
        <v>5009</v>
      </c>
    </row>
    <row r="46" spans="13:40" ht="20">
      <c r="M46" s="16" t="s">
        <v>424</v>
      </c>
      <c r="N46" s="16" t="s">
        <v>150</v>
      </c>
      <c r="O46" s="16"/>
      <c r="P46" s="16"/>
      <c r="Q46" s="16"/>
      <c r="R46" s="16"/>
      <c r="S46" s="16"/>
      <c r="T46" s="16"/>
      <c r="U46" s="16"/>
      <c r="V46" s="16"/>
      <c r="W46" s="16" t="s">
        <v>424</v>
      </c>
      <c r="X46" s="16">
        <v>19.399999999999999</v>
      </c>
      <c r="Y46" s="16">
        <v>1.77</v>
      </c>
      <c r="Z46" s="17">
        <v>0.03</v>
      </c>
      <c r="AA46" s="16">
        <v>16.600000000000001</v>
      </c>
      <c r="AB46" s="16">
        <v>63291</v>
      </c>
      <c r="AC46" s="36" t="s">
        <v>424</v>
      </c>
      <c r="AD46" s="16" t="s">
        <v>3724</v>
      </c>
      <c r="AE46" s="16" t="s">
        <v>4083</v>
      </c>
      <c r="AF46" s="17">
        <f t="shared" si="8"/>
        <v>29.382000000000001</v>
      </c>
      <c r="AG46" s="17">
        <f t="shared" si="9"/>
        <v>0.83000000000000007</v>
      </c>
      <c r="AH46" s="17">
        <f t="shared" si="10"/>
        <v>0.16703898247096946</v>
      </c>
      <c r="AI46" s="17">
        <f t="shared" si="11"/>
        <v>2.7902021664936844E-2</v>
      </c>
      <c r="AJ46" s="17">
        <f t="shared" si="12"/>
        <v>0.10383222250783762</v>
      </c>
      <c r="AK46" s="17">
        <f t="shared" si="13"/>
        <v>1.0781130430917102E-2</v>
      </c>
      <c r="AL46" s="17">
        <f t="shared" si="14"/>
        <v>5.6611096736666981E-3</v>
      </c>
      <c r="AM46" s="17">
        <f t="shared" si="15"/>
        <v>3.204816273728267E-5</v>
      </c>
      <c r="AN46" s="16" t="s">
        <v>424</v>
      </c>
    </row>
    <row r="47" spans="13:40" ht="20">
      <c r="M47" s="16" t="s">
        <v>2102</v>
      </c>
      <c r="N47" s="16" t="s">
        <v>2100</v>
      </c>
      <c r="O47" s="16"/>
      <c r="P47" s="16"/>
      <c r="Q47" s="16"/>
      <c r="R47" s="16"/>
      <c r="S47" s="16"/>
      <c r="T47" s="16"/>
      <c r="U47" s="16"/>
      <c r="V47" s="16"/>
      <c r="W47" s="16" t="s">
        <v>2102</v>
      </c>
      <c r="X47" s="16">
        <v>14.2</v>
      </c>
      <c r="Y47" s="16">
        <v>1.35</v>
      </c>
      <c r="Z47" s="17">
        <v>0.25</v>
      </c>
      <c r="AA47" s="16">
        <v>15.6</v>
      </c>
      <c r="AB47" s="16">
        <v>35309</v>
      </c>
      <c r="AC47" s="36" t="s">
        <v>2102</v>
      </c>
      <c r="AD47" s="16" t="s">
        <v>3724</v>
      </c>
      <c r="AE47" s="16" t="s">
        <v>4083</v>
      </c>
      <c r="AF47" s="17">
        <f t="shared" si="8"/>
        <v>21.060000000000002</v>
      </c>
      <c r="AG47" s="17">
        <f t="shared" si="9"/>
        <v>6.5</v>
      </c>
      <c r="AH47" s="17">
        <f t="shared" si="10"/>
        <v>0.15697639316548934</v>
      </c>
      <c r="AI47" s="17">
        <f t="shared" si="11"/>
        <v>2.4641588011246288E-2</v>
      </c>
      <c r="AJ47" s="17">
        <f t="shared" si="12"/>
        <v>7.4423341025629988E-2</v>
      </c>
      <c r="AK47" s="17">
        <f t="shared" si="13"/>
        <v>5.5388336894172194E-3</v>
      </c>
      <c r="AL47" s="17">
        <f t="shared" si="14"/>
        <v>4.4333991420281368E-2</v>
      </c>
      <c r="AM47" s="17">
        <f t="shared" si="15"/>
        <v>1.9655027952535818E-3</v>
      </c>
      <c r="AN47" s="16" t="s">
        <v>2102</v>
      </c>
    </row>
    <row r="48" spans="13:40" ht="20">
      <c r="M48" s="17" t="s">
        <v>3407</v>
      </c>
      <c r="N48" s="16" t="s">
        <v>1990</v>
      </c>
      <c r="O48" s="16"/>
      <c r="P48" s="16" t="s">
        <v>3691</v>
      </c>
      <c r="Q48" s="16"/>
      <c r="R48" s="16"/>
      <c r="S48" s="16"/>
      <c r="T48" s="16"/>
      <c r="U48" s="16"/>
      <c r="V48" s="16"/>
      <c r="W48" s="17" t="s">
        <v>3407</v>
      </c>
      <c r="X48" s="16">
        <v>32.74</v>
      </c>
      <c r="Y48" s="16">
        <v>2.42</v>
      </c>
      <c r="Z48" s="17">
        <v>1.37</v>
      </c>
      <c r="AA48" s="16">
        <v>15</v>
      </c>
      <c r="AB48" s="16">
        <v>20356</v>
      </c>
      <c r="AC48" s="37" t="s">
        <v>3407</v>
      </c>
      <c r="AD48" s="16" t="s">
        <v>3724</v>
      </c>
      <c r="AE48" s="16" t="s">
        <v>4083</v>
      </c>
      <c r="AF48" s="17">
        <f t="shared" si="8"/>
        <v>36.299999999999997</v>
      </c>
      <c r="AG48" s="17">
        <f t="shared" si="9"/>
        <v>24.25</v>
      </c>
      <c r="AH48" s="17">
        <f t="shared" si="10"/>
        <v>0.15093883958220131</v>
      </c>
      <c r="AI48" s="17">
        <f t="shared" si="11"/>
        <v>2.2782533294421498E-2</v>
      </c>
      <c r="AJ48" s="17">
        <f t="shared" si="12"/>
        <v>0.1282795479216699</v>
      </c>
      <c r="AK48" s="17">
        <f t="shared" si="13"/>
        <v>1.6455642414988005E-2</v>
      </c>
      <c r="AL48" s="17">
        <f t="shared" si="14"/>
        <v>0.16539989106797279</v>
      </c>
      <c r="AM48" s="17">
        <f t="shared" si="15"/>
        <v>2.7357123965297263E-2</v>
      </c>
      <c r="AN48" s="17" t="s">
        <v>3407</v>
      </c>
    </row>
    <row r="49" spans="13:40" ht="20">
      <c r="M49" s="16" t="s">
        <v>1888</v>
      </c>
      <c r="N49" s="16" t="s">
        <v>1869</v>
      </c>
      <c r="O49" s="16"/>
      <c r="P49" s="16" t="s">
        <v>3691</v>
      </c>
      <c r="Q49" s="16"/>
      <c r="R49" s="16"/>
      <c r="S49" s="16"/>
      <c r="T49" s="16"/>
      <c r="U49" s="16"/>
      <c r="V49" s="16"/>
      <c r="W49" s="16" t="s">
        <v>1888</v>
      </c>
      <c r="X49" s="16">
        <v>7.83</v>
      </c>
      <c r="Y49" s="16">
        <v>18.63</v>
      </c>
      <c r="Z49" s="17">
        <v>7.39</v>
      </c>
      <c r="AA49" s="16">
        <v>14.7</v>
      </c>
      <c r="AB49" s="16">
        <v>11920</v>
      </c>
      <c r="AC49" s="36" t="s">
        <v>1888</v>
      </c>
      <c r="AD49" s="16" t="s">
        <v>3724</v>
      </c>
      <c r="AE49" s="16" t="s">
        <v>4083</v>
      </c>
      <c r="AF49" s="17">
        <f t="shared" si="8"/>
        <v>273.86099999999999</v>
      </c>
      <c r="AG49" s="17">
        <f t="shared" si="9"/>
        <v>112.455</v>
      </c>
      <c r="AH49" s="17">
        <f t="shared" si="10"/>
        <v>0.14792006279055728</v>
      </c>
      <c r="AI49" s="17">
        <f t="shared" si="11"/>
        <v>2.1880344975962408E-2</v>
      </c>
      <c r="AJ49" s="17">
        <f t="shared" si="12"/>
        <v>0.96778967695251905</v>
      </c>
      <c r="AK49" s="17">
        <f t="shared" si="13"/>
        <v>0.93661685881586121</v>
      </c>
      <c r="AL49" s="17">
        <f t="shared" si="14"/>
        <v>0.76701215464119099</v>
      </c>
      <c r="AM49" s="17">
        <f t="shared" si="15"/>
        <v>0.58830764536732227</v>
      </c>
      <c r="AN49" s="16" t="s">
        <v>1888</v>
      </c>
    </row>
    <row r="50" spans="13:40" ht="20">
      <c r="M50" s="17" t="s">
        <v>3200</v>
      </c>
      <c r="N50" s="16" t="s">
        <v>1869</v>
      </c>
      <c r="O50" s="16"/>
      <c r="P50" s="16"/>
      <c r="Q50" s="16"/>
      <c r="R50" s="16"/>
      <c r="S50" s="16"/>
      <c r="T50" s="16"/>
      <c r="U50" s="16"/>
      <c r="V50" s="16"/>
      <c r="W50" s="17" t="s">
        <v>3200</v>
      </c>
      <c r="X50" s="16">
        <v>19.850000000000001</v>
      </c>
      <c r="Y50" s="16">
        <v>2.12</v>
      </c>
      <c r="Z50" s="17">
        <v>1.1499999999999999</v>
      </c>
      <c r="AA50" s="16">
        <v>13.3</v>
      </c>
      <c r="AB50" s="16">
        <v>29482</v>
      </c>
      <c r="AC50" s="37" t="s">
        <v>3200</v>
      </c>
      <c r="AD50" s="16" t="s">
        <v>3724</v>
      </c>
      <c r="AE50" s="16" t="s">
        <v>4083</v>
      </c>
      <c r="AF50" s="17">
        <f t="shared" si="8"/>
        <v>28.196000000000002</v>
      </c>
      <c r="AG50" s="17">
        <f t="shared" si="9"/>
        <v>16.625</v>
      </c>
      <c r="AH50" s="17">
        <f t="shared" si="10"/>
        <v>0.13383243776288517</v>
      </c>
      <c r="AI50" s="17">
        <f t="shared" si="11"/>
        <v>1.7911121397556531E-2</v>
      </c>
      <c r="AJ50" s="17">
        <f t="shared" si="12"/>
        <v>9.9641050501361017E-2</v>
      </c>
      <c r="AK50" s="17">
        <f t="shared" si="13"/>
        <v>9.9283389450147766E-3</v>
      </c>
      <c r="AL50" s="17">
        <f t="shared" si="14"/>
        <v>0.11339270882495041</v>
      </c>
      <c r="AM50" s="17">
        <f t="shared" si="15"/>
        <v>1.2857906414659986E-2</v>
      </c>
      <c r="AN50" s="17" t="s">
        <v>3200</v>
      </c>
    </row>
    <row r="51" spans="13:40" ht="20">
      <c r="M51" s="17" t="s">
        <v>2235</v>
      </c>
      <c r="N51" s="16" t="s">
        <v>150</v>
      </c>
      <c r="O51" s="16"/>
      <c r="P51" s="16"/>
      <c r="Q51" s="16"/>
      <c r="R51" s="16"/>
      <c r="S51" s="16"/>
      <c r="T51" s="16"/>
      <c r="U51" s="16"/>
      <c r="V51" s="16"/>
      <c r="W51" s="17" t="s">
        <v>2235</v>
      </c>
      <c r="X51" s="16">
        <v>9.98</v>
      </c>
      <c r="Y51" s="16">
        <v>2.2200000000000002</v>
      </c>
      <c r="Z51" s="17">
        <v>0.54</v>
      </c>
      <c r="AA51" s="16">
        <v>12.5</v>
      </c>
      <c r="AB51" s="16">
        <v>49057</v>
      </c>
      <c r="AC51" s="37" t="s">
        <v>2235</v>
      </c>
      <c r="AD51" s="16" t="s">
        <v>3724</v>
      </c>
      <c r="AE51" s="16" t="s">
        <v>4083</v>
      </c>
      <c r="AF51" s="17">
        <f t="shared" si="8"/>
        <v>27.750000000000004</v>
      </c>
      <c r="AG51" s="17">
        <f t="shared" si="9"/>
        <v>11.25</v>
      </c>
      <c r="AH51" s="17">
        <f t="shared" si="10"/>
        <v>0.12578236631850109</v>
      </c>
      <c r="AI51" s="17">
        <f t="shared" si="11"/>
        <v>1.5821203676681599E-2</v>
      </c>
      <c r="AJ51" s="17">
        <f t="shared" si="12"/>
        <v>9.8064943659127837E-2</v>
      </c>
      <c r="AK51" s="17">
        <f t="shared" si="13"/>
        <v>9.6167331748679176E-3</v>
      </c>
      <c r="AL51" s="17">
        <f t="shared" si="14"/>
        <v>7.6731908227410064E-2</v>
      </c>
      <c r="AM51" s="17">
        <f t="shared" si="15"/>
        <v>5.8877857402196802E-3</v>
      </c>
      <c r="AN51" s="17" t="s">
        <v>2235</v>
      </c>
    </row>
    <row r="52" spans="13:40" ht="20">
      <c r="M52" s="17" t="s">
        <v>4977</v>
      </c>
      <c r="N52" s="16" t="s">
        <v>1614</v>
      </c>
      <c r="O52" s="16"/>
      <c r="P52" s="16"/>
      <c r="Q52" s="16"/>
      <c r="R52" s="16"/>
      <c r="S52" s="16"/>
      <c r="T52" s="16"/>
      <c r="U52" s="16"/>
      <c r="V52" s="16"/>
      <c r="W52" s="17" t="s">
        <v>4977</v>
      </c>
      <c r="X52" s="16">
        <v>7.91</v>
      </c>
      <c r="Y52" s="16">
        <v>1.34</v>
      </c>
      <c r="Z52" s="17">
        <v>0.02</v>
      </c>
      <c r="AA52" s="16">
        <v>6.2</v>
      </c>
      <c r="AB52" s="16">
        <v>107957</v>
      </c>
      <c r="AC52" s="37" t="s">
        <v>4977</v>
      </c>
      <c r="AD52" s="16" t="s">
        <v>3724</v>
      </c>
      <c r="AE52" s="16" t="s">
        <v>4083</v>
      </c>
      <c r="AF52" s="17">
        <f t="shared" si="8"/>
        <v>8.3080000000000016</v>
      </c>
      <c r="AG52" s="17">
        <f t="shared" si="9"/>
        <v>0.20666666666666667</v>
      </c>
      <c r="AH52" s="17">
        <f t="shared" si="10"/>
        <v>6.2388053693976535E-2</v>
      </c>
      <c r="AI52" s="17">
        <f t="shared" si="11"/>
        <v>3.8922692437224991E-3</v>
      </c>
      <c r="AJ52" s="17">
        <f t="shared" si="12"/>
        <v>2.9359407276397628E-2</v>
      </c>
      <c r="AK52" s="17">
        <f t="shared" si="13"/>
        <v>8.6197479562139E-4</v>
      </c>
      <c r="AL52" s="17">
        <f t="shared" si="14"/>
        <v>1.4095935733627921E-3</v>
      </c>
      <c r="AM52" s="17">
        <f t="shared" si="15"/>
        <v>1.9869540420656854E-6</v>
      </c>
      <c r="AN52" s="17" t="s">
        <v>4977</v>
      </c>
    </row>
    <row r="53" spans="13:40" ht="20">
      <c r="M53" s="17" t="s">
        <v>2305</v>
      </c>
      <c r="N53" s="16" t="s">
        <v>150</v>
      </c>
      <c r="O53" s="16"/>
      <c r="P53" s="16"/>
      <c r="Q53" s="16"/>
      <c r="R53" s="16"/>
      <c r="S53" s="16"/>
      <c r="T53" s="16"/>
      <c r="U53" s="16"/>
      <c r="V53" s="16"/>
      <c r="W53" s="17" t="s">
        <v>2305</v>
      </c>
      <c r="X53" s="16">
        <v>10.01</v>
      </c>
      <c r="Y53" s="16">
        <v>1.39</v>
      </c>
      <c r="Z53" s="17">
        <v>0.49</v>
      </c>
      <c r="AA53" s="16">
        <v>6.1</v>
      </c>
      <c r="AB53" s="16">
        <v>45886</v>
      </c>
      <c r="AC53" s="37" t="s">
        <v>2305</v>
      </c>
      <c r="AD53" s="16" t="s">
        <v>3724</v>
      </c>
      <c r="AE53" s="16" t="s">
        <v>4083</v>
      </c>
      <c r="AF53" s="17">
        <f t="shared" si="8"/>
        <v>8.4789999999999992</v>
      </c>
      <c r="AG53" s="17">
        <f t="shared" si="9"/>
        <v>4.9816666666666665</v>
      </c>
      <c r="AH53" s="17">
        <f t="shared" si="10"/>
        <v>6.1381794763428532E-2</v>
      </c>
      <c r="AI53" s="17">
        <f t="shared" si="11"/>
        <v>3.7677247283796622E-3</v>
      </c>
      <c r="AJ53" s="17">
        <f t="shared" si="12"/>
        <v>2.9963699361648461E-2</v>
      </c>
      <c r="AK53" s="17">
        <f t="shared" si="13"/>
        <v>8.9782327943525235E-4</v>
      </c>
      <c r="AL53" s="17">
        <f t="shared" si="14"/>
        <v>3.3978025732107953E-2</v>
      </c>
      <c r="AM53" s="17">
        <f t="shared" si="15"/>
        <v>1.1545062326517902E-3</v>
      </c>
      <c r="AN53" s="17" t="s">
        <v>2305</v>
      </c>
    </row>
    <row r="54" spans="13:40" ht="20">
      <c r="M54" s="17" t="s">
        <v>2191</v>
      </c>
      <c r="N54" s="16" t="s">
        <v>150</v>
      </c>
      <c r="O54" s="16"/>
      <c r="P54" s="16"/>
      <c r="Q54" s="16"/>
      <c r="R54" s="16"/>
      <c r="S54" s="16"/>
      <c r="T54" s="16"/>
      <c r="U54" s="16"/>
      <c r="V54" s="16"/>
      <c r="W54" s="17" t="s">
        <v>2191</v>
      </c>
      <c r="X54" s="16">
        <v>34.89</v>
      </c>
      <c r="Y54" s="16">
        <v>2.73</v>
      </c>
      <c r="Z54" s="17">
        <v>1.24</v>
      </c>
      <c r="AA54" s="16">
        <v>4.9000000000000004</v>
      </c>
      <c r="AB54" s="16">
        <v>23459</v>
      </c>
      <c r="AC54" s="37" t="s">
        <v>2191</v>
      </c>
      <c r="AD54" s="16" t="s">
        <v>3724</v>
      </c>
      <c r="AE54" s="16" t="s">
        <v>4083</v>
      </c>
      <c r="AF54" s="17">
        <f t="shared" si="8"/>
        <v>13.377000000000001</v>
      </c>
      <c r="AG54" s="17">
        <f t="shared" si="9"/>
        <v>6.86</v>
      </c>
      <c r="AH54" s="17">
        <f t="shared" si="10"/>
        <v>4.930668759685243E-2</v>
      </c>
      <c r="AI54" s="17">
        <f t="shared" si="11"/>
        <v>2.4311494417736013E-3</v>
      </c>
      <c r="AJ54" s="17">
        <f t="shared" si="12"/>
        <v>4.7272603651464976E-2</v>
      </c>
      <c r="AK54" s="17">
        <f t="shared" si="13"/>
        <v>2.2346990559884996E-3</v>
      </c>
      <c r="AL54" s="17">
        <f t="shared" si="14"/>
        <v>4.6789412483558487E-2</v>
      </c>
      <c r="AM54" s="17">
        <f t="shared" si="15"/>
        <v>2.1892491205565789E-3</v>
      </c>
      <c r="AN54" s="17" t="s">
        <v>2191</v>
      </c>
    </row>
    <row r="55" spans="13:40" ht="20">
      <c r="M55" s="17" t="s">
        <v>3054</v>
      </c>
      <c r="N55" s="16" t="s">
        <v>1814</v>
      </c>
      <c r="O55" s="16"/>
      <c r="P55" s="16"/>
      <c r="Q55" s="16"/>
      <c r="R55" s="16"/>
      <c r="S55" s="16"/>
      <c r="T55" s="16"/>
      <c r="U55" s="16"/>
      <c r="V55" s="16"/>
      <c r="W55" s="17" t="s">
        <v>3054</v>
      </c>
      <c r="X55" s="16">
        <v>15.51</v>
      </c>
      <c r="Y55" s="16">
        <v>3.05</v>
      </c>
      <c r="Z55" s="17">
        <v>0.52</v>
      </c>
      <c r="AA55" s="16">
        <v>4.7</v>
      </c>
      <c r="AB55" s="16">
        <v>55144</v>
      </c>
      <c r="AC55" s="37" t="s">
        <v>3054</v>
      </c>
      <c r="AD55" s="16" t="s">
        <v>3724</v>
      </c>
      <c r="AE55" s="16" t="s">
        <v>4083</v>
      </c>
      <c r="AF55" s="17">
        <f t="shared" si="8"/>
        <v>14.334999999999999</v>
      </c>
      <c r="AG55" s="17">
        <f t="shared" si="9"/>
        <v>4.0733333333333333</v>
      </c>
      <c r="AH55" s="17">
        <f t="shared" si="10"/>
        <v>4.7294169735756411E-2</v>
      </c>
      <c r="AI55" s="17">
        <f t="shared" si="11"/>
        <v>2.2367384909945378E-3</v>
      </c>
      <c r="AJ55" s="17">
        <f t="shared" si="12"/>
        <v>5.0658052877607107E-2</v>
      </c>
      <c r="AK55" s="17">
        <f t="shared" si="13"/>
        <v>2.5662383213504378E-3</v>
      </c>
      <c r="AL55" s="17">
        <f t="shared" si="14"/>
        <v>2.7782634623376323E-2</v>
      </c>
      <c r="AM55" s="17">
        <f t="shared" si="15"/>
        <v>7.7187478661602891E-4</v>
      </c>
      <c r="AN55" s="17" t="s">
        <v>3054</v>
      </c>
    </row>
    <row r="56" spans="13:40" ht="20">
      <c r="M56" s="17" t="s">
        <v>3583</v>
      </c>
      <c r="N56" s="16" t="s">
        <v>2074</v>
      </c>
      <c r="O56" s="16"/>
      <c r="P56" s="16"/>
      <c r="Q56" s="16"/>
      <c r="R56" s="16"/>
      <c r="S56" s="16"/>
      <c r="T56" s="16"/>
      <c r="U56" s="16"/>
      <c r="V56" s="16"/>
      <c r="W56" s="17" t="s">
        <v>3583</v>
      </c>
      <c r="X56" s="16">
        <v>25.15</v>
      </c>
      <c r="Y56" s="16">
        <v>5.36</v>
      </c>
      <c r="Z56" s="17">
        <v>11.13</v>
      </c>
      <c r="AA56" s="16">
        <v>3.7</v>
      </c>
      <c r="AB56" s="16">
        <v>20032</v>
      </c>
      <c r="AC56" s="37" t="s">
        <v>3583</v>
      </c>
      <c r="AD56" s="16" t="s">
        <v>3724</v>
      </c>
      <c r="AE56" s="16" t="s">
        <v>4083</v>
      </c>
      <c r="AF56" s="17">
        <f t="shared" si="8"/>
        <v>19.832000000000001</v>
      </c>
      <c r="AG56" s="17">
        <f t="shared" si="9"/>
        <v>41.501666666666672</v>
      </c>
      <c r="AH56" s="17">
        <f t="shared" si="10"/>
        <v>3.7231580430276322E-2</v>
      </c>
      <c r="AI56" s="17">
        <f t="shared" si="11"/>
        <v>1.3861905813361349E-3</v>
      </c>
      <c r="AJ56" s="17">
        <f t="shared" si="12"/>
        <v>7.0083746401723351E-2</v>
      </c>
      <c r="AK56" s="17">
        <f t="shared" si="13"/>
        <v>4.9117315097010712E-3</v>
      </c>
      <c r="AL56" s="17">
        <f t="shared" si="14"/>
        <v>0.28306685137344273</v>
      </c>
      <c r="AM56" s="17">
        <f t="shared" si="15"/>
        <v>8.0126842346474714E-2</v>
      </c>
      <c r="AN56" s="17" t="s">
        <v>3583</v>
      </c>
    </row>
    <row r="57" spans="13:40" ht="20">
      <c r="M57" s="17" t="s">
        <v>2701</v>
      </c>
      <c r="N57" s="16" t="s">
        <v>1614</v>
      </c>
      <c r="O57" s="16"/>
      <c r="P57" s="16"/>
      <c r="Q57" s="16"/>
      <c r="R57" s="16"/>
      <c r="S57" s="16"/>
      <c r="T57" s="16"/>
      <c r="U57" s="16"/>
      <c r="V57" s="16"/>
      <c r="W57" s="17" t="s">
        <v>2701</v>
      </c>
      <c r="X57" s="16">
        <v>37.590000000000003</v>
      </c>
      <c r="Y57" s="16">
        <v>4.62</v>
      </c>
      <c r="Z57" s="17">
        <v>7.23</v>
      </c>
      <c r="AA57" s="16">
        <v>3</v>
      </c>
      <c r="AB57" s="16">
        <v>34115</v>
      </c>
      <c r="AC57" s="37" t="s">
        <v>2701</v>
      </c>
      <c r="AD57" s="16" t="s">
        <v>3724</v>
      </c>
      <c r="AE57" s="16" t="s">
        <v>4083</v>
      </c>
      <c r="AF57" s="17">
        <f t="shared" si="8"/>
        <v>13.86</v>
      </c>
      <c r="AG57" s="17">
        <f t="shared" si="9"/>
        <v>22.150000000000002</v>
      </c>
      <c r="AH57" s="17">
        <f t="shared" si="10"/>
        <v>3.0187767916440261E-2</v>
      </c>
      <c r="AI57" s="17">
        <f t="shared" si="11"/>
        <v>9.1130133177685999E-4</v>
      </c>
      <c r="AJ57" s="17">
        <f t="shared" si="12"/>
        <v>4.8979463751910327E-2</v>
      </c>
      <c r="AK57" s="17">
        <f t="shared" si="13"/>
        <v>2.3989878694246976E-3</v>
      </c>
      <c r="AL57" s="17">
        <f t="shared" si="14"/>
        <v>0.1510766015321896</v>
      </c>
      <c r="AM57" s="17">
        <f t="shared" si="15"/>
        <v>2.2824139530515992E-2</v>
      </c>
      <c r="AN57" s="17" t="s">
        <v>2701</v>
      </c>
    </row>
    <row r="58" spans="13:40" ht="20">
      <c r="M58" s="16" t="s">
        <v>2065</v>
      </c>
      <c r="N58" s="16" t="s">
        <v>2041</v>
      </c>
      <c r="O58" s="16"/>
      <c r="P58" s="16"/>
      <c r="Q58" s="16"/>
      <c r="R58" s="16"/>
      <c r="S58" s="16"/>
      <c r="T58" s="16"/>
      <c r="U58" s="16"/>
      <c r="V58" s="16"/>
      <c r="W58" s="16" t="s">
        <v>2065</v>
      </c>
      <c r="X58" s="16">
        <v>71.44</v>
      </c>
      <c r="Y58" s="16">
        <v>1.47</v>
      </c>
      <c r="Z58" s="17">
        <v>0.31</v>
      </c>
      <c r="AA58" s="16">
        <v>3</v>
      </c>
      <c r="AB58" s="16"/>
      <c r="AC58" s="36" t="s">
        <v>2065</v>
      </c>
      <c r="AD58" s="16" t="s">
        <v>3724</v>
      </c>
      <c r="AE58" s="16" t="s">
        <v>4083</v>
      </c>
      <c r="AF58" s="17">
        <f t="shared" si="8"/>
        <v>4.41</v>
      </c>
      <c r="AG58" s="17">
        <f t="shared" si="9"/>
        <v>1.5500000000000003</v>
      </c>
      <c r="AH58" s="17">
        <f t="shared" si="10"/>
        <v>3.0187767916440261E-2</v>
      </c>
      <c r="AI58" s="17">
        <f t="shared" si="11"/>
        <v>9.1130133177685999E-4</v>
      </c>
      <c r="AJ58" s="17">
        <f t="shared" si="12"/>
        <v>1.5584374830153288E-2</v>
      </c>
      <c r="AK58" s="17">
        <f t="shared" si="13"/>
        <v>2.4287273884671532E-4</v>
      </c>
      <c r="AL58" s="17">
        <f t="shared" si="14"/>
        <v>1.0571951800220945E-2</v>
      </c>
      <c r="AM58" s="17">
        <f t="shared" si="15"/>
        <v>1.1176616486619487E-4</v>
      </c>
      <c r="AN58" s="16" t="s">
        <v>2065</v>
      </c>
    </row>
    <row r="59" spans="13:40" ht="20">
      <c r="M59" s="16" t="s">
        <v>5114</v>
      </c>
      <c r="N59" s="16" t="s">
        <v>150</v>
      </c>
      <c r="O59" s="16"/>
      <c r="P59" s="16"/>
      <c r="Q59" s="16"/>
      <c r="R59" s="16"/>
      <c r="S59" s="16"/>
      <c r="T59" s="16"/>
      <c r="U59" s="16"/>
      <c r="V59" s="16"/>
      <c r="W59" s="16" t="s">
        <v>5114</v>
      </c>
      <c r="X59" s="16">
        <v>19.47</v>
      </c>
      <c r="Y59" s="16">
        <v>4.71</v>
      </c>
      <c r="Z59" s="17">
        <v>6.01</v>
      </c>
      <c r="AA59" s="16">
        <v>2.5</v>
      </c>
      <c r="AB59" s="16">
        <v>26982</v>
      </c>
      <c r="AC59" s="36" t="s">
        <v>5114</v>
      </c>
      <c r="AD59" s="16" t="s">
        <v>3724</v>
      </c>
      <c r="AE59" s="16" t="s">
        <v>4083</v>
      </c>
      <c r="AF59" s="17">
        <f t="shared" si="8"/>
        <v>11.775</v>
      </c>
      <c r="AG59" s="17">
        <f t="shared" si="9"/>
        <v>15.041666666666666</v>
      </c>
      <c r="AH59" s="17">
        <f t="shared" si="10"/>
        <v>2.515647326370022E-2</v>
      </c>
      <c r="AI59" s="17">
        <f t="shared" si="11"/>
        <v>6.3284814706726395E-4</v>
      </c>
      <c r="AJ59" s="17">
        <f t="shared" si="12"/>
        <v>4.1611340958062348E-2</v>
      </c>
      <c r="AK59" s="17">
        <f t="shared" si="13"/>
        <v>1.7315036963281173E-3</v>
      </c>
      <c r="AL59" s="17">
        <f t="shared" si="14"/>
        <v>0.10259340322257418</v>
      </c>
      <c r="AM59" s="17">
        <f t="shared" si="15"/>
        <v>1.0525406384789694E-2</v>
      </c>
      <c r="AN59" s="16" t="s">
        <v>5114</v>
      </c>
    </row>
    <row r="60" spans="13:40" ht="20">
      <c r="M60" s="16" t="s">
        <v>236</v>
      </c>
      <c r="N60" s="16" t="s">
        <v>150</v>
      </c>
      <c r="O60" s="16"/>
      <c r="P60" s="16" t="s">
        <v>3693</v>
      </c>
      <c r="Q60" s="16"/>
      <c r="R60" s="16"/>
      <c r="S60" s="16"/>
      <c r="T60" s="16"/>
      <c r="U60" s="16"/>
      <c r="V60" s="16"/>
      <c r="W60" s="16" t="s">
        <v>236</v>
      </c>
      <c r="X60" s="16">
        <v>42.23</v>
      </c>
      <c r="Y60" s="16">
        <v>8.73</v>
      </c>
      <c r="Z60" s="17">
        <v>4.46</v>
      </c>
      <c r="AA60" s="16">
        <v>2.4</v>
      </c>
      <c r="AB60" s="16">
        <v>31388</v>
      </c>
      <c r="AC60" s="36" t="s">
        <v>236</v>
      </c>
      <c r="AD60" s="16" t="s">
        <v>3724</v>
      </c>
      <c r="AE60" s="16" t="s">
        <v>4083</v>
      </c>
      <c r="AF60" s="17">
        <f t="shared" si="8"/>
        <v>20.952000000000002</v>
      </c>
      <c r="AG60" s="17">
        <f t="shared" si="9"/>
        <v>11.44</v>
      </c>
      <c r="AH60" s="17">
        <f t="shared" si="10"/>
        <v>2.4150214333152207E-2</v>
      </c>
      <c r="AI60" s="17">
        <f t="shared" si="11"/>
        <v>5.8323285233719034E-4</v>
      </c>
      <c r="AJ60" s="17">
        <f t="shared" si="12"/>
        <v>7.4041682866524197E-2</v>
      </c>
      <c r="AK60" s="17">
        <f t="shared" si="13"/>
        <v>5.4821708017069428E-3</v>
      </c>
      <c r="AL60" s="17">
        <f t="shared" si="14"/>
        <v>7.8027824899695203E-2</v>
      </c>
      <c r="AM60" s="17">
        <f t="shared" si="15"/>
        <v>6.0883414585774943E-3</v>
      </c>
      <c r="AN60" s="16" t="s">
        <v>236</v>
      </c>
    </row>
    <row r="61" spans="13:40" ht="20">
      <c r="M61" s="17" t="s">
        <v>2536</v>
      </c>
      <c r="N61" s="16" t="s">
        <v>150</v>
      </c>
      <c r="O61" s="16"/>
      <c r="P61" s="16"/>
      <c r="Q61" s="16"/>
      <c r="R61" s="16"/>
      <c r="S61" s="16"/>
      <c r="T61" s="16"/>
      <c r="U61" s="16"/>
      <c r="V61" s="16"/>
      <c r="W61" s="17" t="s">
        <v>2536</v>
      </c>
      <c r="X61" s="16">
        <v>38.479999999999997</v>
      </c>
      <c r="Y61" s="16">
        <v>3.06</v>
      </c>
      <c r="Z61" s="17">
        <v>7.58</v>
      </c>
      <c r="AA61" s="16">
        <v>2.2999999999999998</v>
      </c>
      <c r="AB61" s="16">
        <v>36037</v>
      </c>
      <c r="AC61" s="37" t="s">
        <v>2536</v>
      </c>
      <c r="AD61" s="16" t="s">
        <v>3724</v>
      </c>
      <c r="AE61" s="16" t="s">
        <v>4083</v>
      </c>
      <c r="AF61" s="17">
        <f t="shared" si="8"/>
        <v>7.0379999999999994</v>
      </c>
      <c r="AG61" s="17">
        <f t="shared" si="9"/>
        <v>18.323333333333331</v>
      </c>
      <c r="AH61" s="17">
        <f t="shared" si="10"/>
        <v>2.3143955402604197E-2</v>
      </c>
      <c r="AI61" s="17">
        <f t="shared" si="11"/>
        <v>5.3564267167773201E-4</v>
      </c>
      <c r="AJ61" s="17">
        <f t="shared" si="12"/>
        <v>2.4871390035060958E-2</v>
      </c>
      <c r="AK61" s="17">
        <f t="shared" si="13"/>
        <v>6.185860422761295E-4</v>
      </c>
      <c r="AL61" s="17">
        <f t="shared" si="14"/>
        <v>0.12497638504476238</v>
      </c>
      <c r="AM61" s="17">
        <f t="shared" si="15"/>
        <v>1.5619096818856707E-2</v>
      </c>
      <c r="AN61" s="17" t="s">
        <v>2536</v>
      </c>
    </row>
    <row r="62" spans="13:40" ht="20">
      <c r="M62" s="16" t="s">
        <v>1215</v>
      </c>
      <c r="N62" s="16" t="s">
        <v>150</v>
      </c>
      <c r="O62" s="16"/>
      <c r="P62" s="16"/>
      <c r="Q62" s="16"/>
      <c r="R62" s="16"/>
      <c r="S62" s="16"/>
      <c r="T62" s="16"/>
      <c r="U62" s="16"/>
      <c r="V62" s="16"/>
      <c r="W62" s="16" t="s">
        <v>1215</v>
      </c>
      <c r="X62" s="16">
        <v>18.399999999999999</v>
      </c>
      <c r="Y62" s="16">
        <v>3.88</v>
      </c>
      <c r="Z62" s="17">
        <v>1.42</v>
      </c>
      <c r="AA62" s="16">
        <v>2</v>
      </c>
      <c r="AB62" s="16">
        <v>42396</v>
      </c>
      <c r="AC62" s="36" t="s">
        <v>1215</v>
      </c>
      <c r="AD62" s="16" t="s">
        <v>3724</v>
      </c>
      <c r="AE62" s="16" t="s">
        <v>4083</v>
      </c>
      <c r="AF62" s="17">
        <f t="shared" si="8"/>
        <v>7.76</v>
      </c>
      <c r="AG62" s="17">
        <f t="shared" si="9"/>
        <v>3.4</v>
      </c>
      <c r="AH62" s="17">
        <f t="shared" si="10"/>
        <v>2.0125178610960172E-2</v>
      </c>
      <c r="AI62" s="17">
        <f t="shared" si="11"/>
        <v>4.0502281412304881E-4</v>
      </c>
      <c r="AJ62" s="17">
        <f t="shared" si="12"/>
        <v>2.7422845506120071E-2</v>
      </c>
      <c r="AK62" s="17">
        <f t="shared" si="13"/>
        <v>7.5201245565252974E-4</v>
      </c>
      <c r="AL62" s="17">
        <f t="shared" si="14"/>
        <v>2.3190087819839483E-2</v>
      </c>
      <c r="AM62" s="17">
        <f t="shared" si="15"/>
        <v>5.3778017309186752E-4</v>
      </c>
      <c r="AN62" s="16" t="s">
        <v>1215</v>
      </c>
    </row>
    <row r="63" spans="13:40" ht="20">
      <c r="M63" s="16" t="s">
        <v>4989</v>
      </c>
      <c r="N63" s="16"/>
      <c r="O63" s="16"/>
      <c r="P63" s="16"/>
      <c r="Q63" s="16"/>
      <c r="R63" s="16"/>
      <c r="S63" s="16"/>
      <c r="T63" s="16"/>
      <c r="U63" s="16"/>
      <c r="V63" s="16"/>
      <c r="W63" s="16" t="s">
        <v>4989</v>
      </c>
      <c r="X63" s="16">
        <v>52.67</v>
      </c>
      <c r="Y63" s="16">
        <v>3.58</v>
      </c>
      <c r="Z63" s="17">
        <v>4.26</v>
      </c>
      <c r="AA63" s="16">
        <v>1.4</v>
      </c>
      <c r="AB63" s="16">
        <v>46897</v>
      </c>
      <c r="AC63" s="36" t="s">
        <v>4989</v>
      </c>
      <c r="AD63" s="16" t="s">
        <v>3724</v>
      </c>
      <c r="AE63" s="16" t="s">
        <v>4083</v>
      </c>
      <c r="AF63" s="17">
        <f t="shared" si="8"/>
        <v>5.0119999999999996</v>
      </c>
      <c r="AG63" s="17">
        <f t="shared" si="9"/>
        <v>6.206666666666667</v>
      </c>
      <c r="AH63" s="17">
        <f t="shared" si="10"/>
        <v>1.4087625027672121E-2</v>
      </c>
      <c r="AI63" s="17">
        <f t="shared" si="11"/>
        <v>1.9846117892029393E-4</v>
      </c>
      <c r="AJ63" s="17">
        <f t="shared" si="12"/>
        <v>1.7711765679983733E-2</v>
      </c>
      <c r="AK63" s="17">
        <f t="shared" si="13"/>
        <v>3.1370664350264963E-4</v>
      </c>
      <c r="AL63" s="17">
        <f t="shared" si="14"/>
        <v>4.2333277961314822E-2</v>
      </c>
      <c r="AM63" s="17">
        <f t="shared" si="15"/>
        <v>1.7921064229499432E-3</v>
      </c>
      <c r="AN63" s="16" t="s">
        <v>4989</v>
      </c>
    </row>
    <row r="64" spans="13:40" ht="20">
      <c r="M64" s="17" t="s">
        <v>2197</v>
      </c>
      <c r="N64" s="16" t="s">
        <v>150</v>
      </c>
      <c r="O64" s="16"/>
      <c r="P64" s="16"/>
      <c r="Q64" s="16"/>
      <c r="R64" s="16"/>
      <c r="S64" s="16"/>
      <c r="T64" s="16"/>
      <c r="U64" s="16"/>
      <c r="V64" s="16"/>
      <c r="W64" s="17" t="s">
        <v>2197</v>
      </c>
      <c r="X64" s="16">
        <v>22.77</v>
      </c>
      <c r="Y64" s="16">
        <v>3.25</v>
      </c>
      <c r="Z64" s="17">
        <v>2.48</v>
      </c>
      <c r="AA64" s="16">
        <v>1.3</v>
      </c>
      <c r="AB64" s="16">
        <v>59664</v>
      </c>
      <c r="AC64" s="37" t="s">
        <v>2197</v>
      </c>
      <c r="AD64" s="16" t="s">
        <v>3724</v>
      </c>
      <c r="AE64" s="16" t="s">
        <v>4083</v>
      </c>
      <c r="AF64" s="17">
        <f t="shared" si="8"/>
        <v>4.2250000000000005</v>
      </c>
      <c r="AG64" s="17">
        <f t="shared" si="9"/>
        <v>3.6399999999999997</v>
      </c>
      <c r="AH64" s="17">
        <f t="shared" si="10"/>
        <v>1.3081366097124115E-2</v>
      </c>
      <c r="AI64" s="17">
        <f t="shared" si="11"/>
        <v>1.711221389669882E-4</v>
      </c>
      <c r="AJ64" s="17">
        <f t="shared" si="12"/>
        <v>1.4930608539092435E-2</v>
      </c>
      <c r="AK64" s="17">
        <f t="shared" si="13"/>
        <v>2.2292307134761996E-4</v>
      </c>
      <c r="AL64" s="17">
        <f t="shared" si="14"/>
        <v>2.4827035195357564E-2</v>
      </c>
      <c r="AM64" s="17">
        <f t="shared" si="15"/>
        <v>6.163816765915232E-4</v>
      </c>
      <c r="AN64" s="17" t="s">
        <v>2197</v>
      </c>
    </row>
    <row r="65" spans="13:40" ht="20">
      <c r="M65" s="16" t="s">
        <v>5074</v>
      </c>
      <c r="N65" s="16" t="s">
        <v>4624</v>
      </c>
      <c r="O65" s="16"/>
      <c r="P65" s="16"/>
      <c r="Q65" s="16"/>
      <c r="R65" s="16"/>
      <c r="S65" s="16"/>
      <c r="T65" s="16"/>
      <c r="U65" s="16"/>
      <c r="V65" s="16"/>
      <c r="W65" s="16" t="s">
        <v>5074</v>
      </c>
      <c r="X65" s="16">
        <v>42.71</v>
      </c>
      <c r="Y65" s="16">
        <v>2.29</v>
      </c>
      <c r="Z65" s="17">
        <v>1.51</v>
      </c>
      <c r="AA65" s="16">
        <v>1.3</v>
      </c>
      <c r="AB65" s="16">
        <v>75493</v>
      </c>
      <c r="AC65" s="36" t="s">
        <v>5074</v>
      </c>
      <c r="AD65" s="16" t="s">
        <v>3724</v>
      </c>
      <c r="AE65" s="16" t="s">
        <v>4083</v>
      </c>
      <c r="AF65" s="17">
        <f t="shared" si="8"/>
        <v>2.9770000000000003</v>
      </c>
      <c r="AG65" s="17">
        <f t="shared" si="9"/>
        <v>2.4050000000000002</v>
      </c>
      <c r="AH65" s="17">
        <f t="shared" si="10"/>
        <v>1.3081366097124115E-2</v>
      </c>
      <c r="AI65" s="17">
        <f t="shared" si="11"/>
        <v>1.711221389669882E-4</v>
      </c>
      <c r="AJ65" s="17">
        <f t="shared" si="12"/>
        <v>1.0520336478314362E-2</v>
      </c>
      <c r="AK65" s="17">
        <f t="shared" si="13"/>
        <v>1.1067747961695184E-4</v>
      </c>
      <c r="AL65" s="17">
        <f t="shared" si="14"/>
        <v>1.6403576825504109E-2</v>
      </c>
      <c r="AM65" s="17">
        <f t="shared" si="15"/>
        <v>2.6907733267021548E-4</v>
      </c>
      <c r="AN65" s="16" t="s">
        <v>5074</v>
      </c>
    </row>
    <row r="66" spans="13:40" ht="20">
      <c r="M66" s="17" t="s">
        <v>2622</v>
      </c>
      <c r="N66" s="16" t="s">
        <v>150</v>
      </c>
      <c r="O66" s="16"/>
      <c r="P66" s="16"/>
      <c r="Q66" s="16"/>
      <c r="R66" s="16"/>
      <c r="S66" s="16"/>
      <c r="T66" s="16"/>
      <c r="U66" s="16"/>
      <c r="V66" s="16"/>
      <c r="W66" s="17" t="s">
        <v>2622</v>
      </c>
      <c r="X66" s="16">
        <v>34.99</v>
      </c>
      <c r="Y66" s="16">
        <v>3.05</v>
      </c>
      <c r="Z66" s="17">
        <v>1.57</v>
      </c>
      <c r="AA66" s="16">
        <v>1.1000000000000001</v>
      </c>
      <c r="AB66" s="16">
        <v>60051</v>
      </c>
      <c r="AC66" s="37" t="s">
        <v>2622</v>
      </c>
      <c r="AD66" s="16" t="s">
        <v>3724</v>
      </c>
      <c r="AE66" s="16" t="s">
        <v>4083</v>
      </c>
      <c r="AF66" s="17">
        <f t="shared" si="8"/>
        <v>3.355</v>
      </c>
      <c r="AG66" s="17">
        <f t="shared" si="9"/>
        <v>2.145</v>
      </c>
      <c r="AH66" s="17">
        <f t="shared" si="10"/>
        <v>1.1068848236028096E-2</v>
      </c>
      <c r="AI66" s="17">
        <f t="shared" ref="AI66" si="16">(AH66*AH66)</f>
        <v>1.2251940127222229E-4</v>
      </c>
      <c r="AJ66" s="17">
        <f t="shared" si="12"/>
        <v>1.1856140035184643E-2</v>
      </c>
      <c r="AK66" s="17">
        <f t="shared" ref="AK66" si="17">(AJ66*AJ66)</f>
        <v>1.405680565339081E-4</v>
      </c>
      <c r="AL66" s="17">
        <f t="shared" si="14"/>
        <v>1.4630217168692852E-2</v>
      </c>
      <c r="AM66" s="17">
        <f t="shared" ref="AM66" si="18">(AL66*AL66)</f>
        <v>2.1404325440311511E-4</v>
      </c>
      <c r="AN66" s="17" t="s">
        <v>2622</v>
      </c>
    </row>
    <row r="67" spans="13:40" ht="20"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7"/>
      <c r="AA67" s="16">
        <f>SUBTOTAL(109,Table1361718[ترافیک کل])</f>
        <v>9937.7999999999993</v>
      </c>
      <c r="AB67" s="16"/>
      <c r="AC67" s="36"/>
      <c r="AD67" s="16"/>
      <c r="AE67" s="16"/>
      <c r="AF67" s="17">
        <f>SUBTOTAL(109,Table1361718[[مجموع صفحات  مشاهده شده   ]])</f>
        <v>28297.573999999997</v>
      </c>
      <c r="AG67" s="17">
        <f>SUBTOTAL(109,Table1361718[[مجموع زمان حضور در سایت ]])</f>
        <v>14661.436499999998</v>
      </c>
      <c r="AH67" s="17">
        <f>SUBTOTAL(109,Table1361718[سهم سایت از کل ترافیک طبقه بندی])</f>
        <v>100</v>
      </c>
      <c r="AI67" s="17">
        <f>SUBTOTAL(109,Table1361718[شاخص هرفیندال هیرشمن (ترافیک)])</f>
        <v>497.11853991563095</v>
      </c>
      <c r="AJ67" s="17">
        <f>SUBTOTAL(109,Table1361718[سهم سایت از کل صفحات مشاهده شده در طبقه بندی])</f>
        <v>99.999999999999972</v>
      </c>
      <c r="AK67" s="17">
        <f>SUBTOTAL(109,Table1361718[شاخص هرفیندال -هیرشمن (صفحات مشاهده شده )])</f>
        <v>629.44311071136929</v>
      </c>
      <c r="AL67" s="17">
        <f>SUBTOTAL(109,Table1361718[سهم سایت از کل زمان حضور در طبقه بندی])</f>
        <v>100.00000000000006</v>
      </c>
      <c r="AM67" s="17">
        <f>SUBTOTAL(109,Table1361718[شاخص هرفیندال هیرشمن (زمان حضور)])</f>
        <v>1199.4017298558765</v>
      </c>
      <c r="AN67" s="17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{4736651A-3CC3-49AE-9F57-75D1937F13E7}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{6F88C579-496A-46F0-98FB-889C0BC70CBD}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{F808F643-3507-45FE-B890-A9B425F226AB}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{29661DF4-FB43-4EBB-887C-873E1E5698B5}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{031C7F04-4692-4185-AA7B-F00F88EF85EB}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{73372A69-7153-411B-BB53-E85039726F77}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36651A-3CC3-49AE-9F57-75D1937F13E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F88C579-496A-46F0-98FB-889C0BC70CB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808F643-3507-45FE-B890-A9B425F226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9661DF4-FB43-4EBB-887C-873E1E5698B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31C7F04-4692-4185-AA7B-F00F88EF85E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73372A69-7153-411B-BB53-E85039726F7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50"/>
  <sheetViews>
    <sheetView showGridLines="0" rightToLeft="1" topLeftCell="Z1" zoomScale="70" zoomScaleNormal="70" workbookViewId="0">
      <selection activeCell="AC50" sqref="AC50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58203125" customWidth="1"/>
    <col min="40" max="40" width="21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1276</v>
      </c>
      <c r="N2" s="8" t="s">
        <v>150</v>
      </c>
      <c r="O2" s="8"/>
      <c r="P2" s="8" t="s">
        <v>3691</v>
      </c>
      <c r="Q2" s="8"/>
      <c r="R2" s="8"/>
      <c r="S2" s="8"/>
      <c r="T2" s="8"/>
      <c r="U2" s="8"/>
      <c r="V2" s="8"/>
      <c r="W2" s="8" t="s">
        <v>1276</v>
      </c>
      <c r="X2" s="8">
        <v>18.95</v>
      </c>
      <c r="Y2" s="8">
        <v>4.68</v>
      </c>
      <c r="Z2" s="9">
        <v>4.24</v>
      </c>
      <c r="AA2" s="8">
        <v>291.5</v>
      </c>
      <c r="AB2" s="8">
        <v>1289</v>
      </c>
      <c r="AC2" s="21" t="s">
        <v>1276</v>
      </c>
      <c r="AD2" s="8" t="s">
        <v>800</v>
      </c>
      <c r="AE2" s="8" t="s">
        <v>4083</v>
      </c>
      <c r="AF2" s="9">
        <f t="shared" ref="AF2:AF49" si="0">(AA2*Y2)</f>
        <v>1364.22</v>
      </c>
      <c r="AG2" s="9">
        <f t="shared" ref="AG2:AG49" si="1">((((RIGHT(Z2,2))/60)+(LEFT(Z2,2)))*AA2)</f>
        <v>1282.6000000000001</v>
      </c>
      <c r="AH2" s="9">
        <f t="shared" ref="AH2:AH49" si="2">(AA2/$AA$50)*100</f>
        <v>15.330002629503023</v>
      </c>
      <c r="AI2" s="9">
        <f t="shared" ref="AI2:AI49" si="3">(AH2*AH2)</f>
        <v>235.00898062056959</v>
      </c>
      <c r="AJ2" s="9">
        <f t="shared" ref="AJ2:AJ49" si="4">(AF2/$AF$50)*100</f>
        <v>22.258901064045361</v>
      </c>
      <c r="AK2" s="9">
        <f t="shared" ref="AK2:AK49" si="5">(AJ2*AJ2)</f>
        <v>495.45867657895968</v>
      </c>
      <c r="AL2" s="9">
        <f t="shared" ref="AL2:AL49" si="6">(AG2/$AG$50)*100</f>
        <v>31.678424229326492</v>
      </c>
      <c r="AM2" s="9">
        <f t="shared" ref="AM2:AM49" si="7">(AL2*AL2)</f>
        <v>1003.5225616531798</v>
      </c>
      <c r="AN2" s="8" t="s">
        <v>1276</v>
      </c>
    </row>
    <row r="3" spans="8:40" ht="23">
      <c r="M3" s="8" t="s">
        <v>1183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1183</v>
      </c>
      <c r="X3" s="8">
        <v>23.84</v>
      </c>
      <c r="Y3" s="8">
        <v>1.1100000000000001</v>
      </c>
      <c r="Z3" s="9">
        <v>0.08</v>
      </c>
      <c r="AA3" s="8">
        <v>179.5</v>
      </c>
      <c r="AB3" s="8">
        <v>13670</v>
      </c>
      <c r="AC3" s="21" t="s">
        <v>1183</v>
      </c>
      <c r="AD3" s="8" t="s">
        <v>800</v>
      </c>
      <c r="AE3" s="8" t="s">
        <v>4083</v>
      </c>
      <c r="AF3" s="9">
        <f t="shared" si="0"/>
        <v>199.245</v>
      </c>
      <c r="AG3" s="9">
        <f t="shared" si="1"/>
        <v>23.933333333333334</v>
      </c>
      <c r="AH3" s="9">
        <f t="shared" si="2"/>
        <v>9.4399158559032337</v>
      </c>
      <c r="AI3" s="9">
        <f t="shared" si="3"/>
        <v>89.112011366533281</v>
      </c>
      <c r="AJ3" s="9">
        <f t="shared" si="4"/>
        <v>3.2509234159488338</v>
      </c>
      <c r="AK3" s="9">
        <f t="shared" si="5"/>
        <v>10.568503056364435</v>
      </c>
      <c r="AL3" s="9">
        <f t="shared" si="6"/>
        <v>0.59111982422829723</v>
      </c>
      <c r="AM3" s="9">
        <f t="shared" si="7"/>
        <v>0.349422646595693</v>
      </c>
      <c r="AN3" s="8" t="s">
        <v>1183</v>
      </c>
    </row>
    <row r="4" spans="8:40" ht="23">
      <c r="M4" s="24" t="s">
        <v>5051</v>
      </c>
      <c r="N4" s="24" t="s">
        <v>150</v>
      </c>
      <c r="O4" s="24"/>
      <c r="P4" s="24"/>
      <c r="Q4" s="24"/>
      <c r="R4" s="24"/>
      <c r="S4" s="24"/>
      <c r="T4" s="24"/>
      <c r="U4" s="24"/>
      <c r="V4" s="24"/>
      <c r="W4" s="24" t="s">
        <v>5051</v>
      </c>
      <c r="X4" s="24">
        <v>30.16</v>
      </c>
      <c r="Y4" s="24">
        <v>1.05</v>
      </c>
      <c r="Z4" s="25">
        <v>7.0000000000000007E-2</v>
      </c>
      <c r="AA4" s="24">
        <v>143.5</v>
      </c>
      <c r="AB4" s="24">
        <v>21453</v>
      </c>
      <c r="AC4" s="21" t="s">
        <v>5051</v>
      </c>
      <c r="AD4" s="8" t="s">
        <v>800</v>
      </c>
      <c r="AE4" s="8" t="s">
        <v>4083</v>
      </c>
      <c r="AF4" s="25">
        <f t="shared" si="0"/>
        <v>150.67500000000001</v>
      </c>
      <c r="AG4" s="25">
        <f t="shared" si="1"/>
        <v>16.741666666666667</v>
      </c>
      <c r="AH4" s="25">
        <f t="shared" si="2"/>
        <v>7.5466736786747299</v>
      </c>
      <c r="AI4" s="9">
        <f t="shared" si="3"/>
        <v>56.952283612401978</v>
      </c>
      <c r="AJ4" s="9">
        <f t="shared" si="4"/>
        <v>2.4584450585866171</v>
      </c>
      <c r="AK4" s="9">
        <f t="shared" si="5"/>
        <v>6.0439521060889554</v>
      </c>
      <c r="AL4" s="9">
        <f t="shared" si="6"/>
        <v>0.41349572662766332</v>
      </c>
      <c r="AM4" s="25">
        <f t="shared" si="7"/>
        <v>0.17097871593933928</v>
      </c>
      <c r="AN4" s="24" t="s">
        <v>5051</v>
      </c>
    </row>
    <row r="5" spans="8:40" ht="23">
      <c r="M5" s="9" t="s">
        <v>2290</v>
      </c>
      <c r="N5" s="8" t="s">
        <v>150</v>
      </c>
      <c r="O5" s="8"/>
      <c r="P5" s="8" t="s">
        <v>4008</v>
      </c>
      <c r="Q5" s="8"/>
      <c r="R5" s="8"/>
      <c r="S5" s="8"/>
      <c r="T5" s="8"/>
      <c r="U5" s="8"/>
      <c r="V5" s="8"/>
      <c r="W5" s="9" t="s">
        <v>2290</v>
      </c>
      <c r="X5" s="8">
        <v>14.18</v>
      </c>
      <c r="Y5" s="8">
        <v>4.8499999999999996</v>
      </c>
      <c r="Z5" s="9">
        <v>2.5</v>
      </c>
      <c r="AA5" s="8">
        <v>140.1</v>
      </c>
      <c r="AB5" s="8">
        <v>3429</v>
      </c>
      <c r="AC5" s="22" t="s">
        <v>2290</v>
      </c>
      <c r="AD5" s="8" t="s">
        <v>800</v>
      </c>
      <c r="AE5" s="8" t="s">
        <v>4083</v>
      </c>
      <c r="AF5" s="9">
        <f t="shared" si="0"/>
        <v>679.4849999999999</v>
      </c>
      <c r="AG5" s="9">
        <f t="shared" si="1"/>
        <v>281.36750000000001</v>
      </c>
      <c r="AH5" s="9">
        <f t="shared" si="2"/>
        <v>7.3678674730475926</v>
      </c>
      <c r="AI5" s="9">
        <f t="shared" si="3"/>
        <v>54.285471100392719</v>
      </c>
      <c r="AJ5" s="9">
        <f t="shared" si="4"/>
        <v>11.086620478737197</v>
      </c>
      <c r="AK5" s="9">
        <f t="shared" si="5"/>
        <v>122.91315363955501</v>
      </c>
      <c r="AL5" s="9">
        <f t="shared" si="6"/>
        <v>6.9493833068337922</v>
      </c>
      <c r="AM5" s="9">
        <f t="shared" si="7"/>
        <v>48.293928345300174</v>
      </c>
      <c r="AN5" s="9" t="s">
        <v>2290</v>
      </c>
    </row>
    <row r="6" spans="8:40" ht="23">
      <c r="M6" s="8" t="s">
        <v>1886</v>
      </c>
      <c r="N6" s="8" t="s">
        <v>1869</v>
      </c>
      <c r="O6" s="8"/>
      <c r="P6" s="8"/>
      <c r="Q6" s="8"/>
      <c r="R6" s="8"/>
      <c r="S6" s="8"/>
      <c r="T6" s="8"/>
      <c r="U6" s="8"/>
      <c r="V6" s="8"/>
      <c r="W6" s="8" t="s">
        <v>1886</v>
      </c>
      <c r="X6" s="8">
        <v>0.12</v>
      </c>
      <c r="Y6" s="8">
        <v>2.0699999999999998</v>
      </c>
      <c r="Z6" s="9">
        <v>0.12</v>
      </c>
      <c r="AA6" s="8">
        <v>100.7</v>
      </c>
      <c r="AB6" s="8">
        <v>31778</v>
      </c>
      <c r="AC6" s="21" t="s">
        <v>1886</v>
      </c>
      <c r="AD6" s="8" t="s">
        <v>800</v>
      </c>
      <c r="AE6" s="8" t="s">
        <v>4083</v>
      </c>
      <c r="AF6" s="9">
        <f t="shared" si="0"/>
        <v>208.44899999999998</v>
      </c>
      <c r="AG6" s="9">
        <f t="shared" si="1"/>
        <v>20.14</v>
      </c>
      <c r="AH6" s="9">
        <f t="shared" si="2"/>
        <v>5.2958190901919533</v>
      </c>
      <c r="AI6" s="9">
        <f t="shared" si="3"/>
        <v>28.045699836041528</v>
      </c>
      <c r="AJ6" s="9">
        <f t="shared" si="4"/>
        <v>3.4010978199258122</v>
      </c>
      <c r="AK6" s="9">
        <f t="shared" si="5"/>
        <v>11.567466380704113</v>
      </c>
      <c r="AL6" s="9">
        <f t="shared" si="6"/>
        <v>0.49742980194810194</v>
      </c>
      <c r="AM6" s="9">
        <f t="shared" si="7"/>
        <v>0.24743640786612792</v>
      </c>
      <c r="AN6" s="8" t="s">
        <v>1886</v>
      </c>
    </row>
    <row r="7" spans="8:40" ht="23">
      <c r="M7" s="8" t="s">
        <v>1385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1385</v>
      </c>
      <c r="X7" s="8">
        <v>29.31</v>
      </c>
      <c r="Y7" s="8">
        <v>1.1200000000000001</v>
      </c>
      <c r="Z7" s="9">
        <v>0.03</v>
      </c>
      <c r="AA7" s="8">
        <v>96.3</v>
      </c>
      <c r="AB7" s="8">
        <v>26366</v>
      </c>
      <c r="AC7" s="21" t="s">
        <v>1385</v>
      </c>
      <c r="AD7" s="8" t="s">
        <v>800</v>
      </c>
      <c r="AE7" s="8" t="s">
        <v>4083</v>
      </c>
      <c r="AF7" s="9">
        <f t="shared" si="0"/>
        <v>107.85600000000001</v>
      </c>
      <c r="AG7" s="9">
        <f t="shared" si="1"/>
        <v>4.8150000000000004</v>
      </c>
      <c r="AH7" s="9">
        <f t="shared" si="2"/>
        <v>5.0644228240862468</v>
      </c>
      <c r="AI7" s="9">
        <f t="shared" si="3"/>
        <v>25.648378541125716</v>
      </c>
      <c r="AJ7" s="9">
        <f t="shared" si="4"/>
        <v>1.7598012293938488</v>
      </c>
      <c r="AK7" s="9">
        <f t="shared" si="5"/>
        <v>3.0969003669761013</v>
      </c>
      <c r="AL7" s="9">
        <f t="shared" si="6"/>
        <v>0.11892375850943947</v>
      </c>
      <c r="AM7" s="9">
        <f t="shared" si="7"/>
        <v>1.4142860338011477E-2</v>
      </c>
      <c r="AN7" s="8" t="s">
        <v>1385</v>
      </c>
    </row>
    <row r="8" spans="8:40" ht="23">
      <c r="M8" s="8" t="s">
        <v>799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799</v>
      </c>
      <c r="X8" s="8">
        <v>6.72</v>
      </c>
      <c r="Y8" s="8">
        <v>4.03</v>
      </c>
      <c r="Z8" s="9">
        <v>1.31</v>
      </c>
      <c r="AA8" s="8">
        <v>82.1</v>
      </c>
      <c r="AB8" s="8">
        <v>5680</v>
      </c>
      <c r="AC8" s="21" t="s">
        <v>799</v>
      </c>
      <c r="AD8" s="8" t="s">
        <v>800</v>
      </c>
      <c r="AE8" s="8" t="s">
        <v>4083</v>
      </c>
      <c r="AF8" s="9">
        <f t="shared" si="0"/>
        <v>330.863</v>
      </c>
      <c r="AG8" s="9">
        <f t="shared" si="1"/>
        <v>124.51833333333332</v>
      </c>
      <c r="AH8" s="9">
        <f t="shared" si="2"/>
        <v>4.3176439652905598</v>
      </c>
      <c r="AI8" s="9">
        <f t="shared" si="3"/>
        <v>18.642049411009989</v>
      </c>
      <c r="AJ8" s="9">
        <f t="shared" si="4"/>
        <v>5.3984304457882448</v>
      </c>
      <c r="AK8" s="9">
        <f t="shared" si="5"/>
        <v>29.143051278013466</v>
      </c>
      <c r="AL8" s="9">
        <f t="shared" si="6"/>
        <v>3.0754284949805228</v>
      </c>
      <c r="AM8" s="9">
        <f t="shared" si="7"/>
        <v>9.4582604277381641</v>
      </c>
      <c r="AN8" s="8" t="s">
        <v>799</v>
      </c>
    </row>
    <row r="9" spans="8:40" ht="23">
      <c r="M9" s="8" t="s">
        <v>1982</v>
      </c>
      <c r="N9" s="8" t="s">
        <v>1964</v>
      </c>
      <c r="O9" s="8"/>
      <c r="P9" s="8" t="s">
        <v>3691</v>
      </c>
      <c r="Q9" s="8"/>
      <c r="R9" s="8"/>
      <c r="S9" s="8"/>
      <c r="T9" s="8"/>
      <c r="U9" s="8"/>
      <c r="V9" s="8"/>
      <c r="W9" s="8" t="s">
        <v>1982</v>
      </c>
      <c r="X9" s="8">
        <v>32.58</v>
      </c>
      <c r="Y9" s="8">
        <v>2.12</v>
      </c>
      <c r="Z9" s="9">
        <v>0.55000000000000004</v>
      </c>
      <c r="AA9" s="8">
        <v>79.599999999999994</v>
      </c>
      <c r="AB9" s="8">
        <v>7008</v>
      </c>
      <c r="AC9" s="21" t="s">
        <v>1982</v>
      </c>
      <c r="AD9" s="8" t="s">
        <v>800</v>
      </c>
      <c r="AE9" s="8" t="s">
        <v>4083</v>
      </c>
      <c r="AF9" s="9">
        <f t="shared" si="0"/>
        <v>168.75200000000001</v>
      </c>
      <c r="AG9" s="9">
        <f t="shared" si="1"/>
        <v>72.966666666666654</v>
      </c>
      <c r="AH9" s="9">
        <f t="shared" si="2"/>
        <v>4.1861688140941355</v>
      </c>
      <c r="AI9" s="9">
        <f t="shared" si="3"/>
        <v>17.524009340094302</v>
      </c>
      <c r="AJ9" s="9">
        <f t="shared" si="4"/>
        <v>2.7533932007739095</v>
      </c>
      <c r="AK9" s="9">
        <f t="shared" si="5"/>
        <v>7.5811741180679943</v>
      </c>
      <c r="AL9" s="9">
        <f t="shared" si="6"/>
        <v>1.8021745058993626</v>
      </c>
      <c r="AM9" s="9">
        <f t="shared" si="7"/>
        <v>3.2478329497136116</v>
      </c>
      <c r="AN9" s="8" t="s">
        <v>1982</v>
      </c>
    </row>
    <row r="10" spans="8:40" ht="23">
      <c r="M10" s="9" t="s">
        <v>3242</v>
      </c>
      <c r="N10" s="8" t="s">
        <v>1902</v>
      </c>
      <c r="O10" s="8"/>
      <c r="P10" s="8"/>
      <c r="Q10" s="8"/>
      <c r="R10" s="8"/>
      <c r="S10" s="8"/>
      <c r="T10" s="8"/>
      <c r="U10" s="8"/>
      <c r="V10" s="8"/>
      <c r="W10" s="9" t="s">
        <v>3242</v>
      </c>
      <c r="X10" s="8">
        <v>34.43</v>
      </c>
      <c r="Y10" s="8">
        <v>1.9</v>
      </c>
      <c r="Z10" s="9">
        <v>1.1399999999999999</v>
      </c>
      <c r="AA10" s="8">
        <v>77.900000000000006</v>
      </c>
      <c r="AB10" s="8">
        <v>5620</v>
      </c>
      <c r="AC10" s="22" t="s">
        <v>3242</v>
      </c>
      <c r="AD10" s="8" t="s">
        <v>800</v>
      </c>
      <c r="AE10" s="8" t="s">
        <v>4083</v>
      </c>
      <c r="AF10" s="9">
        <f t="shared" si="0"/>
        <v>148.01</v>
      </c>
      <c r="AG10" s="9">
        <f t="shared" si="1"/>
        <v>96.076666666666682</v>
      </c>
      <c r="AH10" s="9">
        <f t="shared" si="2"/>
        <v>4.0967657112805682</v>
      </c>
      <c r="AI10" s="9">
        <f t="shared" si="3"/>
        <v>16.78348929312418</v>
      </c>
      <c r="AJ10" s="9">
        <f t="shared" si="4"/>
        <v>2.4149623568701188</v>
      </c>
      <c r="AK10" s="9">
        <f t="shared" si="5"/>
        <v>5.8320431850996792</v>
      </c>
      <c r="AL10" s="9">
        <f t="shared" si="6"/>
        <v>2.3729591495448763</v>
      </c>
      <c r="AM10" s="9">
        <f t="shared" si="7"/>
        <v>5.630935125408743</v>
      </c>
      <c r="AN10" s="9" t="s">
        <v>3242</v>
      </c>
    </row>
    <row r="11" spans="8:40" ht="23">
      <c r="M11" s="8" t="s">
        <v>691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691</v>
      </c>
      <c r="X11" s="8">
        <v>17.440000000000001</v>
      </c>
      <c r="Y11" s="8">
        <v>11.89</v>
      </c>
      <c r="Z11" s="9">
        <v>12.3</v>
      </c>
      <c r="AA11" s="8">
        <v>74</v>
      </c>
      <c r="AB11" s="8">
        <v>24554</v>
      </c>
      <c r="AC11" s="21" t="s">
        <v>691</v>
      </c>
      <c r="AD11" s="8" t="s">
        <v>800</v>
      </c>
      <c r="AE11" s="8" t="s">
        <v>4083</v>
      </c>
      <c r="AF11" s="9">
        <f t="shared" si="0"/>
        <v>879.86</v>
      </c>
      <c r="AG11" s="9">
        <f t="shared" si="1"/>
        <v>888.37</v>
      </c>
      <c r="AH11" s="9">
        <f t="shared" si="2"/>
        <v>3.8916644754141463</v>
      </c>
      <c r="AI11" s="9">
        <f t="shared" si="3"/>
        <v>15.145052389200462</v>
      </c>
      <c r="AJ11" s="9">
        <f t="shared" si="4"/>
        <v>14.355981212862259</v>
      </c>
      <c r="AK11" s="9">
        <f t="shared" si="5"/>
        <v>206.09419658405415</v>
      </c>
      <c r="AL11" s="9">
        <f t="shared" si="6"/>
        <v>21.941495191491324</v>
      </c>
      <c r="AM11" s="9">
        <f t="shared" si="7"/>
        <v>481.42921123823686</v>
      </c>
      <c r="AN11" s="8" t="s">
        <v>691</v>
      </c>
    </row>
    <row r="12" spans="8:40" ht="23">
      <c r="M12" s="24" t="s">
        <v>5086</v>
      </c>
      <c r="N12" s="24" t="s">
        <v>150</v>
      </c>
      <c r="O12" s="24"/>
      <c r="P12" s="24"/>
      <c r="Q12" s="24"/>
      <c r="R12" s="24"/>
      <c r="S12" s="24"/>
      <c r="T12" s="24"/>
      <c r="U12" s="24"/>
      <c r="V12" s="24"/>
      <c r="W12" s="24" t="s">
        <v>5086</v>
      </c>
      <c r="X12" s="24">
        <v>28.28</v>
      </c>
      <c r="Y12" s="24">
        <v>1.1599999999999999</v>
      </c>
      <c r="Z12" s="25">
        <v>0.11</v>
      </c>
      <c r="AA12" s="24">
        <v>59.9</v>
      </c>
      <c r="AB12" s="24">
        <v>28012</v>
      </c>
      <c r="AC12" s="21" t="s">
        <v>5086</v>
      </c>
      <c r="AD12" s="8" t="s">
        <v>800</v>
      </c>
      <c r="AE12" s="8" t="s">
        <v>4083</v>
      </c>
      <c r="AF12" s="25">
        <f t="shared" si="0"/>
        <v>69.483999999999995</v>
      </c>
      <c r="AG12" s="25">
        <f t="shared" si="1"/>
        <v>10.981666666666666</v>
      </c>
      <c r="AH12" s="25">
        <f t="shared" si="2"/>
        <v>3.1501446226663155</v>
      </c>
      <c r="AI12" s="9">
        <f t="shared" si="3"/>
        <v>9.9234111437135031</v>
      </c>
      <c r="AJ12" s="9">
        <f t="shared" si="4"/>
        <v>1.1337155895193793</v>
      </c>
      <c r="AK12" s="9">
        <f t="shared" si="5"/>
        <v>1.2853110379192738</v>
      </c>
      <c r="AL12" s="9">
        <f t="shared" si="6"/>
        <v>0.27123179121450208</v>
      </c>
      <c r="AM12" s="25">
        <f t="shared" si="7"/>
        <v>7.3566684565427254E-2</v>
      </c>
      <c r="AN12" s="24" t="s">
        <v>5086</v>
      </c>
    </row>
    <row r="13" spans="8:40" ht="23">
      <c r="M13" s="8" t="s">
        <v>1373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1373</v>
      </c>
      <c r="X13" s="8">
        <v>37.32</v>
      </c>
      <c r="Y13" s="8">
        <v>1.1100000000000001</v>
      </c>
      <c r="Z13" s="9">
        <v>7.0000000000000007E-2</v>
      </c>
      <c r="AA13" s="8">
        <v>57.3</v>
      </c>
      <c r="AB13" s="8">
        <v>22865</v>
      </c>
      <c r="AC13" s="21" t="s">
        <v>1373</v>
      </c>
      <c r="AD13" s="8" t="s">
        <v>800</v>
      </c>
      <c r="AE13" s="8" t="s">
        <v>4083</v>
      </c>
      <c r="AF13" s="9">
        <f t="shared" si="0"/>
        <v>63.603000000000002</v>
      </c>
      <c r="AG13" s="9">
        <f t="shared" si="1"/>
        <v>6.6849999999999996</v>
      </c>
      <c r="AH13" s="9">
        <f t="shared" si="2"/>
        <v>3.0134104654220346</v>
      </c>
      <c r="AI13" s="9">
        <f t="shared" si="3"/>
        <v>9.080642633115044</v>
      </c>
      <c r="AJ13" s="9">
        <f t="shared" si="4"/>
        <v>1.0377599539491265</v>
      </c>
      <c r="AK13" s="9">
        <f t="shared" si="5"/>
        <v>1.076945722020493</v>
      </c>
      <c r="AL13" s="9">
        <f t="shared" si="6"/>
        <v>0.1651101403189206</v>
      </c>
      <c r="AM13" s="9">
        <f t="shared" si="7"/>
        <v>2.7261358436133649E-2</v>
      </c>
      <c r="AN13" s="8" t="s">
        <v>1373</v>
      </c>
    </row>
    <row r="14" spans="8:40" ht="23">
      <c r="M14" s="8" t="s">
        <v>660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660</v>
      </c>
      <c r="X14" s="8">
        <v>19.91</v>
      </c>
      <c r="Y14" s="8">
        <v>2.9</v>
      </c>
      <c r="Z14" s="9">
        <v>2.2000000000000002</v>
      </c>
      <c r="AA14" s="8">
        <v>53.9</v>
      </c>
      <c r="AB14" s="8">
        <v>6159</v>
      </c>
      <c r="AC14" s="21" t="s">
        <v>660</v>
      </c>
      <c r="AD14" s="8" t="s">
        <v>800</v>
      </c>
      <c r="AE14" s="8" t="s">
        <v>4083</v>
      </c>
      <c r="AF14" s="9">
        <f t="shared" si="0"/>
        <v>156.31</v>
      </c>
      <c r="AG14" s="9">
        <f t="shared" si="1"/>
        <v>107.97966666666667</v>
      </c>
      <c r="AH14" s="9">
        <f t="shared" si="2"/>
        <v>2.8346042597948982</v>
      </c>
      <c r="AI14" s="9">
        <f t="shared" si="3"/>
        <v>8.0349813096473817</v>
      </c>
      <c r="AJ14" s="9">
        <f t="shared" si="4"/>
        <v>2.5503869063061164</v>
      </c>
      <c r="AK14" s="9">
        <f t="shared" si="5"/>
        <v>6.5044733718576833</v>
      </c>
      <c r="AL14" s="9">
        <f t="shared" si="6"/>
        <v>2.666946584132178</v>
      </c>
      <c r="AM14" s="9">
        <f t="shared" si="7"/>
        <v>7.1126040826142924</v>
      </c>
      <c r="AN14" s="8" t="s">
        <v>660</v>
      </c>
    </row>
    <row r="15" spans="8:40" ht="23">
      <c r="M15" s="8" t="s">
        <v>1007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1007</v>
      </c>
      <c r="X15" s="8">
        <v>5.04</v>
      </c>
      <c r="Y15" s="8">
        <v>2.0299999999999998</v>
      </c>
      <c r="Z15" s="9">
        <v>2.15</v>
      </c>
      <c r="AA15" s="8">
        <v>45.5</v>
      </c>
      <c r="AB15" s="8">
        <v>9247</v>
      </c>
      <c r="AC15" s="21" t="s">
        <v>1007</v>
      </c>
      <c r="AD15" s="8" t="s">
        <v>800</v>
      </c>
      <c r="AE15" s="8" t="s">
        <v>4083</v>
      </c>
      <c r="AF15" s="9">
        <f t="shared" si="0"/>
        <v>92.364999999999995</v>
      </c>
      <c r="AG15" s="9">
        <f t="shared" si="1"/>
        <v>102.375</v>
      </c>
      <c r="AH15" s="9">
        <f t="shared" si="2"/>
        <v>2.392847751774914</v>
      </c>
      <c r="AI15" s="9">
        <f t="shared" si="3"/>
        <v>5.7257203631742604</v>
      </c>
      <c r="AJ15" s="9">
        <f t="shared" si="4"/>
        <v>1.507046808271796</v>
      </c>
      <c r="AK15" s="9">
        <f t="shared" si="5"/>
        <v>2.2711900823222075</v>
      </c>
      <c r="AL15" s="9">
        <f t="shared" si="6"/>
        <v>2.5285191645698575</v>
      </c>
      <c r="AM15" s="9">
        <f t="shared" si="7"/>
        <v>6.39340916559705</v>
      </c>
      <c r="AN15" s="8" t="s">
        <v>1007</v>
      </c>
    </row>
    <row r="16" spans="8:40" ht="23">
      <c r="M16" s="9" t="s">
        <v>2917</v>
      </c>
      <c r="N16" s="8" t="s">
        <v>1717</v>
      </c>
      <c r="O16" s="8"/>
      <c r="P16" s="8"/>
      <c r="Q16" s="8"/>
      <c r="R16" s="8"/>
      <c r="S16" s="8"/>
      <c r="T16" s="8"/>
      <c r="U16" s="8"/>
      <c r="V16" s="8"/>
      <c r="W16" s="9" t="s">
        <v>2917</v>
      </c>
      <c r="X16" s="8">
        <v>27.59</v>
      </c>
      <c r="Y16" s="8">
        <v>1.1599999999999999</v>
      </c>
      <c r="Z16" s="9">
        <v>0.09</v>
      </c>
      <c r="AA16" s="8">
        <v>43.9</v>
      </c>
      <c r="AB16" s="8">
        <v>32030</v>
      </c>
      <c r="AC16" s="22" t="s">
        <v>2917</v>
      </c>
      <c r="AD16" s="8" t="s">
        <v>800</v>
      </c>
      <c r="AE16" s="8" t="s">
        <v>4083</v>
      </c>
      <c r="AF16" s="9">
        <f t="shared" si="0"/>
        <v>50.923999999999992</v>
      </c>
      <c r="AG16" s="9">
        <f t="shared" si="1"/>
        <v>6.585</v>
      </c>
      <c r="AH16" s="9">
        <f t="shared" si="2"/>
        <v>2.3087036550092028</v>
      </c>
      <c r="AI16" s="9">
        <f t="shared" si="3"/>
        <v>5.3301125666528524</v>
      </c>
      <c r="AJ16" s="9">
        <f t="shared" si="4"/>
        <v>0.83088671752755849</v>
      </c>
      <c r="AK16" s="9">
        <f t="shared" si="5"/>
        <v>0.69037273736372073</v>
      </c>
      <c r="AL16" s="9">
        <f t="shared" si="6"/>
        <v>0.16264028032910879</v>
      </c>
      <c r="AM16" s="9">
        <f t="shared" si="7"/>
        <v>2.6451860785531092E-2</v>
      </c>
      <c r="AN16" s="9" t="s">
        <v>2917</v>
      </c>
    </row>
    <row r="17" spans="13:40" ht="23">
      <c r="M17" s="8" t="s">
        <v>1138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1138</v>
      </c>
      <c r="X17" s="8">
        <v>5.75</v>
      </c>
      <c r="Y17" s="8">
        <v>2.62</v>
      </c>
      <c r="Z17" s="9">
        <v>0.4</v>
      </c>
      <c r="AA17" s="8">
        <v>39.299999999999997</v>
      </c>
      <c r="AB17" s="8">
        <v>9699</v>
      </c>
      <c r="AC17" s="21" t="s">
        <v>1138</v>
      </c>
      <c r="AD17" s="8" t="s">
        <v>800</v>
      </c>
      <c r="AE17" s="8" t="s">
        <v>4083</v>
      </c>
      <c r="AF17" s="9">
        <f t="shared" si="0"/>
        <v>102.96599999999999</v>
      </c>
      <c r="AG17" s="9">
        <f t="shared" si="1"/>
        <v>0.26200000000000001</v>
      </c>
      <c r="AH17" s="9">
        <f t="shared" si="2"/>
        <v>2.0667893768077832</v>
      </c>
      <c r="AI17" s="9">
        <f t="shared" si="3"/>
        <v>4.2716183280855047</v>
      </c>
      <c r="AJ17" s="9">
        <f t="shared" si="4"/>
        <v>1.6800149587020381</v>
      </c>
      <c r="AK17" s="9">
        <f t="shared" si="5"/>
        <v>2.8224502614626106</v>
      </c>
      <c r="AL17" s="9">
        <f t="shared" si="6"/>
        <v>6.4710331733069852E-3</v>
      </c>
      <c r="AM17" s="9">
        <f t="shared" si="7"/>
        <v>4.1874270330039474E-5</v>
      </c>
      <c r="AN17" s="8" t="s">
        <v>1138</v>
      </c>
    </row>
    <row r="18" spans="13:40" ht="23">
      <c r="M18" s="8" t="s">
        <v>536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536</v>
      </c>
      <c r="X18" s="8">
        <v>51.78</v>
      </c>
      <c r="Y18" s="8">
        <v>1.28</v>
      </c>
      <c r="Z18" s="9">
        <v>0.24</v>
      </c>
      <c r="AA18" s="8">
        <v>33.6</v>
      </c>
      <c r="AB18" s="8">
        <v>21702</v>
      </c>
      <c r="AC18" s="21" t="s">
        <v>536</v>
      </c>
      <c r="AD18" s="8" t="s">
        <v>800</v>
      </c>
      <c r="AE18" s="8" t="s">
        <v>4083</v>
      </c>
      <c r="AF18" s="9">
        <f t="shared" si="0"/>
        <v>43.008000000000003</v>
      </c>
      <c r="AG18" s="9">
        <f t="shared" si="1"/>
        <v>13.440000000000001</v>
      </c>
      <c r="AH18" s="9">
        <f t="shared" si="2"/>
        <v>1.7670260320799367</v>
      </c>
      <c r="AI18" s="9">
        <f t="shared" si="3"/>
        <v>3.1223809980481656</v>
      </c>
      <c r="AJ18" s="9">
        <f t="shared" si="4"/>
        <v>0.70172759302932297</v>
      </c>
      <c r="AK18" s="9">
        <f t="shared" si="5"/>
        <v>0.49242161481872715</v>
      </c>
      <c r="AL18" s="9">
        <f t="shared" si="6"/>
        <v>0.33194918263070955</v>
      </c>
      <c r="AM18" s="9">
        <f t="shared" si="7"/>
        <v>0.11019025984919616</v>
      </c>
      <c r="AN18" s="8" t="s">
        <v>536</v>
      </c>
    </row>
    <row r="19" spans="13:40" ht="23">
      <c r="M19" s="8" t="s">
        <v>562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562</v>
      </c>
      <c r="X19" s="8">
        <v>14.2</v>
      </c>
      <c r="Y19" s="8">
        <v>8.18</v>
      </c>
      <c r="Z19" s="9">
        <v>1.26</v>
      </c>
      <c r="AA19" s="8">
        <v>32</v>
      </c>
      <c r="AB19" s="8">
        <v>9232</v>
      </c>
      <c r="AC19" s="21" t="s">
        <v>562</v>
      </c>
      <c r="AD19" s="8" t="s">
        <v>800</v>
      </c>
      <c r="AE19" s="8" t="s">
        <v>4083</v>
      </c>
      <c r="AF19" s="9">
        <f t="shared" si="0"/>
        <v>261.76</v>
      </c>
      <c r="AG19" s="9">
        <f t="shared" si="1"/>
        <v>45.866666666666667</v>
      </c>
      <c r="AH19" s="9">
        <f t="shared" si="2"/>
        <v>1.6828819353142253</v>
      </c>
      <c r="AI19" s="9">
        <f t="shared" si="3"/>
        <v>2.832091608206952</v>
      </c>
      <c r="AJ19" s="9">
        <f t="shared" si="4"/>
        <v>4.2709313325743015</v>
      </c>
      <c r="AK19" s="9">
        <f t="shared" si="5"/>
        <v>18.240854447564899</v>
      </c>
      <c r="AL19" s="9">
        <f t="shared" si="6"/>
        <v>1.1328424486603579</v>
      </c>
      <c r="AM19" s="9">
        <f t="shared" si="7"/>
        <v>1.2833320134867956</v>
      </c>
      <c r="AN19" s="8" t="s">
        <v>562</v>
      </c>
    </row>
    <row r="20" spans="13:40" ht="23">
      <c r="M20" s="8" t="s">
        <v>1241</v>
      </c>
      <c r="N20" s="8" t="s">
        <v>150</v>
      </c>
      <c r="O20" s="8"/>
      <c r="P20" s="8" t="s">
        <v>3691</v>
      </c>
      <c r="Q20" s="8"/>
      <c r="R20" s="8"/>
      <c r="S20" s="8"/>
      <c r="T20" s="8"/>
      <c r="U20" s="8"/>
      <c r="V20" s="8"/>
      <c r="W20" s="8" t="s">
        <v>1241</v>
      </c>
      <c r="X20" s="8">
        <v>18.010000000000002</v>
      </c>
      <c r="Y20" s="8">
        <v>4.5</v>
      </c>
      <c r="Z20" s="9">
        <v>4.51</v>
      </c>
      <c r="AA20" s="8">
        <v>29.7</v>
      </c>
      <c r="AB20" s="8">
        <v>3962</v>
      </c>
      <c r="AC20" s="21" t="s">
        <v>1241</v>
      </c>
      <c r="AD20" s="8" t="s">
        <v>800</v>
      </c>
      <c r="AE20" s="8" t="s">
        <v>4083</v>
      </c>
      <c r="AF20" s="9">
        <f t="shared" si="0"/>
        <v>133.65</v>
      </c>
      <c r="AG20" s="9">
        <f t="shared" si="1"/>
        <v>144.04499999999999</v>
      </c>
      <c r="AH20" s="9">
        <f t="shared" si="2"/>
        <v>1.5619247962135154</v>
      </c>
      <c r="AI20" s="9">
        <f t="shared" si="3"/>
        <v>2.4396090690266319</v>
      </c>
      <c r="AJ20" s="9">
        <f t="shared" si="4"/>
        <v>2.1806615701350682</v>
      </c>
      <c r="AK20" s="9">
        <f t="shared" si="5"/>
        <v>4.7552848834639407</v>
      </c>
      <c r="AL20" s="9">
        <f t="shared" si="6"/>
        <v>3.557709822324445</v>
      </c>
      <c r="AM20" s="9">
        <f t="shared" si="7"/>
        <v>12.657299179863834</v>
      </c>
      <c r="AN20" s="8" t="s">
        <v>1241</v>
      </c>
    </row>
    <row r="21" spans="13:40" ht="23">
      <c r="M21" s="8" t="s">
        <v>1251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1251</v>
      </c>
      <c r="X21" s="8">
        <v>6.77</v>
      </c>
      <c r="Y21" s="8">
        <v>3.31</v>
      </c>
      <c r="Z21" s="9">
        <v>2.0499999999999998</v>
      </c>
      <c r="AA21" s="8">
        <v>29.5</v>
      </c>
      <c r="AB21" s="8">
        <v>8927</v>
      </c>
      <c r="AC21" s="21" t="s">
        <v>1251</v>
      </c>
      <c r="AD21" s="8" t="s">
        <v>800</v>
      </c>
      <c r="AE21" s="8" t="s">
        <v>4083</v>
      </c>
      <c r="AF21" s="9">
        <f t="shared" si="0"/>
        <v>97.644999999999996</v>
      </c>
      <c r="AG21" s="9">
        <f t="shared" si="1"/>
        <v>61.458333333333336</v>
      </c>
      <c r="AH21" s="9">
        <f t="shared" si="2"/>
        <v>1.5514067841178016</v>
      </c>
      <c r="AI21" s="9">
        <f t="shared" si="3"/>
        <v>2.4068630098067394</v>
      </c>
      <c r="AJ21" s="9">
        <f t="shared" si="4"/>
        <v>1.5931964011660211</v>
      </c>
      <c r="AK21" s="9">
        <f t="shared" si="5"/>
        <v>2.5382747726883612</v>
      </c>
      <c r="AL21" s="9">
        <f t="shared" si="6"/>
        <v>1.5179347854051852</v>
      </c>
      <c r="AM21" s="9">
        <f t="shared" si="7"/>
        <v>2.3041260127430858</v>
      </c>
      <c r="AN21" s="8" t="s">
        <v>1251</v>
      </c>
    </row>
    <row r="22" spans="13:40" ht="23">
      <c r="M22" s="9" t="s">
        <v>2867</v>
      </c>
      <c r="N22" s="8" t="s">
        <v>1717</v>
      </c>
      <c r="O22" s="8"/>
      <c r="P22" s="8"/>
      <c r="Q22" s="8"/>
      <c r="R22" s="8"/>
      <c r="S22" s="8"/>
      <c r="T22" s="8"/>
      <c r="U22" s="8"/>
      <c r="V22" s="8"/>
      <c r="W22" s="9" t="s">
        <v>2867</v>
      </c>
      <c r="X22" s="8">
        <v>24.15</v>
      </c>
      <c r="Y22" s="8">
        <v>2.1</v>
      </c>
      <c r="Z22" s="9">
        <v>1.54</v>
      </c>
      <c r="AA22" s="8">
        <v>23.5</v>
      </c>
      <c r="AB22" s="8">
        <v>7377</v>
      </c>
      <c r="AC22" s="22" t="s">
        <v>2867</v>
      </c>
      <c r="AD22" s="8" t="s">
        <v>800</v>
      </c>
      <c r="AE22" s="8" t="s">
        <v>4083</v>
      </c>
      <c r="AF22" s="9">
        <f t="shared" si="0"/>
        <v>49.35</v>
      </c>
      <c r="AG22" s="9">
        <f t="shared" si="1"/>
        <v>44.65</v>
      </c>
      <c r="AH22" s="9">
        <f t="shared" si="2"/>
        <v>1.2358664212463844</v>
      </c>
      <c r="AI22" s="9">
        <f t="shared" si="3"/>
        <v>1.5273658111643456</v>
      </c>
      <c r="AJ22" s="9">
        <f t="shared" si="4"/>
        <v>0.80520500176704535</v>
      </c>
      <c r="AK22" s="9">
        <f t="shared" si="5"/>
        <v>0.64835509487066745</v>
      </c>
      <c r="AL22" s="9">
        <f t="shared" si="6"/>
        <v>1.1027924854509807</v>
      </c>
      <c r="AM22" s="9">
        <f t="shared" si="7"/>
        <v>1.2161512659671516</v>
      </c>
      <c r="AN22" s="9" t="s">
        <v>2867</v>
      </c>
    </row>
    <row r="23" spans="13:40" ht="23">
      <c r="M23" s="24" t="s">
        <v>5090</v>
      </c>
      <c r="N23" s="24" t="s">
        <v>150</v>
      </c>
      <c r="O23" s="24"/>
      <c r="P23" s="24"/>
      <c r="Q23" s="24"/>
      <c r="R23" s="24"/>
      <c r="S23" s="24"/>
      <c r="T23" s="24"/>
      <c r="U23" s="24"/>
      <c r="V23" s="24"/>
      <c r="W23" s="24" t="s">
        <v>5090</v>
      </c>
      <c r="X23" s="24">
        <v>18.61</v>
      </c>
      <c r="Y23" s="24">
        <v>2.95</v>
      </c>
      <c r="Z23" s="25">
        <v>1.58</v>
      </c>
      <c r="AA23" s="24">
        <v>22.4</v>
      </c>
      <c r="AB23" s="24">
        <v>9965</v>
      </c>
      <c r="AC23" s="21" t="s">
        <v>5090</v>
      </c>
      <c r="AD23" s="8" t="s">
        <v>800</v>
      </c>
      <c r="AE23" s="8" t="s">
        <v>4083</v>
      </c>
      <c r="AF23" s="25">
        <f t="shared" si="0"/>
        <v>66.08</v>
      </c>
      <c r="AG23" s="25">
        <f t="shared" si="1"/>
        <v>44.053333333333335</v>
      </c>
      <c r="AH23" s="25">
        <f t="shared" si="2"/>
        <v>1.1780173547199577</v>
      </c>
      <c r="AI23" s="9">
        <f t="shared" si="3"/>
        <v>1.3877248880214066</v>
      </c>
      <c r="AJ23" s="9">
        <f t="shared" si="4"/>
        <v>1.078175208039845</v>
      </c>
      <c r="AK23" s="9">
        <f t="shared" si="5"/>
        <v>1.1624617792317631</v>
      </c>
      <c r="AL23" s="9">
        <f t="shared" si="6"/>
        <v>1.0880556541784367</v>
      </c>
      <c r="AM23" s="25">
        <f t="shared" si="7"/>
        <v>1.1838651065896659</v>
      </c>
      <c r="AN23" s="24" t="s">
        <v>5090</v>
      </c>
    </row>
    <row r="24" spans="13:40" ht="23">
      <c r="M24" s="8" t="s">
        <v>1811</v>
      </c>
      <c r="N24" s="8" t="s">
        <v>1717</v>
      </c>
      <c r="O24" s="8"/>
      <c r="P24" s="8"/>
      <c r="Q24" s="8"/>
      <c r="R24" s="8"/>
      <c r="S24" s="8"/>
      <c r="T24" s="8"/>
      <c r="U24" s="8"/>
      <c r="V24" s="8"/>
      <c r="W24" s="8" t="s">
        <v>1811</v>
      </c>
      <c r="X24" s="8">
        <v>10.84</v>
      </c>
      <c r="Y24" s="8">
        <v>1.86</v>
      </c>
      <c r="Z24" s="9">
        <v>1.22</v>
      </c>
      <c r="AA24" s="8">
        <v>19.7</v>
      </c>
      <c r="AB24" s="8">
        <v>12514</v>
      </c>
      <c r="AC24" s="21" t="s">
        <v>1811</v>
      </c>
      <c r="AD24" s="8" t="s">
        <v>800</v>
      </c>
      <c r="AE24" s="8" t="s">
        <v>4083</v>
      </c>
      <c r="AF24" s="9">
        <f t="shared" si="0"/>
        <v>36.642000000000003</v>
      </c>
      <c r="AG24" s="9">
        <f t="shared" si="1"/>
        <v>26.923333333333332</v>
      </c>
      <c r="AH24" s="9">
        <f t="shared" si="2"/>
        <v>1.0360241914278199</v>
      </c>
      <c r="AI24" s="9">
        <f t="shared" si="3"/>
        <v>1.073346125223668</v>
      </c>
      <c r="AJ24" s="9">
        <f t="shared" si="4"/>
        <v>0.59785859523299045</v>
      </c>
      <c r="AK24" s="9">
        <f t="shared" si="5"/>
        <v>0.35743489989396471</v>
      </c>
      <c r="AL24" s="9">
        <f t="shared" si="6"/>
        <v>0.66496863792367078</v>
      </c>
      <c r="AM24" s="9">
        <f t="shared" si="7"/>
        <v>0.44218328942206198</v>
      </c>
      <c r="AN24" s="8" t="s">
        <v>1811</v>
      </c>
    </row>
    <row r="25" spans="13:40" ht="23">
      <c r="M25" s="24" t="s">
        <v>5079</v>
      </c>
      <c r="N25" s="24" t="s">
        <v>150</v>
      </c>
      <c r="O25" s="24"/>
      <c r="P25" s="24"/>
      <c r="Q25" s="24"/>
      <c r="R25" s="24"/>
      <c r="S25" s="24"/>
      <c r="T25" s="24"/>
      <c r="U25" s="24"/>
      <c r="V25" s="24"/>
      <c r="W25" s="24" t="s">
        <v>5079</v>
      </c>
      <c r="X25" s="24">
        <v>16.68</v>
      </c>
      <c r="Y25" s="24">
        <v>2.82</v>
      </c>
      <c r="Z25" s="25">
        <v>0.59</v>
      </c>
      <c r="AA25" s="24">
        <v>15.3</v>
      </c>
      <c r="AB25" s="24">
        <v>25278</v>
      </c>
      <c r="AC25" s="21" t="s">
        <v>5079</v>
      </c>
      <c r="AD25" s="8" t="s">
        <v>800</v>
      </c>
      <c r="AE25" s="8" t="s">
        <v>4083</v>
      </c>
      <c r="AF25" s="25">
        <f t="shared" si="0"/>
        <v>43.146000000000001</v>
      </c>
      <c r="AG25" s="25">
        <f t="shared" si="1"/>
        <v>15.045</v>
      </c>
      <c r="AH25" s="25">
        <f t="shared" si="2"/>
        <v>0.80462792532211402</v>
      </c>
      <c r="AI25" s="9">
        <f t="shared" si="3"/>
        <v>0.64742609820816954</v>
      </c>
      <c r="AJ25" s="9">
        <f t="shared" si="4"/>
        <v>0.70397923011633101</v>
      </c>
      <c r="AK25" s="9">
        <f t="shared" si="5"/>
        <v>0.49558675643518213</v>
      </c>
      <c r="AL25" s="9">
        <f t="shared" si="6"/>
        <v>0.37159043546718934</v>
      </c>
      <c r="AM25" s="25">
        <f t="shared" si="7"/>
        <v>0.13807945173069541</v>
      </c>
      <c r="AN25" s="24" t="s">
        <v>5079</v>
      </c>
    </row>
    <row r="26" spans="13:40" ht="23">
      <c r="M26" s="8" t="s">
        <v>1286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8" t="s">
        <v>1286</v>
      </c>
      <c r="X26" s="8">
        <v>2.81</v>
      </c>
      <c r="Y26" s="8">
        <v>5.16</v>
      </c>
      <c r="Z26" s="9">
        <v>2.16</v>
      </c>
      <c r="AA26" s="8">
        <v>13.4</v>
      </c>
      <c r="AB26" s="8">
        <v>23180</v>
      </c>
      <c r="AC26" s="21" t="s">
        <v>1286</v>
      </c>
      <c r="AD26" s="8" t="s">
        <v>800</v>
      </c>
      <c r="AE26" s="8" t="s">
        <v>4083</v>
      </c>
      <c r="AF26" s="9">
        <f t="shared" si="0"/>
        <v>69.144000000000005</v>
      </c>
      <c r="AG26" s="9">
        <f t="shared" si="1"/>
        <v>30.373333333333335</v>
      </c>
      <c r="AH26" s="9">
        <f t="shared" si="2"/>
        <v>0.7047068104128319</v>
      </c>
      <c r="AI26" s="9">
        <f t="shared" si="3"/>
        <v>0.49661168864222699</v>
      </c>
      <c r="AJ26" s="9">
        <f t="shared" si="4"/>
        <v>1.1281680778557364</v>
      </c>
      <c r="AK26" s="9">
        <f t="shared" si="5"/>
        <v>1.2727632118927068</v>
      </c>
      <c r="AL26" s="9">
        <f t="shared" si="6"/>
        <v>0.75017880757217892</v>
      </c>
      <c r="AM26" s="9">
        <f t="shared" si="7"/>
        <v>0.5627682433304162</v>
      </c>
      <c r="AN26" s="8" t="s">
        <v>1286</v>
      </c>
    </row>
    <row r="27" spans="13:40" ht="23">
      <c r="M27" s="9" t="s">
        <v>2200</v>
      </c>
      <c r="N27" s="8" t="s">
        <v>150</v>
      </c>
      <c r="O27" s="8"/>
      <c r="P27" s="8" t="s">
        <v>3691</v>
      </c>
      <c r="Q27" s="8"/>
      <c r="R27" s="8"/>
      <c r="S27" s="8"/>
      <c r="T27" s="8"/>
      <c r="U27" s="8"/>
      <c r="V27" s="8"/>
      <c r="W27" s="9" t="s">
        <v>2200</v>
      </c>
      <c r="X27" s="8">
        <v>27.17</v>
      </c>
      <c r="Y27" s="8">
        <v>5.84</v>
      </c>
      <c r="Z27" s="9">
        <v>6.16</v>
      </c>
      <c r="AA27" s="8">
        <v>12.8</v>
      </c>
      <c r="AB27" s="8">
        <v>7575</v>
      </c>
      <c r="AC27" s="22" t="s">
        <v>2200</v>
      </c>
      <c r="AD27" s="8" t="s">
        <v>800</v>
      </c>
      <c r="AE27" s="8" t="s">
        <v>4083</v>
      </c>
      <c r="AF27" s="9">
        <f t="shared" si="0"/>
        <v>74.751999999999995</v>
      </c>
      <c r="AG27" s="9">
        <f t="shared" si="1"/>
        <v>80.213333333333338</v>
      </c>
      <c r="AH27" s="9">
        <f t="shared" si="2"/>
        <v>0.67315277412569019</v>
      </c>
      <c r="AI27" s="9">
        <f t="shared" si="3"/>
        <v>0.45313465731311248</v>
      </c>
      <c r="AJ27" s="9">
        <f t="shared" si="4"/>
        <v>1.2196693878842992</v>
      </c>
      <c r="AK27" s="9">
        <f t="shared" si="5"/>
        <v>1.4875934157420612</v>
      </c>
      <c r="AL27" s="9">
        <f t="shared" si="6"/>
        <v>1.9811570264943936</v>
      </c>
      <c r="AM27" s="9">
        <f t="shared" si="7"/>
        <v>3.9249831636281076</v>
      </c>
      <c r="AN27" s="9" t="s">
        <v>2200</v>
      </c>
    </row>
    <row r="28" spans="13:40" ht="23">
      <c r="M28" s="8" t="s">
        <v>909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909</v>
      </c>
      <c r="X28" s="8">
        <v>11.65</v>
      </c>
      <c r="Y28" s="8">
        <v>4.22</v>
      </c>
      <c r="Z28" s="9">
        <v>3.07</v>
      </c>
      <c r="AA28" s="8">
        <v>10</v>
      </c>
      <c r="AB28" s="8">
        <v>15317</v>
      </c>
      <c r="AC28" s="21" t="s">
        <v>909</v>
      </c>
      <c r="AD28" s="8" t="s">
        <v>800</v>
      </c>
      <c r="AE28" s="8" t="s">
        <v>4083</v>
      </c>
      <c r="AF28" s="9">
        <f t="shared" si="0"/>
        <v>42.199999999999996</v>
      </c>
      <c r="AG28" s="9">
        <f t="shared" si="1"/>
        <v>31.166666666666668</v>
      </c>
      <c r="AH28" s="9">
        <f t="shared" si="2"/>
        <v>0.52590060478569545</v>
      </c>
      <c r="AI28" s="9">
        <f t="shared" si="3"/>
        <v>0.27657144611396023</v>
      </c>
      <c r="AJ28" s="9">
        <f t="shared" si="4"/>
        <v>0.68854409472278233</v>
      </c>
      <c r="AK28" s="9">
        <f t="shared" si="5"/>
        <v>0.47409297037761583</v>
      </c>
      <c r="AL28" s="9">
        <f t="shared" si="6"/>
        <v>0.76977303015801934</v>
      </c>
      <c r="AM28" s="9">
        <f t="shared" si="7"/>
        <v>0.59255051795865898</v>
      </c>
      <c r="AN28" s="8" t="s">
        <v>909</v>
      </c>
    </row>
    <row r="29" spans="13:40" ht="23">
      <c r="M29" s="8" t="s">
        <v>1999</v>
      </c>
      <c r="N29" s="8" t="s">
        <v>1990</v>
      </c>
      <c r="O29" s="8"/>
      <c r="P29" s="8"/>
      <c r="Q29" s="8"/>
      <c r="R29" s="8"/>
      <c r="S29" s="8"/>
      <c r="T29" s="8"/>
      <c r="U29" s="8"/>
      <c r="V29" s="8"/>
      <c r="W29" s="8" t="s">
        <v>1999</v>
      </c>
      <c r="X29" s="8">
        <v>38.200000000000003</v>
      </c>
      <c r="Y29" s="8">
        <v>4.0999999999999996</v>
      </c>
      <c r="Z29" s="9">
        <v>2.5</v>
      </c>
      <c r="AA29" s="8">
        <v>10</v>
      </c>
      <c r="AB29" s="8">
        <v>9462</v>
      </c>
      <c r="AC29" s="21" t="s">
        <v>1999</v>
      </c>
      <c r="AD29" s="8" t="s">
        <v>800</v>
      </c>
      <c r="AE29" s="8" t="s">
        <v>4083</v>
      </c>
      <c r="AF29" s="9">
        <f t="shared" si="0"/>
        <v>41</v>
      </c>
      <c r="AG29" s="9">
        <f t="shared" si="1"/>
        <v>20.083333333333332</v>
      </c>
      <c r="AH29" s="9">
        <f t="shared" si="2"/>
        <v>0.52590060478569545</v>
      </c>
      <c r="AI29" s="9">
        <f t="shared" si="3"/>
        <v>0.27657144611396023</v>
      </c>
      <c r="AJ29" s="9">
        <f t="shared" si="4"/>
        <v>0.66896464179227677</v>
      </c>
      <c r="AK29" s="9">
        <f t="shared" si="5"/>
        <v>0.44751369196826918</v>
      </c>
      <c r="AL29" s="9">
        <f t="shared" si="6"/>
        <v>0.49603021462054181</v>
      </c>
      <c r="AM29" s="9">
        <f t="shared" si="7"/>
        <v>0.24604597381650076</v>
      </c>
      <c r="AN29" s="8" t="s">
        <v>1999</v>
      </c>
    </row>
    <row r="30" spans="13:40" ht="23">
      <c r="M30" s="9" t="s">
        <v>3252</v>
      </c>
      <c r="N30" s="8" t="s">
        <v>1902</v>
      </c>
      <c r="O30" s="8"/>
      <c r="P30" s="8" t="s">
        <v>3691</v>
      </c>
      <c r="Q30" s="8"/>
      <c r="R30" s="8"/>
      <c r="S30" s="8"/>
      <c r="T30" s="8"/>
      <c r="U30" s="8"/>
      <c r="V30" s="8"/>
      <c r="W30" s="9" t="s">
        <v>3252</v>
      </c>
      <c r="X30" s="8">
        <v>11.83</v>
      </c>
      <c r="Y30" s="8">
        <v>8.61</v>
      </c>
      <c r="Z30" s="9">
        <v>9.4</v>
      </c>
      <c r="AA30" s="8">
        <v>8.3000000000000007</v>
      </c>
      <c r="AB30" s="8">
        <v>7891</v>
      </c>
      <c r="AC30" s="22" t="s">
        <v>3252</v>
      </c>
      <c r="AD30" s="8" t="s">
        <v>800</v>
      </c>
      <c r="AE30" s="8" t="s">
        <v>4083</v>
      </c>
      <c r="AF30" s="9">
        <f t="shared" si="0"/>
        <v>71.463000000000008</v>
      </c>
      <c r="AG30" s="9">
        <f t="shared" si="1"/>
        <v>74.75533333333334</v>
      </c>
      <c r="AH30" s="9">
        <f t="shared" si="2"/>
        <v>0.43649750197212722</v>
      </c>
      <c r="AI30" s="9">
        <f t="shared" si="3"/>
        <v>0.19053006922790722</v>
      </c>
      <c r="AJ30" s="9">
        <f t="shared" si="4"/>
        <v>1.1660053706439384</v>
      </c>
      <c r="AK30" s="9">
        <f t="shared" si="5"/>
        <v>1.3595685243705082</v>
      </c>
      <c r="AL30" s="9">
        <f t="shared" si="6"/>
        <v>1.8463520682504639</v>
      </c>
      <c r="AM30" s="9">
        <f t="shared" si="7"/>
        <v>3.4090159599327658</v>
      </c>
      <c r="AN30" s="9" t="s">
        <v>3252</v>
      </c>
    </row>
    <row r="31" spans="13:40" ht="23">
      <c r="M31" s="24" t="s">
        <v>4948</v>
      </c>
      <c r="N31" s="24" t="s">
        <v>1717</v>
      </c>
      <c r="O31" s="24"/>
      <c r="P31" s="24" t="s">
        <v>3693</v>
      </c>
      <c r="Q31" s="24"/>
      <c r="R31" s="24"/>
      <c r="S31" s="24"/>
      <c r="T31" s="24"/>
      <c r="U31" s="24"/>
      <c r="V31" s="24"/>
      <c r="W31" s="24" t="s">
        <v>4948</v>
      </c>
      <c r="X31" s="24">
        <v>30.87</v>
      </c>
      <c r="Y31" s="24">
        <v>4.74</v>
      </c>
      <c r="Z31" s="25">
        <v>9.2100000000000009</v>
      </c>
      <c r="AA31" s="24">
        <v>8</v>
      </c>
      <c r="AB31" s="24">
        <v>12167</v>
      </c>
      <c r="AC31" s="21" t="s">
        <v>4948</v>
      </c>
      <c r="AD31" s="8" t="s">
        <v>800</v>
      </c>
      <c r="AE31" s="8" t="s">
        <v>4083</v>
      </c>
      <c r="AF31" s="25">
        <f t="shared" si="0"/>
        <v>37.92</v>
      </c>
      <c r="AG31" s="25">
        <f t="shared" si="1"/>
        <v>74.8</v>
      </c>
      <c r="AH31" s="25">
        <f t="shared" si="2"/>
        <v>0.42072048382855631</v>
      </c>
      <c r="AI31" s="9">
        <f t="shared" si="3"/>
        <v>0.1770057255129345</v>
      </c>
      <c r="AJ31" s="9">
        <f t="shared" si="4"/>
        <v>0.61871071260397892</v>
      </c>
      <c r="AK31" s="9">
        <f t="shared" si="5"/>
        <v>0.3828029458909234</v>
      </c>
      <c r="AL31" s="9">
        <f t="shared" si="6"/>
        <v>1.8474552723792461</v>
      </c>
      <c r="AM31" s="25">
        <f t="shared" si="7"/>
        <v>3.4130909834418746</v>
      </c>
      <c r="AN31" s="24" t="s">
        <v>4948</v>
      </c>
    </row>
    <row r="32" spans="13:40" ht="23">
      <c r="M32" s="8" t="s">
        <v>1890</v>
      </c>
      <c r="N32" s="8" t="s">
        <v>1869</v>
      </c>
      <c r="O32" s="8"/>
      <c r="P32" s="8" t="s">
        <v>4008</v>
      </c>
      <c r="Q32" s="8"/>
      <c r="R32" s="8"/>
      <c r="S32" s="8"/>
      <c r="T32" s="8"/>
      <c r="U32" s="8"/>
      <c r="V32" s="8"/>
      <c r="W32" s="8" t="s">
        <v>1890</v>
      </c>
      <c r="X32" s="8">
        <v>20.66</v>
      </c>
      <c r="Y32" s="8">
        <v>9.3800000000000008</v>
      </c>
      <c r="Z32" s="9">
        <v>6.28</v>
      </c>
      <c r="AA32" s="8">
        <v>7.9</v>
      </c>
      <c r="AB32" s="8">
        <v>8340</v>
      </c>
      <c r="AC32" s="21" t="s">
        <v>1890</v>
      </c>
      <c r="AD32" s="8" t="s">
        <v>800</v>
      </c>
      <c r="AE32" s="8" t="s">
        <v>4083</v>
      </c>
      <c r="AF32" s="9">
        <f t="shared" si="0"/>
        <v>74.102000000000004</v>
      </c>
      <c r="AG32" s="9">
        <f t="shared" si="1"/>
        <v>51.086666666666673</v>
      </c>
      <c r="AH32" s="9">
        <f t="shared" si="2"/>
        <v>0.41546147778069942</v>
      </c>
      <c r="AI32" s="9">
        <f t="shared" si="3"/>
        <v>0.17260823951972259</v>
      </c>
      <c r="AJ32" s="9">
        <f t="shared" si="4"/>
        <v>1.2090638508802753</v>
      </c>
      <c r="AK32" s="9">
        <f t="shared" si="5"/>
        <v>1.4618353955054406</v>
      </c>
      <c r="AL32" s="9">
        <f t="shared" si="6"/>
        <v>1.2617691401285354</v>
      </c>
      <c r="AM32" s="9">
        <f t="shared" si="7"/>
        <v>1.5920613629807034</v>
      </c>
      <c r="AN32" s="8" t="s">
        <v>1890</v>
      </c>
    </row>
    <row r="33" spans="13:40" ht="23">
      <c r="M33" s="8" t="s">
        <v>1358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8" t="s">
        <v>1358</v>
      </c>
      <c r="X33" s="8">
        <v>27.3</v>
      </c>
      <c r="Y33" s="8">
        <v>2.99</v>
      </c>
      <c r="Z33" s="9">
        <v>3.44</v>
      </c>
      <c r="AA33" s="8">
        <v>7</v>
      </c>
      <c r="AB33" s="8">
        <v>16880</v>
      </c>
      <c r="AC33" s="21" t="s">
        <v>1358</v>
      </c>
      <c r="AD33" s="8" t="s">
        <v>800</v>
      </c>
      <c r="AE33" s="8" t="s">
        <v>4083</v>
      </c>
      <c r="AF33" s="9">
        <f t="shared" si="0"/>
        <v>20.93</v>
      </c>
      <c r="AG33" s="9">
        <f t="shared" si="1"/>
        <v>26.133333333333333</v>
      </c>
      <c r="AH33" s="9">
        <f t="shared" si="2"/>
        <v>0.3681304233499868</v>
      </c>
      <c r="AI33" s="9">
        <f t="shared" si="3"/>
        <v>0.13552000859584051</v>
      </c>
      <c r="AJ33" s="9">
        <f t="shared" si="4"/>
        <v>0.34149829152956956</v>
      </c>
      <c r="AK33" s="9">
        <f t="shared" si="5"/>
        <v>0.11662108311761489</v>
      </c>
      <c r="AL33" s="9">
        <f t="shared" si="6"/>
        <v>0.64545674400415742</v>
      </c>
      <c r="AM33" s="9">
        <f t="shared" si="7"/>
        <v>0.41661440838044839</v>
      </c>
      <c r="AN33" s="8" t="s">
        <v>1358</v>
      </c>
    </row>
    <row r="34" spans="13:40" ht="23">
      <c r="M34" s="8" t="s">
        <v>750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8" t="s">
        <v>750</v>
      </c>
      <c r="X34" s="8">
        <v>48.38</v>
      </c>
      <c r="Y34" s="8">
        <v>3.55</v>
      </c>
      <c r="Z34" s="9">
        <v>3.03</v>
      </c>
      <c r="AA34" s="8">
        <v>5.8</v>
      </c>
      <c r="AB34" s="8">
        <v>20717</v>
      </c>
      <c r="AC34" s="21" t="s">
        <v>750</v>
      </c>
      <c r="AD34" s="8" t="s">
        <v>800</v>
      </c>
      <c r="AE34" s="8" t="s">
        <v>4083</v>
      </c>
      <c r="AF34" s="9">
        <f t="shared" si="0"/>
        <v>20.59</v>
      </c>
      <c r="AG34" s="9">
        <f t="shared" si="1"/>
        <v>17.689999999999998</v>
      </c>
      <c r="AH34" s="9">
        <f t="shared" si="2"/>
        <v>0.30502235077570333</v>
      </c>
      <c r="AI34" s="9">
        <f t="shared" si="3"/>
        <v>9.3038634472736206E-2</v>
      </c>
      <c r="AJ34" s="9">
        <f t="shared" si="4"/>
        <v>0.33595077986592625</v>
      </c>
      <c r="AK34" s="9">
        <f t="shared" si="5"/>
        <v>0.11286292649252404</v>
      </c>
      <c r="AL34" s="9">
        <f t="shared" si="6"/>
        <v>0.43691823219771214</v>
      </c>
      <c r="AM34" s="9">
        <f t="shared" si="7"/>
        <v>0.19089754162677391</v>
      </c>
      <c r="AN34" s="8" t="s">
        <v>750</v>
      </c>
    </row>
    <row r="35" spans="13:40" ht="23">
      <c r="M35" s="8" t="s">
        <v>581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8" t="s">
        <v>581</v>
      </c>
      <c r="X35" s="8">
        <v>12.06</v>
      </c>
      <c r="Y35" s="8">
        <v>5.79</v>
      </c>
      <c r="Z35" s="9">
        <v>6.39</v>
      </c>
      <c r="AA35" s="8">
        <v>4.9000000000000004</v>
      </c>
      <c r="AB35" s="8">
        <v>15904</v>
      </c>
      <c r="AC35" s="21" t="s">
        <v>581</v>
      </c>
      <c r="AD35" s="8" t="s">
        <v>800</v>
      </c>
      <c r="AE35" s="8" t="s">
        <v>4083</v>
      </c>
      <c r="AF35" s="9">
        <f t="shared" si="0"/>
        <v>28.371000000000002</v>
      </c>
      <c r="AG35" s="9">
        <f t="shared" si="1"/>
        <v>32.585000000000001</v>
      </c>
      <c r="AH35" s="9">
        <f t="shared" si="2"/>
        <v>0.25769129634499077</v>
      </c>
      <c r="AI35" s="9">
        <f t="shared" si="3"/>
        <v>6.6404804211961849E-2</v>
      </c>
      <c r="AJ35" s="9">
        <f t="shared" si="4"/>
        <v>0.46290721590948014</v>
      </c>
      <c r="AK35" s="9">
        <f t="shared" si="5"/>
        <v>0.21428309054106606</v>
      </c>
      <c r="AL35" s="9">
        <f t="shared" si="6"/>
        <v>0.80480387768018369</v>
      </c>
      <c r="AM35" s="9">
        <f t="shared" si="7"/>
        <v>0.64770928152906004</v>
      </c>
      <c r="AN35" s="8" t="s">
        <v>581</v>
      </c>
    </row>
    <row r="36" spans="13:40" ht="23">
      <c r="M36" s="8" t="s">
        <v>1249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8" t="s">
        <v>1249</v>
      </c>
      <c r="X36" s="8">
        <v>25.02</v>
      </c>
      <c r="Y36" s="8">
        <v>6.61</v>
      </c>
      <c r="Z36" s="9">
        <v>5.22</v>
      </c>
      <c r="AA36" s="8">
        <v>4.8</v>
      </c>
      <c r="AB36" s="8">
        <v>14902</v>
      </c>
      <c r="AC36" s="21" t="s">
        <v>1249</v>
      </c>
      <c r="AD36" s="8" t="s">
        <v>800</v>
      </c>
      <c r="AE36" s="8" t="s">
        <v>4083</v>
      </c>
      <c r="AF36" s="9">
        <f t="shared" si="0"/>
        <v>31.728000000000002</v>
      </c>
      <c r="AG36" s="9">
        <f t="shared" si="1"/>
        <v>25.759999999999998</v>
      </c>
      <c r="AH36" s="9">
        <f t="shared" si="2"/>
        <v>0.25243229029713382</v>
      </c>
      <c r="AI36" s="9">
        <f t="shared" si="3"/>
        <v>6.3722061184656439E-2</v>
      </c>
      <c r="AJ36" s="9">
        <f t="shared" si="4"/>
        <v>0.51768073548256965</v>
      </c>
      <c r="AK36" s="9">
        <f t="shared" si="5"/>
        <v>0.26799334388977425</v>
      </c>
      <c r="AL36" s="9">
        <f t="shared" si="6"/>
        <v>0.63623593337552653</v>
      </c>
      <c r="AM36" s="9">
        <f t="shared" si="7"/>
        <v>0.40479616291822745</v>
      </c>
      <c r="AN36" s="8" t="s">
        <v>1249</v>
      </c>
    </row>
    <row r="37" spans="13:40" ht="23">
      <c r="M37" s="8" t="s">
        <v>1583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8" t="s">
        <v>1583</v>
      </c>
      <c r="X37" s="8">
        <v>43.02</v>
      </c>
      <c r="Y37" s="8">
        <v>2.6</v>
      </c>
      <c r="Z37" s="9">
        <v>4.18</v>
      </c>
      <c r="AA37" s="8">
        <v>4.5</v>
      </c>
      <c r="AB37" s="8">
        <v>33270</v>
      </c>
      <c r="AC37" s="21" t="s">
        <v>1583</v>
      </c>
      <c r="AD37" s="8" t="s">
        <v>800</v>
      </c>
      <c r="AE37" s="8" t="s">
        <v>4083</v>
      </c>
      <c r="AF37" s="9">
        <f t="shared" si="0"/>
        <v>11.700000000000001</v>
      </c>
      <c r="AG37" s="9">
        <f t="shared" si="1"/>
        <v>19.349999999999998</v>
      </c>
      <c r="AH37" s="9">
        <f t="shared" si="2"/>
        <v>0.23665527215356294</v>
      </c>
      <c r="AI37" s="9">
        <f t="shared" si="3"/>
        <v>5.6005717838076945E-2</v>
      </c>
      <c r="AJ37" s="9">
        <f t="shared" si="4"/>
        <v>0.19089966607243022</v>
      </c>
      <c r="AK37" s="9">
        <f t="shared" si="5"/>
        <v>3.644268250656537E-2</v>
      </c>
      <c r="AL37" s="9">
        <f t="shared" si="6"/>
        <v>0.47791790802858847</v>
      </c>
      <c r="AM37" s="9">
        <f t="shared" si="7"/>
        <v>0.22840552681442233</v>
      </c>
      <c r="AN37" s="8" t="s">
        <v>1583</v>
      </c>
    </row>
    <row r="38" spans="13:40" ht="23">
      <c r="M38" s="8" t="s">
        <v>1075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8" t="s">
        <v>1075</v>
      </c>
      <c r="X38" s="8">
        <v>24.17</v>
      </c>
      <c r="Y38" s="8">
        <v>3.95</v>
      </c>
      <c r="Z38" s="9">
        <v>4.41</v>
      </c>
      <c r="AA38" s="8">
        <v>4.4000000000000004</v>
      </c>
      <c r="AB38" s="8">
        <v>20988</v>
      </c>
      <c r="AC38" s="21" t="s">
        <v>1075</v>
      </c>
      <c r="AD38" s="8" t="s">
        <v>800</v>
      </c>
      <c r="AE38" s="8" t="s">
        <v>4083</v>
      </c>
      <c r="AF38" s="9">
        <f t="shared" si="0"/>
        <v>17.380000000000003</v>
      </c>
      <c r="AG38" s="9">
        <f t="shared" si="1"/>
        <v>20.606666666666669</v>
      </c>
      <c r="AH38" s="9">
        <f t="shared" si="2"/>
        <v>0.23139626610570599</v>
      </c>
      <c r="AI38" s="9">
        <f t="shared" si="3"/>
        <v>5.3544231967662698E-2</v>
      </c>
      <c r="AJ38" s="9">
        <f t="shared" si="4"/>
        <v>0.28357574327682372</v>
      </c>
      <c r="AK38" s="9">
        <f t="shared" si="5"/>
        <v>8.0415202175003031E-2</v>
      </c>
      <c r="AL38" s="9">
        <f t="shared" si="6"/>
        <v>0.50895581523389044</v>
      </c>
      <c r="AM38" s="9">
        <f t="shared" si="7"/>
        <v>0.25903602186039404</v>
      </c>
      <c r="AN38" s="8" t="s">
        <v>1075</v>
      </c>
    </row>
    <row r="39" spans="13:40" ht="23">
      <c r="M39" s="9" t="s">
        <v>3572</v>
      </c>
      <c r="N39" s="8" t="s">
        <v>2074</v>
      </c>
      <c r="O39" s="8"/>
      <c r="P39" s="8"/>
      <c r="Q39" s="8"/>
      <c r="R39" s="8"/>
      <c r="S39" s="8"/>
      <c r="T39" s="8"/>
      <c r="U39" s="8"/>
      <c r="V39" s="8"/>
      <c r="W39" s="9" t="s">
        <v>3572</v>
      </c>
      <c r="X39" s="8">
        <v>22</v>
      </c>
      <c r="Y39" s="8">
        <v>2.4300000000000002</v>
      </c>
      <c r="Z39" s="9">
        <v>3.39</v>
      </c>
      <c r="AA39" s="8">
        <v>3.8</v>
      </c>
      <c r="AB39" s="8">
        <v>24929</v>
      </c>
      <c r="AC39" s="22" t="s">
        <v>3572</v>
      </c>
      <c r="AD39" s="8" t="s">
        <v>800</v>
      </c>
      <c r="AE39" s="8" t="s">
        <v>4083</v>
      </c>
      <c r="AF39" s="9">
        <f t="shared" si="0"/>
        <v>9.234</v>
      </c>
      <c r="AG39" s="9">
        <f t="shared" si="1"/>
        <v>13.87</v>
      </c>
      <c r="AH39" s="9">
        <f t="shared" si="2"/>
        <v>0.19984222981856425</v>
      </c>
      <c r="AI39" s="9">
        <f t="shared" si="3"/>
        <v>3.9936916818855854E-2</v>
      </c>
      <c r="AJ39" s="9">
        <f t="shared" si="4"/>
        <v>0.15066389030024105</v>
      </c>
      <c r="AK39" s="9">
        <f t="shared" si="5"/>
        <v>2.269960784040307E-2</v>
      </c>
      <c r="AL39" s="9">
        <f t="shared" si="6"/>
        <v>0.34256958058690035</v>
      </c>
      <c r="AM39" s="9">
        <f t="shared" si="7"/>
        <v>0.11735391754348481</v>
      </c>
      <c r="AN39" s="9" t="s">
        <v>3572</v>
      </c>
    </row>
    <row r="40" spans="13:40" ht="23">
      <c r="M40" s="24" t="s">
        <v>4959</v>
      </c>
      <c r="N40" s="24"/>
      <c r="O40" s="24"/>
      <c r="P40" s="24"/>
      <c r="Q40" s="24"/>
      <c r="R40" s="24"/>
      <c r="S40" s="24"/>
      <c r="T40" s="24"/>
      <c r="U40" s="24"/>
      <c r="V40" s="24"/>
      <c r="W40" s="24" t="s">
        <v>4959</v>
      </c>
      <c r="X40" s="24">
        <v>27.25</v>
      </c>
      <c r="Y40" s="24">
        <v>2.72</v>
      </c>
      <c r="Z40" s="25">
        <v>2.25</v>
      </c>
      <c r="AA40" s="24">
        <v>3.8</v>
      </c>
      <c r="AB40" s="24">
        <v>27681</v>
      </c>
      <c r="AC40" s="21" t="s">
        <v>4959</v>
      </c>
      <c r="AD40" s="8" t="s">
        <v>800</v>
      </c>
      <c r="AE40" s="8" t="s">
        <v>4083</v>
      </c>
      <c r="AF40" s="25">
        <f t="shared" si="0"/>
        <v>10.336</v>
      </c>
      <c r="AG40" s="25">
        <f t="shared" si="1"/>
        <v>9.1833333333333318</v>
      </c>
      <c r="AH40" s="25">
        <f t="shared" si="2"/>
        <v>0.19984222981856425</v>
      </c>
      <c r="AI40" s="9">
        <f t="shared" si="3"/>
        <v>3.9936916818855854E-2</v>
      </c>
      <c r="AJ40" s="9">
        <f t="shared" si="4"/>
        <v>0.16864435457475543</v>
      </c>
      <c r="AK40" s="9">
        <f t="shared" si="5"/>
        <v>2.8440918329935835E-2</v>
      </c>
      <c r="AL40" s="9">
        <f t="shared" si="6"/>
        <v>0.22681547573105273</v>
      </c>
      <c r="AM40" s="25">
        <f t="shared" si="7"/>
        <v>5.1445260031103772E-2</v>
      </c>
      <c r="AN40" s="24" t="s">
        <v>4959</v>
      </c>
    </row>
    <row r="41" spans="13:40" ht="23">
      <c r="M41" s="8" t="s">
        <v>1681</v>
      </c>
      <c r="N41" s="8" t="s">
        <v>1614</v>
      </c>
      <c r="O41" s="8"/>
      <c r="P41" s="8"/>
      <c r="Q41" s="8"/>
      <c r="R41" s="8"/>
      <c r="S41" s="8"/>
      <c r="T41" s="8"/>
      <c r="U41" s="8"/>
      <c r="V41" s="8"/>
      <c r="W41" s="8" t="s">
        <v>1681</v>
      </c>
      <c r="X41" s="8">
        <v>25.25</v>
      </c>
      <c r="Y41" s="8">
        <v>2.59</v>
      </c>
      <c r="Z41" s="9">
        <v>2.4</v>
      </c>
      <c r="AA41" s="8">
        <v>3.6</v>
      </c>
      <c r="AB41" s="8">
        <v>28489</v>
      </c>
      <c r="AC41" s="21" t="s">
        <v>1681</v>
      </c>
      <c r="AD41" s="8" t="s">
        <v>800</v>
      </c>
      <c r="AE41" s="8" t="s">
        <v>4083</v>
      </c>
      <c r="AF41" s="9">
        <f t="shared" si="0"/>
        <v>9.3239999999999998</v>
      </c>
      <c r="AG41" s="9">
        <f t="shared" si="1"/>
        <v>7.2240000000000011</v>
      </c>
      <c r="AH41" s="9">
        <f t="shared" si="2"/>
        <v>0.18932421772285035</v>
      </c>
      <c r="AI41" s="9">
        <f t="shared" si="3"/>
        <v>3.5843659416369245E-2</v>
      </c>
      <c r="AJ41" s="9">
        <f t="shared" si="4"/>
        <v>0.15213234927002897</v>
      </c>
      <c r="AK41" s="9">
        <f t="shared" si="5"/>
        <v>2.3144251694418083E-2</v>
      </c>
      <c r="AL41" s="9">
        <f t="shared" si="6"/>
        <v>0.17842268566400638</v>
      </c>
      <c r="AM41" s="9">
        <f t="shared" si="7"/>
        <v>3.1834654759556824E-2</v>
      </c>
      <c r="AN41" s="8" t="s">
        <v>1681</v>
      </c>
    </row>
    <row r="42" spans="13:40" ht="23">
      <c r="M42" s="8" t="s">
        <v>893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8" t="s">
        <v>893</v>
      </c>
      <c r="X42" s="8">
        <v>37.43</v>
      </c>
      <c r="Y42" s="8">
        <v>1.89</v>
      </c>
      <c r="Z42" s="9">
        <v>1.55</v>
      </c>
      <c r="AA42" s="8">
        <v>3.4</v>
      </c>
      <c r="AB42" s="8">
        <v>32907</v>
      </c>
      <c r="AC42" s="21" t="s">
        <v>893</v>
      </c>
      <c r="AD42" s="8" t="s">
        <v>800</v>
      </c>
      <c r="AE42" s="8" t="s">
        <v>4083</v>
      </c>
      <c r="AF42" s="9">
        <f t="shared" si="0"/>
        <v>6.4259999999999993</v>
      </c>
      <c r="AG42" s="9">
        <f t="shared" si="1"/>
        <v>6.5166666666666657</v>
      </c>
      <c r="AH42" s="9">
        <f t="shared" si="2"/>
        <v>0.17880620562713645</v>
      </c>
      <c r="AI42" s="9">
        <f t="shared" si="3"/>
        <v>3.1971659170773804E-2</v>
      </c>
      <c r="AJ42" s="9">
        <f t="shared" si="4"/>
        <v>0.10484797044285779</v>
      </c>
      <c r="AK42" s="9">
        <f t="shared" si="5"/>
        <v>1.099309690598638E-2</v>
      </c>
      <c r="AL42" s="9">
        <f t="shared" si="6"/>
        <v>0.16095254266940404</v>
      </c>
      <c r="AM42" s="9">
        <f t="shared" si="7"/>
        <v>2.5905720991746328E-2</v>
      </c>
      <c r="AN42" s="8" t="s">
        <v>893</v>
      </c>
    </row>
    <row r="43" spans="13:40" ht="23">
      <c r="M43" s="8" t="s">
        <v>1347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8" t="s">
        <v>1347</v>
      </c>
      <c r="X43" s="8">
        <v>40.15</v>
      </c>
      <c r="Y43" s="8">
        <v>3.29</v>
      </c>
      <c r="Z43" s="9">
        <v>5.03</v>
      </c>
      <c r="AA43" s="8">
        <v>3.2</v>
      </c>
      <c r="AB43" s="8">
        <v>28777</v>
      </c>
      <c r="AC43" s="21" t="s">
        <v>1347</v>
      </c>
      <c r="AD43" s="8" t="s">
        <v>800</v>
      </c>
      <c r="AE43" s="8" t="s">
        <v>4083</v>
      </c>
      <c r="AF43" s="9">
        <f t="shared" si="0"/>
        <v>10.528</v>
      </c>
      <c r="AG43" s="9">
        <f t="shared" si="1"/>
        <v>16.16</v>
      </c>
      <c r="AH43" s="9">
        <f t="shared" si="2"/>
        <v>0.16828819353142255</v>
      </c>
      <c r="AI43" s="9">
        <f t="shared" si="3"/>
        <v>2.832091608206953E-2</v>
      </c>
      <c r="AJ43" s="9">
        <f t="shared" si="4"/>
        <v>0.17177706704363632</v>
      </c>
      <c r="AK43" s="9">
        <f t="shared" si="5"/>
        <v>2.9507360762113927E-2</v>
      </c>
      <c r="AL43" s="9">
        <f t="shared" si="6"/>
        <v>0.39912937435359114</v>
      </c>
      <c r="AM43" s="9">
        <f t="shared" si="7"/>
        <v>0.15930425747188909</v>
      </c>
      <c r="AN43" s="8" t="s">
        <v>1347</v>
      </c>
    </row>
    <row r="44" spans="13:40" ht="23">
      <c r="M44" s="8" t="s">
        <v>1302</v>
      </c>
      <c r="N44" s="8" t="s">
        <v>150</v>
      </c>
      <c r="O44" s="8"/>
      <c r="P44" s="8"/>
      <c r="Q44" s="8"/>
      <c r="R44" s="8"/>
      <c r="S44" s="8"/>
      <c r="T44" s="8"/>
      <c r="U44" s="8"/>
      <c r="V44" s="8"/>
      <c r="W44" s="8" t="s">
        <v>1302</v>
      </c>
      <c r="X44" s="8">
        <v>23.86</v>
      </c>
      <c r="Y44" s="8">
        <v>3.6</v>
      </c>
      <c r="Z44" s="9">
        <v>4.4000000000000004</v>
      </c>
      <c r="AA44" s="8">
        <v>3.1</v>
      </c>
      <c r="AB44" s="8">
        <v>27772</v>
      </c>
      <c r="AC44" s="21" t="s">
        <v>1302</v>
      </c>
      <c r="AD44" s="8" t="s">
        <v>800</v>
      </c>
      <c r="AE44" s="8" t="s">
        <v>4083</v>
      </c>
      <c r="AF44" s="9">
        <f t="shared" si="0"/>
        <v>11.16</v>
      </c>
      <c r="AG44" s="9">
        <f t="shared" si="1"/>
        <v>12.420666666666667</v>
      </c>
      <c r="AH44" s="9">
        <f t="shared" si="2"/>
        <v>0.16302918748356557</v>
      </c>
      <c r="AI44" s="9">
        <f t="shared" si="3"/>
        <v>2.6578515971551572E-2</v>
      </c>
      <c r="AJ44" s="9">
        <f t="shared" si="4"/>
        <v>0.18208891225370266</v>
      </c>
      <c r="AK44" s="9">
        <f t="shared" si="5"/>
        <v>3.3156371965736627E-2</v>
      </c>
      <c r="AL44" s="9">
        <f t="shared" si="6"/>
        <v>0.30677307646789431</v>
      </c>
      <c r="AM44" s="9">
        <f t="shared" si="7"/>
        <v>9.4109720445576528E-2</v>
      </c>
      <c r="AN44" s="8" t="s">
        <v>1302</v>
      </c>
    </row>
    <row r="45" spans="13:40" ht="23">
      <c r="M45" s="9" t="s">
        <v>2699</v>
      </c>
      <c r="N45" s="8" t="s">
        <v>1614</v>
      </c>
      <c r="O45" s="8"/>
      <c r="P45" s="8"/>
      <c r="Q45" s="8"/>
      <c r="R45" s="8"/>
      <c r="S45" s="8"/>
      <c r="T45" s="8"/>
      <c r="U45" s="8"/>
      <c r="V45" s="8"/>
      <c r="W45" s="9" t="s">
        <v>2699</v>
      </c>
      <c r="X45" s="8">
        <v>22.76</v>
      </c>
      <c r="Y45" s="8">
        <v>3.03</v>
      </c>
      <c r="Z45" s="9">
        <v>3.36</v>
      </c>
      <c r="AA45" s="8">
        <v>2</v>
      </c>
      <c r="AB45" s="8">
        <v>46268</v>
      </c>
      <c r="AC45" s="22" t="s">
        <v>2699</v>
      </c>
      <c r="AD45" s="8" t="s">
        <v>800</v>
      </c>
      <c r="AE45" s="8" t="s">
        <v>4083</v>
      </c>
      <c r="AF45" s="9">
        <f t="shared" si="0"/>
        <v>6.06</v>
      </c>
      <c r="AG45" s="9">
        <f t="shared" si="1"/>
        <v>7.2</v>
      </c>
      <c r="AH45" s="9">
        <f t="shared" si="2"/>
        <v>0.10518012095713908</v>
      </c>
      <c r="AI45" s="9">
        <f t="shared" si="3"/>
        <v>1.1062857844558406E-2</v>
      </c>
      <c r="AJ45" s="9">
        <f t="shared" si="4"/>
        <v>9.8876237299053579E-2</v>
      </c>
      <c r="AK45" s="9">
        <f t="shared" si="5"/>
        <v>9.7765103024187536E-3</v>
      </c>
      <c r="AL45" s="9">
        <f t="shared" si="6"/>
        <v>0.17782991926645153</v>
      </c>
      <c r="AM45" s="9">
        <f t="shared" si="7"/>
        <v>3.1623480186312669E-2</v>
      </c>
      <c r="AN45" s="9" t="s">
        <v>2699</v>
      </c>
    </row>
    <row r="46" spans="13:40" ht="23">
      <c r="M46" s="9" t="s">
        <v>2375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9" t="s">
        <v>2375</v>
      </c>
      <c r="X46" s="8">
        <v>24.77</v>
      </c>
      <c r="Y46" s="8">
        <v>4.84</v>
      </c>
      <c r="Z46" s="9">
        <v>9.16</v>
      </c>
      <c r="AA46" s="8">
        <v>1.7</v>
      </c>
      <c r="AB46" s="8">
        <v>52192</v>
      </c>
      <c r="AC46" s="22" t="s">
        <v>2375</v>
      </c>
      <c r="AD46" s="8" t="s">
        <v>800</v>
      </c>
      <c r="AE46" s="8" t="s">
        <v>4083</v>
      </c>
      <c r="AF46" s="9">
        <f t="shared" si="0"/>
        <v>8.2279999999999998</v>
      </c>
      <c r="AG46" s="9">
        <f t="shared" si="1"/>
        <v>15.753333333333334</v>
      </c>
      <c r="AH46" s="9">
        <f t="shared" si="2"/>
        <v>8.9403102813568225E-2</v>
      </c>
      <c r="AI46" s="9">
        <f t="shared" si="3"/>
        <v>7.9929147926934511E-3</v>
      </c>
      <c r="AJ46" s="9">
        <f t="shared" si="4"/>
        <v>0.13424978226016715</v>
      </c>
      <c r="AK46" s="9">
        <f t="shared" si="5"/>
        <v>1.8023004036902289E-2</v>
      </c>
      <c r="AL46" s="9">
        <f t="shared" si="6"/>
        <v>0.38908527706168977</v>
      </c>
      <c r="AM46" s="9">
        <f t="shared" si="7"/>
        <v>0.15138735282617188</v>
      </c>
      <c r="AN46" s="9" t="s">
        <v>2375</v>
      </c>
    </row>
    <row r="47" spans="13:40" ht="23">
      <c r="M47" s="9" t="s">
        <v>4670</v>
      </c>
      <c r="N47" s="8" t="s">
        <v>1814</v>
      </c>
      <c r="O47" s="8"/>
      <c r="P47" s="8"/>
      <c r="Q47" s="8"/>
      <c r="R47" s="8"/>
      <c r="S47" s="8"/>
      <c r="T47" s="8"/>
      <c r="U47" s="8"/>
      <c r="V47" s="8"/>
      <c r="W47" s="9" t="s">
        <v>4670</v>
      </c>
      <c r="X47" s="8">
        <v>5.53</v>
      </c>
      <c r="Y47" s="8">
        <v>2.7</v>
      </c>
      <c r="Z47" s="9">
        <v>4.03</v>
      </c>
      <c r="AA47" s="8">
        <v>1.7</v>
      </c>
      <c r="AB47" s="8">
        <v>61845</v>
      </c>
      <c r="AC47" s="22" t="s">
        <v>4670</v>
      </c>
      <c r="AD47" s="8" t="s">
        <v>800</v>
      </c>
      <c r="AE47" s="8" t="s">
        <v>4083</v>
      </c>
      <c r="AF47" s="9">
        <f t="shared" si="0"/>
        <v>4.59</v>
      </c>
      <c r="AG47" s="9">
        <f t="shared" si="1"/>
        <v>6.8849999999999998</v>
      </c>
      <c r="AH47" s="9">
        <f t="shared" si="2"/>
        <v>8.9403102813568225E-2</v>
      </c>
      <c r="AI47" s="9">
        <f t="shared" si="3"/>
        <v>7.9929147926934511E-3</v>
      </c>
      <c r="AJ47" s="9">
        <f t="shared" si="4"/>
        <v>7.4891407459184156E-2</v>
      </c>
      <c r="AK47" s="9">
        <f t="shared" si="5"/>
        <v>5.6087229112175441E-3</v>
      </c>
      <c r="AL47" s="9">
        <f t="shared" si="6"/>
        <v>0.17004986029854424</v>
      </c>
      <c r="AM47" s="9">
        <f t="shared" si="7"/>
        <v>2.8916954987554415E-2</v>
      </c>
      <c r="AN47" s="9" t="s">
        <v>4670</v>
      </c>
    </row>
    <row r="48" spans="13:40" ht="23">
      <c r="M48" s="9" t="s">
        <v>3534</v>
      </c>
      <c r="N48" s="8" t="s">
        <v>2041</v>
      </c>
      <c r="O48" s="8"/>
      <c r="P48" s="8"/>
      <c r="Q48" s="8"/>
      <c r="R48" s="8"/>
      <c r="S48" s="8"/>
      <c r="T48" s="8"/>
      <c r="U48" s="8"/>
      <c r="V48" s="8"/>
      <c r="W48" s="9" t="s">
        <v>3534</v>
      </c>
      <c r="X48" s="8">
        <v>54.57</v>
      </c>
      <c r="Y48" s="8">
        <v>2.29</v>
      </c>
      <c r="Z48" s="9">
        <v>1.02</v>
      </c>
      <c r="AA48" s="8">
        <v>1.6</v>
      </c>
      <c r="AB48" s="8">
        <v>78603</v>
      </c>
      <c r="AC48" s="22" t="s">
        <v>3534</v>
      </c>
      <c r="AD48" s="8" t="s">
        <v>800</v>
      </c>
      <c r="AE48" s="8" t="s">
        <v>4083</v>
      </c>
      <c r="AF48" s="9">
        <f t="shared" si="0"/>
        <v>3.6640000000000001</v>
      </c>
      <c r="AG48" s="9">
        <f t="shared" si="1"/>
        <v>1.6533333333333335</v>
      </c>
      <c r="AH48" s="9">
        <f t="shared" si="2"/>
        <v>8.4144096765711274E-2</v>
      </c>
      <c r="AI48" s="9">
        <f t="shared" si="3"/>
        <v>7.0802290205173824E-3</v>
      </c>
      <c r="AJ48" s="9">
        <f t="shared" si="4"/>
        <v>5.9782596281143949E-2</v>
      </c>
      <c r="AK48" s="9">
        <f t="shared" si="5"/>
        <v>3.5739588181142464E-3</v>
      </c>
      <c r="AL48" s="9">
        <f t="shared" si="6"/>
        <v>4.0835018498222207E-2</v>
      </c>
      <c r="AM48" s="9">
        <f t="shared" si="7"/>
        <v>1.6674987357501499E-3</v>
      </c>
      <c r="AN48" s="9" t="s">
        <v>3534</v>
      </c>
    </row>
    <row r="49" spans="13:40" ht="23">
      <c r="M49" s="8" t="s">
        <v>708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8" t="s">
        <v>708</v>
      </c>
      <c r="X49" s="8">
        <v>22.15</v>
      </c>
      <c r="Y49" s="8">
        <v>3.36</v>
      </c>
      <c r="Z49" s="9">
        <v>4.58</v>
      </c>
      <c r="AA49" s="8">
        <v>1.1000000000000001</v>
      </c>
      <c r="AB49" s="8">
        <v>53145</v>
      </c>
      <c r="AC49" s="21" t="s">
        <v>708</v>
      </c>
      <c r="AD49" s="8" t="s">
        <v>800</v>
      </c>
      <c r="AE49" s="8" t="s">
        <v>4083</v>
      </c>
      <c r="AF49" s="9">
        <f t="shared" si="0"/>
        <v>3.6960000000000002</v>
      </c>
      <c r="AG49" s="9">
        <f t="shared" si="1"/>
        <v>5.4633333333333338</v>
      </c>
      <c r="AH49" s="9">
        <f t="shared" si="2"/>
        <v>5.7849066526426497E-2</v>
      </c>
      <c r="AI49" s="9">
        <f t="shared" si="3"/>
        <v>3.3465144979789186E-3</v>
      </c>
      <c r="AJ49" s="9">
        <f t="shared" si="4"/>
        <v>6.0304715025957439E-2</v>
      </c>
      <c r="AK49" s="9">
        <f t="shared" si="5"/>
        <v>3.6366586543619371E-3</v>
      </c>
      <c r="AL49" s="9">
        <f t="shared" si="6"/>
        <v>0.1349366841100528</v>
      </c>
      <c r="AM49" s="9">
        <f t="shared" si="7"/>
        <v>1.8207908718616175E-2</v>
      </c>
      <c r="AN49" s="8" t="s">
        <v>708</v>
      </c>
    </row>
    <row r="50" spans="13:40" ht="23"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9"/>
      <c r="AA50" s="8">
        <f>SUBTOTAL(109,Table136911[ترافیک کل])</f>
        <v>1901.5000000000002</v>
      </c>
      <c r="AB50" s="8"/>
      <c r="AC50" s="21"/>
      <c r="AD50" s="8"/>
      <c r="AE50" s="8"/>
      <c r="AF50" s="9">
        <f>SUBTOTAL(109,Table136911[[مجموع صفحات  مشاهده شده   ]])</f>
        <v>6128.8740000000025</v>
      </c>
      <c r="AG50" s="9">
        <f>SUBTOTAL(109,Table136911[[مجموع زمان حضور در سایت ]])</f>
        <v>4048.8125000000014</v>
      </c>
      <c r="AH50" s="9">
        <f>SUBTOTAL(109,Table136911[سهم سایت از کل ترافیک طبقه بندی])</f>
        <v>99.999999999999972</v>
      </c>
      <c r="AI50" s="9">
        <f>SUBTOTAL(109,Table136911[شاخص هرفیندال هیرشمن (ترافیک)])</f>
        <v>617.70205220852961</v>
      </c>
      <c r="AJ50" s="9">
        <f>SUBTOTAL(109,Table136911[سهم سایت از کل صفحات مشاهده شده در طبقه بندی])</f>
        <v>99.999999999999986</v>
      </c>
      <c r="AK50" s="9">
        <f>SUBTOTAL(109,Table136911[شاخص هرفیندال -هیرشمن (صفحات مشاهده شده )])</f>
        <v>949.54388370248864</v>
      </c>
      <c r="AL50" s="9">
        <f>SUBTOTAL(109,Table136911[سهم سایت از کل زمان حضور در طبقه بندی])</f>
        <v>100</v>
      </c>
      <c r="AM50" s="9">
        <f>SUBTOTAL(109,Table136911[شاخص هرفیندال هیرشمن (زمان حضور)])</f>
        <v>1601.9330038511539</v>
      </c>
      <c r="AN50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{53F220C5-2C30-414E-9556-8D2E11B36459}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{81DCA5B1-45D1-47EA-B971-56CE1656D161}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{B03ECD6C-FE77-49D3-BD99-642E04E6F7E7}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{51107A04-0F80-4885-A1F4-47561A095A97}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{07FC6892-E24E-4CDA-90BF-5A1B3AE20786}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{A2A33B19-AC29-4AAA-BECF-FAA88259F770}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F220C5-2C30-414E-9556-8D2E11B3645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1DCA5B1-45D1-47EA-B971-56CE1656D16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03ECD6C-FE77-49D3-BD99-642E04E6F7E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1107A04-0F80-4885-A1F4-47561A095A9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7FC6892-E24E-4CDA-90BF-5A1B3AE207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A2A33B19-AC29-4AAA-BECF-FAA88259F7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8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8.5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1719</v>
      </c>
      <c r="N2" s="8" t="s">
        <v>1717</v>
      </c>
      <c r="O2" s="8"/>
      <c r="P2" s="8" t="s">
        <v>3696</v>
      </c>
      <c r="Q2" s="8"/>
      <c r="R2" s="8"/>
      <c r="S2" s="8"/>
      <c r="T2" s="8"/>
      <c r="U2" s="8"/>
      <c r="V2" s="8"/>
      <c r="W2" s="8" t="s">
        <v>1719</v>
      </c>
      <c r="X2" s="8">
        <v>49.95</v>
      </c>
      <c r="Y2" s="8">
        <v>1.77</v>
      </c>
      <c r="Z2" s="9">
        <v>0.52</v>
      </c>
      <c r="AA2" s="8">
        <v>563.5</v>
      </c>
      <c r="AB2" s="8">
        <v>3414</v>
      </c>
      <c r="AC2" s="21" t="s">
        <v>1719</v>
      </c>
      <c r="AD2" s="8" t="s">
        <v>4057</v>
      </c>
      <c r="AE2" s="8" t="s">
        <v>4083</v>
      </c>
      <c r="AF2" s="9">
        <f t="shared" ref="AF2:AF27" si="0">(AA2*Y2)</f>
        <v>997.39499999999998</v>
      </c>
      <c r="AG2" s="9">
        <f t="shared" ref="AG2:AG27" si="1">((((RIGHT(Z2,2))/60)+(LEFT(Z2,2)))*AA2)</f>
        <v>488.36666666666667</v>
      </c>
      <c r="AH2" s="9">
        <f t="shared" ref="AH2:AH27" si="2">(AA2/$AA$28)*100</f>
        <v>22.665111415010852</v>
      </c>
      <c r="AI2" s="9">
        <f t="shared" ref="AI2:AI27" si="3">(AH2*AH2)</f>
        <v>513.70727545485522</v>
      </c>
      <c r="AJ2" s="9">
        <f t="shared" ref="AJ2:AJ27" si="4">(AF2/$AF$28)*100</f>
        <v>18.272106630202881</v>
      </c>
      <c r="AK2" s="9">
        <f t="shared" ref="AK2:AK27" si="5">(AJ2*AJ2)</f>
        <v>333.8698807055041</v>
      </c>
      <c r="AL2" s="9">
        <f t="shared" ref="AL2:AL27" si="6">(AG2/$AG$28)*100</f>
        <v>15.766860106916766</v>
      </c>
      <c r="AM2" s="9">
        <f t="shared" ref="AM2:AM27" si="7">(AL2*AL2)</f>
        <v>248.59387763108339</v>
      </c>
      <c r="AN2" s="8" t="s">
        <v>1719</v>
      </c>
    </row>
    <row r="3" spans="8:40" ht="23">
      <c r="M3" s="8" t="s">
        <v>1729</v>
      </c>
      <c r="N3" s="8" t="s">
        <v>1717</v>
      </c>
      <c r="O3" s="8"/>
      <c r="P3" s="8" t="s">
        <v>4169</v>
      </c>
      <c r="Q3" s="8"/>
      <c r="R3" s="8"/>
      <c r="S3" s="8"/>
      <c r="T3" s="8"/>
      <c r="U3" s="8"/>
      <c r="V3" s="8"/>
      <c r="W3" s="8" t="s">
        <v>1729</v>
      </c>
      <c r="X3" s="8">
        <v>32.17</v>
      </c>
      <c r="Y3" s="8">
        <v>2.33</v>
      </c>
      <c r="Z3" s="9">
        <v>1.57</v>
      </c>
      <c r="AA3" s="8">
        <v>411.9</v>
      </c>
      <c r="AB3" s="8">
        <v>3548</v>
      </c>
      <c r="AC3" s="21" t="s">
        <v>1729</v>
      </c>
      <c r="AD3" s="8" t="s">
        <v>4057</v>
      </c>
      <c r="AE3" s="8" t="s">
        <v>4083</v>
      </c>
      <c r="AF3" s="9">
        <f t="shared" si="0"/>
        <v>959.72699999999998</v>
      </c>
      <c r="AG3" s="9">
        <f t="shared" si="1"/>
        <v>803.20499999999993</v>
      </c>
      <c r="AH3" s="9">
        <f t="shared" si="2"/>
        <v>16.567452336899681</v>
      </c>
      <c r="AI3" s="9">
        <f t="shared" si="3"/>
        <v>274.48047693544271</v>
      </c>
      <c r="AJ3" s="9">
        <f t="shared" si="4"/>
        <v>17.582035281793793</v>
      </c>
      <c r="AK3" s="9">
        <f t="shared" si="5"/>
        <v>309.12796465024172</v>
      </c>
      <c r="AL3" s="9">
        <f t="shared" si="6"/>
        <v>25.931378483740524</v>
      </c>
      <c r="AM3" s="9">
        <f t="shared" si="7"/>
        <v>672.43639006700096</v>
      </c>
      <c r="AN3" s="8" t="s">
        <v>1729</v>
      </c>
    </row>
    <row r="4" spans="8:40" ht="23">
      <c r="M4" s="8" t="s">
        <v>1556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1556</v>
      </c>
      <c r="X4" s="8">
        <v>33.81</v>
      </c>
      <c r="Y4" s="8">
        <v>2</v>
      </c>
      <c r="Z4" s="9">
        <v>1.02</v>
      </c>
      <c r="AA4" s="8">
        <v>319.3</v>
      </c>
      <c r="AB4" s="8">
        <v>2802</v>
      </c>
      <c r="AC4" s="21" t="s">
        <v>1556</v>
      </c>
      <c r="AD4" s="8" t="s">
        <v>4057</v>
      </c>
      <c r="AE4" s="8" t="s">
        <v>4083</v>
      </c>
      <c r="AF4" s="9">
        <f t="shared" si="0"/>
        <v>638.6</v>
      </c>
      <c r="AG4" s="9">
        <f t="shared" si="1"/>
        <v>329.94333333333338</v>
      </c>
      <c r="AH4" s="9">
        <f t="shared" si="2"/>
        <v>12.842892768079798</v>
      </c>
      <c r="AI4" s="9">
        <f t="shared" si="3"/>
        <v>164.93989465239636</v>
      </c>
      <c r="AJ4" s="9">
        <f t="shared" si="4"/>
        <v>11.699043301848878</v>
      </c>
      <c r="AK4" s="9">
        <f t="shared" si="5"/>
        <v>136.86761417853509</v>
      </c>
      <c r="AL4" s="9">
        <f t="shared" si="6"/>
        <v>10.652181516367092</v>
      </c>
      <c r="AM4" s="9">
        <f t="shared" si="7"/>
        <v>113.46897105763271</v>
      </c>
      <c r="AN4" s="8" t="s">
        <v>1556</v>
      </c>
    </row>
    <row r="5" spans="8:40" ht="23">
      <c r="M5" s="8" t="s">
        <v>1281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1281</v>
      </c>
      <c r="X5" s="8">
        <v>34.17</v>
      </c>
      <c r="Y5" s="8">
        <v>2.25</v>
      </c>
      <c r="Z5" s="9">
        <v>2.33</v>
      </c>
      <c r="AA5" s="8">
        <v>279.10000000000002</v>
      </c>
      <c r="AB5" s="8">
        <v>2733</v>
      </c>
      <c r="AC5" s="21" t="s">
        <v>1281</v>
      </c>
      <c r="AD5" s="8" t="s">
        <v>4057</v>
      </c>
      <c r="AE5" s="8" t="s">
        <v>4083</v>
      </c>
      <c r="AF5" s="9">
        <f t="shared" si="0"/>
        <v>627.97500000000002</v>
      </c>
      <c r="AG5" s="9">
        <f t="shared" si="1"/>
        <v>711.70500000000004</v>
      </c>
      <c r="AH5" s="9">
        <f t="shared" si="2"/>
        <v>11.225967339715226</v>
      </c>
      <c r="AI5" s="9">
        <f t="shared" si="3"/>
        <v>126.02234271235294</v>
      </c>
      <c r="AJ5" s="9">
        <f t="shared" si="4"/>
        <v>11.504395110364154</v>
      </c>
      <c r="AK5" s="9">
        <f t="shared" si="5"/>
        <v>132.35110685537066</v>
      </c>
      <c r="AL5" s="9">
        <f t="shared" si="6"/>
        <v>22.977311799317174</v>
      </c>
      <c r="AM5" s="9">
        <f t="shared" si="7"/>
        <v>527.9568575230403</v>
      </c>
      <c r="AN5" s="8" t="s">
        <v>1281</v>
      </c>
    </row>
    <row r="6" spans="8:40" ht="23">
      <c r="M6" s="8" t="s">
        <v>521</v>
      </c>
      <c r="N6" s="8" t="s">
        <v>150</v>
      </c>
      <c r="O6" s="8"/>
      <c r="P6" s="8" t="s">
        <v>3691</v>
      </c>
      <c r="Q6" s="8"/>
      <c r="R6" s="8"/>
      <c r="S6" s="8"/>
      <c r="T6" s="8"/>
      <c r="U6" s="8"/>
      <c r="V6" s="8"/>
      <c r="W6" s="8" t="s">
        <v>521</v>
      </c>
      <c r="X6" s="8">
        <v>36.29</v>
      </c>
      <c r="Y6" s="8">
        <v>1.52</v>
      </c>
      <c r="Z6" s="9">
        <v>0.23</v>
      </c>
      <c r="AA6" s="8">
        <v>269.10000000000002</v>
      </c>
      <c r="AB6" s="8">
        <v>4881</v>
      </c>
      <c r="AC6" s="21" t="s">
        <v>521</v>
      </c>
      <c r="AD6" s="8" t="s">
        <v>4057</v>
      </c>
      <c r="AE6" s="8" t="s">
        <v>4083</v>
      </c>
      <c r="AF6" s="9">
        <f t="shared" si="0"/>
        <v>409.03200000000004</v>
      </c>
      <c r="AG6" s="9">
        <f t="shared" si="1"/>
        <v>103.15500000000002</v>
      </c>
      <c r="AH6" s="9">
        <f t="shared" si="2"/>
        <v>10.823747083903143</v>
      </c>
      <c r="AI6" s="9">
        <f t="shared" si="3"/>
        <v>117.1535009363018</v>
      </c>
      <c r="AJ6" s="9">
        <f t="shared" si="4"/>
        <v>7.4933966173533513</v>
      </c>
      <c r="AK6" s="9">
        <f t="shared" si="5"/>
        <v>56.150992864962646</v>
      </c>
      <c r="AL6" s="9">
        <f t="shared" si="6"/>
        <v>3.3303469817671134</v>
      </c>
      <c r="AM6" s="9">
        <f t="shared" si="7"/>
        <v>11.091211018965321</v>
      </c>
      <c r="AN6" s="8" t="s">
        <v>521</v>
      </c>
    </row>
    <row r="7" spans="8:40" ht="23">
      <c r="M7" s="9" t="s">
        <v>2951</v>
      </c>
      <c r="N7" s="8" t="s">
        <v>1717</v>
      </c>
      <c r="O7" s="8"/>
      <c r="P7" s="8"/>
      <c r="Q7" s="8"/>
      <c r="R7" s="8"/>
      <c r="S7" s="8"/>
      <c r="T7" s="8"/>
      <c r="U7" s="8"/>
      <c r="V7" s="8"/>
      <c r="W7" s="9" t="s">
        <v>2951</v>
      </c>
      <c r="X7" s="8">
        <v>26.72</v>
      </c>
      <c r="Y7" s="8">
        <v>1.05</v>
      </c>
      <c r="Z7" s="9">
        <v>0.03</v>
      </c>
      <c r="AA7" s="8">
        <v>113.2</v>
      </c>
      <c r="AB7" s="8">
        <v>28398</v>
      </c>
      <c r="AC7" s="22" t="s">
        <v>2951</v>
      </c>
      <c r="AD7" s="8" t="s">
        <v>4057</v>
      </c>
      <c r="AE7" s="8" t="s">
        <v>4083</v>
      </c>
      <c r="AF7" s="9">
        <f t="shared" si="0"/>
        <v>118.86000000000001</v>
      </c>
      <c r="AG7" s="9">
        <f t="shared" si="1"/>
        <v>5.66</v>
      </c>
      <c r="AH7" s="9">
        <f t="shared" si="2"/>
        <v>4.553133295792775</v>
      </c>
      <c r="AI7" s="9">
        <f t="shared" si="3"/>
        <v>20.731022809256778</v>
      </c>
      <c r="AJ7" s="9">
        <f t="shared" si="4"/>
        <v>2.1774949684587495</v>
      </c>
      <c r="AK7" s="9">
        <f t="shared" si="5"/>
        <v>4.7414843376631701</v>
      </c>
      <c r="AL7" s="9">
        <f t="shared" si="6"/>
        <v>0.18273243097088709</v>
      </c>
      <c r="AM7" s="9">
        <f t="shared" si="7"/>
        <v>3.3391141328530015E-2</v>
      </c>
      <c r="AN7" s="9" t="s">
        <v>2951</v>
      </c>
    </row>
    <row r="8" spans="8:40" ht="23">
      <c r="M8" s="9" t="s">
        <v>3316</v>
      </c>
      <c r="N8" s="8" t="s">
        <v>1939</v>
      </c>
      <c r="O8" s="8"/>
      <c r="P8" s="8"/>
      <c r="Q8" s="8"/>
      <c r="R8" s="8"/>
      <c r="S8" s="8"/>
      <c r="T8" s="8"/>
      <c r="U8" s="8"/>
      <c r="V8" s="8"/>
      <c r="W8" s="9" t="s">
        <v>3316</v>
      </c>
      <c r="X8" s="8">
        <v>15.36</v>
      </c>
      <c r="Y8" s="8">
        <v>6.48</v>
      </c>
      <c r="Z8" s="9">
        <v>0.52</v>
      </c>
      <c r="AA8" s="8">
        <v>94.6</v>
      </c>
      <c r="AB8" s="8">
        <v>28547</v>
      </c>
      <c r="AC8" s="22" t="s">
        <v>3316</v>
      </c>
      <c r="AD8" s="8" t="s">
        <v>4057</v>
      </c>
      <c r="AE8" s="8" t="s">
        <v>4083</v>
      </c>
      <c r="AF8" s="9">
        <f t="shared" si="0"/>
        <v>613.00800000000004</v>
      </c>
      <c r="AG8" s="9">
        <f t="shared" si="1"/>
        <v>81.986666666666665</v>
      </c>
      <c r="AH8" s="9">
        <f t="shared" si="2"/>
        <v>3.8050036199823007</v>
      </c>
      <c r="AI8" s="9">
        <f t="shared" si="3"/>
        <v>14.478052548078413</v>
      </c>
      <c r="AJ8" s="9">
        <f t="shared" si="4"/>
        <v>11.230202217945155</v>
      </c>
      <c r="AK8" s="9">
        <f t="shared" si="5"/>
        <v>126.11744185594029</v>
      </c>
      <c r="AL8" s="9">
        <f t="shared" si="6"/>
        <v>2.6469298422614482</v>
      </c>
      <c r="AM8" s="9">
        <f t="shared" si="7"/>
        <v>7.0062375898542149</v>
      </c>
      <c r="AN8" s="9" t="s">
        <v>3316</v>
      </c>
    </row>
    <row r="9" spans="8:40" ht="23">
      <c r="M9" s="8" t="s">
        <v>1801</v>
      </c>
      <c r="N9" s="8" t="s">
        <v>1717</v>
      </c>
      <c r="O9" s="8"/>
      <c r="P9" s="8"/>
      <c r="Q9" s="8"/>
      <c r="R9" s="8"/>
      <c r="S9" s="8"/>
      <c r="T9" s="8"/>
      <c r="U9" s="8"/>
      <c r="V9" s="8"/>
      <c r="W9" s="8" t="s">
        <v>1801</v>
      </c>
      <c r="X9" s="8">
        <v>34.58</v>
      </c>
      <c r="Y9" s="8">
        <v>1.22</v>
      </c>
      <c r="Z9" s="9">
        <v>0.28999999999999998</v>
      </c>
      <c r="AA9" s="8">
        <v>79.599999999999994</v>
      </c>
      <c r="AB9" s="8">
        <v>16346</v>
      </c>
      <c r="AC9" s="21" t="s">
        <v>1801</v>
      </c>
      <c r="AD9" s="8" t="s">
        <v>4057</v>
      </c>
      <c r="AE9" s="8" t="s">
        <v>4083</v>
      </c>
      <c r="AF9" s="9">
        <f t="shared" si="0"/>
        <v>97.111999999999995</v>
      </c>
      <c r="AG9" s="9">
        <f t="shared" si="1"/>
        <v>38.473333333333329</v>
      </c>
      <c r="AH9" s="9">
        <f t="shared" si="2"/>
        <v>3.2016732362641771</v>
      </c>
      <c r="AI9" s="9">
        <f t="shared" si="3"/>
        <v>10.25071151181033</v>
      </c>
      <c r="AJ9" s="9">
        <f t="shared" si="4"/>
        <v>1.7790753102554777</v>
      </c>
      <c r="AK9" s="9">
        <f t="shared" si="5"/>
        <v>3.1651089595606243</v>
      </c>
      <c r="AL9" s="9">
        <f t="shared" si="6"/>
        <v>1.2421070190023431</v>
      </c>
      <c r="AM9" s="9">
        <f t="shared" si="7"/>
        <v>1.5428298466548871</v>
      </c>
      <c r="AN9" s="8" t="s">
        <v>1801</v>
      </c>
    </row>
    <row r="10" spans="8:40" ht="23">
      <c r="M10" s="8" t="s">
        <v>287</v>
      </c>
      <c r="N10" s="8" t="s">
        <v>150</v>
      </c>
      <c r="O10" s="8"/>
      <c r="P10" s="8" t="s">
        <v>3691</v>
      </c>
      <c r="Q10" s="8"/>
      <c r="R10" s="8"/>
      <c r="S10" s="8"/>
      <c r="T10" s="8"/>
      <c r="U10" s="8"/>
      <c r="V10" s="8"/>
      <c r="W10" s="8" t="s">
        <v>287</v>
      </c>
      <c r="X10" s="8">
        <v>22.4</v>
      </c>
      <c r="Y10" s="8">
        <v>1.59</v>
      </c>
      <c r="Z10" s="9">
        <v>0.5</v>
      </c>
      <c r="AA10" s="8">
        <v>78.900000000000006</v>
      </c>
      <c r="AB10" s="8">
        <v>10732</v>
      </c>
      <c r="AC10" s="21" t="s">
        <v>287</v>
      </c>
      <c r="AD10" s="8" t="s">
        <v>4057</v>
      </c>
      <c r="AE10" s="8" t="s">
        <v>4083</v>
      </c>
      <c r="AF10" s="9">
        <f t="shared" si="0"/>
        <v>125.45100000000002</v>
      </c>
      <c r="AG10" s="9">
        <f t="shared" si="1"/>
        <v>0.65750000000000008</v>
      </c>
      <c r="AH10" s="9">
        <f t="shared" si="2"/>
        <v>3.173517818357332</v>
      </c>
      <c r="AI10" s="9">
        <f t="shared" si="3"/>
        <v>10.071215343431481</v>
      </c>
      <c r="AJ10" s="9">
        <f t="shared" si="4"/>
        <v>2.2982409665835322</v>
      </c>
      <c r="AK10" s="9">
        <f t="shared" si="5"/>
        <v>5.2819115404828079</v>
      </c>
      <c r="AL10" s="9">
        <f t="shared" si="6"/>
        <v>2.1227309781512063E-2</v>
      </c>
      <c r="AM10" s="9">
        <f t="shared" si="7"/>
        <v>4.505986805602777E-4</v>
      </c>
      <c r="AN10" s="8" t="s">
        <v>287</v>
      </c>
    </row>
    <row r="11" spans="8:40" ht="23">
      <c r="M11" s="8" t="s">
        <v>2096</v>
      </c>
      <c r="N11" s="8" t="s">
        <v>2093</v>
      </c>
      <c r="O11" s="8"/>
      <c r="P11" s="8"/>
      <c r="Q11" s="8"/>
      <c r="R11" s="8"/>
      <c r="S11" s="8"/>
      <c r="T11" s="8"/>
      <c r="U11" s="8"/>
      <c r="V11" s="8"/>
      <c r="W11" s="8" t="s">
        <v>2096</v>
      </c>
      <c r="X11" s="8">
        <v>4.5999999999999996</v>
      </c>
      <c r="Y11" s="8">
        <v>2.75</v>
      </c>
      <c r="Z11" s="9">
        <v>0.17</v>
      </c>
      <c r="AA11" s="8">
        <v>74.7</v>
      </c>
      <c r="AB11" s="8">
        <v>31556</v>
      </c>
      <c r="AC11" s="21" t="s">
        <v>2096</v>
      </c>
      <c r="AD11" s="8" t="s">
        <v>4057</v>
      </c>
      <c r="AE11" s="8" t="s">
        <v>4083</v>
      </c>
      <c r="AF11" s="9">
        <f t="shared" si="0"/>
        <v>205.42500000000001</v>
      </c>
      <c r="AG11" s="9">
        <f t="shared" si="1"/>
        <v>21.164999999999999</v>
      </c>
      <c r="AH11" s="9">
        <f t="shared" si="2"/>
        <v>3.0045853109162568</v>
      </c>
      <c r="AI11" s="9">
        <f t="shared" si="3"/>
        <v>9.02753289057374</v>
      </c>
      <c r="AJ11" s="9">
        <f t="shared" si="4"/>
        <v>3.763351033952874</v>
      </c>
      <c r="AK11" s="9">
        <f t="shared" si="5"/>
        <v>14.162811004754165</v>
      </c>
      <c r="AL11" s="9">
        <f t="shared" si="6"/>
        <v>0.68330952323300798</v>
      </c>
      <c r="AM11" s="9">
        <f t="shared" si="7"/>
        <v>0.46691190454092069</v>
      </c>
      <c r="AN11" s="8" t="s">
        <v>2096</v>
      </c>
    </row>
    <row r="12" spans="8:40" ht="23">
      <c r="M12" s="8" t="s">
        <v>835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835</v>
      </c>
      <c r="X12" s="8">
        <v>8.3000000000000007</v>
      </c>
      <c r="Y12" s="8">
        <v>1.71</v>
      </c>
      <c r="Z12" s="9">
        <v>0.18</v>
      </c>
      <c r="AA12" s="8">
        <v>67.7</v>
      </c>
      <c r="AB12" s="8">
        <v>16103</v>
      </c>
      <c r="AC12" s="21" t="s">
        <v>835</v>
      </c>
      <c r="AD12" s="8" t="s">
        <v>4057</v>
      </c>
      <c r="AE12" s="8" t="s">
        <v>4083</v>
      </c>
      <c r="AF12" s="9">
        <f t="shared" si="0"/>
        <v>115.767</v>
      </c>
      <c r="AG12" s="9">
        <f t="shared" si="1"/>
        <v>20.309999999999999</v>
      </c>
      <c r="AH12" s="9">
        <f t="shared" si="2"/>
        <v>2.7230311318477991</v>
      </c>
      <c r="AI12" s="9">
        <f t="shared" si="3"/>
        <v>7.4148985450123055</v>
      </c>
      <c r="AJ12" s="9">
        <f t="shared" si="4"/>
        <v>2.1208317349281849</v>
      </c>
      <c r="AK12" s="9">
        <f t="shared" si="5"/>
        <v>4.4979272478784944</v>
      </c>
      <c r="AL12" s="9">
        <f t="shared" si="6"/>
        <v>0.65570594929659309</v>
      </c>
      <c r="AM12" s="9">
        <f t="shared" si="7"/>
        <v>0.42995029194294632</v>
      </c>
      <c r="AN12" s="8" t="s">
        <v>835</v>
      </c>
    </row>
    <row r="13" spans="8:40" ht="23">
      <c r="M13" s="9" t="s">
        <v>2337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9" t="s">
        <v>2337</v>
      </c>
      <c r="X13" s="8">
        <v>19.38</v>
      </c>
      <c r="Y13" s="8">
        <v>2.1</v>
      </c>
      <c r="Z13" s="9">
        <v>1.53</v>
      </c>
      <c r="AA13" s="8">
        <v>30.9</v>
      </c>
      <c r="AB13" s="8">
        <v>12320</v>
      </c>
      <c r="AC13" s="22" t="s">
        <v>2337</v>
      </c>
      <c r="AD13" s="8" t="s">
        <v>4057</v>
      </c>
      <c r="AE13" s="8" t="s">
        <v>4083</v>
      </c>
      <c r="AF13" s="9">
        <f t="shared" si="0"/>
        <v>64.89</v>
      </c>
      <c r="AG13" s="9">
        <f t="shared" si="1"/>
        <v>58.194999999999993</v>
      </c>
      <c r="AH13" s="9">
        <f t="shared" si="2"/>
        <v>1.2428605904593351</v>
      </c>
      <c r="AI13" s="9">
        <f t="shared" si="3"/>
        <v>1.5447024473169271</v>
      </c>
      <c r="AJ13" s="9">
        <f t="shared" si="4"/>
        <v>1.188773754865289</v>
      </c>
      <c r="AK13" s="9">
        <f t="shared" si="5"/>
        <v>1.4131830402565182</v>
      </c>
      <c r="AL13" s="9">
        <f t="shared" si="6"/>
        <v>1.8788186961750484</v>
      </c>
      <c r="AM13" s="9">
        <f t="shared" si="7"/>
        <v>3.5299596930969086</v>
      </c>
      <c r="AN13" s="9" t="s">
        <v>2337</v>
      </c>
    </row>
    <row r="14" spans="8:40" ht="23">
      <c r="M14" s="8" t="s">
        <v>4961</v>
      </c>
      <c r="N14" s="8" t="s">
        <v>1964</v>
      </c>
      <c r="O14" s="8"/>
      <c r="P14" s="8"/>
      <c r="Q14" s="8"/>
      <c r="R14" s="8"/>
      <c r="S14" s="8"/>
      <c r="T14" s="8"/>
      <c r="U14" s="8"/>
      <c r="V14" s="8"/>
      <c r="W14" s="8" t="s">
        <v>4961</v>
      </c>
      <c r="X14" s="8">
        <v>0.67</v>
      </c>
      <c r="Y14" s="8">
        <v>2.02</v>
      </c>
      <c r="Z14" s="9">
        <v>0.05</v>
      </c>
      <c r="AA14" s="8">
        <v>21.6</v>
      </c>
      <c r="AB14" s="8">
        <v>140074</v>
      </c>
      <c r="AC14" s="21" t="s">
        <v>4961</v>
      </c>
      <c r="AD14" s="8" t="s">
        <v>4370</v>
      </c>
      <c r="AE14" s="8" t="s">
        <v>4083</v>
      </c>
      <c r="AF14" s="9">
        <f t="shared" si="0"/>
        <v>43.632000000000005</v>
      </c>
      <c r="AG14" s="9">
        <f t="shared" si="1"/>
        <v>1.8</v>
      </c>
      <c r="AH14" s="9">
        <f t="shared" si="2"/>
        <v>0.86879575255409835</v>
      </c>
      <c r="AI14" s="9">
        <f t="shared" si="3"/>
        <v>0.75480605965604208</v>
      </c>
      <c r="AJ14" s="9">
        <f t="shared" si="4"/>
        <v>0.79933081325754807</v>
      </c>
      <c r="AK14" s="9">
        <f t="shared" si="5"/>
        <v>0.63892974902297317</v>
      </c>
      <c r="AL14" s="9">
        <f t="shared" si="6"/>
        <v>5.8112787234557733E-2</v>
      </c>
      <c r="AM14" s="9">
        <f t="shared" si="7"/>
        <v>3.3770960401689762E-3</v>
      </c>
      <c r="AN14" s="8" t="s">
        <v>4961</v>
      </c>
    </row>
    <row r="15" spans="8:40" ht="23">
      <c r="M15" s="9" t="s">
        <v>5147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9" t="s">
        <v>5147</v>
      </c>
      <c r="X15" s="8">
        <v>59.11</v>
      </c>
      <c r="Y15" s="8">
        <v>2.4300000000000002</v>
      </c>
      <c r="Z15" s="9">
        <v>0.46</v>
      </c>
      <c r="AA15" s="8">
        <v>15.3</v>
      </c>
      <c r="AB15" s="8">
        <v>9568</v>
      </c>
      <c r="AC15" s="22" t="s">
        <v>5147</v>
      </c>
      <c r="AD15" s="8" t="s">
        <v>4057</v>
      </c>
      <c r="AE15" s="8" t="s">
        <v>4083</v>
      </c>
      <c r="AF15" s="9">
        <f t="shared" si="0"/>
        <v>37.179000000000002</v>
      </c>
      <c r="AG15" s="9">
        <f t="shared" si="1"/>
        <v>11.730000000000002</v>
      </c>
      <c r="AH15" s="9">
        <f t="shared" si="2"/>
        <v>0.61539699139248638</v>
      </c>
      <c r="AI15" s="9">
        <f t="shared" si="3"/>
        <v>0.37871345701492398</v>
      </c>
      <c r="AJ15" s="9">
        <f t="shared" si="4"/>
        <v>0.68111295164334384</v>
      </c>
      <c r="AK15" s="9">
        <f t="shared" si="5"/>
        <v>0.46391485289630807</v>
      </c>
      <c r="AL15" s="9">
        <f t="shared" si="6"/>
        <v>0.37870166347853462</v>
      </c>
      <c r="AM15" s="9">
        <f t="shared" si="7"/>
        <v>0.1434149499214093</v>
      </c>
      <c r="AN15" s="9" t="s">
        <v>5147</v>
      </c>
    </row>
    <row r="16" spans="8:40" ht="23">
      <c r="M16" s="9" t="s">
        <v>2508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9" t="s">
        <v>2508</v>
      </c>
      <c r="X16" s="8">
        <v>34.35</v>
      </c>
      <c r="Y16" s="8">
        <v>4.29</v>
      </c>
      <c r="Z16" s="9">
        <v>7.41</v>
      </c>
      <c r="AA16" s="8">
        <v>10.5</v>
      </c>
      <c r="AB16" s="8">
        <v>11132</v>
      </c>
      <c r="AC16" s="22" t="s">
        <v>2508</v>
      </c>
      <c r="AD16" s="8" t="s">
        <v>4057</v>
      </c>
      <c r="AE16" s="8" t="s">
        <v>4083</v>
      </c>
      <c r="AF16" s="9">
        <f t="shared" si="0"/>
        <v>45.045000000000002</v>
      </c>
      <c r="AG16" s="9">
        <f t="shared" si="1"/>
        <v>80.674999999999997</v>
      </c>
      <c r="AH16" s="9">
        <f t="shared" si="2"/>
        <v>0.42233126860268672</v>
      </c>
      <c r="AI16" s="9">
        <f t="shared" si="3"/>
        <v>0.17836370043955471</v>
      </c>
      <c r="AJ16" s="9">
        <f t="shared" si="4"/>
        <v>0.82521673274629292</v>
      </c>
      <c r="AK16" s="9">
        <f t="shared" si="5"/>
        <v>0.68098265600446661</v>
      </c>
      <c r="AL16" s="9">
        <f t="shared" si="6"/>
        <v>2.6045828389710803</v>
      </c>
      <c r="AM16" s="9">
        <f t="shared" si="7"/>
        <v>6.7838517650626526</v>
      </c>
      <c r="AN16" s="9" t="s">
        <v>2508</v>
      </c>
    </row>
    <row r="17" spans="13:40" ht="23">
      <c r="M17" s="9" t="s">
        <v>2718</v>
      </c>
      <c r="N17" s="8" t="s">
        <v>1614</v>
      </c>
      <c r="O17" s="8"/>
      <c r="P17" s="8"/>
      <c r="Q17" s="8"/>
      <c r="R17" s="8"/>
      <c r="S17" s="8"/>
      <c r="T17" s="8"/>
      <c r="U17" s="8"/>
      <c r="V17" s="8"/>
      <c r="W17" s="9" t="s">
        <v>2718</v>
      </c>
      <c r="X17" s="8">
        <v>10.57</v>
      </c>
      <c r="Y17" s="8">
        <v>1.64</v>
      </c>
      <c r="Z17" s="9">
        <v>0.32</v>
      </c>
      <c r="AA17" s="8">
        <v>10.3</v>
      </c>
      <c r="AB17" s="8">
        <v>34945</v>
      </c>
      <c r="AC17" s="22" t="s">
        <v>2718</v>
      </c>
      <c r="AD17" s="8" t="s">
        <v>4057</v>
      </c>
      <c r="AE17" s="8" t="s">
        <v>4083</v>
      </c>
      <c r="AF17" s="9">
        <f t="shared" si="0"/>
        <v>16.891999999999999</v>
      </c>
      <c r="AG17" s="9">
        <f t="shared" si="1"/>
        <v>5.4933333333333341</v>
      </c>
      <c r="AH17" s="9">
        <f t="shared" si="2"/>
        <v>0.41428686348644511</v>
      </c>
      <c r="AI17" s="9">
        <f t="shared" si="3"/>
        <v>0.1716336052574364</v>
      </c>
      <c r="AJ17" s="9">
        <f t="shared" si="4"/>
        <v>0.30945856475858319</v>
      </c>
      <c r="AK17" s="9">
        <f t="shared" si="5"/>
        <v>9.5764603302442228E-2</v>
      </c>
      <c r="AL17" s="9">
        <f t="shared" si="6"/>
        <v>0.17735161733805771</v>
      </c>
      <c r="AM17" s="9">
        <f t="shared" si="7"/>
        <v>3.1453596172424853E-2</v>
      </c>
      <c r="AN17" s="9" t="s">
        <v>2718</v>
      </c>
    </row>
    <row r="18" spans="13:40" ht="23">
      <c r="M18" s="9" t="s">
        <v>3623</v>
      </c>
      <c r="N18" s="8" t="s">
        <v>2093</v>
      </c>
      <c r="O18" s="8"/>
      <c r="P18" s="8" t="s">
        <v>3702</v>
      </c>
      <c r="Q18" s="8"/>
      <c r="R18" s="8"/>
      <c r="S18" s="8"/>
      <c r="T18" s="8"/>
      <c r="U18" s="8"/>
      <c r="V18" s="8"/>
      <c r="W18" s="9" t="s">
        <v>3623</v>
      </c>
      <c r="X18" s="8">
        <v>29.37</v>
      </c>
      <c r="Y18" s="8">
        <v>17.52</v>
      </c>
      <c r="Z18" s="9">
        <v>24.53</v>
      </c>
      <c r="AA18" s="8">
        <v>9.5</v>
      </c>
      <c r="AB18" s="8">
        <v>5069</v>
      </c>
      <c r="AC18" s="22" t="s">
        <v>3623</v>
      </c>
      <c r="AD18" s="8" t="s">
        <v>4057</v>
      </c>
      <c r="AE18" s="8" t="s">
        <v>4083</v>
      </c>
      <c r="AF18" s="9">
        <f t="shared" si="0"/>
        <v>166.44</v>
      </c>
      <c r="AG18" s="9">
        <f t="shared" si="1"/>
        <v>236.39166666666665</v>
      </c>
      <c r="AH18" s="9">
        <f t="shared" si="2"/>
        <v>0.38210924302147847</v>
      </c>
      <c r="AI18" s="9">
        <f t="shared" si="3"/>
        <v>0.14600747360244729</v>
      </c>
      <c r="AJ18" s="9">
        <f t="shared" si="4"/>
        <v>3.0491524697145738</v>
      </c>
      <c r="AK18" s="9">
        <f t="shared" si="5"/>
        <v>9.2973307835664851</v>
      </c>
      <c r="AL18" s="9">
        <f t="shared" si="6"/>
        <v>7.6318770161236076</v>
      </c>
      <c r="AM18" s="9">
        <f t="shared" si="7"/>
        <v>58.245546789235782</v>
      </c>
      <c r="AN18" s="9" t="s">
        <v>3623</v>
      </c>
    </row>
    <row r="19" spans="13:40" ht="23">
      <c r="M19" s="9" t="s">
        <v>3122</v>
      </c>
      <c r="N19" s="8" t="s">
        <v>1862</v>
      </c>
      <c r="O19" s="8"/>
      <c r="P19" s="8"/>
      <c r="Q19" s="8"/>
      <c r="R19" s="8"/>
      <c r="S19" s="8"/>
      <c r="T19" s="8"/>
      <c r="U19" s="8"/>
      <c r="V19" s="8"/>
      <c r="W19" s="9" t="s">
        <v>3122</v>
      </c>
      <c r="X19" s="8">
        <v>6.69</v>
      </c>
      <c r="Y19" s="8">
        <v>5.0199999999999996</v>
      </c>
      <c r="Z19" s="9">
        <v>0.38</v>
      </c>
      <c r="AA19" s="8">
        <v>9.3000000000000007</v>
      </c>
      <c r="AB19" s="8">
        <v>25582</v>
      </c>
      <c r="AC19" s="22" t="s">
        <v>3122</v>
      </c>
      <c r="AD19" s="8" t="s">
        <v>4057</v>
      </c>
      <c r="AE19" s="8" t="s">
        <v>4083</v>
      </c>
      <c r="AF19" s="9">
        <f t="shared" si="0"/>
        <v>46.686</v>
      </c>
      <c r="AG19" s="9">
        <f t="shared" si="1"/>
        <v>5.8900000000000006</v>
      </c>
      <c r="AH19" s="9">
        <f t="shared" si="2"/>
        <v>0.37406483790523681</v>
      </c>
      <c r="AI19" s="9">
        <f t="shared" si="3"/>
        <v>0.1399245029570711</v>
      </c>
      <c r="AJ19" s="9">
        <f t="shared" si="4"/>
        <v>0.85527957342642758</v>
      </c>
      <c r="AK19" s="9">
        <f t="shared" si="5"/>
        <v>0.73150314872049194</v>
      </c>
      <c r="AL19" s="9">
        <f t="shared" si="6"/>
        <v>0.1901579537841917</v>
      </c>
      <c r="AM19" s="9">
        <f t="shared" si="7"/>
        <v>3.6160047387390787E-2</v>
      </c>
      <c r="AN19" s="9" t="s">
        <v>3122</v>
      </c>
    </row>
    <row r="20" spans="13:40" ht="23">
      <c r="M20" s="8" t="s">
        <v>1305</v>
      </c>
      <c r="N20" s="8" t="s">
        <v>150</v>
      </c>
      <c r="O20" s="8"/>
      <c r="P20" s="8" t="s">
        <v>3691</v>
      </c>
      <c r="Q20" s="8"/>
      <c r="R20" s="8"/>
      <c r="S20" s="8"/>
      <c r="T20" s="8"/>
      <c r="U20" s="8"/>
      <c r="V20" s="8"/>
      <c r="W20" s="8" t="s">
        <v>1305</v>
      </c>
      <c r="X20" s="8">
        <v>36.159999999999997</v>
      </c>
      <c r="Y20" s="8">
        <v>2.2000000000000002</v>
      </c>
      <c r="Z20" s="9">
        <v>1.33</v>
      </c>
      <c r="AA20" s="8">
        <v>9.1999999999999993</v>
      </c>
      <c r="AB20" s="8">
        <v>25205</v>
      </c>
      <c r="AC20" s="21" t="s">
        <v>1305</v>
      </c>
      <c r="AD20" s="8" t="s">
        <v>4192</v>
      </c>
      <c r="AE20" s="8" t="s">
        <v>4083</v>
      </c>
      <c r="AF20" s="9">
        <f t="shared" si="0"/>
        <v>20.239999999999998</v>
      </c>
      <c r="AG20" s="9">
        <f t="shared" si="1"/>
        <v>14.26</v>
      </c>
      <c r="AH20" s="9">
        <f t="shared" si="2"/>
        <v>0.37004263534711596</v>
      </c>
      <c r="AI20" s="9">
        <f t="shared" si="3"/>
        <v>0.13693155197463863</v>
      </c>
      <c r="AJ20" s="9">
        <f t="shared" si="4"/>
        <v>0.37079335488478116</v>
      </c>
      <c r="AK20" s="9">
        <f t="shared" si="5"/>
        <v>0.13748771202671126</v>
      </c>
      <c r="AL20" s="9">
        <f t="shared" si="6"/>
        <v>0.4603824144248852</v>
      </c>
      <c r="AM20" s="9">
        <f t="shared" si="7"/>
        <v>0.21195196751168674</v>
      </c>
      <c r="AN20" s="8" t="s">
        <v>1305</v>
      </c>
    </row>
    <row r="21" spans="13:40" ht="23">
      <c r="M21" s="9" t="s">
        <v>3128</v>
      </c>
      <c r="N21" s="8" t="s">
        <v>1862</v>
      </c>
      <c r="O21" s="8"/>
      <c r="P21" s="8"/>
      <c r="Q21" s="8"/>
      <c r="R21" s="8"/>
      <c r="S21" s="8"/>
      <c r="T21" s="8"/>
      <c r="U21" s="8"/>
      <c r="V21" s="8"/>
      <c r="W21" s="9" t="s">
        <v>3128</v>
      </c>
      <c r="X21" s="8">
        <v>45.62</v>
      </c>
      <c r="Y21" s="8">
        <v>1.17</v>
      </c>
      <c r="Z21" s="9">
        <v>0.41</v>
      </c>
      <c r="AA21" s="8">
        <v>4.5</v>
      </c>
      <c r="AB21" s="8">
        <v>80932</v>
      </c>
      <c r="AC21" s="22" t="s">
        <v>3128</v>
      </c>
      <c r="AD21" s="8" t="s">
        <v>4057</v>
      </c>
      <c r="AE21" s="8" t="s">
        <v>4083</v>
      </c>
      <c r="AF21" s="9">
        <f t="shared" si="0"/>
        <v>5.2649999999999997</v>
      </c>
      <c r="AG21" s="9">
        <f t="shared" si="1"/>
        <v>3.0750000000000002</v>
      </c>
      <c r="AH21" s="9">
        <f t="shared" si="2"/>
        <v>0.18099911511543715</v>
      </c>
      <c r="AI21" s="9">
        <f t="shared" si="3"/>
        <v>3.276067967257127E-2</v>
      </c>
      <c r="AJ21" s="9">
        <f t="shared" si="4"/>
        <v>9.6453903827488779E-2</v>
      </c>
      <c r="AK21" s="9">
        <f t="shared" si="5"/>
        <v>9.3033555635624546E-3</v>
      </c>
      <c r="AL21" s="9">
        <f t="shared" si="6"/>
        <v>9.9276011525702798E-2</v>
      </c>
      <c r="AM21" s="9">
        <f t="shared" si="7"/>
        <v>9.8557264644514742E-3</v>
      </c>
      <c r="AN21" s="9" t="s">
        <v>3128</v>
      </c>
    </row>
    <row r="22" spans="13:40" ht="23">
      <c r="M22" s="9" t="s">
        <v>2651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9" t="s">
        <v>2651</v>
      </c>
      <c r="X22" s="8">
        <v>33.75</v>
      </c>
      <c r="Y22" s="8">
        <v>3.22</v>
      </c>
      <c r="Z22" s="9">
        <v>2.2999999999999998</v>
      </c>
      <c r="AA22" s="8">
        <v>3.5</v>
      </c>
      <c r="AB22" s="8">
        <v>23982</v>
      </c>
      <c r="AC22" s="22" t="s">
        <v>2651</v>
      </c>
      <c r="AD22" s="8" t="s">
        <v>4057</v>
      </c>
      <c r="AE22" s="8" t="s">
        <v>4083</v>
      </c>
      <c r="AF22" s="9">
        <f t="shared" si="0"/>
        <v>11.270000000000001</v>
      </c>
      <c r="AG22" s="9">
        <f t="shared" si="1"/>
        <v>7.0175000000000001</v>
      </c>
      <c r="AH22" s="9">
        <f t="shared" si="2"/>
        <v>0.14077708953422891</v>
      </c>
      <c r="AI22" s="9">
        <f t="shared" si="3"/>
        <v>1.9818188937728302E-2</v>
      </c>
      <c r="AJ22" s="9">
        <f t="shared" si="4"/>
        <v>0.20646448169720771</v>
      </c>
      <c r="AK22" s="9">
        <f t="shared" si="5"/>
        <v>4.2627582202496621E-2</v>
      </c>
      <c r="AL22" s="9">
        <f t="shared" si="6"/>
        <v>0.22655915801028273</v>
      </c>
      <c r="AM22" s="9">
        <f t="shared" si="7"/>
        <v>5.1329052078328261E-2</v>
      </c>
      <c r="AN22" s="9" t="s">
        <v>2651</v>
      </c>
    </row>
    <row r="23" spans="13:40" ht="23">
      <c r="M23" s="8" t="s">
        <v>1745</v>
      </c>
      <c r="N23" s="8" t="s">
        <v>1717</v>
      </c>
      <c r="O23" s="8"/>
      <c r="P23" s="8"/>
      <c r="Q23" s="8"/>
      <c r="R23" s="8"/>
      <c r="S23" s="8"/>
      <c r="T23" s="8"/>
      <c r="U23" s="8"/>
      <c r="V23" s="8"/>
      <c r="W23" s="8" t="s">
        <v>1745</v>
      </c>
      <c r="X23" s="8">
        <v>17.54</v>
      </c>
      <c r="Y23" s="8">
        <v>4.95</v>
      </c>
      <c r="Z23" s="9">
        <v>3.11</v>
      </c>
      <c r="AA23" s="8">
        <v>2.8</v>
      </c>
      <c r="AB23" s="8">
        <v>26206</v>
      </c>
      <c r="AC23" s="21" t="s">
        <v>1745</v>
      </c>
      <c r="AD23" s="8" t="s">
        <v>4057</v>
      </c>
      <c r="AE23" s="8" t="s">
        <v>4083</v>
      </c>
      <c r="AF23" s="9">
        <f t="shared" si="0"/>
        <v>13.86</v>
      </c>
      <c r="AG23" s="9">
        <f t="shared" si="1"/>
        <v>8.9133333333333322</v>
      </c>
      <c r="AH23" s="9">
        <f t="shared" si="2"/>
        <v>0.11262167162738312</v>
      </c>
      <c r="AI23" s="9">
        <f t="shared" si="3"/>
        <v>1.2683640920146113E-2</v>
      </c>
      <c r="AJ23" s="9">
        <f t="shared" si="4"/>
        <v>0.25391284084501314</v>
      </c>
      <c r="AK23" s="9">
        <f t="shared" si="5"/>
        <v>6.4471730745984973E-2</v>
      </c>
      <c r="AL23" s="9">
        <f t="shared" si="6"/>
        <v>0.28776591308371735</v>
      </c>
      <c r="AM23" s="9">
        <f t="shared" si="7"/>
        <v>8.2809220732905572E-2</v>
      </c>
      <c r="AN23" s="8" t="s">
        <v>1745</v>
      </c>
    </row>
    <row r="24" spans="13:40" ht="23">
      <c r="M24" s="9" t="s">
        <v>3391</v>
      </c>
      <c r="N24" s="8" t="s">
        <v>1990</v>
      </c>
      <c r="O24" s="8"/>
      <c r="P24" s="8" t="s">
        <v>3692</v>
      </c>
      <c r="Q24" s="8"/>
      <c r="R24" s="8"/>
      <c r="S24" s="8"/>
      <c r="T24" s="8"/>
      <c r="U24" s="8"/>
      <c r="V24" s="8"/>
      <c r="W24" s="9" t="s">
        <v>3391</v>
      </c>
      <c r="X24" s="8">
        <v>25.83</v>
      </c>
      <c r="Y24" s="8">
        <v>26.07</v>
      </c>
      <c r="Z24" s="9">
        <v>16.02</v>
      </c>
      <c r="AA24" s="8">
        <v>2.7</v>
      </c>
      <c r="AB24" s="8">
        <v>33336</v>
      </c>
      <c r="AC24" s="22" t="s">
        <v>3391</v>
      </c>
      <c r="AD24" s="8" t="s">
        <v>4057</v>
      </c>
      <c r="AE24" s="8" t="s">
        <v>4083</v>
      </c>
      <c r="AF24" s="9">
        <f t="shared" si="0"/>
        <v>70.38900000000001</v>
      </c>
      <c r="AG24" s="9">
        <f t="shared" si="1"/>
        <v>43.290000000000006</v>
      </c>
      <c r="AH24" s="9">
        <f t="shared" si="2"/>
        <v>0.10859946906926229</v>
      </c>
      <c r="AI24" s="9">
        <f t="shared" si="3"/>
        <v>1.1793844682125658E-2</v>
      </c>
      <c r="AJ24" s="9">
        <f t="shared" si="4"/>
        <v>1.2895144988628886</v>
      </c>
      <c r="AK24" s="9">
        <f t="shared" si="5"/>
        <v>1.6628476427776067</v>
      </c>
      <c r="AL24" s="9">
        <f t="shared" si="6"/>
        <v>1.3976125329911138</v>
      </c>
      <c r="AM24" s="9">
        <f t="shared" si="7"/>
        <v>1.9533207923738372</v>
      </c>
      <c r="AN24" s="9" t="s">
        <v>3391</v>
      </c>
    </row>
    <row r="25" spans="13:40" ht="23">
      <c r="M25" s="9" t="s">
        <v>2331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9" t="s">
        <v>2331</v>
      </c>
      <c r="X25" s="8">
        <v>31.77</v>
      </c>
      <c r="Y25" s="8">
        <v>2.56</v>
      </c>
      <c r="Z25" s="9">
        <v>5.24</v>
      </c>
      <c r="AA25" s="8">
        <v>1.9</v>
      </c>
      <c r="AB25" s="8"/>
      <c r="AC25" s="22" t="s">
        <v>2331</v>
      </c>
      <c r="AD25" s="8" t="s">
        <v>4057</v>
      </c>
      <c r="AE25" s="8" t="s">
        <v>4083</v>
      </c>
      <c r="AF25" s="9">
        <f t="shared" si="0"/>
        <v>4.8639999999999999</v>
      </c>
      <c r="AG25" s="9">
        <f t="shared" si="1"/>
        <v>10.26</v>
      </c>
      <c r="AH25" s="9">
        <f t="shared" si="2"/>
        <v>7.6421848604295683E-2</v>
      </c>
      <c r="AI25" s="9">
        <f t="shared" si="3"/>
        <v>5.84029894409789E-3</v>
      </c>
      <c r="AJ25" s="9">
        <f t="shared" si="4"/>
        <v>8.9107652082982991E-2</v>
      </c>
      <c r="AK25" s="9">
        <f t="shared" si="5"/>
        <v>7.9401736597419434E-3</v>
      </c>
      <c r="AL25" s="9">
        <f t="shared" si="6"/>
        <v>0.33124288723697909</v>
      </c>
      <c r="AM25" s="9">
        <f t="shared" si="7"/>
        <v>0.10972185034509005</v>
      </c>
      <c r="AN25" s="9" t="s">
        <v>2331</v>
      </c>
    </row>
    <row r="26" spans="13:40" ht="23">
      <c r="M26" s="9" t="s">
        <v>2963</v>
      </c>
      <c r="N26" s="8" t="s">
        <v>1717</v>
      </c>
      <c r="O26" s="8"/>
      <c r="P26" s="8"/>
      <c r="Q26" s="8"/>
      <c r="R26" s="8"/>
      <c r="S26" s="8"/>
      <c r="T26" s="8"/>
      <c r="U26" s="8"/>
      <c r="V26" s="8"/>
      <c r="W26" s="9" t="s">
        <v>2963</v>
      </c>
      <c r="X26" s="8">
        <v>44.4</v>
      </c>
      <c r="Y26" s="8">
        <v>1.56</v>
      </c>
      <c r="Z26" s="9">
        <v>2.2400000000000002</v>
      </c>
      <c r="AA26" s="8">
        <v>1.3</v>
      </c>
      <c r="AB26" s="8">
        <v>69981</v>
      </c>
      <c r="AC26" s="22" t="s">
        <v>2963</v>
      </c>
      <c r="AD26" s="8" t="s">
        <v>4057</v>
      </c>
      <c r="AE26" s="8" t="s">
        <v>4083</v>
      </c>
      <c r="AF26" s="9">
        <f t="shared" si="0"/>
        <v>2.028</v>
      </c>
      <c r="AG26" s="9">
        <f t="shared" si="1"/>
        <v>3.12</v>
      </c>
      <c r="AH26" s="9">
        <f t="shared" si="2"/>
        <v>5.2288633255570732E-2</v>
      </c>
      <c r="AI26" s="9">
        <f t="shared" si="3"/>
        <v>2.7341011677355777E-3</v>
      </c>
      <c r="AJ26" s="9">
        <f t="shared" si="4"/>
        <v>3.7152614807625307E-2</v>
      </c>
      <c r="AK26" s="9">
        <f t="shared" si="5"/>
        <v>1.3803167870437792E-3</v>
      </c>
      <c r="AL26" s="9">
        <f t="shared" si="6"/>
        <v>0.10072883120656674</v>
      </c>
      <c r="AM26" s="9">
        <f t="shared" si="7"/>
        <v>1.0146297436241014E-2</v>
      </c>
      <c r="AN26" s="9" t="s">
        <v>2963</v>
      </c>
    </row>
    <row r="27" spans="13:40" ht="23">
      <c r="M27" s="9" t="s">
        <v>3234</v>
      </c>
      <c r="N27" s="8" t="s">
        <v>1902</v>
      </c>
      <c r="O27" s="8"/>
      <c r="P27" s="8"/>
      <c r="Q27" s="8"/>
      <c r="R27" s="8"/>
      <c r="S27" s="8"/>
      <c r="T27" s="8"/>
      <c r="U27" s="8"/>
      <c r="V27" s="8"/>
      <c r="W27" s="9" t="s">
        <v>3234</v>
      </c>
      <c r="X27" s="8">
        <v>75.92</v>
      </c>
      <c r="Y27" s="8">
        <v>1.18</v>
      </c>
      <c r="Z27" s="9">
        <v>2.04</v>
      </c>
      <c r="AA27" s="8">
        <v>1.3</v>
      </c>
      <c r="AB27" s="8">
        <v>45676</v>
      </c>
      <c r="AC27" s="22" t="s">
        <v>3234</v>
      </c>
      <c r="AD27" s="8" t="s">
        <v>4057</v>
      </c>
      <c r="AE27" s="8" t="s">
        <v>4083</v>
      </c>
      <c r="AF27" s="9">
        <f t="shared" si="0"/>
        <v>1.534</v>
      </c>
      <c r="AG27" s="9">
        <f t="shared" si="1"/>
        <v>2.686666666666667</v>
      </c>
      <c r="AH27" s="9">
        <f t="shared" si="2"/>
        <v>5.2288633255570732E-2</v>
      </c>
      <c r="AI27" s="9">
        <f t="shared" si="3"/>
        <v>2.7341011677355777E-3</v>
      </c>
      <c r="AJ27" s="9">
        <f t="shared" si="4"/>
        <v>2.8102618892947351E-2</v>
      </c>
      <c r="AK27" s="9">
        <f t="shared" si="5"/>
        <v>7.8975718864224135E-4</v>
      </c>
      <c r="AL27" s="9">
        <f t="shared" si="6"/>
        <v>8.6738715761210256E-2</v>
      </c>
      <c r="AM27" s="9">
        <f t="shared" si="7"/>
        <v>7.5236048119040246E-3</v>
      </c>
      <c r="AN27" s="9" t="s">
        <v>3234</v>
      </c>
    </row>
    <row r="28" spans="13:40" ht="23"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9"/>
      <c r="AA28" s="8">
        <f>SUBTOTAL(109,Table13632[ترافیک کل])</f>
        <v>2486.2000000000007</v>
      </c>
      <c r="AB28" s="8"/>
      <c r="AC28" s="21"/>
      <c r="AD28" s="8"/>
      <c r="AE28" s="8"/>
      <c r="AF28" s="9">
        <f>SUBTOTAL(109,Table13632[[مجموع صفحات  مشاهده شده   ]])</f>
        <v>5458.5659999999989</v>
      </c>
      <c r="AG28" s="9">
        <f>SUBTOTAL(109,Table13632[[مجموع زمان حضور در سایت ]])</f>
        <v>3097.4250000000002</v>
      </c>
      <c r="AH28" s="9">
        <f>SUBTOTAL(109,Table13632[سهم سایت از کل ترافیک طبقه بندی])</f>
        <v>99.999999999999957</v>
      </c>
      <c r="AI28" s="9">
        <f>SUBTOTAL(109,Table13632[شاخص هرفیندال هیرشمن (ترافیک)])</f>
        <v>1271.8163719932229</v>
      </c>
      <c r="AJ28" s="9">
        <f>SUBTOTAL(109,Table13632[سهم سایت از کل صفحات مشاهده شده در طبقه بندی])</f>
        <v>100.00000000000006</v>
      </c>
      <c r="AK28" s="9">
        <f>SUBTOTAL(109,Table13632[شاخص هرفیندال -هیرشمن (صفحات مشاهده شده )])</f>
        <v>1141.5827013056153</v>
      </c>
      <c r="AL28" s="9">
        <f>SUBTOTAL(109,Table13632[سهم سایت از کل زمان حضور در طبقه بندی])</f>
        <v>100.00000000000001</v>
      </c>
      <c r="AM28" s="9">
        <f>SUBTOTAL(109,Table13632[شاخص هرفیندال هیرشمن (زمان حضور)])</f>
        <v>1654.237501119396</v>
      </c>
      <c r="AN28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{A32808DB-5E75-40AD-86C8-2E9408D38585}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{38E56AE6-1804-4536-A8D9-3D25D969A25E}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{4BE5C0CE-BC47-477B-A76E-F900A92509F7}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{9FEFF38B-8C15-43CD-9D5C-03AA63E4185A}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{BD71013C-27D8-4B75-8446-5BAED0600F10}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{445D62AD-F874-4045-878F-5E72662571DA}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2808DB-5E75-40AD-86C8-2E9408D3858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8E56AE6-1804-4536-A8D9-3D25D969A25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4BE5C0CE-BC47-477B-A76E-F900A92509F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FEFF38B-8C15-43CD-9D5C-03AA63E4185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D71013C-27D8-4B75-8446-5BAED0600F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445D62AD-F874-4045-878F-5E72662571D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45"/>
  <sheetViews>
    <sheetView showGridLines="0" rightToLeft="1" topLeftCell="Z1" zoomScale="70" zoomScaleNormal="70" workbookViewId="0">
      <selection activeCell="AC45" sqref="AC45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1497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9" t="s">
        <v>1497</v>
      </c>
      <c r="X2" s="8">
        <v>8.94</v>
      </c>
      <c r="Y2" s="8">
        <v>2.08</v>
      </c>
      <c r="Z2" s="9">
        <v>0.35</v>
      </c>
      <c r="AA2" s="8">
        <v>254.5</v>
      </c>
      <c r="AB2" s="8">
        <v>4401</v>
      </c>
      <c r="AC2" s="22" t="s">
        <v>1497</v>
      </c>
      <c r="AD2" s="8" t="s">
        <v>3720</v>
      </c>
      <c r="AE2" s="8" t="s">
        <v>4083</v>
      </c>
      <c r="AF2" s="9">
        <f t="shared" ref="AF2:AF44" si="0">(AA2*Y2)</f>
        <v>529.36</v>
      </c>
      <c r="AG2" s="9">
        <f t="shared" ref="AG2:AG44" si="1">((((RIGHT(Z2,2))/60)+(LEFT(Z2,2)))*AA2)</f>
        <v>148.45833333333334</v>
      </c>
      <c r="AH2" s="9">
        <f t="shared" ref="AH2:AH44" si="2">(AA2/$AA$45)*100</f>
        <v>12.14797136038186</v>
      </c>
      <c r="AI2" s="9">
        <f t="shared" ref="AI2:AI44" si="3">(AH2*AH2)</f>
        <v>147.5732081726579</v>
      </c>
      <c r="AJ2" s="9">
        <f t="shared" ref="AJ2:AJ44" si="4">(AF2/$AF$45)*100</f>
        <v>7.8124607982299477</v>
      </c>
      <c r="AK2" s="9">
        <f t="shared" ref="AK2:AK44" si="5">(AJ2*AJ2)</f>
        <v>61.034543723879707</v>
      </c>
      <c r="AL2" s="9">
        <f t="shared" ref="AL2:AL44" si="6">(AG2/$AG$45)*100</f>
        <v>5.6209799265861848</v>
      </c>
      <c r="AM2" s="9">
        <f t="shared" ref="AM2:AM44" si="7">(AL2*AL2)</f>
        <v>31.59541533508483</v>
      </c>
      <c r="AN2" s="9" t="s">
        <v>1497</v>
      </c>
    </row>
    <row r="3" spans="8:40" ht="23">
      <c r="M3" s="8" t="s">
        <v>382</v>
      </c>
      <c r="N3" s="8" t="s">
        <v>150</v>
      </c>
      <c r="O3" s="8"/>
      <c r="P3" s="8" t="s">
        <v>3691</v>
      </c>
      <c r="Q3" s="8"/>
      <c r="R3" s="8"/>
      <c r="S3" s="8"/>
      <c r="T3" s="8"/>
      <c r="U3" s="8"/>
      <c r="V3" s="8"/>
      <c r="W3" s="8" t="s">
        <v>382</v>
      </c>
      <c r="X3" s="8">
        <v>19.46</v>
      </c>
      <c r="Y3" s="8">
        <v>8.42</v>
      </c>
      <c r="Z3" s="9">
        <v>2.0499999999999998</v>
      </c>
      <c r="AA3" s="8">
        <v>164.3</v>
      </c>
      <c r="AB3" s="8">
        <v>3819</v>
      </c>
      <c r="AC3" s="21" t="s">
        <v>382</v>
      </c>
      <c r="AD3" s="8" t="s">
        <v>3720</v>
      </c>
      <c r="AE3" s="8" t="s">
        <v>4083</v>
      </c>
      <c r="AF3" s="9">
        <f t="shared" si="0"/>
        <v>1383.4060000000002</v>
      </c>
      <c r="AG3" s="9">
        <f t="shared" si="1"/>
        <v>342.29166666666674</v>
      </c>
      <c r="AH3" s="9">
        <f t="shared" si="2"/>
        <v>7.8424821002386622</v>
      </c>
      <c r="AI3" s="9">
        <f t="shared" si="3"/>
        <v>61.504525492563815</v>
      </c>
      <c r="AJ3" s="9">
        <f t="shared" si="4"/>
        <v>20.41673935136032</v>
      </c>
      <c r="AK3" s="9">
        <f t="shared" si="5"/>
        <v>416.84324574138503</v>
      </c>
      <c r="AL3" s="9">
        <f t="shared" si="6"/>
        <v>12.959963541090518</v>
      </c>
      <c r="AM3" s="9">
        <f t="shared" si="7"/>
        <v>167.9606549863955</v>
      </c>
      <c r="AN3" s="8" t="s">
        <v>382</v>
      </c>
    </row>
    <row r="4" spans="8:40" ht="23">
      <c r="M4" s="9" t="s">
        <v>1827</v>
      </c>
      <c r="N4" s="8" t="s">
        <v>1814</v>
      </c>
      <c r="O4" s="8"/>
      <c r="P4" s="8"/>
      <c r="Q4" s="8"/>
      <c r="R4" s="8"/>
      <c r="S4" s="8"/>
      <c r="T4" s="8"/>
      <c r="U4" s="8"/>
      <c r="V4" s="8"/>
      <c r="W4" s="9" t="s">
        <v>1827</v>
      </c>
      <c r="X4" s="8">
        <v>52.03</v>
      </c>
      <c r="Y4" s="8">
        <v>1.05</v>
      </c>
      <c r="Z4" s="9">
        <v>0.02</v>
      </c>
      <c r="AA4" s="8">
        <v>133.19999999999999</v>
      </c>
      <c r="AB4" s="8">
        <v>42355</v>
      </c>
      <c r="AC4" s="22" t="s">
        <v>1827</v>
      </c>
      <c r="AD4" s="8" t="s">
        <v>3720</v>
      </c>
      <c r="AE4" s="8" t="s">
        <v>4083</v>
      </c>
      <c r="AF4" s="9">
        <f t="shared" si="0"/>
        <v>139.85999999999999</v>
      </c>
      <c r="AG4" s="9">
        <f t="shared" si="1"/>
        <v>4.4399999999999995</v>
      </c>
      <c r="AH4" s="9">
        <f t="shared" si="2"/>
        <v>6.3579952267303081</v>
      </c>
      <c r="AI4" s="9">
        <f t="shared" si="3"/>
        <v>40.424103303125385</v>
      </c>
      <c r="AJ4" s="9">
        <f t="shared" si="4"/>
        <v>2.0640977165642291</v>
      </c>
      <c r="AK4" s="9">
        <f t="shared" si="5"/>
        <v>4.2604993835256648</v>
      </c>
      <c r="AL4" s="9">
        <f t="shared" si="6"/>
        <v>0.16810879061942852</v>
      </c>
      <c r="AM4" s="9">
        <f t="shared" si="7"/>
        <v>2.8260565483526859E-2</v>
      </c>
      <c r="AN4" s="9" t="s">
        <v>1827</v>
      </c>
    </row>
    <row r="5" spans="8:40" ht="23">
      <c r="M5" s="9" t="s">
        <v>314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9" t="s">
        <v>314</v>
      </c>
      <c r="X5" s="8">
        <v>1.1200000000000001</v>
      </c>
      <c r="Y5" s="8">
        <v>2.13</v>
      </c>
      <c r="Z5" s="9">
        <v>0.32</v>
      </c>
      <c r="AA5" s="8">
        <v>130.9</v>
      </c>
      <c r="AB5" s="8">
        <v>9921</v>
      </c>
      <c r="AC5" s="22" t="s">
        <v>314</v>
      </c>
      <c r="AD5" s="8" t="s">
        <v>3720</v>
      </c>
      <c r="AE5" s="8" t="s">
        <v>4083</v>
      </c>
      <c r="AF5" s="9">
        <f t="shared" si="0"/>
        <v>278.81700000000001</v>
      </c>
      <c r="AG5" s="9">
        <f t="shared" si="1"/>
        <v>69.813333333333333</v>
      </c>
      <c r="AH5" s="9">
        <f t="shared" si="2"/>
        <v>6.2482100238663474</v>
      </c>
      <c r="AI5" s="9">
        <f t="shared" si="3"/>
        <v>39.040128502343904</v>
      </c>
      <c r="AJ5" s="9">
        <f t="shared" si="4"/>
        <v>4.1148686760995909</v>
      </c>
      <c r="AK5" s="9">
        <f t="shared" si="5"/>
        <v>16.932144221545599</v>
      </c>
      <c r="AL5" s="9">
        <f t="shared" si="6"/>
        <v>2.6432961792292127</v>
      </c>
      <c r="AM5" s="9">
        <f t="shared" si="7"/>
        <v>6.9870146911277544</v>
      </c>
      <c r="AN5" s="9" t="s">
        <v>314</v>
      </c>
    </row>
    <row r="6" spans="8:40" ht="23">
      <c r="M6" s="8" t="s">
        <v>263</v>
      </c>
      <c r="N6" s="8" t="s">
        <v>150</v>
      </c>
      <c r="O6" s="8"/>
      <c r="P6" s="8" t="s">
        <v>3691</v>
      </c>
      <c r="Q6" s="8"/>
      <c r="R6" s="8"/>
      <c r="S6" s="8"/>
      <c r="T6" s="8"/>
      <c r="U6" s="8"/>
      <c r="V6" s="8"/>
      <c r="W6" s="8" t="s">
        <v>263</v>
      </c>
      <c r="X6" s="8">
        <v>24.83</v>
      </c>
      <c r="Y6" s="8">
        <v>2.4700000000000002</v>
      </c>
      <c r="Z6" s="9">
        <v>1.37</v>
      </c>
      <c r="AA6" s="8">
        <v>128.30000000000001</v>
      </c>
      <c r="AB6" s="8">
        <v>3661</v>
      </c>
      <c r="AC6" s="21" t="s">
        <v>263</v>
      </c>
      <c r="AD6" s="8" t="s">
        <v>3720</v>
      </c>
      <c r="AE6" s="8" t="s">
        <v>4083</v>
      </c>
      <c r="AF6" s="9">
        <f t="shared" si="0"/>
        <v>316.90100000000007</v>
      </c>
      <c r="AG6" s="9">
        <f t="shared" si="1"/>
        <v>207.41833333333335</v>
      </c>
      <c r="AH6" s="9">
        <f t="shared" si="2"/>
        <v>6.1241050119331737</v>
      </c>
      <c r="AI6" s="9">
        <f t="shared" si="3"/>
        <v>37.50466219718502</v>
      </c>
      <c r="AJ6" s="9">
        <f t="shared" si="4"/>
        <v>4.6769242848342696</v>
      </c>
      <c r="AK6" s="9">
        <f t="shared" si="5"/>
        <v>21.873620766072545</v>
      </c>
      <c r="AL6" s="9">
        <f t="shared" si="6"/>
        <v>7.8533435065234611</v>
      </c>
      <c r="AM6" s="9">
        <f t="shared" si="7"/>
        <v>61.67500423145421</v>
      </c>
      <c r="AN6" s="8" t="s">
        <v>263</v>
      </c>
    </row>
    <row r="7" spans="8:40" ht="23">
      <c r="M7" s="8" t="s">
        <v>343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343</v>
      </c>
      <c r="X7" s="8">
        <v>23.61</v>
      </c>
      <c r="Y7" s="8">
        <v>4.59</v>
      </c>
      <c r="Z7" s="9">
        <v>3.15</v>
      </c>
      <c r="AA7" s="8">
        <v>121.9</v>
      </c>
      <c r="AB7" s="8">
        <v>5907</v>
      </c>
      <c r="AC7" s="21" t="s">
        <v>343</v>
      </c>
      <c r="AD7" s="8" t="s">
        <v>3720</v>
      </c>
      <c r="AE7" s="8" t="s">
        <v>4083</v>
      </c>
      <c r="AF7" s="9">
        <f t="shared" si="0"/>
        <v>559.52099999999996</v>
      </c>
      <c r="AG7" s="9">
        <f t="shared" si="1"/>
        <v>396.17500000000001</v>
      </c>
      <c r="AH7" s="9">
        <f t="shared" si="2"/>
        <v>5.8186157517899755</v>
      </c>
      <c r="AI7" s="9">
        <f t="shared" si="3"/>
        <v>33.856289266978422</v>
      </c>
      <c r="AJ7" s="9">
        <f t="shared" si="4"/>
        <v>8.2575862896448893</v>
      </c>
      <c r="AK7" s="9">
        <f t="shared" si="5"/>
        <v>68.187731330931243</v>
      </c>
      <c r="AL7" s="9">
        <f t="shared" si="6"/>
        <v>15.000112640462184</v>
      </c>
      <c r="AM7" s="9">
        <f t="shared" si="7"/>
        <v>225.00337922655339</v>
      </c>
      <c r="AN7" s="8" t="s">
        <v>343</v>
      </c>
    </row>
    <row r="8" spans="8:40" ht="23">
      <c r="M8" s="9" t="s">
        <v>3642</v>
      </c>
      <c r="N8" s="8" t="s">
        <v>2100</v>
      </c>
      <c r="O8" s="8"/>
      <c r="P8" s="8" t="s">
        <v>3702</v>
      </c>
      <c r="Q8" s="8"/>
      <c r="R8" s="8"/>
      <c r="S8" s="8"/>
      <c r="T8" s="8"/>
      <c r="U8" s="8"/>
      <c r="V8" s="8"/>
      <c r="W8" s="9" t="s">
        <v>3642</v>
      </c>
      <c r="X8" s="8">
        <v>38.369999999999997</v>
      </c>
      <c r="Y8" s="8">
        <v>1.46</v>
      </c>
      <c r="Z8" s="9">
        <v>0.23</v>
      </c>
      <c r="AA8" s="8">
        <v>115.2</v>
      </c>
      <c r="AB8" s="8">
        <v>9274</v>
      </c>
      <c r="AC8" s="22" t="s">
        <v>3642</v>
      </c>
      <c r="AD8" s="8" t="s">
        <v>3720</v>
      </c>
      <c r="AE8" s="8" t="s">
        <v>4083</v>
      </c>
      <c r="AF8" s="9">
        <f t="shared" si="0"/>
        <v>168.19200000000001</v>
      </c>
      <c r="AG8" s="9">
        <f t="shared" si="1"/>
        <v>44.160000000000004</v>
      </c>
      <c r="AH8" s="9">
        <f t="shared" si="2"/>
        <v>5.4988066825775643</v>
      </c>
      <c r="AI8" s="9">
        <f t="shared" si="3"/>
        <v>30.236874932359679</v>
      </c>
      <c r="AJ8" s="9">
        <f t="shared" si="4"/>
        <v>2.4822302527125046</v>
      </c>
      <c r="AK8" s="9">
        <f t="shared" si="5"/>
        <v>6.1614670274811845</v>
      </c>
      <c r="AL8" s="9">
        <f t="shared" si="6"/>
        <v>1.672000944539181</v>
      </c>
      <c r="AM8" s="9">
        <f t="shared" si="7"/>
        <v>2.7955871585399135</v>
      </c>
      <c r="AN8" s="9" t="s">
        <v>3642</v>
      </c>
    </row>
    <row r="9" spans="8:40" ht="23">
      <c r="M9" s="9" t="s">
        <v>930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9" t="s">
        <v>930</v>
      </c>
      <c r="X9" s="8">
        <v>17.079999999999998</v>
      </c>
      <c r="Y9" s="8">
        <v>3.43</v>
      </c>
      <c r="Z9" s="9">
        <v>0.45</v>
      </c>
      <c r="AA9" s="8">
        <v>98.2</v>
      </c>
      <c r="AB9" s="8">
        <v>9469</v>
      </c>
      <c r="AC9" s="22" t="s">
        <v>930</v>
      </c>
      <c r="AD9" s="8" t="s">
        <v>3720</v>
      </c>
      <c r="AE9" s="8" t="s">
        <v>4083</v>
      </c>
      <c r="AF9" s="9">
        <f t="shared" si="0"/>
        <v>336.82600000000002</v>
      </c>
      <c r="AG9" s="9">
        <f t="shared" si="1"/>
        <v>73.650000000000006</v>
      </c>
      <c r="AH9" s="9">
        <f t="shared" si="2"/>
        <v>4.6873508353221949</v>
      </c>
      <c r="AI9" s="9">
        <f t="shared" si="3"/>
        <v>21.971257853395677</v>
      </c>
      <c r="AJ9" s="9">
        <f t="shared" si="4"/>
        <v>4.970983679961841</v>
      </c>
      <c r="AK9" s="9">
        <f t="shared" si="5"/>
        <v>24.710678746446966</v>
      </c>
      <c r="AL9" s="9">
        <f t="shared" si="6"/>
        <v>2.7885613579101154</v>
      </c>
      <c r="AM9" s="9">
        <f t="shared" si="7"/>
        <v>7.7760744468295071</v>
      </c>
      <c r="AN9" s="9" t="s">
        <v>930</v>
      </c>
    </row>
    <row r="10" spans="8:40" ht="23">
      <c r="M10" s="9" t="s">
        <v>1527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9" t="s">
        <v>1527</v>
      </c>
      <c r="X10" s="8">
        <v>26.99</v>
      </c>
      <c r="Y10" s="8">
        <v>1.72</v>
      </c>
      <c r="Z10" s="9">
        <v>0.48</v>
      </c>
      <c r="AA10" s="8">
        <v>97.3</v>
      </c>
      <c r="AB10" s="8">
        <v>4929</v>
      </c>
      <c r="AC10" s="22" t="s">
        <v>1527</v>
      </c>
      <c r="AD10" s="8" t="s">
        <v>3720</v>
      </c>
      <c r="AE10" s="8" t="s">
        <v>4083</v>
      </c>
      <c r="AF10" s="9">
        <f t="shared" si="0"/>
        <v>167.35599999999999</v>
      </c>
      <c r="AG10" s="9">
        <f t="shared" si="1"/>
        <v>77.84</v>
      </c>
      <c r="AH10" s="9">
        <f t="shared" si="2"/>
        <v>4.644391408114557</v>
      </c>
      <c r="AI10" s="9">
        <f t="shared" si="3"/>
        <v>21.570371551768318</v>
      </c>
      <c r="AJ10" s="9">
        <f t="shared" si="4"/>
        <v>2.4698923026835633</v>
      </c>
      <c r="AK10" s="9">
        <f t="shared" si="5"/>
        <v>6.100367986855515</v>
      </c>
      <c r="AL10" s="9">
        <f t="shared" si="6"/>
        <v>2.9472045634721433</v>
      </c>
      <c r="AM10" s="9">
        <f t="shared" si="7"/>
        <v>8.6860147389510267</v>
      </c>
      <c r="AN10" s="9" t="s">
        <v>1527</v>
      </c>
    </row>
    <row r="11" spans="8:40" ht="23">
      <c r="M11" s="9" t="s">
        <v>3273</v>
      </c>
      <c r="N11" s="8" t="s">
        <v>1902</v>
      </c>
      <c r="O11" s="8"/>
      <c r="P11" s="8" t="s">
        <v>3691</v>
      </c>
      <c r="Q11" s="8"/>
      <c r="R11" s="8"/>
      <c r="S11" s="8"/>
      <c r="T11" s="8"/>
      <c r="U11" s="8"/>
      <c r="V11" s="8"/>
      <c r="W11" s="9" t="s">
        <v>3273</v>
      </c>
      <c r="X11" s="8">
        <v>28.36</v>
      </c>
      <c r="Y11" s="8">
        <v>1.73</v>
      </c>
      <c r="Z11" s="9">
        <v>0.25</v>
      </c>
      <c r="AA11" s="8">
        <v>84.2</v>
      </c>
      <c r="AB11" s="8">
        <v>15628</v>
      </c>
      <c r="AC11" s="22" t="s">
        <v>3273</v>
      </c>
      <c r="AD11" s="8" t="s">
        <v>3720</v>
      </c>
      <c r="AE11" s="8" t="s">
        <v>4083</v>
      </c>
      <c r="AF11" s="9">
        <f t="shared" si="0"/>
        <v>145.666</v>
      </c>
      <c r="AG11" s="9">
        <f t="shared" si="1"/>
        <v>35.083333333333336</v>
      </c>
      <c r="AH11" s="9">
        <f t="shared" si="2"/>
        <v>4.0190930787589494</v>
      </c>
      <c r="AI11" s="9">
        <f t="shared" si="3"/>
        <v>16.15310917572809</v>
      </c>
      <c r="AJ11" s="9">
        <f t="shared" si="4"/>
        <v>2.149784484348956</v>
      </c>
      <c r="AK11" s="9">
        <f t="shared" si="5"/>
        <v>4.6215733291475063</v>
      </c>
      <c r="AL11" s="9">
        <f t="shared" si="6"/>
        <v>1.3283371030551692</v>
      </c>
      <c r="AM11" s="9">
        <f t="shared" si="7"/>
        <v>1.7644794593529991</v>
      </c>
      <c r="AN11" s="9" t="s">
        <v>3273</v>
      </c>
    </row>
    <row r="12" spans="8:40" ht="23">
      <c r="M12" s="9" t="s">
        <v>1419</v>
      </c>
      <c r="N12" s="8" t="s">
        <v>150</v>
      </c>
      <c r="O12" s="8"/>
      <c r="P12" s="8" t="s">
        <v>3693</v>
      </c>
      <c r="Q12" s="8"/>
      <c r="R12" s="8"/>
      <c r="S12" s="8"/>
      <c r="T12" s="8"/>
      <c r="U12" s="8"/>
      <c r="V12" s="8"/>
      <c r="W12" s="9" t="s">
        <v>1419</v>
      </c>
      <c r="X12" s="8">
        <v>20.55</v>
      </c>
      <c r="Y12" s="8">
        <v>5.2</v>
      </c>
      <c r="Z12" s="9">
        <v>1.1599999999999999</v>
      </c>
      <c r="AA12" s="8">
        <v>76.400000000000006</v>
      </c>
      <c r="AB12" s="8">
        <v>11359</v>
      </c>
      <c r="AC12" s="22" t="s">
        <v>1419</v>
      </c>
      <c r="AD12" s="8" t="s">
        <v>3720</v>
      </c>
      <c r="AE12" s="8" t="s">
        <v>4083</v>
      </c>
      <c r="AF12" s="9">
        <f t="shared" si="0"/>
        <v>397.28000000000003</v>
      </c>
      <c r="AG12" s="9">
        <f t="shared" si="1"/>
        <v>96.773333333333341</v>
      </c>
      <c r="AH12" s="9">
        <f t="shared" si="2"/>
        <v>3.646778042959427</v>
      </c>
      <c r="AI12" s="9">
        <f t="shared" si="3"/>
        <v>13.298990094610989</v>
      </c>
      <c r="AJ12" s="9">
        <f t="shared" si="4"/>
        <v>5.8631827601647153</v>
      </c>
      <c r="AK12" s="9">
        <f t="shared" si="5"/>
        <v>34.376912079092726</v>
      </c>
      <c r="AL12" s="9">
        <f t="shared" si="6"/>
        <v>3.6640648718192557</v>
      </c>
      <c r="AM12" s="9">
        <f t="shared" si="7"/>
        <v>13.425371384899858</v>
      </c>
      <c r="AN12" s="9" t="s">
        <v>1419</v>
      </c>
    </row>
    <row r="13" spans="8:40" ht="23">
      <c r="M13" s="25" t="s">
        <v>5113</v>
      </c>
      <c r="N13" s="8" t="s">
        <v>150</v>
      </c>
      <c r="O13" s="24"/>
      <c r="P13" s="24"/>
      <c r="Q13" s="24"/>
      <c r="R13" s="24"/>
      <c r="S13" s="24"/>
      <c r="T13" s="24"/>
      <c r="U13" s="24"/>
      <c r="V13" s="24"/>
      <c r="W13" s="25" t="s">
        <v>5113</v>
      </c>
      <c r="X13" s="24">
        <v>27.91</v>
      </c>
      <c r="Y13" s="24">
        <v>1.17</v>
      </c>
      <c r="Z13" s="25">
        <v>7.0000000000000007E-2</v>
      </c>
      <c r="AA13" s="24">
        <v>68.099999999999994</v>
      </c>
      <c r="AB13" s="24">
        <v>23199</v>
      </c>
      <c r="AC13" s="22" t="s">
        <v>5113</v>
      </c>
      <c r="AD13" s="8" t="s">
        <v>3720</v>
      </c>
      <c r="AE13" s="8" t="s">
        <v>4083</v>
      </c>
      <c r="AF13" s="25">
        <f t="shared" si="0"/>
        <v>79.676999999999992</v>
      </c>
      <c r="AG13" s="25">
        <f t="shared" si="1"/>
        <v>7.9449999999999994</v>
      </c>
      <c r="AH13" s="25">
        <f t="shared" si="2"/>
        <v>3.2505966587112161</v>
      </c>
      <c r="AI13" s="25">
        <f t="shared" si="3"/>
        <v>10.566378637624522</v>
      </c>
      <c r="AJ13" s="9">
        <f t="shared" si="4"/>
        <v>1.175898139301359</v>
      </c>
      <c r="AK13" s="25">
        <f t="shared" si="5"/>
        <v>1.3827364340123982</v>
      </c>
      <c r="AL13" s="9">
        <f t="shared" si="6"/>
        <v>0.30081629312418007</v>
      </c>
      <c r="AM13" s="25">
        <f t="shared" si="7"/>
        <v>9.0490442208972621E-2</v>
      </c>
      <c r="AN13" s="25" t="s">
        <v>5113</v>
      </c>
    </row>
    <row r="14" spans="8:40" ht="23">
      <c r="M14" s="9" t="s">
        <v>240</v>
      </c>
      <c r="N14" s="8" t="s">
        <v>150</v>
      </c>
      <c r="O14" s="8"/>
      <c r="P14" s="8" t="s">
        <v>3691</v>
      </c>
      <c r="Q14" s="8"/>
      <c r="R14" s="8"/>
      <c r="S14" s="8"/>
      <c r="T14" s="8"/>
      <c r="U14" s="8"/>
      <c r="V14" s="8"/>
      <c r="W14" s="9" t="s">
        <v>240</v>
      </c>
      <c r="X14" s="8">
        <v>25.74</v>
      </c>
      <c r="Y14" s="8">
        <v>1.49</v>
      </c>
      <c r="Z14" s="9">
        <v>0.22</v>
      </c>
      <c r="AA14" s="8">
        <v>66.3</v>
      </c>
      <c r="AB14" s="8">
        <v>9670</v>
      </c>
      <c r="AC14" s="22" t="s">
        <v>240</v>
      </c>
      <c r="AD14" s="8" t="s">
        <v>3720</v>
      </c>
      <c r="AE14" s="8" t="s">
        <v>4083</v>
      </c>
      <c r="AF14" s="9">
        <f t="shared" si="0"/>
        <v>98.786999999999992</v>
      </c>
      <c r="AG14" s="9">
        <f t="shared" si="1"/>
        <v>24.31</v>
      </c>
      <c r="AH14" s="9">
        <f t="shared" si="2"/>
        <v>3.164677804295942</v>
      </c>
      <c r="AI14" s="9">
        <f t="shared" si="3"/>
        <v>10.015185605003385</v>
      </c>
      <c r="AJ14" s="9">
        <f t="shared" si="4"/>
        <v>1.457929508982057</v>
      </c>
      <c r="AK14" s="9">
        <f t="shared" si="5"/>
        <v>2.1255584531606617</v>
      </c>
      <c r="AL14" s="9">
        <f t="shared" si="6"/>
        <v>0.92043349098160065</v>
      </c>
      <c r="AM14" s="9">
        <f t="shared" si="7"/>
        <v>0.84719781132057637</v>
      </c>
      <c r="AN14" s="9" t="s">
        <v>240</v>
      </c>
    </row>
    <row r="15" spans="8:40" ht="23">
      <c r="M15" s="9" t="s">
        <v>2925</v>
      </c>
      <c r="N15" s="8" t="s">
        <v>1717</v>
      </c>
      <c r="O15" s="8"/>
      <c r="P15" s="8"/>
      <c r="Q15" s="8"/>
      <c r="R15" s="8"/>
      <c r="S15" s="8"/>
      <c r="T15" s="8"/>
      <c r="U15" s="8"/>
      <c r="V15" s="8"/>
      <c r="W15" s="9" t="s">
        <v>2925</v>
      </c>
      <c r="X15" s="8">
        <v>3.64</v>
      </c>
      <c r="Y15" s="8">
        <v>3.83</v>
      </c>
      <c r="Z15" s="9">
        <v>5.3</v>
      </c>
      <c r="AA15" s="8">
        <v>61</v>
      </c>
      <c r="AB15" s="8">
        <v>20061</v>
      </c>
      <c r="AC15" s="22" t="s">
        <v>2925</v>
      </c>
      <c r="AD15" s="8" t="s">
        <v>3720</v>
      </c>
      <c r="AE15" s="8" t="s">
        <v>4083</v>
      </c>
      <c r="AF15" s="9">
        <f t="shared" si="0"/>
        <v>233.63</v>
      </c>
      <c r="AG15" s="9">
        <f t="shared" si="1"/>
        <v>305.30500000000001</v>
      </c>
      <c r="AH15" s="9">
        <f t="shared" si="2"/>
        <v>2.911694510739856</v>
      </c>
      <c r="AI15" s="9">
        <f t="shared" si="3"/>
        <v>8.4779649238726087</v>
      </c>
      <c r="AJ15" s="9">
        <f t="shared" si="4"/>
        <v>3.4479847670592081</v>
      </c>
      <c r="AK15" s="9">
        <f t="shared" si="5"/>
        <v>11.888598953872341</v>
      </c>
      <c r="AL15" s="9">
        <f t="shared" si="6"/>
        <v>11.559561783798339</v>
      </c>
      <c r="AM15" s="9">
        <f t="shared" si="7"/>
        <v>133.62346863345104</v>
      </c>
      <c r="AN15" s="9" t="s">
        <v>2925</v>
      </c>
    </row>
    <row r="16" spans="8:40" ht="23">
      <c r="M16" s="9" t="s">
        <v>3292</v>
      </c>
      <c r="N16" s="8" t="s">
        <v>1939</v>
      </c>
      <c r="O16" s="8"/>
      <c r="P16" s="8"/>
      <c r="Q16" s="8"/>
      <c r="R16" s="8"/>
      <c r="S16" s="8"/>
      <c r="T16" s="8"/>
      <c r="U16" s="8"/>
      <c r="V16" s="8"/>
      <c r="W16" s="9" t="s">
        <v>3292</v>
      </c>
      <c r="X16" s="8">
        <v>2.2999999999999998</v>
      </c>
      <c r="Y16" s="8">
        <v>3.06</v>
      </c>
      <c r="Z16" s="9">
        <v>0.57999999999999996</v>
      </c>
      <c r="AA16" s="8">
        <v>60.4</v>
      </c>
      <c r="AB16" s="8">
        <v>14933</v>
      </c>
      <c r="AC16" s="22" t="s">
        <v>3292</v>
      </c>
      <c r="AD16" s="8" t="s">
        <v>3720</v>
      </c>
      <c r="AE16" s="8" t="s">
        <v>4083</v>
      </c>
      <c r="AF16" s="9">
        <f t="shared" si="0"/>
        <v>184.82400000000001</v>
      </c>
      <c r="AG16" s="9">
        <f t="shared" si="1"/>
        <v>58.386666666666663</v>
      </c>
      <c r="AH16" s="9">
        <f t="shared" si="2"/>
        <v>2.883054892601431</v>
      </c>
      <c r="AI16" s="9">
        <f t="shared" si="3"/>
        <v>8.3120055137530482</v>
      </c>
      <c r="AJ16" s="9">
        <f t="shared" si="4"/>
        <v>2.7276905217093321</v>
      </c>
      <c r="AK16" s="9">
        <f t="shared" si="5"/>
        <v>7.4402955822229284</v>
      </c>
      <c r="AL16" s="9">
        <f t="shared" si="6"/>
        <v>2.2106558382056383</v>
      </c>
      <c r="AM16" s="9">
        <f t="shared" si="7"/>
        <v>4.8869992349926727</v>
      </c>
      <c r="AN16" s="9" t="s">
        <v>3292</v>
      </c>
    </row>
    <row r="17" spans="13:40" ht="23">
      <c r="M17" s="9" t="s">
        <v>2435</v>
      </c>
      <c r="N17" s="8" t="s">
        <v>150</v>
      </c>
      <c r="O17" s="8"/>
      <c r="P17" s="8" t="s">
        <v>3691</v>
      </c>
      <c r="Q17" s="8"/>
      <c r="R17" s="8"/>
      <c r="S17" s="8"/>
      <c r="T17" s="8"/>
      <c r="U17" s="8"/>
      <c r="V17" s="8"/>
      <c r="W17" s="9" t="s">
        <v>2435</v>
      </c>
      <c r="X17" s="8">
        <v>2.0499999999999998</v>
      </c>
      <c r="Y17" s="8">
        <v>2.39</v>
      </c>
      <c r="Z17" s="9">
        <v>0.31</v>
      </c>
      <c r="AA17" s="8">
        <v>54</v>
      </c>
      <c r="AB17" s="8">
        <v>17755</v>
      </c>
      <c r="AC17" s="22" t="s">
        <v>2435</v>
      </c>
      <c r="AD17" s="8" t="s">
        <v>3720</v>
      </c>
      <c r="AE17" s="8" t="s">
        <v>4083</v>
      </c>
      <c r="AF17" s="9">
        <f t="shared" si="0"/>
        <v>129.06</v>
      </c>
      <c r="AG17" s="9">
        <f t="shared" si="1"/>
        <v>27.900000000000002</v>
      </c>
      <c r="AH17" s="9">
        <f t="shared" si="2"/>
        <v>2.5775656324582332</v>
      </c>
      <c r="AI17" s="9">
        <f t="shared" si="3"/>
        <v>6.6438445896298122</v>
      </c>
      <c r="AJ17" s="9">
        <f t="shared" si="4"/>
        <v>1.9047079315013544</v>
      </c>
      <c r="AK17" s="9">
        <f t="shared" si="5"/>
        <v>3.6279123043241683</v>
      </c>
      <c r="AL17" s="9">
        <f t="shared" si="6"/>
        <v>1.0563592924058685</v>
      </c>
      <c r="AM17" s="9">
        <f t="shared" si="7"/>
        <v>1.115894954652227</v>
      </c>
      <c r="AN17" s="9" t="s">
        <v>2435</v>
      </c>
    </row>
    <row r="18" spans="13:40" ht="23">
      <c r="M18" s="9" t="s">
        <v>4958</v>
      </c>
      <c r="N18" s="8" t="s">
        <v>1717</v>
      </c>
      <c r="O18" s="8"/>
      <c r="P18" s="8"/>
      <c r="Q18" s="8"/>
      <c r="R18" s="8"/>
      <c r="S18" s="8"/>
      <c r="T18" s="8"/>
      <c r="U18" s="8"/>
      <c r="V18" s="8"/>
      <c r="W18" s="9" t="s">
        <v>4958</v>
      </c>
      <c r="X18" s="8">
        <v>39.979999999999997</v>
      </c>
      <c r="Y18" s="8">
        <v>1.29</v>
      </c>
      <c r="Z18" s="9">
        <v>0.1</v>
      </c>
      <c r="AA18" s="8">
        <v>51.1</v>
      </c>
      <c r="AB18" s="8">
        <v>28005</v>
      </c>
      <c r="AC18" s="22" t="s">
        <v>4958</v>
      </c>
      <c r="AD18" s="8" t="s">
        <v>3720</v>
      </c>
      <c r="AE18" s="8" t="s">
        <v>4083</v>
      </c>
      <c r="AF18" s="9">
        <f t="shared" si="0"/>
        <v>65.918999999999997</v>
      </c>
      <c r="AG18" s="9">
        <f t="shared" si="1"/>
        <v>8.5166666666666668E-2</v>
      </c>
      <c r="AH18" s="9">
        <f t="shared" si="2"/>
        <v>2.4391408114558466</v>
      </c>
      <c r="AI18" s="9">
        <f t="shared" si="3"/>
        <v>5.9494078981094862</v>
      </c>
      <c r="AJ18" s="9">
        <f t="shared" si="4"/>
        <v>0.97285326310737474</v>
      </c>
      <c r="AK18" s="9">
        <f t="shared" si="5"/>
        <v>0.94644347153866693</v>
      </c>
      <c r="AL18" s="9">
        <f t="shared" si="6"/>
        <v>3.2246093095543537E-3</v>
      </c>
      <c r="AM18" s="9">
        <f t="shared" si="7"/>
        <v>1.0398105199264606E-5</v>
      </c>
      <c r="AN18" s="9" t="s">
        <v>4958</v>
      </c>
    </row>
    <row r="19" spans="13:40" ht="23">
      <c r="M19" s="9" t="s">
        <v>2735</v>
      </c>
      <c r="N19" s="8" t="s">
        <v>1614</v>
      </c>
      <c r="O19" s="8"/>
      <c r="P19" s="8" t="s">
        <v>3691</v>
      </c>
      <c r="Q19" s="8"/>
      <c r="R19" s="8"/>
      <c r="S19" s="8"/>
      <c r="T19" s="8"/>
      <c r="U19" s="8"/>
      <c r="V19" s="8"/>
      <c r="W19" s="9" t="s">
        <v>2735</v>
      </c>
      <c r="X19" s="8">
        <v>8.4700000000000006</v>
      </c>
      <c r="Y19" s="8">
        <v>11.05</v>
      </c>
      <c r="Z19" s="9">
        <v>1.0900000000000001</v>
      </c>
      <c r="AA19" s="8">
        <v>51</v>
      </c>
      <c r="AB19" s="8">
        <v>6991</v>
      </c>
      <c r="AC19" s="22" t="s">
        <v>2735</v>
      </c>
      <c r="AD19" s="8" t="s">
        <v>3720</v>
      </c>
      <c r="AE19" s="8" t="s">
        <v>4083</v>
      </c>
      <c r="AF19" s="9">
        <f t="shared" si="0"/>
        <v>563.55000000000007</v>
      </c>
      <c r="AG19" s="9">
        <f t="shared" si="1"/>
        <v>58.65</v>
      </c>
      <c r="AH19" s="9">
        <f t="shared" si="2"/>
        <v>2.4343675417661093</v>
      </c>
      <c r="AI19" s="9">
        <f t="shared" si="3"/>
        <v>5.9261453284043695</v>
      </c>
      <c r="AJ19" s="9">
        <f t="shared" si="4"/>
        <v>8.3170475344614019</v>
      </c>
      <c r="AK19" s="9">
        <f t="shared" si="5"/>
        <v>69.173279690490489</v>
      </c>
      <c r="AL19" s="9">
        <f t="shared" si="6"/>
        <v>2.2206262544661</v>
      </c>
      <c r="AM19" s="9">
        <f t="shared" si="7"/>
        <v>4.9311809620241398</v>
      </c>
      <c r="AN19" s="9" t="s">
        <v>2735</v>
      </c>
    </row>
    <row r="20" spans="13:40" ht="23">
      <c r="M20" s="9" t="s">
        <v>497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9" t="s">
        <v>497</v>
      </c>
      <c r="X20" s="8">
        <v>57.95</v>
      </c>
      <c r="Y20" s="8">
        <v>1.96</v>
      </c>
      <c r="Z20" s="9">
        <v>0.42</v>
      </c>
      <c r="AA20" s="8">
        <v>46.1</v>
      </c>
      <c r="AB20" s="8">
        <v>13806</v>
      </c>
      <c r="AC20" s="22" t="s">
        <v>497</v>
      </c>
      <c r="AD20" s="8" t="s">
        <v>3720</v>
      </c>
      <c r="AE20" s="8" t="s">
        <v>4083</v>
      </c>
      <c r="AF20" s="9">
        <f t="shared" si="0"/>
        <v>90.355999999999995</v>
      </c>
      <c r="AG20" s="9">
        <f t="shared" si="1"/>
        <v>32.269999999999996</v>
      </c>
      <c r="AH20" s="9">
        <f t="shared" si="2"/>
        <v>2.2004773269689735</v>
      </c>
      <c r="AI20" s="9">
        <f t="shared" si="3"/>
        <v>4.8421004665045189</v>
      </c>
      <c r="AJ20" s="9">
        <f t="shared" si="4"/>
        <v>1.3335021684389925</v>
      </c>
      <c r="AK20" s="9">
        <f t="shared" si="5"/>
        <v>1.778228033231495</v>
      </c>
      <c r="AL20" s="9">
        <f t="shared" si="6"/>
        <v>1.2218177192092248</v>
      </c>
      <c r="AM20" s="9">
        <f t="shared" si="7"/>
        <v>1.4928385389736321</v>
      </c>
      <c r="AN20" s="9" t="s">
        <v>497</v>
      </c>
    </row>
    <row r="21" spans="13:40" ht="23">
      <c r="M21" s="9" t="s">
        <v>3086</v>
      </c>
      <c r="N21" s="8" t="s">
        <v>1814</v>
      </c>
      <c r="O21" s="8"/>
      <c r="P21" s="8"/>
      <c r="Q21" s="8"/>
      <c r="R21" s="8"/>
      <c r="S21" s="8"/>
      <c r="T21" s="8"/>
      <c r="U21" s="8"/>
      <c r="V21" s="8"/>
      <c r="W21" s="9" t="s">
        <v>3086</v>
      </c>
      <c r="X21" s="8">
        <v>6</v>
      </c>
      <c r="Y21" s="8">
        <v>2.1</v>
      </c>
      <c r="Z21" s="9">
        <v>0.27</v>
      </c>
      <c r="AA21" s="8">
        <v>42.9</v>
      </c>
      <c r="AB21" s="8">
        <v>22440</v>
      </c>
      <c r="AC21" s="22" t="s">
        <v>3086</v>
      </c>
      <c r="AD21" s="8" t="s">
        <v>3720</v>
      </c>
      <c r="AE21" s="8" t="s">
        <v>4083</v>
      </c>
      <c r="AF21" s="9">
        <f t="shared" si="0"/>
        <v>90.09</v>
      </c>
      <c r="AG21" s="9">
        <f t="shared" si="1"/>
        <v>19.305</v>
      </c>
      <c r="AH21" s="9">
        <f t="shared" si="2"/>
        <v>2.0477326968973744</v>
      </c>
      <c r="AI21" s="9">
        <f t="shared" si="3"/>
        <v>4.1932091979425943</v>
      </c>
      <c r="AJ21" s="9">
        <f t="shared" si="4"/>
        <v>1.3295764570661479</v>
      </c>
      <c r="AK21" s="9">
        <f t="shared" si="5"/>
        <v>1.7677735551845704</v>
      </c>
      <c r="AL21" s="9">
        <f t="shared" si="6"/>
        <v>0.73093247813244766</v>
      </c>
      <c r="AM21" s="9">
        <f t="shared" si="7"/>
        <v>0.53426228758884109</v>
      </c>
      <c r="AN21" s="9" t="s">
        <v>3086</v>
      </c>
    </row>
    <row r="22" spans="13:40" ht="23">
      <c r="M22" s="9" t="s">
        <v>1258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9" t="s">
        <v>1258</v>
      </c>
      <c r="X22" s="8">
        <v>33.17</v>
      </c>
      <c r="Y22" s="8">
        <v>5.64</v>
      </c>
      <c r="Z22" s="9">
        <v>1.36</v>
      </c>
      <c r="AA22" s="8">
        <v>30.4</v>
      </c>
      <c r="AB22" s="8">
        <v>5987</v>
      </c>
      <c r="AC22" s="22" t="s">
        <v>1258</v>
      </c>
      <c r="AD22" s="8" t="s">
        <v>3720</v>
      </c>
      <c r="AE22" s="8" t="s">
        <v>4083</v>
      </c>
      <c r="AF22" s="9">
        <f t="shared" si="0"/>
        <v>171.45599999999999</v>
      </c>
      <c r="AG22" s="9">
        <f t="shared" si="1"/>
        <v>48.64</v>
      </c>
      <c r="AH22" s="9">
        <f t="shared" si="2"/>
        <v>1.4510739856801906</v>
      </c>
      <c r="AI22" s="9">
        <f t="shared" si="3"/>
        <v>2.1056157119177943</v>
      </c>
      <c r="AJ22" s="9">
        <f t="shared" si="4"/>
        <v>2.5304013877537286</v>
      </c>
      <c r="AK22" s="9">
        <f t="shared" si="5"/>
        <v>6.4029311831459959</v>
      </c>
      <c r="AL22" s="9">
        <f t="shared" si="6"/>
        <v>1.8416242287677935</v>
      </c>
      <c r="AM22" s="9">
        <f t="shared" si="7"/>
        <v>3.3915797999845703</v>
      </c>
      <c r="AN22" s="9" t="s">
        <v>1258</v>
      </c>
    </row>
    <row r="23" spans="13:40" ht="23">
      <c r="M23" s="9" t="s">
        <v>1545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9" t="s">
        <v>1545</v>
      </c>
      <c r="X23" s="8">
        <v>11.81</v>
      </c>
      <c r="Y23" s="8">
        <v>1.92</v>
      </c>
      <c r="Z23" s="9">
        <v>0.43</v>
      </c>
      <c r="AA23" s="8">
        <v>25.8</v>
      </c>
      <c r="AB23" s="8">
        <v>33183</v>
      </c>
      <c r="AC23" s="22" t="s">
        <v>1545</v>
      </c>
      <c r="AD23" s="8" t="s">
        <v>3720</v>
      </c>
      <c r="AE23" s="8" t="s">
        <v>4083</v>
      </c>
      <c r="AF23" s="9">
        <f t="shared" si="0"/>
        <v>49.536000000000001</v>
      </c>
      <c r="AG23" s="9">
        <f t="shared" si="1"/>
        <v>18.490000000000002</v>
      </c>
      <c r="AH23" s="9">
        <f t="shared" si="2"/>
        <v>1.2315035799522671</v>
      </c>
      <c r="AI23" s="9">
        <f t="shared" si="3"/>
        <v>1.5166010674352499</v>
      </c>
      <c r="AJ23" s="9">
        <f t="shared" si="4"/>
        <v>0.73106781415505262</v>
      </c>
      <c r="AK23" s="9">
        <f t="shared" si="5"/>
        <v>0.53446014889344651</v>
      </c>
      <c r="AL23" s="9">
        <f t="shared" si="6"/>
        <v>0.70007467084532293</v>
      </c>
      <c r="AM23" s="9">
        <f t="shared" si="7"/>
        <v>0.49010454475918724</v>
      </c>
      <c r="AN23" s="9" t="s">
        <v>1545</v>
      </c>
    </row>
    <row r="24" spans="13:40" ht="23">
      <c r="M24" s="9" t="s">
        <v>2272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9" t="s">
        <v>2272</v>
      </c>
      <c r="X24" s="8">
        <v>13.35</v>
      </c>
      <c r="Y24" s="8">
        <v>2.2400000000000002</v>
      </c>
      <c r="Z24" s="9">
        <v>0.18</v>
      </c>
      <c r="AA24" s="8">
        <v>20</v>
      </c>
      <c r="AB24" s="8">
        <v>44875</v>
      </c>
      <c r="AC24" s="22" t="s">
        <v>2272</v>
      </c>
      <c r="AD24" s="8" t="s">
        <v>3720</v>
      </c>
      <c r="AE24" s="8" t="s">
        <v>4083</v>
      </c>
      <c r="AF24" s="9">
        <f t="shared" si="0"/>
        <v>44.800000000000004</v>
      </c>
      <c r="AG24" s="9">
        <f t="shared" si="1"/>
        <v>6</v>
      </c>
      <c r="AH24" s="9">
        <f t="shared" si="2"/>
        <v>0.95465393794749387</v>
      </c>
      <c r="AI24" s="9">
        <f t="shared" si="3"/>
        <v>0.9113641412386575</v>
      </c>
      <c r="AJ24" s="9">
        <f t="shared" si="4"/>
        <v>0.66117244174229572</v>
      </c>
      <c r="AK24" s="9">
        <f t="shared" si="5"/>
        <v>0.43714899771946941</v>
      </c>
      <c r="AL24" s="9">
        <f t="shared" si="6"/>
        <v>0.22717404137760611</v>
      </c>
      <c r="AM24" s="9">
        <f t="shared" si="7"/>
        <v>5.1608045075834288E-2</v>
      </c>
      <c r="AN24" s="9" t="s">
        <v>2272</v>
      </c>
    </row>
    <row r="25" spans="13:40" ht="23">
      <c r="M25" s="9" t="s">
        <v>2265</v>
      </c>
      <c r="N25" s="8" t="s">
        <v>150</v>
      </c>
      <c r="O25" s="8"/>
      <c r="P25" s="8" t="s">
        <v>3691</v>
      </c>
      <c r="Q25" s="8"/>
      <c r="R25" s="8"/>
      <c r="S25" s="8"/>
      <c r="T25" s="8"/>
      <c r="U25" s="8"/>
      <c r="V25" s="8"/>
      <c r="W25" s="9" t="s">
        <v>2265</v>
      </c>
      <c r="X25" s="8">
        <v>19.96</v>
      </c>
      <c r="Y25" s="8">
        <v>3.53</v>
      </c>
      <c r="Z25" s="9">
        <v>3.07</v>
      </c>
      <c r="AA25" s="8">
        <v>17.399999999999999</v>
      </c>
      <c r="AB25" s="8">
        <v>16387</v>
      </c>
      <c r="AC25" s="22" t="s">
        <v>2265</v>
      </c>
      <c r="AD25" s="8" t="s">
        <v>3720</v>
      </c>
      <c r="AE25" s="8" t="s">
        <v>4083</v>
      </c>
      <c r="AF25" s="9">
        <f t="shared" si="0"/>
        <v>61.42199999999999</v>
      </c>
      <c r="AG25" s="9">
        <f t="shared" si="1"/>
        <v>54.23</v>
      </c>
      <c r="AH25" s="9">
        <f t="shared" si="2"/>
        <v>0.83054892601431962</v>
      </c>
      <c r="AI25" s="9">
        <f t="shared" si="3"/>
        <v>0.68981151850353972</v>
      </c>
      <c r="AJ25" s="9">
        <f t="shared" si="4"/>
        <v>0.90648512760480526</v>
      </c>
      <c r="AK25" s="9">
        <f t="shared" si="5"/>
        <v>0.82171528656870008</v>
      </c>
      <c r="AL25" s="9">
        <f t="shared" si="6"/>
        <v>2.0532747106512632</v>
      </c>
      <c r="AM25" s="9">
        <f t="shared" si="7"/>
        <v>4.2159370374000282</v>
      </c>
      <c r="AN25" s="9" t="s">
        <v>2265</v>
      </c>
    </row>
    <row r="26" spans="13:40" ht="23">
      <c r="M26" s="9" t="s">
        <v>1109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9" t="s">
        <v>1109</v>
      </c>
      <c r="X26" s="8">
        <v>4.2699999999999996</v>
      </c>
      <c r="Y26" s="8">
        <v>1.44</v>
      </c>
      <c r="Z26" s="9">
        <v>0.36</v>
      </c>
      <c r="AA26" s="8">
        <v>14.5</v>
      </c>
      <c r="AB26" s="8">
        <v>34312</v>
      </c>
      <c r="AC26" s="22" t="s">
        <v>1109</v>
      </c>
      <c r="AD26" s="8" t="s">
        <v>3720</v>
      </c>
      <c r="AE26" s="8" t="s">
        <v>4083</v>
      </c>
      <c r="AF26" s="9">
        <f t="shared" si="0"/>
        <v>20.88</v>
      </c>
      <c r="AG26" s="9">
        <f t="shared" si="1"/>
        <v>8.6999999999999993</v>
      </c>
      <c r="AH26" s="9">
        <f t="shared" si="2"/>
        <v>0.692124105011933</v>
      </c>
      <c r="AI26" s="9">
        <f t="shared" si="3"/>
        <v>0.47903577673856929</v>
      </c>
      <c r="AJ26" s="9">
        <f t="shared" si="4"/>
        <v>0.30815358445489138</v>
      </c>
      <c r="AK26" s="9">
        <f t="shared" si="5"/>
        <v>9.495863161239787E-2</v>
      </c>
      <c r="AL26" s="9">
        <f t="shared" si="6"/>
        <v>0.32940235999752882</v>
      </c>
      <c r="AM26" s="9">
        <f t="shared" si="7"/>
        <v>0.10850591477194158</v>
      </c>
      <c r="AN26" s="9" t="s">
        <v>1109</v>
      </c>
    </row>
    <row r="27" spans="13:40" ht="23">
      <c r="M27" s="25" t="s">
        <v>5101</v>
      </c>
      <c r="N27" s="8" t="s">
        <v>150</v>
      </c>
      <c r="O27" s="24"/>
      <c r="P27" s="24"/>
      <c r="Q27" s="24"/>
      <c r="R27" s="24"/>
      <c r="S27" s="24"/>
      <c r="T27" s="24"/>
      <c r="U27" s="24"/>
      <c r="V27" s="24"/>
      <c r="W27" s="25" t="s">
        <v>5101</v>
      </c>
      <c r="X27" s="24">
        <v>37.35</v>
      </c>
      <c r="Y27" s="24">
        <v>4.51</v>
      </c>
      <c r="Z27" s="25">
        <v>3.5</v>
      </c>
      <c r="AA27" s="24">
        <v>13</v>
      </c>
      <c r="AB27" s="24">
        <v>8547</v>
      </c>
      <c r="AC27" s="22" t="s">
        <v>5101</v>
      </c>
      <c r="AD27" s="8" t="s">
        <v>3720</v>
      </c>
      <c r="AE27" s="8" t="s">
        <v>4083</v>
      </c>
      <c r="AF27" s="25">
        <f t="shared" si="0"/>
        <v>58.629999999999995</v>
      </c>
      <c r="AG27" s="25">
        <f t="shared" si="1"/>
        <v>39.108333333333334</v>
      </c>
      <c r="AH27" s="25">
        <f t="shared" si="2"/>
        <v>0.62052505966587101</v>
      </c>
      <c r="AI27" s="25">
        <f t="shared" si="3"/>
        <v>0.38505134967333277</v>
      </c>
      <c r="AJ27" s="9">
        <f t="shared" si="4"/>
        <v>0.865279916503366</v>
      </c>
      <c r="AK27" s="25">
        <f t="shared" si="5"/>
        <v>0.74870933390407202</v>
      </c>
      <c r="AL27" s="9">
        <f t="shared" si="6"/>
        <v>1.4807330224793132</v>
      </c>
      <c r="AM27" s="25">
        <f t="shared" si="7"/>
        <v>2.1925702838607219</v>
      </c>
      <c r="AN27" s="25" t="s">
        <v>5101</v>
      </c>
    </row>
    <row r="28" spans="13:40" ht="23">
      <c r="M28" s="9" t="s">
        <v>2236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9" t="s">
        <v>2236</v>
      </c>
      <c r="X28" s="8">
        <v>27.59</v>
      </c>
      <c r="Y28" s="8">
        <v>2.74</v>
      </c>
      <c r="Z28" s="9">
        <v>0.43</v>
      </c>
      <c r="AA28" s="8">
        <v>11.7</v>
      </c>
      <c r="AB28" s="8">
        <v>33046</v>
      </c>
      <c r="AC28" s="22" t="s">
        <v>2236</v>
      </c>
      <c r="AD28" s="8" t="s">
        <v>3720</v>
      </c>
      <c r="AE28" s="8" t="s">
        <v>4083</v>
      </c>
      <c r="AF28" s="9">
        <f t="shared" si="0"/>
        <v>32.058</v>
      </c>
      <c r="AG28" s="9">
        <f t="shared" si="1"/>
        <v>8.3849999999999998</v>
      </c>
      <c r="AH28" s="9">
        <f t="shared" si="2"/>
        <v>0.55847255369928384</v>
      </c>
      <c r="AI28" s="9">
        <f t="shared" si="3"/>
        <v>0.31189159323539944</v>
      </c>
      <c r="AJ28" s="9">
        <f t="shared" si="4"/>
        <v>0.47312201199496684</v>
      </c>
      <c r="AK28" s="9">
        <f t="shared" si="5"/>
        <v>0.22384443823416555</v>
      </c>
      <c r="AL28" s="9">
        <f t="shared" si="6"/>
        <v>0.31747572282520453</v>
      </c>
      <c r="AM28" s="9">
        <f t="shared" si="7"/>
        <v>0.1007908345833861</v>
      </c>
      <c r="AN28" s="9" t="s">
        <v>2236</v>
      </c>
    </row>
    <row r="29" spans="13:40" ht="23">
      <c r="M29" s="9" t="s">
        <v>740</v>
      </c>
      <c r="N29" s="8" t="s">
        <v>150</v>
      </c>
      <c r="O29" s="8"/>
      <c r="P29" s="8" t="s">
        <v>3691</v>
      </c>
      <c r="Q29" s="8"/>
      <c r="R29" s="8"/>
      <c r="S29" s="8"/>
      <c r="T29" s="8"/>
      <c r="U29" s="8"/>
      <c r="V29" s="8"/>
      <c r="W29" s="9" t="s">
        <v>740</v>
      </c>
      <c r="X29" s="8">
        <v>17.22</v>
      </c>
      <c r="Y29" s="8">
        <v>2.41</v>
      </c>
      <c r="Z29" s="9">
        <v>2.06</v>
      </c>
      <c r="AA29" s="8">
        <v>6.9</v>
      </c>
      <c r="AB29" s="8">
        <v>25306</v>
      </c>
      <c r="AC29" s="22" t="s">
        <v>740</v>
      </c>
      <c r="AD29" s="8" t="s">
        <v>3720</v>
      </c>
      <c r="AE29" s="8" t="s">
        <v>4083</v>
      </c>
      <c r="AF29" s="9">
        <f t="shared" si="0"/>
        <v>16.629000000000001</v>
      </c>
      <c r="AG29" s="9">
        <f t="shared" si="1"/>
        <v>14.490000000000002</v>
      </c>
      <c r="AH29" s="9">
        <f t="shared" si="2"/>
        <v>0.3293556085918854</v>
      </c>
      <c r="AI29" s="9">
        <f t="shared" si="3"/>
        <v>0.10847511691093122</v>
      </c>
      <c r="AJ29" s="9">
        <f t="shared" si="4"/>
        <v>0.24541599405653206</v>
      </c>
      <c r="AK29" s="9">
        <f t="shared" si="5"/>
        <v>6.0229010138755777E-2</v>
      </c>
      <c r="AL29" s="9">
        <f t="shared" si="6"/>
        <v>0.54862530992691882</v>
      </c>
      <c r="AM29" s="9">
        <f t="shared" si="7"/>
        <v>0.30098973069240775</v>
      </c>
      <c r="AN29" s="9" t="s">
        <v>740</v>
      </c>
    </row>
    <row r="30" spans="13:40" ht="23">
      <c r="M30" s="9" t="s">
        <v>1440</v>
      </c>
      <c r="N30" s="8" t="s">
        <v>150</v>
      </c>
      <c r="O30" s="8"/>
      <c r="P30" s="8" t="s">
        <v>3693</v>
      </c>
      <c r="Q30" s="8"/>
      <c r="R30" s="8"/>
      <c r="S30" s="8"/>
      <c r="T30" s="8"/>
      <c r="U30" s="8"/>
      <c r="V30" s="8"/>
      <c r="W30" s="9" t="s">
        <v>1440</v>
      </c>
      <c r="X30" s="8">
        <v>15.48</v>
      </c>
      <c r="Y30" s="8">
        <v>8.4700000000000006</v>
      </c>
      <c r="Z30" s="9">
        <v>12.19</v>
      </c>
      <c r="AA30" s="8">
        <v>6.2</v>
      </c>
      <c r="AB30" s="8">
        <v>11581</v>
      </c>
      <c r="AC30" s="22" t="s">
        <v>1440</v>
      </c>
      <c r="AD30" s="8" t="s">
        <v>3720</v>
      </c>
      <c r="AE30" s="8" t="s">
        <v>4083</v>
      </c>
      <c r="AF30" s="9">
        <f t="shared" si="0"/>
        <v>52.514000000000003</v>
      </c>
      <c r="AG30" s="9">
        <f t="shared" si="1"/>
        <v>76.36333333333333</v>
      </c>
      <c r="AH30" s="9">
        <f t="shared" si="2"/>
        <v>0.29594272076372308</v>
      </c>
      <c r="AI30" s="9">
        <f t="shared" si="3"/>
        <v>8.7582093973034972E-2</v>
      </c>
      <c r="AJ30" s="9">
        <f t="shared" si="4"/>
        <v>0.77501807155479718</v>
      </c>
      <c r="AK30" s="9">
        <f t="shared" si="5"/>
        <v>0.60065301123651671</v>
      </c>
      <c r="AL30" s="9">
        <f t="shared" si="6"/>
        <v>2.8912945077330989</v>
      </c>
      <c r="AM30" s="9">
        <f t="shared" si="7"/>
        <v>8.3595839304475827</v>
      </c>
      <c r="AN30" s="9" t="s">
        <v>1440</v>
      </c>
    </row>
    <row r="31" spans="13:40" ht="23">
      <c r="M31" s="9" t="s">
        <v>400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9" t="s">
        <v>400</v>
      </c>
      <c r="X31" s="8">
        <v>15.14</v>
      </c>
      <c r="Y31" s="8">
        <v>26.63</v>
      </c>
      <c r="Z31" s="9">
        <v>35.020000000000003</v>
      </c>
      <c r="AA31" s="8">
        <v>5.8</v>
      </c>
      <c r="AB31" s="8">
        <v>6936</v>
      </c>
      <c r="AC31" s="22" t="s">
        <v>400</v>
      </c>
      <c r="AD31" s="8" t="s">
        <v>3720</v>
      </c>
      <c r="AE31" s="8" t="s">
        <v>4083</v>
      </c>
      <c r="AF31" s="9">
        <f t="shared" si="0"/>
        <v>154.45399999999998</v>
      </c>
      <c r="AG31" s="9">
        <f t="shared" si="1"/>
        <v>203.19333333333333</v>
      </c>
      <c r="AH31" s="9">
        <f t="shared" si="2"/>
        <v>0.27684964200477319</v>
      </c>
      <c r="AI31" s="9">
        <f t="shared" si="3"/>
        <v>7.6645724278171082E-2</v>
      </c>
      <c r="AJ31" s="9">
        <f t="shared" si="4"/>
        <v>2.2794805427871543</v>
      </c>
      <c r="AK31" s="9">
        <f t="shared" si="5"/>
        <v>5.1960315449452192</v>
      </c>
      <c r="AL31" s="9">
        <f t="shared" si="6"/>
        <v>7.6933751190533961</v>
      </c>
      <c r="AM31" s="9">
        <f t="shared" si="7"/>
        <v>59.188020722469858</v>
      </c>
      <c r="AN31" s="9" t="s">
        <v>400</v>
      </c>
    </row>
    <row r="32" spans="13:40" ht="23">
      <c r="M32" s="9" t="s">
        <v>3071</v>
      </c>
      <c r="N32" s="8" t="s">
        <v>1814</v>
      </c>
      <c r="O32" s="8"/>
      <c r="P32" s="8"/>
      <c r="Q32" s="8"/>
      <c r="R32" s="8"/>
      <c r="S32" s="8"/>
      <c r="T32" s="8"/>
      <c r="U32" s="8"/>
      <c r="V32" s="8"/>
      <c r="W32" s="9" t="s">
        <v>3071</v>
      </c>
      <c r="X32" s="8">
        <v>14.97</v>
      </c>
      <c r="Y32" s="8">
        <v>2.34</v>
      </c>
      <c r="Z32" s="9">
        <v>1.1299999999999999</v>
      </c>
      <c r="AA32" s="8">
        <v>5.4</v>
      </c>
      <c r="AB32" s="8">
        <v>27998</v>
      </c>
      <c r="AC32" s="22" t="s">
        <v>3071</v>
      </c>
      <c r="AD32" s="8" t="s">
        <v>3720</v>
      </c>
      <c r="AE32" s="8" t="s">
        <v>4083</v>
      </c>
      <c r="AF32" s="9">
        <f t="shared" si="0"/>
        <v>12.635999999999999</v>
      </c>
      <c r="AG32" s="9">
        <f t="shared" si="1"/>
        <v>6.5700000000000012</v>
      </c>
      <c r="AH32" s="9">
        <f t="shared" si="2"/>
        <v>0.25775656324582336</v>
      </c>
      <c r="AI32" s="9">
        <f t="shared" si="3"/>
        <v>6.6438445896298132E-2</v>
      </c>
      <c r="AJ32" s="9">
        <f t="shared" si="4"/>
        <v>0.18648604852356357</v>
      </c>
      <c r="AK32" s="9">
        <f t="shared" si="5"/>
        <v>3.4777046293932905E-2</v>
      </c>
      <c r="AL32" s="9">
        <f t="shared" si="6"/>
        <v>0.24875557530847875</v>
      </c>
      <c r="AM32" s="9">
        <f t="shared" si="7"/>
        <v>6.187933624705224E-2</v>
      </c>
      <c r="AN32" s="9" t="s">
        <v>3071</v>
      </c>
    </row>
    <row r="33" spans="13:40" ht="23">
      <c r="M33" s="9" t="s">
        <v>5077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9" t="s">
        <v>5077</v>
      </c>
      <c r="X33" s="8">
        <v>41.74</v>
      </c>
      <c r="Y33" s="8">
        <v>2.13</v>
      </c>
      <c r="Z33" s="9">
        <v>1.0900000000000001</v>
      </c>
      <c r="AA33" s="8">
        <v>4.8</v>
      </c>
      <c r="AB33" s="8">
        <v>26725</v>
      </c>
      <c r="AC33" s="22" t="s">
        <v>5077</v>
      </c>
      <c r="AD33" s="8" t="s">
        <v>3720</v>
      </c>
      <c r="AE33" s="8" t="s">
        <v>4083</v>
      </c>
      <c r="AF33" s="9">
        <f t="shared" si="0"/>
        <v>10.223999999999998</v>
      </c>
      <c r="AG33" s="9">
        <f t="shared" si="1"/>
        <v>5.52</v>
      </c>
      <c r="AH33" s="9">
        <f t="shared" si="2"/>
        <v>0.2291169451073985</v>
      </c>
      <c r="AI33" s="9">
        <f t="shared" si="3"/>
        <v>5.2494574535346658E-2</v>
      </c>
      <c r="AJ33" s="9">
        <f t="shared" si="4"/>
        <v>0.15088899652618817</v>
      </c>
      <c r="AK33" s="9">
        <f t="shared" si="5"/>
        <v>2.2767489272680026E-2</v>
      </c>
      <c r="AL33" s="9">
        <f t="shared" si="6"/>
        <v>0.2090001180673976</v>
      </c>
      <c r="AM33" s="9">
        <f t="shared" si="7"/>
        <v>4.3681049352186134E-2</v>
      </c>
      <c r="AN33" s="9" t="s">
        <v>5077</v>
      </c>
    </row>
    <row r="34" spans="13:40" ht="23">
      <c r="M34" s="9" t="s">
        <v>1482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9" t="s">
        <v>1482</v>
      </c>
      <c r="X34" s="8">
        <v>34.96</v>
      </c>
      <c r="Y34" s="8">
        <v>3.86</v>
      </c>
      <c r="Z34" s="9">
        <v>2.37</v>
      </c>
      <c r="AA34" s="8">
        <v>4.7</v>
      </c>
      <c r="AB34" s="8">
        <v>20735</v>
      </c>
      <c r="AC34" s="22" t="s">
        <v>1482</v>
      </c>
      <c r="AD34" s="8" t="s">
        <v>3720</v>
      </c>
      <c r="AE34" s="8" t="s">
        <v>4083</v>
      </c>
      <c r="AF34" s="9">
        <f t="shared" si="0"/>
        <v>18.141999999999999</v>
      </c>
      <c r="AG34" s="9">
        <f t="shared" si="1"/>
        <v>12.298333333333334</v>
      </c>
      <c r="AH34" s="9">
        <f t="shared" si="2"/>
        <v>0.22434367541766106</v>
      </c>
      <c r="AI34" s="9">
        <f t="shared" si="3"/>
        <v>5.033008469990486E-2</v>
      </c>
      <c r="AJ34" s="9">
        <f t="shared" si="4"/>
        <v>0.26774532227876624</v>
      </c>
      <c r="AK34" s="9">
        <f t="shared" si="5"/>
        <v>7.1687557602160404E-2</v>
      </c>
      <c r="AL34" s="9">
        <f t="shared" si="6"/>
        <v>0.46564368092370989</v>
      </c>
      <c r="AM34" s="9">
        <f t="shared" si="7"/>
        <v>0.21682403758418176</v>
      </c>
      <c r="AN34" s="9" t="s">
        <v>1482</v>
      </c>
    </row>
    <row r="35" spans="13:40" ht="23">
      <c r="M35" s="9" t="s">
        <v>5087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9" t="s">
        <v>5087</v>
      </c>
      <c r="X35" s="8">
        <v>33.4</v>
      </c>
      <c r="Y35" s="8">
        <v>10.039999999999999</v>
      </c>
      <c r="Z35" s="9">
        <v>6.1</v>
      </c>
      <c r="AA35" s="8">
        <v>4</v>
      </c>
      <c r="AB35" s="8">
        <v>22871</v>
      </c>
      <c r="AC35" s="22" t="s">
        <v>5087</v>
      </c>
      <c r="AD35" s="8" t="s">
        <v>3720</v>
      </c>
      <c r="AE35" s="8" t="s">
        <v>4083</v>
      </c>
      <c r="AF35" s="9">
        <f t="shared" si="0"/>
        <v>40.159999999999997</v>
      </c>
      <c r="AG35" s="9">
        <f t="shared" si="1"/>
        <v>24.006666666666668</v>
      </c>
      <c r="AH35" s="9">
        <f t="shared" si="2"/>
        <v>0.19093078758949877</v>
      </c>
      <c r="AI35" s="9">
        <f t="shared" si="3"/>
        <v>3.64545656495463E-2</v>
      </c>
      <c r="AJ35" s="9">
        <f t="shared" si="4"/>
        <v>0.59269386741898644</v>
      </c>
      <c r="AK35" s="9">
        <f t="shared" si="5"/>
        <v>0.3512860204760751</v>
      </c>
      <c r="AL35" s="9">
        <f t="shared" si="6"/>
        <v>0.90894858111195509</v>
      </c>
      <c r="AM35" s="9">
        <f t="shared" si="7"/>
        <v>0.82618752310543642</v>
      </c>
      <c r="AN35" s="9" t="s">
        <v>5087</v>
      </c>
    </row>
    <row r="36" spans="13:40" ht="23">
      <c r="M36" s="9" t="s">
        <v>605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9" t="s">
        <v>605</v>
      </c>
      <c r="X36" s="8">
        <v>26.31</v>
      </c>
      <c r="Y36" s="8">
        <v>3</v>
      </c>
      <c r="Z36" s="9">
        <v>4.24</v>
      </c>
      <c r="AA36" s="8">
        <v>2.5</v>
      </c>
      <c r="AB36" s="8">
        <v>34351</v>
      </c>
      <c r="AC36" s="22" t="s">
        <v>605</v>
      </c>
      <c r="AD36" s="8" t="s">
        <v>3720</v>
      </c>
      <c r="AE36" s="8" t="s">
        <v>4083</v>
      </c>
      <c r="AF36" s="9">
        <f t="shared" si="0"/>
        <v>7.5</v>
      </c>
      <c r="AG36" s="9">
        <f t="shared" si="1"/>
        <v>11</v>
      </c>
      <c r="AH36" s="9">
        <f t="shared" si="2"/>
        <v>0.11933174224343673</v>
      </c>
      <c r="AI36" s="9">
        <f t="shared" si="3"/>
        <v>1.4240064706854023E-2</v>
      </c>
      <c r="AJ36" s="9">
        <f t="shared" si="4"/>
        <v>0.11068735073810752</v>
      </c>
      <c r="AK36" s="9">
        <f t="shared" si="5"/>
        <v>1.2251689613420833E-2</v>
      </c>
      <c r="AL36" s="9">
        <f t="shared" si="6"/>
        <v>0.41648574252561116</v>
      </c>
      <c r="AM36" s="9">
        <f t="shared" si="7"/>
        <v>0.17346037372710968</v>
      </c>
      <c r="AN36" s="9" t="s">
        <v>605</v>
      </c>
    </row>
    <row r="37" spans="13:40" ht="23">
      <c r="M37" s="9" t="s">
        <v>2507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9" t="s">
        <v>2507</v>
      </c>
      <c r="X37" s="8">
        <v>27.34</v>
      </c>
      <c r="Y37" s="8">
        <v>2.27</v>
      </c>
      <c r="Z37" s="9">
        <v>3.08</v>
      </c>
      <c r="AA37" s="8">
        <v>2.5</v>
      </c>
      <c r="AB37" s="8">
        <v>33327</v>
      </c>
      <c r="AC37" s="22" t="s">
        <v>2507</v>
      </c>
      <c r="AD37" s="8" t="s">
        <v>3720</v>
      </c>
      <c r="AE37" s="8" t="s">
        <v>4083</v>
      </c>
      <c r="AF37" s="9">
        <f t="shared" si="0"/>
        <v>5.6749999999999998</v>
      </c>
      <c r="AG37" s="9">
        <f t="shared" si="1"/>
        <v>7.833333333333333</v>
      </c>
      <c r="AH37" s="9">
        <f t="shared" si="2"/>
        <v>0.11933174224343673</v>
      </c>
      <c r="AI37" s="9">
        <f t="shared" si="3"/>
        <v>1.4240064706854023E-2</v>
      </c>
      <c r="AJ37" s="9">
        <f t="shared" si="4"/>
        <v>8.3753428725168041E-2</v>
      </c>
      <c r="AK37" s="9">
        <f t="shared" si="5"/>
        <v>7.0146368232218035E-3</v>
      </c>
      <c r="AL37" s="9">
        <f t="shared" si="6"/>
        <v>0.29658833179854133</v>
      </c>
      <c r="AM37" s="9">
        <f t="shared" si="7"/>
        <v>8.7964638559041644E-2</v>
      </c>
      <c r="AN37" s="9" t="s">
        <v>2507</v>
      </c>
    </row>
    <row r="38" spans="13:40" ht="23">
      <c r="M38" s="9" t="s">
        <v>1022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9" t="s">
        <v>1022</v>
      </c>
      <c r="X38" s="8">
        <v>5.0199999999999996</v>
      </c>
      <c r="Y38" s="8">
        <v>2.31</v>
      </c>
      <c r="Z38" s="9">
        <v>1.56</v>
      </c>
      <c r="AA38" s="8">
        <v>2.5</v>
      </c>
      <c r="AB38" s="8">
        <v>68045</v>
      </c>
      <c r="AC38" s="22" t="s">
        <v>1022</v>
      </c>
      <c r="AD38" s="8" t="s">
        <v>3720</v>
      </c>
      <c r="AE38" s="8" t="s">
        <v>4083</v>
      </c>
      <c r="AF38" s="9">
        <f t="shared" si="0"/>
        <v>5.7750000000000004</v>
      </c>
      <c r="AG38" s="9">
        <f t="shared" si="1"/>
        <v>4.833333333333333</v>
      </c>
      <c r="AH38" s="9">
        <f t="shared" si="2"/>
        <v>0.11933174224343673</v>
      </c>
      <c r="AI38" s="9">
        <f t="shared" si="3"/>
        <v>1.4240064706854023E-2</v>
      </c>
      <c r="AJ38" s="9">
        <f t="shared" si="4"/>
        <v>8.5229260068342805E-2</v>
      </c>
      <c r="AK38" s="9">
        <f t="shared" si="5"/>
        <v>7.2640267717972136E-3</v>
      </c>
      <c r="AL38" s="9">
        <f t="shared" si="6"/>
        <v>0.18300131110973825</v>
      </c>
      <c r="AM38" s="9">
        <f t="shared" si="7"/>
        <v>3.3489479867883205E-2</v>
      </c>
      <c r="AN38" s="9" t="s">
        <v>1022</v>
      </c>
    </row>
    <row r="39" spans="13:40" ht="23">
      <c r="M39" s="9" t="s">
        <v>4969</v>
      </c>
      <c r="N39" s="8" t="s">
        <v>150</v>
      </c>
      <c r="O39" s="8"/>
      <c r="P39" s="8"/>
      <c r="Q39" s="8"/>
      <c r="R39" s="8"/>
      <c r="S39" s="8"/>
      <c r="T39" s="8"/>
      <c r="U39" s="8"/>
      <c r="V39" s="8"/>
      <c r="W39" s="9" t="s">
        <v>4969</v>
      </c>
      <c r="X39" s="8">
        <v>28.08</v>
      </c>
      <c r="Y39" s="8">
        <v>4.79</v>
      </c>
      <c r="Z39" s="9">
        <v>5.46</v>
      </c>
      <c r="AA39" s="8">
        <v>2.4</v>
      </c>
      <c r="AB39" s="8">
        <v>31806</v>
      </c>
      <c r="AC39" s="22" t="s">
        <v>4969</v>
      </c>
      <c r="AD39" s="8" t="s">
        <v>3720</v>
      </c>
      <c r="AE39" s="8" t="s">
        <v>4083</v>
      </c>
      <c r="AF39" s="9">
        <f t="shared" si="0"/>
        <v>11.496</v>
      </c>
      <c r="AG39" s="9">
        <f t="shared" si="1"/>
        <v>13.84</v>
      </c>
      <c r="AH39" s="9">
        <f t="shared" si="2"/>
        <v>0.11455847255369925</v>
      </c>
      <c r="AI39" s="9">
        <f t="shared" si="3"/>
        <v>1.3123643633836665E-2</v>
      </c>
      <c r="AJ39" s="9">
        <f t="shared" si="4"/>
        <v>0.16966157121137124</v>
      </c>
      <c r="AK39" s="9">
        <f t="shared" si="5"/>
        <v>2.8785048745911195E-2</v>
      </c>
      <c r="AL39" s="9">
        <f t="shared" si="6"/>
        <v>0.52401478877767804</v>
      </c>
      <c r="AM39" s="9">
        <f t="shared" si="7"/>
        <v>0.27459149885771456</v>
      </c>
      <c r="AN39" s="9" t="s">
        <v>4969</v>
      </c>
    </row>
    <row r="40" spans="13:40" ht="23">
      <c r="M40" s="9" t="s">
        <v>2328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9" t="s">
        <v>2328</v>
      </c>
      <c r="X40" s="8">
        <v>28.98</v>
      </c>
      <c r="Y40" s="8">
        <v>4.1399999999999997</v>
      </c>
      <c r="Z40" s="9">
        <v>4.05</v>
      </c>
      <c r="AA40" s="8">
        <v>2.2000000000000002</v>
      </c>
      <c r="AB40" s="8">
        <v>31045</v>
      </c>
      <c r="AC40" s="22" t="s">
        <v>2328</v>
      </c>
      <c r="AD40" s="8" t="s">
        <v>3720</v>
      </c>
      <c r="AE40" s="8" t="s">
        <v>4083</v>
      </c>
      <c r="AF40" s="9">
        <f t="shared" si="0"/>
        <v>9.1080000000000005</v>
      </c>
      <c r="AG40" s="9">
        <f t="shared" si="1"/>
        <v>8.9833333333333343</v>
      </c>
      <c r="AH40" s="9">
        <f t="shared" si="2"/>
        <v>0.10501193317422432</v>
      </c>
      <c r="AI40" s="9">
        <f t="shared" si="3"/>
        <v>1.1027506108987754E-2</v>
      </c>
      <c r="AJ40" s="9">
        <f t="shared" si="4"/>
        <v>0.1344187187363578</v>
      </c>
      <c r="AK40" s="9">
        <f t="shared" si="5"/>
        <v>1.8068391946724067E-2</v>
      </c>
      <c r="AL40" s="9">
        <f t="shared" si="6"/>
        <v>0.3401300230625825</v>
      </c>
      <c r="AM40" s="9">
        <f t="shared" si="7"/>
        <v>0.11568843258855291</v>
      </c>
      <c r="AN40" s="9" t="s">
        <v>2328</v>
      </c>
    </row>
    <row r="41" spans="13:40" ht="23">
      <c r="M41" s="9" t="s">
        <v>1311</v>
      </c>
      <c r="N41" s="8" t="s">
        <v>150</v>
      </c>
      <c r="O41" s="8"/>
      <c r="P41" s="8" t="s">
        <v>3691</v>
      </c>
      <c r="Q41" s="8"/>
      <c r="R41" s="8"/>
      <c r="S41" s="8"/>
      <c r="T41" s="8"/>
      <c r="U41" s="8"/>
      <c r="V41" s="8"/>
      <c r="W41" s="9" t="s">
        <v>1311</v>
      </c>
      <c r="X41" s="8">
        <v>49.19</v>
      </c>
      <c r="Y41" s="8">
        <v>7.56</v>
      </c>
      <c r="Z41" s="9">
        <v>7.45</v>
      </c>
      <c r="AA41" s="8">
        <v>2</v>
      </c>
      <c r="AB41" s="8">
        <v>24054</v>
      </c>
      <c r="AC41" s="22" t="s">
        <v>1311</v>
      </c>
      <c r="AD41" s="8" t="s">
        <v>3720</v>
      </c>
      <c r="AE41" s="8" t="s">
        <v>4083</v>
      </c>
      <c r="AF41" s="9">
        <f t="shared" si="0"/>
        <v>15.12</v>
      </c>
      <c r="AG41" s="9">
        <f t="shared" si="1"/>
        <v>15.5</v>
      </c>
      <c r="AH41" s="9">
        <f t="shared" si="2"/>
        <v>9.5465393794749387E-2</v>
      </c>
      <c r="AI41" s="9">
        <f t="shared" si="3"/>
        <v>9.113641412386575E-3</v>
      </c>
      <c r="AJ41" s="9">
        <f t="shared" si="4"/>
        <v>0.22314569908802478</v>
      </c>
      <c r="AK41" s="9">
        <f t="shared" si="5"/>
        <v>4.9794003021483305E-2</v>
      </c>
      <c r="AL41" s="9">
        <f t="shared" si="6"/>
        <v>0.58686627355881582</v>
      </c>
      <c r="AM41" s="9">
        <f t="shared" si="7"/>
        <v>0.34441202304081087</v>
      </c>
      <c r="AN41" s="9" t="s">
        <v>1311</v>
      </c>
    </row>
    <row r="42" spans="13:40" ht="23">
      <c r="M42" s="25" t="s">
        <v>5112</v>
      </c>
      <c r="N42" s="24"/>
      <c r="O42" s="24"/>
      <c r="P42" s="24" t="s">
        <v>3700</v>
      </c>
      <c r="Q42" s="24"/>
      <c r="R42" s="24"/>
      <c r="S42" s="24"/>
      <c r="T42" s="24"/>
      <c r="U42" s="24"/>
      <c r="V42" s="24"/>
      <c r="W42" s="25" t="s">
        <v>5112</v>
      </c>
      <c r="X42" s="24">
        <v>36.42</v>
      </c>
      <c r="Y42" s="24">
        <v>3.6</v>
      </c>
      <c r="Z42" s="25">
        <v>4.47</v>
      </c>
      <c r="AA42" s="24">
        <v>1.9</v>
      </c>
      <c r="AB42" s="24">
        <v>38832</v>
      </c>
      <c r="AC42" s="22" t="s">
        <v>5112</v>
      </c>
      <c r="AD42" s="8" t="s">
        <v>3720</v>
      </c>
      <c r="AE42" s="8" t="s">
        <v>4083</v>
      </c>
      <c r="AF42" s="25">
        <f t="shared" si="0"/>
        <v>6.84</v>
      </c>
      <c r="AG42" s="25">
        <f t="shared" si="1"/>
        <v>9.0883333333333329</v>
      </c>
      <c r="AH42" s="25">
        <f t="shared" si="2"/>
        <v>9.0692124105011915E-2</v>
      </c>
      <c r="AI42" s="25">
        <f t="shared" si="3"/>
        <v>8.2250613746788839E-3</v>
      </c>
      <c r="AJ42" s="9">
        <f t="shared" si="4"/>
        <v>0.10094686387315406</v>
      </c>
      <c r="AK42" s="25">
        <f t="shared" si="5"/>
        <v>1.0190269325825096E-2</v>
      </c>
      <c r="AL42" s="9">
        <f t="shared" si="6"/>
        <v>0.34410556878669057</v>
      </c>
      <c r="AM42" s="25">
        <f t="shared" si="7"/>
        <v>0.11840864247001184</v>
      </c>
      <c r="AN42" s="25" t="s">
        <v>5112</v>
      </c>
    </row>
    <row r="43" spans="13:40" ht="23">
      <c r="M43" s="9" t="s">
        <v>3418</v>
      </c>
      <c r="N43" s="8" t="s">
        <v>2003</v>
      </c>
      <c r="O43" s="8"/>
      <c r="P43" s="8"/>
      <c r="Q43" s="8"/>
      <c r="R43" s="8"/>
      <c r="S43" s="8"/>
      <c r="T43" s="8"/>
      <c r="U43" s="8"/>
      <c r="V43" s="8"/>
      <c r="W43" s="9" t="s">
        <v>3418</v>
      </c>
      <c r="X43" s="8">
        <v>12.47</v>
      </c>
      <c r="Y43" s="8">
        <v>3.33</v>
      </c>
      <c r="Z43" s="9">
        <v>3.02</v>
      </c>
      <c r="AA43" s="8">
        <v>1.7</v>
      </c>
      <c r="AB43" s="8">
        <v>39163</v>
      </c>
      <c r="AC43" s="22" t="s">
        <v>3418</v>
      </c>
      <c r="AD43" s="8" t="s">
        <v>3720</v>
      </c>
      <c r="AE43" s="8" t="s">
        <v>4083</v>
      </c>
      <c r="AF43" s="9">
        <f t="shared" si="0"/>
        <v>5.6609999999999996</v>
      </c>
      <c r="AG43" s="9">
        <f t="shared" si="1"/>
        <v>5.1566666666666663</v>
      </c>
      <c r="AH43" s="9">
        <f t="shared" si="2"/>
        <v>8.1145584725536971E-2</v>
      </c>
      <c r="AI43" s="9">
        <f t="shared" si="3"/>
        <v>6.5846059204492987E-3</v>
      </c>
      <c r="AJ43" s="9">
        <f t="shared" si="4"/>
        <v>8.3546812337123563E-2</v>
      </c>
      <c r="AK43" s="9">
        <f t="shared" si="5"/>
        <v>6.9800698516945424E-3</v>
      </c>
      <c r="AL43" s="9">
        <f t="shared" si="6"/>
        <v>0.19524346778397589</v>
      </c>
      <c r="AM43" s="9">
        <f t="shared" si="7"/>
        <v>3.8120011712312434E-2</v>
      </c>
      <c r="AN43" s="9" t="s">
        <v>3418</v>
      </c>
    </row>
    <row r="44" spans="13:40" ht="23">
      <c r="M44" s="9" t="s">
        <v>2959</v>
      </c>
      <c r="N44" s="8" t="s">
        <v>1717</v>
      </c>
      <c r="O44" s="8"/>
      <c r="P44" s="8" t="s">
        <v>3700</v>
      </c>
      <c r="Q44" s="8"/>
      <c r="R44" s="8"/>
      <c r="S44" s="8"/>
      <c r="T44" s="8"/>
      <c r="U44" s="8"/>
      <c r="V44" s="8"/>
      <c r="W44" s="9" t="s">
        <v>2959</v>
      </c>
      <c r="X44" s="8">
        <v>18.850000000000001</v>
      </c>
      <c r="Y44" s="8">
        <v>4.32</v>
      </c>
      <c r="Z44" s="9">
        <v>6.11</v>
      </c>
      <c r="AA44" s="8">
        <v>1.4</v>
      </c>
      <c r="AB44" s="8">
        <v>43697</v>
      </c>
      <c r="AC44" s="22" t="s">
        <v>2959</v>
      </c>
      <c r="AD44" s="8" t="s">
        <v>3720</v>
      </c>
      <c r="AE44" s="8" t="s">
        <v>4083</v>
      </c>
      <c r="AF44" s="9">
        <f t="shared" si="0"/>
        <v>6.048</v>
      </c>
      <c r="AG44" s="9">
        <f t="shared" si="1"/>
        <v>8.6566666666666663</v>
      </c>
      <c r="AH44" s="9">
        <f t="shared" si="2"/>
        <v>6.6825775656324568E-2</v>
      </c>
      <c r="AI44" s="9">
        <f t="shared" si="3"/>
        <v>4.4656842920694209E-3</v>
      </c>
      <c r="AJ44" s="9">
        <f t="shared" si="4"/>
        <v>8.9258279635209908E-2</v>
      </c>
      <c r="AK44" s="9">
        <f t="shared" si="5"/>
        <v>7.9670404834373282E-3</v>
      </c>
      <c r="AL44" s="9">
        <f t="shared" si="6"/>
        <v>0.32776165858757944</v>
      </c>
      <c r="AM44" s="9">
        <f t="shared" si="7"/>
        <v>0.10742770484008099</v>
      </c>
      <c r="AN44" s="9" t="s">
        <v>2959</v>
      </c>
    </row>
    <row r="45" spans="13:40" ht="23">
      <c r="M45" s="9"/>
      <c r="N45" s="8"/>
      <c r="O45" s="8"/>
      <c r="P45" s="8"/>
      <c r="Q45" s="8"/>
      <c r="R45" s="8"/>
      <c r="S45" s="8"/>
      <c r="T45" s="8"/>
      <c r="U45" s="8"/>
      <c r="V45" s="8"/>
      <c r="W45" s="9"/>
      <c r="X45" s="8"/>
      <c r="Y45" s="8"/>
      <c r="Z45" s="9"/>
      <c r="AA45" s="8">
        <f>SUBTOTAL(109,Table13625[ترافیک کل])</f>
        <v>2095.0000000000005</v>
      </c>
      <c r="AB45" s="8"/>
      <c r="AC45" s="22"/>
      <c r="AD45" s="8"/>
      <c r="AE45" s="8"/>
      <c r="AF45" s="9">
        <f>SUBTOTAL(109,Table13625[[مجموع صفحات  مشاهده شده   ]])</f>
        <v>6775.8419999999996</v>
      </c>
      <c r="AG45" s="9">
        <f>SUBTOTAL(109,Table13625[[مجموع زمان حضور در سایت ]])</f>
        <v>2641.1468333333332</v>
      </c>
      <c r="AH45" s="9">
        <f>SUBTOTAL(109,Table13625[سهم سایت از کل ترافیک طبقه بندی])</f>
        <v>99.999999999999957</v>
      </c>
      <c r="AI45" s="9">
        <f>SUBTOTAL(109,Table13625[شاخص هرفیندال هیرشمن (ترافیک)])</f>
        <v>535.03281480511055</v>
      </c>
      <c r="AJ45" s="9">
        <f>SUBTOTAL(109,Table13625[سهم سایت از کل صفحات مشاهده شده در طبقه بندی])</f>
        <v>100.00000000000001</v>
      </c>
      <c r="AK45" s="9">
        <f>SUBTOTAL(109,Table13625[شاخص هرفیندال -هیرشمن (صفحات مشاهده شده )])</f>
        <v>780.9831256910287</v>
      </c>
      <c r="AL45" s="9">
        <f>SUBTOTAL(109,Table13625[سهم سایت از کل زمان حضور در طبقه بندی])</f>
        <v>100.00000000000001</v>
      </c>
      <c r="AM45" s="9">
        <f>SUBTOTAL(109,Table13625[شاخص هرفیندال هیرشمن (زمان حضور)])</f>
        <v>756.06142508398784</v>
      </c>
      <c r="AN45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{2FA5599C-7E54-42F5-A1DD-8E2F3A47BBE7}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{FFEF122D-FAC8-43C1-B5BF-71727A6E6852}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{ABDB4C74-5369-4D0B-BCFD-CD509B7EA6AE}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{822305C6-8831-4A4B-A9C0-002EC71ADF1F}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{82C1BD92-3F75-4BFC-8706-F6B8BE139946}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{8314A15E-E0B2-4CAB-ADA4-090DDCB8FFD3}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A5599C-7E54-42F5-A1DD-8E2F3A47BBE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FEF122D-FAC8-43C1-B5BF-71727A6E685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BDB4C74-5369-4D0B-BCFD-CD509B7EA6A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22305C6-8831-4A4B-A9C0-002EC71ADF1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2C1BD92-3F75-4BFC-8706-F6B8BE1399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8314A15E-E0B2-4CAB-ADA4-090DDCB8FFD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4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2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1219</v>
      </c>
      <c r="N2" s="8" t="s">
        <v>150</v>
      </c>
      <c r="O2" s="8"/>
      <c r="P2" s="8" t="s">
        <v>4167</v>
      </c>
      <c r="Q2" s="8"/>
      <c r="R2" s="8"/>
      <c r="S2" s="8"/>
      <c r="T2" s="8"/>
      <c r="U2" s="8"/>
      <c r="V2" s="8"/>
      <c r="W2" s="8" t="s">
        <v>1219</v>
      </c>
      <c r="X2" s="8">
        <v>31.66</v>
      </c>
      <c r="Y2" s="8">
        <v>4.62</v>
      </c>
      <c r="Z2" s="9">
        <v>1.57</v>
      </c>
      <c r="AA2" s="8">
        <v>390.4</v>
      </c>
      <c r="AB2" s="8">
        <v>1931</v>
      </c>
      <c r="AC2" s="21" t="s">
        <v>1219</v>
      </c>
      <c r="AD2" s="8" t="s">
        <v>3999</v>
      </c>
      <c r="AE2" s="8" t="s">
        <v>4083</v>
      </c>
      <c r="AF2" s="9">
        <f t="shared" ref="AF2:AF33" si="0">(AA2*Y2)</f>
        <v>1803.6479999999999</v>
      </c>
      <c r="AG2" s="9">
        <f t="shared" ref="AG2:AG33" si="1">((((RIGHT(Z2,2))/60)+(LEFT(Z2,2)))*AA2)</f>
        <v>761.28</v>
      </c>
      <c r="AH2" s="9">
        <f t="shared" ref="AH2:AH33" si="2">(AA2/$AA$34)*100</f>
        <v>24.447366773122919</v>
      </c>
      <c r="AI2" s="9">
        <f t="shared" ref="AI2:AI33" si="3">(AH2*AH2)</f>
        <v>597.67374213959454</v>
      </c>
      <c r="AJ2" s="9">
        <f t="shared" ref="AJ2:AJ33" si="4">(AF2/$AF$34)*100</f>
        <v>34.773649539679766</v>
      </c>
      <c r="AK2" s="9">
        <f t="shared" ref="AK2:AK33" si="5">(AJ2*AJ2)</f>
        <v>1209.2067023084708</v>
      </c>
      <c r="AL2" s="9">
        <f t="shared" ref="AL2:AL33" si="6">(AG2/$AG$34)*100</f>
        <v>33.757941117976074</v>
      </c>
      <c r="AM2" s="9">
        <f t="shared" ref="AM2:AM33" si="7">(AL2*AL2)</f>
        <v>1139.5985885247396</v>
      </c>
      <c r="AN2" s="8" t="s">
        <v>1219</v>
      </c>
    </row>
    <row r="3" spans="8:40" ht="23">
      <c r="M3" s="9" t="s">
        <v>963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9" t="s">
        <v>963</v>
      </c>
      <c r="X3" s="8">
        <v>30.34</v>
      </c>
      <c r="Y3" s="8">
        <v>1.64</v>
      </c>
      <c r="Z3" s="9">
        <v>0.48</v>
      </c>
      <c r="AA3" s="8">
        <v>191.5</v>
      </c>
      <c r="AB3" s="8">
        <v>3367</v>
      </c>
      <c r="AC3" s="22" t="s">
        <v>963</v>
      </c>
      <c r="AD3" s="8" t="s">
        <v>3999</v>
      </c>
      <c r="AE3" s="8" t="s">
        <v>4083</v>
      </c>
      <c r="AF3" s="9">
        <f t="shared" si="0"/>
        <v>314.06</v>
      </c>
      <c r="AG3" s="9">
        <f t="shared" si="1"/>
        <v>153.20000000000002</v>
      </c>
      <c r="AH3" s="9">
        <f t="shared" si="2"/>
        <v>11.991984469910449</v>
      </c>
      <c r="AI3" s="9">
        <f t="shared" si="3"/>
        <v>143.80769152657339</v>
      </c>
      <c r="AJ3" s="9">
        <f t="shared" si="4"/>
        <v>6.0549577159356076</v>
      </c>
      <c r="AK3" s="9">
        <f t="shared" si="5"/>
        <v>36.662512941768149</v>
      </c>
      <c r="AL3" s="9">
        <f t="shared" si="6"/>
        <v>6.7934486381803483</v>
      </c>
      <c r="AM3" s="9">
        <f t="shared" si="7"/>
        <v>46.15094439959443</v>
      </c>
      <c r="AN3" s="9" t="s">
        <v>963</v>
      </c>
    </row>
    <row r="4" spans="8:40" ht="23">
      <c r="M4" s="9" t="s">
        <v>509</v>
      </c>
      <c r="N4" s="8" t="s">
        <v>150</v>
      </c>
      <c r="O4" s="8"/>
      <c r="P4" s="8" t="s">
        <v>3691</v>
      </c>
      <c r="Q4" s="8"/>
      <c r="R4" s="8"/>
      <c r="S4" s="8"/>
      <c r="T4" s="8"/>
      <c r="U4" s="8"/>
      <c r="V4" s="8"/>
      <c r="W4" s="9" t="s">
        <v>509</v>
      </c>
      <c r="X4" s="8">
        <v>33.9</v>
      </c>
      <c r="Y4" s="8">
        <v>1.61</v>
      </c>
      <c r="Z4" s="9">
        <v>1.1200000000000001</v>
      </c>
      <c r="AA4" s="8">
        <v>191.2</v>
      </c>
      <c r="AB4" s="8">
        <v>7035</v>
      </c>
      <c r="AC4" s="22" t="s">
        <v>509</v>
      </c>
      <c r="AD4" s="8" t="s">
        <v>3727</v>
      </c>
      <c r="AE4" s="8" t="s">
        <v>4083</v>
      </c>
      <c r="AF4" s="9">
        <f t="shared" si="0"/>
        <v>307.83199999999999</v>
      </c>
      <c r="AG4" s="9">
        <f t="shared" si="1"/>
        <v>229.43999999999997</v>
      </c>
      <c r="AH4" s="9">
        <f t="shared" si="2"/>
        <v>11.97319807126307</v>
      </c>
      <c r="AI4" s="9">
        <f t="shared" si="3"/>
        <v>143.35747205369771</v>
      </c>
      <c r="AJ4" s="9">
        <f t="shared" si="4"/>
        <v>5.9348842374447237</v>
      </c>
      <c r="AK4" s="9">
        <f t="shared" si="5"/>
        <v>35.222850911869841</v>
      </c>
      <c r="AL4" s="9">
        <f t="shared" si="6"/>
        <v>10.174209239843988</v>
      </c>
      <c r="AM4" s="9">
        <f t="shared" si="7"/>
        <v>103.51453365612677</v>
      </c>
      <c r="AN4" s="9" t="s">
        <v>509</v>
      </c>
    </row>
    <row r="5" spans="8:40" ht="23">
      <c r="M5" s="9" t="s">
        <v>3102</v>
      </c>
      <c r="N5" s="8" t="s">
        <v>1814</v>
      </c>
      <c r="O5" s="8"/>
      <c r="P5" s="8"/>
      <c r="Q5" s="8"/>
      <c r="R5" s="8"/>
      <c r="S5" s="8"/>
      <c r="T5" s="8"/>
      <c r="U5" s="8"/>
      <c r="V5" s="8"/>
      <c r="W5" s="9" t="s">
        <v>3102</v>
      </c>
      <c r="X5" s="8">
        <v>16.57</v>
      </c>
      <c r="Y5" s="8">
        <v>3.3</v>
      </c>
      <c r="Z5" s="9">
        <v>0.34</v>
      </c>
      <c r="AA5" s="8">
        <v>184.7</v>
      </c>
      <c r="AB5" s="8">
        <v>17843</v>
      </c>
      <c r="AC5" s="22" t="s">
        <v>3102</v>
      </c>
      <c r="AD5" s="8" t="s">
        <v>3999</v>
      </c>
      <c r="AE5" s="8" t="s">
        <v>4083</v>
      </c>
      <c r="AF5" s="9">
        <f t="shared" si="0"/>
        <v>609.50999999999988</v>
      </c>
      <c r="AG5" s="9">
        <f t="shared" si="1"/>
        <v>104.66333333333333</v>
      </c>
      <c r="AH5" s="9">
        <f t="shared" si="2"/>
        <v>11.566159433903184</v>
      </c>
      <c r="AI5" s="9">
        <f t="shared" si="3"/>
        <v>133.77604405046762</v>
      </c>
      <c r="AJ5" s="9">
        <f t="shared" si="4"/>
        <v>11.751121688339525</v>
      </c>
      <c r="AK5" s="9">
        <f t="shared" si="5"/>
        <v>138.08886093416356</v>
      </c>
      <c r="AL5" s="9">
        <f t="shared" si="6"/>
        <v>4.6411552173678139</v>
      </c>
      <c r="AM5" s="9">
        <f t="shared" si="7"/>
        <v>21.540321751700478</v>
      </c>
      <c r="AN5" s="9" t="s">
        <v>3102</v>
      </c>
    </row>
    <row r="6" spans="8:40" ht="23">
      <c r="M6" s="9" t="s">
        <v>2357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9" t="s">
        <v>2357</v>
      </c>
      <c r="X6" s="8">
        <v>17.920000000000002</v>
      </c>
      <c r="Y6" s="8">
        <v>2.5099999999999998</v>
      </c>
      <c r="Z6" s="9">
        <v>0.25</v>
      </c>
      <c r="AA6" s="8">
        <v>105.6</v>
      </c>
      <c r="AB6" s="8">
        <v>14505</v>
      </c>
      <c r="AC6" s="22" t="s">
        <v>2357</v>
      </c>
      <c r="AD6" s="8" t="s">
        <v>3727</v>
      </c>
      <c r="AE6" s="8" t="s">
        <v>4083</v>
      </c>
      <c r="AF6" s="9">
        <f t="shared" si="0"/>
        <v>265.05599999999998</v>
      </c>
      <c r="AG6" s="9">
        <f t="shared" si="1"/>
        <v>44</v>
      </c>
      <c r="AH6" s="9">
        <f t="shared" si="2"/>
        <v>6.6128123238775105</v>
      </c>
      <c r="AI6" s="9">
        <f t="shared" si="3"/>
        <v>43.729286830826283</v>
      </c>
      <c r="AJ6" s="9">
        <f t="shared" si="4"/>
        <v>5.1101791770840865</v>
      </c>
      <c r="AK6" s="9">
        <f t="shared" si="5"/>
        <v>26.11393122190379</v>
      </c>
      <c r="AL6" s="9">
        <f t="shared" si="6"/>
        <v>1.9511210187985333</v>
      </c>
      <c r="AM6" s="9">
        <f t="shared" si="7"/>
        <v>3.8068732299974264</v>
      </c>
      <c r="AN6" s="9" t="s">
        <v>2357</v>
      </c>
    </row>
    <row r="7" spans="8:40" ht="23">
      <c r="M7" s="9" t="s">
        <v>2313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9" t="s">
        <v>2313</v>
      </c>
      <c r="X7" s="8">
        <v>1.88</v>
      </c>
      <c r="Y7" s="8">
        <v>7</v>
      </c>
      <c r="Z7" s="9">
        <v>4.09</v>
      </c>
      <c r="AA7" s="8">
        <v>76.2</v>
      </c>
      <c r="AB7" s="8">
        <v>26971</v>
      </c>
      <c r="AC7" s="22" t="s">
        <v>2313</v>
      </c>
      <c r="AD7" s="8" t="s">
        <v>3999</v>
      </c>
      <c r="AE7" s="8" t="s">
        <v>4083</v>
      </c>
      <c r="AF7" s="9">
        <f t="shared" si="0"/>
        <v>533.4</v>
      </c>
      <c r="AG7" s="9">
        <f t="shared" si="1"/>
        <v>316.23</v>
      </c>
      <c r="AH7" s="9">
        <f t="shared" si="2"/>
        <v>4.7717452564343406</v>
      </c>
      <c r="AI7" s="9">
        <f t="shared" si="3"/>
        <v>22.769552792303632</v>
      </c>
      <c r="AJ7" s="9">
        <f t="shared" si="4"/>
        <v>10.283749747436964</v>
      </c>
      <c r="AK7" s="9">
        <f t="shared" si="5"/>
        <v>105.75550886790982</v>
      </c>
      <c r="AL7" s="9">
        <f t="shared" si="6"/>
        <v>14.022795449424097</v>
      </c>
      <c r="AM7" s="9">
        <f t="shared" si="7"/>
        <v>196.63879221638913</v>
      </c>
      <c r="AN7" s="9" t="s">
        <v>2313</v>
      </c>
    </row>
    <row r="8" spans="8:40" ht="23">
      <c r="M8" s="9" t="s">
        <v>2509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9" t="s">
        <v>2509</v>
      </c>
      <c r="X8" s="8">
        <v>20.43</v>
      </c>
      <c r="Y8" s="8">
        <v>1.72</v>
      </c>
      <c r="Z8" s="9">
        <v>0.56000000000000005</v>
      </c>
      <c r="AA8" s="8">
        <v>74.5</v>
      </c>
      <c r="AB8" s="8">
        <v>13767</v>
      </c>
      <c r="AC8" s="22" t="s">
        <v>2509</v>
      </c>
      <c r="AD8" s="8" t="s">
        <v>3727</v>
      </c>
      <c r="AE8" s="8" t="s">
        <v>4083</v>
      </c>
      <c r="AF8" s="9">
        <f t="shared" si="0"/>
        <v>128.13999999999999</v>
      </c>
      <c r="AG8" s="9">
        <f t="shared" si="1"/>
        <v>69.533333333333331</v>
      </c>
      <c r="AH8" s="9">
        <f t="shared" si="2"/>
        <v>4.6652889974325245</v>
      </c>
      <c r="AI8" s="9">
        <f t="shared" si="3"/>
        <v>21.764921429564968</v>
      </c>
      <c r="AJ8" s="9">
        <f t="shared" si="4"/>
        <v>2.4704906123670276</v>
      </c>
      <c r="AK8" s="9">
        <f t="shared" si="5"/>
        <v>6.1033238657936106</v>
      </c>
      <c r="AL8" s="9">
        <f t="shared" si="6"/>
        <v>3.0833624584952575</v>
      </c>
      <c r="AM8" s="9">
        <f t="shared" si="7"/>
        <v>9.507124050457918</v>
      </c>
      <c r="AN8" s="9" t="s">
        <v>2509</v>
      </c>
    </row>
    <row r="9" spans="8:40" ht="23">
      <c r="M9" s="8" t="s">
        <v>176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176</v>
      </c>
      <c r="X9" s="8">
        <v>13.25</v>
      </c>
      <c r="Y9" s="8">
        <v>2.88</v>
      </c>
      <c r="Z9" s="9">
        <v>0.18</v>
      </c>
      <c r="AA9" s="8">
        <v>53</v>
      </c>
      <c r="AB9" s="8">
        <v>27345</v>
      </c>
      <c r="AC9" s="21" t="s">
        <v>176</v>
      </c>
      <c r="AD9" s="8" t="s">
        <v>3727</v>
      </c>
      <c r="AE9" s="8" t="s">
        <v>4083</v>
      </c>
      <c r="AF9" s="9">
        <f t="shared" si="0"/>
        <v>152.63999999999999</v>
      </c>
      <c r="AG9" s="9">
        <f t="shared" si="1"/>
        <v>15.899999999999999</v>
      </c>
      <c r="AH9" s="9">
        <f t="shared" si="2"/>
        <v>3.3189304277036751</v>
      </c>
      <c r="AI9" s="9">
        <f t="shared" si="3"/>
        <v>11.0152991839373</v>
      </c>
      <c r="AJ9" s="9">
        <f t="shared" si="4"/>
        <v>2.9428413225511401</v>
      </c>
      <c r="AK9" s="9">
        <f t="shared" si="5"/>
        <v>8.6603150497145425</v>
      </c>
      <c r="AL9" s="9">
        <f t="shared" si="6"/>
        <v>0.70506418633856083</v>
      </c>
      <c r="AM9" s="9">
        <f t="shared" si="7"/>
        <v>0.49711550685725681</v>
      </c>
      <c r="AN9" s="8" t="s">
        <v>176</v>
      </c>
    </row>
    <row r="10" spans="8:40" ht="23">
      <c r="M10" s="9" t="s">
        <v>3561</v>
      </c>
      <c r="N10" s="8" t="s">
        <v>2066</v>
      </c>
      <c r="O10" s="8"/>
      <c r="P10" s="8" t="s">
        <v>3691</v>
      </c>
      <c r="Q10" s="8"/>
      <c r="R10" s="8"/>
      <c r="S10" s="8"/>
      <c r="T10" s="8"/>
      <c r="U10" s="8"/>
      <c r="V10" s="8"/>
      <c r="W10" s="9" t="s">
        <v>3561</v>
      </c>
      <c r="X10" s="8">
        <v>1.79</v>
      </c>
      <c r="Y10" s="8">
        <v>7.28</v>
      </c>
      <c r="Z10" s="9">
        <v>2</v>
      </c>
      <c r="AA10" s="8">
        <v>49.3</v>
      </c>
      <c r="AB10" s="8">
        <v>21594</v>
      </c>
      <c r="AC10" s="22" t="s">
        <v>3561</v>
      </c>
      <c r="AD10" s="8" t="s">
        <v>3999</v>
      </c>
      <c r="AE10" s="8" t="s">
        <v>4083</v>
      </c>
      <c r="AF10" s="9">
        <f t="shared" si="0"/>
        <v>358.904</v>
      </c>
      <c r="AG10" s="9">
        <f t="shared" si="1"/>
        <v>100.24333333333333</v>
      </c>
      <c r="AH10" s="9">
        <f t="shared" si="2"/>
        <v>3.0872315110526638</v>
      </c>
      <c r="AI10" s="9">
        <f t="shared" si="3"/>
        <v>9.5309984028365147</v>
      </c>
      <c r="AJ10" s="9">
        <f t="shared" si="4"/>
        <v>6.919533032159948</v>
      </c>
      <c r="AK10" s="9">
        <f t="shared" si="5"/>
        <v>47.879937383152644</v>
      </c>
      <c r="AL10" s="9">
        <f t="shared" si="6"/>
        <v>4.445156242297597</v>
      </c>
      <c r="AM10" s="9">
        <f t="shared" si="7"/>
        <v>19.759414018437294</v>
      </c>
      <c r="AN10" s="9" t="s">
        <v>3561</v>
      </c>
    </row>
    <row r="11" spans="8:40" ht="23">
      <c r="M11" s="9" t="s">
        <v>2852</v>
      </c>
      <c r="N11" s="8" t="s">
        <v>1614</v>
      </c>
      <c r="O11" s="8"/>
      <c r="P11" s="8"/>
      <c r="Q11" s="8"/>
      <c r="R11" s="8"/>
      <c r="S11" s="8"/>
      <c r="T11" s="8"/>
      <c r="U11" s="8"/>
      <c r="V11" s="8"/>
      <c r="W11" s="9" t="s">
        <v>2852</v>
      </c>
      <c r="X11" s="8">
        <v>25.05</v>
      </c>
      <c r="Y11" s="8">
        <v>2.17</v>
      </c>
      <c r="Z11" s="9">
        <v>0.31</v>
      </c>
      <c r="AA11" s="8">
        <v>40.200000000000003</v>
      </c>
      <c r="AB11" s="8">
        <v>13884</v>
      </c>
      <c r="AC11" s="22" t="s">
        <v>2852</v>
      </c>
      <c r="AD11" s="8" t="s">
        <v>3999</v>
      </c>
      <c r="AE11" s="8" t="s">
        <v>4083</v>
      </c>
      <c r="AF11" s="9">
        <f t="shared" si="0"/>
        <v>87.234000000000009</v>
      </c>
      <c r="AG11" s="9">
        <f t="shared" si="1"/>
        <v>20.770000000000003</v>
      </c>
      <c r="AH11" s="9">
        <f t="shared" si="2"/>
        <v>2.5173774187488251</v>
      </c>
      <c r="AI11" s="9">
        <f t="shared" si="3"/>
        <v>6.3371890684264978</v>
      </c>
      <c r="AJ11" s="9">
        <f t="shared" si="4"/>
        <v>1.6818384429469746</v>
      </c>
      <c r="AK11" s="9">
        <f t="shared" si="5"/>
        <v>2.8285805481743038</v>
      </c>
      <c r="AL11" s="9">
        <f t="shared" si="6"/>
        <v>0.92101780819194412</v>
      </c>
      <c r="AM11" s="9">
        <f t="shared" si="7"/>
        <v>0.84827380300669275</v>
      </c>
      <c r="AN11" s="9" t="s">
        <v>2852</v>
      </c>
    </row>
    <row r="12" spans="8:40" ht="23">
      <c r="M12" s="9" t="s">
        <v>416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9" t="s">
        <v>416</v>
      </c>
      <c r="X12" s="8">
        <v>42.95</v>
      </c>
      <c r="Y12" s="8">
        <v>1.51</v>
      </c>
      <c r="Z12" s="9">
        <v>0.53</v>
      </c>
      <c r="AA12" s="8">
        <v>31.9</v>
      </c>
      <c r="AB12" s="8">
        <v>21489</v>
      </c>
      <c r="AC12" s="22" t="s">
        <v>416</v>
      </c>
      <c r="AD12" s="8" t="s">
        <v>3999</v>
      </c>
      <c r="AE12" s="8" t="s">
        <v>4083</v>
      </c>
      <c r="AF12" s="9">
        <f t="shared" si="0"/>
        <v>48.168999999999997</v>
      </c>
      <c r="AG12" s="9">
        <f t="shared" si="1"/>
        <v>28.178333333333331</v>
      </c>
      <c r="AH12" s="9">
        <f t="shared" si="2"/>
        <v>1.9976203895046649</v>
      </c>
      <c r="AI12" s="9">
        <f t="shared" si="3"/>
        <v>3.990487220564769</v>
      </c>
      <c r="AJ12" s="9">
        <f t="shared" si="4"/>
        <v>0.92868005546361287</v>
      </c>
      <c r="AK12" s="9">
        <f t="shared" si="5"/>
        <v>0.8624466454158991</v>
      </c>
      <c r="AL12" s="9">
        <f t="shared" si="6"/>
        <v>1.2495304191222272</v>
      </c>
      <c r="AM12" s="9">
        <f t="shared" si="7"/>
        <v>1.5613262683117688</v>
      </c>
      <c r="AN12" s="9" t="s">
        <v>416</v>
      </c>
    </row>
    <row r="13" spans="8:40" ht="23">
      <c r="M13" s="9" t="s">
        <v>1371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9" t="s">
        <v>1371</v>
      </c>
      <c r="X13" s="8">
        <v>1.68</v>
      </c>
      <c r="Y13" s="8">
        <v>2.4700000000000002</v>
      </c>
      <c r="Z13" s="9">
        <v>0.42</v>
      </c>
      <c r="AA13" s="8">
        <v>31.8</v>
      </c>
      <c r="AB13" s="8">
        <v>21336</v>
      </c>
      <c r="AC13" s="22" t="s">
        <v>1371</v>
      </c>
      <c r="AD13" s="8" t="s">
        <v>3999</v>
      </c>
      <c r="AE13" s="8" t="s">
        <v>4083</v>
      </c>
      <c r="AF13" s="9">
        <f t="shared" si="0"/>
        <v>78.546000000000006</v>
      </c>
      <c r="AG13" s="9">
        <f t="shared" si="1"/>
        <v>22.259999999999998</v>
      </c>
      <c r="AH13" s="9">
        <f t="shared" si="2"/>
        <v>1.991358256622205</v>
      </c>
      <c r="AI13" s="9">
        <f t="shared" si="3"/>
        <v>3.9655077062174278</v>
      </c>
      <c r="AJ13" s="9">
        <f t="shared" si="4"/>
        <v>1.5143370972294412</v>
      </c>
      <c r="AK13" s="9">
        <f t="shared" si="5"/>
        <v>2.2932168440452902</v>
      </c>
      <c r="AL13" s="9">
        <f t="shared" si="6"/>
        <v>0.98708986087398509</v>
      </c>
      <c r="AM13" s="9">
        <f t="shared" si="7"/>
        <v>0.97434639344022322</v>
      </c>
      <c r="AN13" s="9" t="s">
        <v>1371</v>
      </c>
    </row>
    <row r="14" spans="8:40" ht="23">
      <c r="M14" s="9" t="s">
        <v>3362</v>
      </c>
      <c r="N14" s="8" t="s">
        <v>1964</v>
      </c>
      <c r="O14" s="8"/>
      <c r="P14" s="8" t="s">
        <v>3691</v>
      </c>
      <c r="Q14" s="8"/>
      <c r="R14" s="8"/>
      <c r="S14" s="8"/>
      <c r="T14" s="8"/>
      <c r="U14" s="8"/>
      <c r="V14" s="8"/>
      <c r="W14" s="9" t="s">
        <v>3362</v>
      </c>
      <c r="X14" s="8">
        <v>26.25</v>
      </c>
      <c r="Y14" s="8">
        <v>1.84</v>
      </c>
      <c r="Z14" s="9">
        <v>1.43</v>
      </c>
      <c r="AA14" s="8">
        <v>30.9</v>
      </c>
      <c r="AB14" s="8">
        <v>18305</v>
      </c>
      <c r="AC14" s="22" t="s">
        <v>3362</v>
      </c>
      <c r="AD14" s="8" t="s">
        <v>3999</v>
      </c>
      <c r="AE14" s="8" t="s">
        <v>4083</v>
      </c>
      <c r="AF14" s="9">
        <f t="shared" si="0"/>
        <v>56.856000000000002</v>
      </c>
      <c r="AG14" s="9">
        <f t="shared" si="1"/>
        <v>53.045000000000002</v>
      </c>
      <c r="AH14" s="9">
        <f t="shared" si="2"/>
        <v>1.9349990606800673</v>
      </c>
      <c r="AI14" s="9">
        <f t="shared" si="3"/>
        <v>3.7442213648327427</v>
      </c>
      <c r="AJ14" s="9">
        <f t="shared" si="4"/>
        <v>1.0961621215603226</v>
      </c>
      <c r="AK14" s="9">
        <f t="shared" si="5"/>
        <v>1.2015713967436275</v>
      </c>
      <c r="AL14" s="9">
        <f t="shared" si="6"/>
        <v>2.3522094191401863</v>
      </c>
      <c r="AM14" s="9">
        <f t="shared" si="7"/>
        <v>5.5328891514918128</v>
      </c>
      <c r="AN14" s="9" t="s">
        <v>3362</v>
      </c>
    </row>
    <row r="15" spans="8:40" ht="23">
      <c r="M15" s="9" t="s">
        <v>2519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9" t="s">
        <v>2519</v>
      </c>
      <c r="X15" s="8">
        <v>16.68</v>
      </c>
      <c r="Y15" s="8">
        <v>4.24</v>
      </c>
      <c r="Z15" s="9">
        <v>4.05</v>
      </c>
      <c r="AA15" s="8">
        <v>29.2</v>
      </c>
      <c r="AB15" s="8">
        <v>8209</v>
      </c>
      <c r="AC15" s="22" t="s">
        <v>2519</v>
      </c>
      <c r="AD15" s="8" t="s">
        <v>3999</v>
      </c>
      <c r="AE15" s="8" t="s">
        <v>4083</v>
      </c>
      <c r="AF15" s="9">
        <f t="shared" si="0"/>
        <v>123.80800000000001</v>
      </c>
      <c r="AG15" s="9">
        <f t="shared" si="1"/>
        <v>119.23333333333332</v>
      </c>
      <c r="AH15" s="9">
        <f t="shared" si="2"/>
        <v>1.8285428016782512</v>
      </c>
      <c r="AI15" s="9">
        <f t="shared" si="3"/>
        <v>3.3435687775693483</v>
      </c>
      <c r="AJ15" s="9">
        <f t="shared" si="4"/>
        <v>2.3869712949581472</v>
      </c>
      <c r="AK15" s="9">
        <f t="shared" si="5"/>
        <v>5.6976319629541745</v>
      </c>
      <c r="AL15" s="9">
        <f t="shared" si="6"/>
        <v>5.2872423365472372</v>
      </c>
      <c r="AM15" s="9">
        <f t="shared" si="7"/>
        <v>27.954931525377489</v>
      </c>
      <c r="AN15" s="9" t="s">
        <v>2519</v>
      </c>
    </row>
    <row r="16" spans="8:40" ht="23">
      <c r="M16" s="9" t="s">
        <v>2341</v>
      </c>
      <c r="N16" s="8" t="s">
        <v>150</v>
      </c>
      <c r="O16" s="8"/>
      <c r="P16" s="8" t="s">
        <v>3693</v>
      </c>
      <c r="Q16" s="8"/>
      <c r="R16" s="8"/>
      <c r="S16" s="8"/>
      <c r="T16" s="8"/>
      <c r="U16" s="8"/>
      <c r="V16" s="8"/>
      <c r="W16" s="9" t="s">
        <v>2341</v>
      </c>
      <c r="X16" s="8">
        <v>48.46</v>
      </c>
      <c r="Y16" s="8">
        <v>1.7</v>
      </c>
      <c r="Z16" s="9">
        <v>0.28999999999999998</v>
      </c>
      <c r="AA16" s="8">
        <v>21</v>
      </c>
      <c r="AB16" s="8">
        <v>36923</v>
      </c>
      <c r="AC16" s="22" t="s">
        <v>2341</v>
      </c>
      <c r="AD16" s="8" t="s">
        <v>3999</v>
      </c>
      <c r="AE16" s="8" t="s">
        <v>4083</v>
      </c>
      <c r="AF16" s="9">
        <f t="shared" si="0"/>
        <v>35.699999999999996</v>
      </c>
      <c r="AG16" s="9">
        <f t="shared" si="1"/>
        <v>10.15</v>
      </c>
      <c r="AH16" s="9">
        <f t="shared" si="2"/>
        <v>1.3150479053165507</v>
      </c>
      <c r="AI16" s="9">
        <f t="shared" si="3"/>
        <v>1.7293509932774476</v>
      </c>
      <c r="AJ16" s="9">
        <f t="shared" si="4"/>
        <v>0.6882824634111353</v>
      </c>
      <c r="AK16" s="9">
        <f t="shared" si="5"/>
        <v>0.47373274943930083</v>
      </c>
      <c r="AL16" s="9">
        <f t="shared" si="6"/>
        <v>0.45008814410920706</v>
      </c>
      <c r="AM16" s="9">
        <f t="shared" si="7"/>
        <v>0.20257933746767035</v>
      </c>
      <c r="AN16" s="9" t="s">
        <v>2341</v>
      </c>
    </row>
    <row r="17" spans="13:40" ht="23">
      <c r="M17" s="9" t="s">
        <v>3427</v>
      </c>
      <c r="N17" s="8" t="s">
        <v>2003</v>
      </c>
      <c r="O17" s="8"/>
      <c r="P17" s="8"/>
      <c r="Q17" s="8"/>
      <c r="R17" s="8"/>
      <c r="S17" s="8"/>
      <c r="T17" s="8"/>
      <c r="U17" s="8"/>
      <c r="V17" s="8"/>
      <c r="W17" s="9" t="s">
        <v>3427</v>
      </c>
      <c r="X17" s="8">
        <v>2.11</v>
      </c>
      <c r="Y17" s="8">
        <v>1.18</v>
      </c>
      <c r="Z17" s="9">
        <v>0.05</v>
      </c>
      <c r="AA17" s="8">
        <v>18.5</v>
      </c>
      <c r="AB17" s="8">
        <v>58425</v>
      </c>
      <c r="AC17" s="22" t="s">
        <v>3427</v>
      </c>
      <c r="AD17" s="8" t="s">
        <v>3999</v>
      </c>
      <c r="AE17" s="8" t="s">
        <v>4083</v>
      </c>
      <c r="AF17" s="9">
        <f t="shared" si="0"/>
        <v>21.83</v>
      </c>
      <c r="AG17" s="9">
        <f t="shared" si="1"/>
        <v>1.5416666666666665</v>
      </c>
      <c r="AH17" s="9">
        <f t="shared" si="2"/>
        <v>1.1584945832550564</v>
      </c>
      <c r="AI17" s="9">
        <f t="shared" si="3"/>
        <v>1.3421096994313069</v>
      </c>
      <c r="AJ17" s="9">
        <f t="shared" si="4"/>
        <v>0.42087412258445611</v>
      </c>
      <c r="AK17" s="9">
        <f t="shared" si="5"/>
        <v>0.17713502706123579</v>
      </c>
      <c r="AL17" s="9">
        <f t="shared" si="6"/>
        <v>6.8363141757145571E-2</v>
      </c>
      <c r="AM17" s="9">
        <f t="shared" si="7"/>
        <v>4.6735191509075808E-3</v>
      </c>
      <c r="AN17" s="9" t="s">
        <v>3427</v>
      </c>
    </row>
    <row r="18" spans="13:40" ht="23">
      <c r="M18" s="8" t="s">
        <v>1776</v>
      </c>
      <c r="N18" s="8" t="s">
        <v>1717</v>
      </c>
      <c r="O18" s="8"/>
      <c r="P18" s="8"/>
      <c r="Q18" s="8"/>
      <c r="R18" s="8"/>
      <c r="S18" s="8"/>
      <c r="T18" s="8"/>
      <c r="U18" s="8"/>
      <c r="V18" s="8"/>
      <c r="W18" s="8" t="s">
        <v>1776</v>
      </c>
      <c r="X18" s="8">
        <v>7.88</v>
      </c>
      <c r="Y18" s="8">
        <v>1.84</v>
      </c>
      <c r="Z18" s="9">
        <v>0.35</v>
      </c>
      <c r="AA18" s="8">
        <v>13.8</v>
      </c>
      <c r="AB18" s="8">
        <v>23654</v>
      </c>
      <c r="AC18" s="21" t="s">
        <v>1776</v>
      </c>
      <c r="AD18" s="8" t="s">
        <v>3999</v>
      </c>
      <c r="AE18" s="8" t="s">
        <v>4083</v>
      </c>
      <c r="AF18" s="9">
        <f t="shared" si="0"/>
        <v>25.392000000000003</v>
      </c>
      <c r="AG18" s="9">
        <f t="shared" si="1"/>
        <v>8.0500000000000007</v>
      </c>
      <c r="AH18" s="9">
        <f t="shared" si="2"/>
        <v>0.86417433777944752</v>
      </c>
      <c r="AI18" s="9">
        <f t="shared" si="3"/>
        <v>0.74679728607654661</v>
      </c>
      <c r="AJ18" s="9">
        <f t="shared" si="4"/>
        <v>0.48954813195897906</v>
      </c>
      <c r="AK18" s="9">
        <f t="shared" si="5"/>
        <v>0.23965737350452598</v>
      </c>
      <c r="AL18" s="9">
        <f t="shared" si="6"/>
        <v>0.35696645912109531</v>
      </c>
      <c r="AM18" s="9">
        <f t="shared" si="7"/>
        <v>0.1274250529374526</v>
      </c>
      <c r="AN18" s="8" t="s">
        <v>1776</v>
      </c>
    </row>
    <row r="19" spans="13:40" ht="23">
      <c r="M19" s="8" t="s">
        <v>193</v>
      </c>
      <c r="N19" s="8" t="s">
        <v>150</v>
      </c>
      <c r="O19" s="8"/>
      <c r="P19" s="8" t="s">
        <v>3693</v>
      </c>
      <c r="Q19" s="8"/>
      <c r="R19" s="8"/>
      <c r="S19" s="8"/>
      <c r="T19" s="8"/>
      <c r="U19" s="8"/>
      <c r="V19" s="8"/>
      <c r="W19" s="8" t="s">
        <v>193</v>
      </c>
      <c r="X19" s="8">
        <v>19.670000000000002</v>
      </c>
      <c r="Y19" s="8">
        <v>4.6100000000000003</v>
      </c>
      <c r="Z19" s="9">
        <v>4.33</v>
      </c>
      <c r="AA19" s="8">
        <v>13.1</v>
      </c>
      <c r="AB19" s="8">
        <v>9533</v>
      </c>
      <c r="AC19" s="21" t="s">
        <v>193</v>
      </c>
      <c r="AD19" s="8" t="s">
        <v>3727</v>
      </c>
      <c r="AE19" s="8" t="s">
        <v>4083</v>
      </c>
      <c r="AF19" s="9">
        <f t="shared" si="0"/>
        <v>60.391000000000005</v>
      </c>
      <c r="AG19" s="9">
        <f t="shared" si="1"/>
        <v>59.604999999999997</v>
      </c>
      <c r="AH19" s="9">
        <f t="shared" si="2"/>
        <v>0.82033940760222923</v>
      </c>
      <c r="AI19" s="9">
        <f t="shared" si="3"/>
        <v>0.67295674366517644</v>
      </c>
      <c r="AJ19" s="9">
        <f t="shared" si="4"/>
        <v>1.1643155811726016</v>
      </c>
      <c r="AK19" s="9">
        <f t="shared" si="5"/>
        <v>1.3556307725612931</v>
      </c>
      <c r="AL19" s="9">
        <f t="shared" si="6"/>
        <v>2.6431038255792401</v>
      </c>
      <c r="AM19" s="9">
        <f t="shared" si="7"/>
        <v>6.9859978327916137</v>
      </c>
      <c r="AN19" s="8" t="s">
        <v>193</v>
      </c>
    </row>
    <row r="20" spans="13:40" ht="23">
      <c r="M20" s="9" t="s">
        <v>100</v>
      </c>
      <c r="N20" s="8" t="s">
        <v>82</v>
      </c>
      <c r="O20" s="8"/>
      <c r="P20" s="8"/>
      <c r="Q20" s="8"/>
      <c r="R20" s="8"/>
      <c r="S20" s="8"/>
      <c r="T20" s="8"/>
      <c r="U20" s="8"/>
      <c r="V20" s="8"/>
      <c r="W20" s="9" t="s">
        <v>100</v>
      </c>
      <c r="X20" s="8">
        <v>22.96</v>
      </c>
      <c r="Y20" s="8">
        <v>1.52</v>
      </c>
      <c r="Z20" s="9">
        <v>0.38</v>
      </c>
      <c r="AA20" s="8">
        <v>8.6999999999999993</v>
      </c>
      <c r="AB20" s="8">
        <v>29478</v>
      </c>
      <c r="AC20" s="22" t="s">
        <v>100</v>
      </c>
      <c r="AD20" s="8" t="s">
        <v>3999</v>
      </c>
      <c r="AE20" s="8" t="s">
        <v>4083</v>
      </c>
      <c r="AF20" s="9">
        <f t="shared" si="0"/>
        <v>13.223999999999998</v>
      </c>
      <c r="AG20" s="9">
        <f t="shared" si="1"/>
        <v>5.5099999999999989</v>
      </c>
      <c r="AH20" s="9">
        <f t="shared" si="2"/>
        <v>0.54480556077399944</v>
      </c>
      <c r="AI20" s="9">
        <f t="shared" si="3"/>
        <v>0.29681309905027198</v>
      </c>
      <c r="AJ20" s="9">
        <f t="shared" si="4"/>
        <v>0.25495370577447768</v>
      </c>
      <c r="AK20" s="9">
        <f t="shared" si="5"/>
        <v>6.5001392088138932E-2</v>
      </c>
      <c r="AL20" s="9">
        <f t="shared" si="6"/>
        <v>0.24433356394499808</v>
      </c>
      <c r="AM20" s="9">
        <f t="shared" si="7"/>
        <v>5.9698890470064464E-2</v>
      </c>
      <c r="AN20" s="9" t="s">
        <v>100</v>
      </c>
    </row>
    <row r="21" spans="13:40" ht="23">
      <c r="M21" s="9" t="s">
        <v>2222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9" t="s">
        <v>2222</v>
      </c>
      <c r="X21" s="8">
        <v>15.32</v>
      </c>
      <c r="Y21" s="8">
        <v>3.59</v>
      </c>
      <c r="Z21" s="9">
        <v>1.55</v>
      </c>
      <c r="AA21" s="8">
        <v>4.9000000000000004</v>
      </c>
      <c r="AB21" s="8">
        <v>27390</v>
      </c>
      <c r="AC21" s="22" t="s">
        <v>2222</v>
      </c>
      <c r="AD21" s="8" t="s">
        <v>3727</v>
      </c>
      <c r="AE21" s="8" t="s">
        <v>4083</v>
      </c>
      <c r="AF21" s="9">
        <f t="shared" si="0"/>
        <v>17.591000000000001</v>
      </c>
      <c r="AG21" s="9">
        <f t="shared" si="1"/>
        <v>9.3916666666666675</v>
      </c>
      <c r="AH21" s="9">
        <f t="shared" si="2"/>
        <v>0.30684451124052847</v>
      </c>
      <c r="AI21" s="9">
        <f t="shared" si="3"/>
        <v>9.4153554078438798E-2</v>
      </c>
      <c r="AJ21" s="9">
        <f t="shared" si="4"/>
        <v>0.33914780991219284</v>
      </c>
      <c r="AK21" s="9">
        <f t="shared" si="5"/>
        <v>0.11502123696823689</v>
      </c>
      <c r="AL21" s="9">
        <f t="shared" si="6"/>
        <v>0.41646086897461121</v>
      </c>
      <c r="AM21" s="9">
        <f t="shared" si="7"/>
        <v>0.17343965538708828</v>
      </c>
      <c r="AN21" s="9" t="s">
        <v>2222</v>
      </c>
    </row>
    <row r="22" spans="13:40" ht="23">
      <c r="M22" s="9" t="s">
        <v>1257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9" t="s">
        <v>1257</v>
      </c>
      <c r="X22" s="8">
        <v>36.78</v>
      </c>
      <c r="Y22" s="8">
        <v>1.26</v>
      </c>
      <c r="Z22" s="9">
        <v>0.11</v>
      </c>
      <c r="AA22" s="8">
        <v>4.9000000000000004</v>
      </c>
      <c r="AB22" s="8">
        <v>71198</v>
      </c>
      <c r="AC22" s="22" t="s">
        <v>1257</v>
      </c>
      <c r="AD22" s="8" t="s">
        <v>3999</v>
      </c>
      <c r="AE22" s="8" t="s">
        <v>4083</v>
      </c>
      <c r="AF22" s="9">
        <f t="shared" si="0"/>
        <v>6.1740000000000004</v>
      </c>
      <c r="AG22" s="9">
        <f t="shared" si="1"/>
        <v>0.89833333333333332</v>
      </c>
      <c r="AH22" s="9">
        <f t="shared" si="2"/>
        <v>0.30684451124052847</v>
      </c>
      <c r="AI22" s="9">
        <f t="shared" si="3"/>
        <v>9.4153554078438798E-2</v>
      </c>
      <c r="AJ22" s="9">
        <f t="shared" si="4"/>
        <v>0.11903237896639636</v>
      </c>
      <c r="AK22" s="9">
        <f t="shared" si="5"/>
        <v>1.4168707242399799E-2</v>
      </c>
      <c r="AL22" s="9">
        <f t="shared" si="6"/>
        <v>3.9835387467136718E-2</v>
      </c>
      <c r="AM22" s="9">
        <f t="shared" si="7"/>
        <v>1.5868580946569132E-3</v>
      </c>
      <c r="AN22" s="9" t="s">
        <v>1257</v>
      </c>
    </row>
    <row r="23" spans="13:40" ht="23">
      <c r="M23" s="8" t="s">
        <v>195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195</v>
      </c>
      <c r="X23" s="8">
        <v>28.09</v>
      </c>
      <c r="Y23" s="8">
        <v>5.22</v>
      </c>
      <c r="Z23" s="9">
        <v>5.57</v>
      </c>
      <c r="AA23" s="8">
        <v>4.4000000000000004</v>
      </c>
      <c r="AB23" s="8">
        <v>18627</v>
      </c>
      <c r="AC23" s="21" t="s">
        <v>195</v>
      </c>
      <c r="AD23" s="8" t="s">
        <v>3727</v>
      </c>
      <c r="AE23" s="8" t="s">
        <v>4083</v>
      </c>
      <c r="AF23" s="9">
        <f t="shared" si="0"/>
        <v>22.968</v>
      </c>
      <c r="AG23" s="9">
        <f t="shared" si="1"/>
        <v>26.180000000000003</v>
      </c>
      <c r="AH23" s="9">
        <f t="shared" si="2"/>
        <v>0.27553384682822968</v>
      </c>
      <c r="AI23" s="9">
        <f t="shared" si="3"/>
        <v>7.5918900747962328E-2</v>
      </c>
      <c r="AJ23" s="9">
        <f t="shared" si="4"/>
        <v>0.44281433108198764</v>
      </c>
      <c r="AK23" s="9">
        <f t="shared" si="5"/>
        <v>0.19608453181158816</v>
      </c>
      <c r="AL23" s="9">
        <f t="shared" si="6"/>
        <v>1.1609170061851275</v>
      </c>
      <c r="AM23" s="9">
        <f t="shared" si="7"/>
        <v>1.3477282952498393</v>
      </c>
      <c r="AN23" s="8" t="s">
        <v>195</v>
      </c>
    </row>
    <row r="24" spans="13:40" ht="23">
      <c r="M24" s="8" t="s">
        <v>1836</v>
      </c>
      <c r="N24" s="8" t="s">
        <v>1814</v>
      </c>
      <c r="O24" s="8"/>
      <c r="P24" s="8"/>
      <c r="Q24" s="8"/>
      <c r="R24" s="8"/>
      <c r="S24" s="8"/>
      <c r="T24" s="8"/>
      <c r="U24" s="8"/>
      <c r="V24" s="8"/>
      <c r="W24" s="8" t="s">
        <v>1836</v>
      </c>
      <c r="X24" s="8">
        <v>24.46</v>
      </c>
      <c r="Y24" s="8">
        <v>5.67</v>
      </c>
      <c r="Z24" s="9">
        <v>5.51</v>
      </c>
      <c r="AA24" s="8">
        <v>3.7</v>
      </c>
      <c r="AB24" s="8">
        <v>23430</v>
      </c>
      <c r="AC24" s="21" t="s">
        <v>1836</v>
      </c>
      <c r="AD24" s="8" t="s">
        <v>3727</v>
      </c>
      <c r="AE24" s="8" t="s">
        <v>4083</v>
      </c>
      <c r="AF24" s="9">
        <f t="shared" si="0"/>
        <v>20.978999999999999</v>
      </c>
      <c r="AG24" s="9">
        <f t="shared" si="1"/>
        <v>21.645</v>
      </c>
      <c r="AH24" s="9">
        <f t="shared" si="2"/>
        <v>0.23169891665101133</v>
      </c>
      <c r="AI24" s="9">
        <f t="shared" si="3"/>
        <v>5.36843879772523E-2</v>
      </c>
      <c r="AJ24" s="9">
        <f t="shared" si="4"/>
        <v>0.40446716526336723</v>
      </c>
      <c r="AK24" s="9">
        <f t="shared" si="5"/>
        <v>0.16359368777618402</v>
      </c>
      <c r="AL24" s="9">
        <f t="shared" si="6"/>
        <v>0.95981851027032383</v>
      </c>
      <c r="AM24" s="9">
        <f t="shared" si="7"/>
        <v>0.92125157265754376</v>
      </c>
      <c r="AN24" s="8" t="s">
        <v>1836</v>
      </c>
    </row>
    <row r="25" spans="13:40" ht="23">
      <c r="M25" s="9" t="s">
        <v>5069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9" t="s">
        <v>5069</v>
      </c>
      <c r="X25" s="8">
        <v>40.659999999999997</v>
      </c>
      <c r="Y25" s="8">
        <v>5.91</v>
      </c>
      <c r="Z25" s="9">
        <v>3.53</v>
      </c>
      <c r="AA25" s="8">
        <v>3.4</v>
      </c>
      <c r="AB25" s="8">
        <v>22682</v>
      </c>
      <c r="AC25" s="22" t="s">
        <v>5069</v>
      </c>
      <c r="AD25" s="8" t="s">
        <v>3999</v>
      </c>
      <c r="AE25" s="8" t="s">
        <v>4083</v>
      </c>
      <c r="AF25" s="9">
        <f t="shared" si="0"/>
        <v>20.094000000000001</v>
      </c>
      <c r="AG25" s="9">
        <f t="shared" si="1"/>
        <v>13.203333333333333</v>
      </c>
      <c r="AH25" s="9">
        <f t="shared" si="2"/>
        <v>0.21291251800363201</v>
      </c>
      <c r="AI25" s="9">
        <f t="shared" si="3"/>
        <v>4.5331740322646925E-2</v>
      </c>
      <c r="AJ25" s="9">
        <f t="shared" si="4"/>
        <v>0.38740470083426765</v>
      </c>
      <c r="AK25" s="9">
        <f t="shared" si="5"/>
        <v>0.15008240222848843</v>
      </c>
      <c r="AL25" s="9">
        <f t="shared" si="6"/>
        <v>0.58548411783795384</v>
      </c>
      <c r="AM25" s="9">
        <f t="shared" si="7"/>
        <v>0.34279165224048702</v>
      </c>
      <c r="AN25" s="9" t="s">
        <v>5069</v>
      </c>
    </row>
    <row r="26" spans="13:40" ht="23">
      <c r="M26" s="9" t="s">
        <v>2414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9" t="s">
        <v>2414</v>
      </c>
      <c r="X26" s="8">
        <v>22.86</v>
      </c>
      <c r="Y26" s="8">
        <v>3.59</v>
      </c>
      <c r="Z26" s="9">
        <v>2.2999999999999998</v>
      </c>
      <c r="AA26" s="8">
        <v>3.3</v>
      </c>
      <c r="AB26" s="8">
        <v>26847</v>
      </c>
      <c r="AC26" s="22" t="s">
        <v>2414</v>
      </c>
      <c r="AD26" s="8" t="s">
        <v>3727</v>
      </c>
      <c r="AE26" s="8" t="s">
        <v>4083</v>
      </c>
      <c r="AF26" s="9">
        <f t="shared" si="0"/>
        <v>11.847</v>
      </c>
      <c r="AG26" s="9">
        <f t="shared" si="1"/>
        <v>6.6164999999999994</v>
      </c>
      <c r="AH26" s="9">
        <f t="shared" si="2"/>
        <v>0.2066503851211722</v>
      </c>
      <c r="AI26" s="9">
        <f t="shared" si="3"/>
        <v>4.2704381670728792E-2</v>
      </c>
      <c r="AJ26" s="9">
        <f t="shared" si="4"/>
        <v>0.22840566790004821</v>
      </c>
      <c r="AK26" s="9">
        <f t="shared" si="5"/>
        <v>5.2169149128867116E-2</v>
      </c>
      <c r="AL26" s="9">
        <f t="shared" si="6"/>
        <v>0.29339982320182939</v>
      </c>
      <c r="AM26" s="9">
        <f t="shared" si="7"/>
        <v>8.6083456254864743E-2</v>
      </c>
      <c r="AN26" s="9" t="s">
        <v>2414</v>
      </c>
    </row>
    <row r="27" spans="13:40" ht="23">
      <c r="M27" s="9" t="s">
        <v>1052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9" t="s">
        <v>1052</v>
      </c>
      <c r="X27" s="8">
        <v>39.14</v>
      </c>
      <c r="Y27" s="8">
        <v>1.74</v>
      </c>
      <c r="Z27" s="9">
        <v>0.05</v>
      </c>
      <c r="AA27" s="8">
        <v>3.3</v>
      </c>
      <c r="AB27" s="8">
        <v>43392</v>
      </c>
      <c r="AC27" s="22" t="s">
        <v>1052</v>
      </c>
      <c r="AD27" s="8" t="s">
        <v>3999</v>
      </c>
      <c r="AE27" s="8" t="s">
        <v>4083</v>
      </c>
      <c r="AF27" s="9">
        <f t="shared" si="0"/>
        <v>5.742</v>
      </c>
      <c r="AG27" s="9">
        <f t="shared" si="1"/>
        <v>0.27499999999999997</v>
      </c>
      <c r="AH27" s="9">
        <f t="shared" si="2"/>
        <v>0.2066503851211722</v>
      </c>
      <c r="AI27" s="9">
        <f t="shared" si="3"/>
        <v>4.2704381670728792E-2</v>
      </c>
      <c r="AJ27" s="9">
        <f t="shared" si="4"/>
        <v>0.11070358277049691</v>
      </c>
      <c r="AK27" s="9">
        <f t="shared" si="5"/>
        <v>1.225528323822426E-2</v>
      </c>
      <c r="AL27" s="9">
        <f t="shared" si="6"/>
        <v>1.2194506367490832E-2</v>
      </c>
      <c r="AM27" s="9">
        <f t="shared" si="7"/>
        <v>1.4870598554677443E-4</v>
      </c>
      <c r="AN27" s="9" t="s">
        <v>1052</v>
      </c>
    </row>
    <row r="28" spans="13:40" ht="23">
      <c r="M28" s="8" t="s">
        <v>423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423</v>
      </c>
      <c r="X28" s="8">
        <v>55.41</v>
      </c>
      <c r="Y28" s="8">
        <v>1.84</v>
      </c>
      <c r="Z28" s="9">
        <v>2.4</v>
      </c>
      <c r="AA28" s="8">
        <v>3.1</v>
      </c>
      <c r="AB28" s="8">
        <v>33959</v>
      </c>
      <c r="AC28" s="21" t="s">
        <v>423</v>
      </c>
      <c r="AD28" s="8" t="s">
        <v>3727</v>
      </c>
      <c r="AE28" s="8" t="s">
        <v>4083</v>
      </c>
      <c r="AF28" s="9">
        <f t="shared" si="0"/>
        <v>5.7040000000000006</v>
      </c>
      <c r="AG28" s="9">
        <f t="shared" si="1"/>
        <v>6.2206666666666672</v>
      </c>
      <c r="AH28" s="9">
        <f t="shared" si="2"/>
        <v>0.19412611935625271</v>
      </c>
      <c r="AI28" s="9">
        <f t="shared" si="3"/>
        <v>3.7684950216318069E-2</v>
      </c>
      <c r="AJ28" s="9">
        <f t="shared" si="4"/>
        <v>0.10997095717919095</v>
      </c>
      <c r="AK28" s="9">
        <f t="shared" si="5"/>
        <v>1.2093611422907449E-2</v>
      </c>
      <c r="AL28" s="9">
        <f t="shared" si="6"/>
        <v>0.27584712464256234</v>
      </c>
      <c r="AM28" s="9">
        <f t="shared" si="7"/>
        <v>7.6091636173569316E-2</v>
      </c>
      <c r="AN28" s="8" t="s">
        <v>423</v>
      </c>
    </row>
    <row r="29" spans="13:40" ht="23">
      <c r="M29" s="8" t="s">
        <v>280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280</v>
      </c>
      <c r="X29" s="8">
        <v>78.58</v>
      </c>
      <c r="Y29" s="8">
        <v>2.39</v>
      </c>
      <c r="Z29" s="9">
        <v>0.36</v>
      </c>
      <c r="AA29" s="8">
        <v>2.7</v>
      </c>
      <c r="AB29" s="8">
        <v>43726</v>
      </c>
      <c r="AC29" s="21" t="s">
        <v>280</v>
      </c>
      <c r="AD29" s="8" t="s">
        <v>3999</v>
      </c>
      <c r="AE29" s="8" t="s">
        <v>4083</v>
      </c>
      <c r="AF29" s="9">
        <f t="shared" si="0"/>
        <v>6.4530000000000012</v>
      </c>
      <c r="AG29" s="9">
        <f t="shared" si="1"/>
        <v>1.62</v>
      </c>
      <c r="AH29" s="9">
        <f t="shared" si="2"/>
        <v>0.16907758782641366</v>
      </c>
      <c r="AI29" s="9">
        <f t="shared" si="3"/>
        <v>2.8587230705198623E-2</v>
      </c>
      <c r="AJ29" s="9">
        <f t="shared" si="4"/>
        <v>0.12441139317624812</v>
      </c>
      <c r="AK29" s="9">
        <f t="shared" si="5"/>
        <v>1.5478194752054997E-2</v>
      </c>
      <c r="AL29" s="9">
        <f t="shared" si="6"/>
        <v>7.1836728419400545E-2</v>
      </c>
      <c r="AM29" s="9">
        <f t="shared" si="7"/>
        <v>5.1605155500027101E-3</v>
      </c>
      <c r="AN29" s="8" t="s">
        <v>280</v>
      </c>
    </row>
    <row r="30" spans="13:40" ht="23">
      <c r="M30" s="9" t="s">
        <v>2828</v>
      </c>
      <c r="N30" s="8" t="s">
        <v>1614</v>
      </c>
      <c r="O30" s="8"/>
      <c r="P30" s="8"/>
      <c r="Q30" s="8"/>
      <c r="R30" s="8"/>
      <c r="S30" s="8"/>
      <c r="T30" s="8"/>
      <c r="U30" s="8"/>
      <c r="V30" s="8"/>
      <c r="W30" s="9" t="s">
        <v>2828</v>
      </c>
      <c r="X30" s="8">
        <v>23.17</v>
      </c>
      <c r="Y30" s="8">
        <v>11.98</v>
      </c>
      <c r="Z30" s="9">
        <v>14.02</v>
      </c>
      <c r="AA30" s="8">
        <v>2.4</v>
      </c>
      <c r="AB30" s="8">
        <v>28836</v>
      </c>
      <c r="AC30" s="22" t="s">
        <v>2828</v>
      </c>
      <c r="AD30" s="8" t="s">
        <v>3999</v>
      </c>
      <c r="AE30" s="8" t="s">
        <v>4083</v>
      </c>
      <c r="AF30" s="9">
        <f t="shared" si="0"/>
        <v>28.751999999999999</v>
      </c>
      <c r="AG30" s="9">
        <f t="shared" si="1"/>
        <v>33.68</v>
      </c>
      <c r="AH30" s="9">
        <f t="shared" si="2"/>
        <v>0.15029118917903433</v>
      </c>
      <c r="AI30" s="9">
        <f t="shared" si="3"/>
        <v>2.2587441544848288E-2</v>
      </c>
      <c r="AJ30" s="9">
        <f t="shared" si="4"/>
        <v>0.55432765792708583</v>
      </c>
      <c r="AK30" s="9">
        <f t="shared" si="5"/>
        <v>0.3072791523429283</v>
      </c>
      <c r="AL30" s="9">
        <f t="shared" si="6"/>
        <v>1.493494452571241</v>
      </c>
      <c r="AM30" s="9">
        <f t="shared" si="7"/>
        <v>2.2305256798610711</v>
      </c>
      <c r="AN30" s="9" t="s">
        <v>2828</v>
      </c>
    </row>
    <row r="31" spans="13:40" ht="23">
      <c r="M31" s="9" t="s">
        <v>2627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9" t="s">
        <v>2627</v>
      </c>
      <c r="X31" s="8">
        <v>52.77</v>
      </c>
      <c r="Y31" s="8">
        <v>2.4900000000000002</v>
      </c>
      <c r="Z31" s="9">
        <v>1.55</v>
      </c>
      <c r="AA31" s="8">
        <v>2.2000000000000002</v>
      </c>
      <c r="AB31" s="8">
        <v>58262</v>
      </c>
      <c r="AC31" s="22" t="s">
        <v>2627</v>
      </c>
      <c r="AD31" s="8" t="s">
        <v>3999</v>
      </c>
      <c r="AE31" s="8" t="s">
        <v>4083</v>
      </c>
      <c r="AF31" s="9">
        <f t="shared" si="0"/>
        <v>5.4780000000000006</v>
      </c>
      <c r="AG31" s="9">
        <f t="shared" si="1"/>
        <v>4.2166666666666668</v>
      </c>
      <c r="AH31" s="9">
        <f t="shared" si="2"/>
        <v>0.13776692341411484</v>
      </c>
      <c r="AI31" s="9">
        <f t="shared" si="3"/>
        <v>1.8979725186990582E-2</v>
      </c>
      <c r="AJ31" s="9">
        <f t="shared" si="4"/>
        <v>0.10561376287300281</v>
      </c>
      <c r="AK31" s="9">
        <f t="shared" si="5"/>
        <v>1.1154266908194866E-2</v>
      </c>
      <c r="AL31" s="9">
        <f t="shared" si="6"/>
        <v>0.18698243096819278</v>
      </c>
      <c r="AM31" s="9">
        <f t="shared" si="7"/>
        <v>3.4962429490774979E-2</v>
      </c>
      <c r="AN31" s="9" t="s">
        <v>2627</v>
      </c>
    </row>
    <row r="32" spans="13:40" ht="23">
      <c r="M32" s="9" t="s">
        <v>582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9" t="s">
        <v>582</v>
      </c>
      <c r="X32" s="8">
        <v>14.47</v>
      </c>
      <c r="Y32" s="8">
        <v>5.0199999999999996</v>
      </c>
      <c r="Z32" s="9">
        <v>5.05</v>
      </c>
      <c r="AA32" s="8">
        <v>1.6</v>
      </c>
      <c r="AB32" s="8">
        <v>48964</v>
      </c>
      <c r="AC32" s="22" t="s">
        <v>582</v>
      </c>
      <c r="AD32" s="8" t="s">
        <v>3727</v>
      </c>
      <c r="AE32" s="8" t="s">
        <v>4083</v>
      </c>
      <c r="AF32" s="9">
        <f t="shared" si="0"/>
        <v>8.032</v>
      </c>
      <c r="AG32" s="9">
        <f t="shared" si="1"/>
        <v>8.1333333333333329</v>
      </c>
      <c r="AH32" s="9">
        <f t="shared" si="2"/>
        <v>0.10019412611935623</v>
      </c>
      <c r="AI32" s="9">
        <f t="shared" si="3"/>
        <v>1.0038862908821462E-2</v>
      </c>
      <c r="AJ32" s="9">
        <f t="shared" si="4"/>
        <v>0.15485391445709357</v>
      </c>
      <c r="AK32" s="9">
        <f t="shared" si="5"/>
        <v>2.3979734822684853E-2</v>
      </c>
      <c r="AL32" s="9">
        <f t="shared" si="6"/>
        <v>0.36066176408094097</v>
      </c>
      <c r="AM32" s="9">
        <f t="shared" si="7"/>
        <v>0.13007690806997632</v>
      </c>
      <c r="AN32" s="9" t="s">
        <v>582</v>
      </c>
    </row>
    <row r="33" spans="13:40" ht="23">
      <c r="M33" s="9" t="s">
        <v>334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9" t="s">
        <v>334</v>
      </c>
      <c r="X33" s="8">
        <v>36.01</v>
      </c>
      <c r="Y33" s="8">
        <v>1.78</v>
      </c>
      <c r="Z33" s="9">
        <v>0.08</v>
      </c>
      <c r="AA33" s="8">
        <v>1.5</v>
      </c>
      <c r="AB33" s="8">
        <v>82048</v>
      </c>
      <c r="AC33" s="22" t="s">
        <v>334</v>
      </c>
      <c r="AD33" s="8" t="s">
        <v>3727</v>
      </c>
      <c r="AE33" s="8" t="s">
        <v>4083</v>
      </c>
      <c r="AF33" s="9">
        <f t="shared" si="0"/>
        <v>2.67</v>
      </c>
      <c r="AG33" s="9">
        <f t="shared" si="1"/>
        <v>0.2</v>
      </c>
      <c r="AH33" s="9">
        <f t="shared" si="2"/>
        <v>9.3931993236896466E-2</v>
      </c>
      <c r="AI33" s="9">
        <f t="shared" si="3"/>
        <v>8.8232193534563633E-3</v>
      </c>
      <c r="AJ33" s="9">
        <f t="shared" si="4"/>
        <v>5.1476587599656343E-2</v>
      </c>
      <c r="AK33" s="9">
        <f t="shared" si="5"/>
        <v>2.6498390709050932E-3</v>
      </c>
      <c r="AL33" s="9">
        <f t="shared" si="6"/>
        <v>8.8687319036296966E-3</v>
      </c>
      <c r="AM33" s="9">
        <f t="shared" si="7"/>
        <v>7.8654405578459227E-5</v>
      </c>
      <c r="AN33" s="9" t="s">
        <v>334</v>
      </c>
    </row>
    <row r="34" spans="13:40" ht="23">
      <c r="M34" s="9"/>
      <c r="N34" s="8"/>
      <c r="O34" s="8"/>
      <c r="P34" s="8"/>
      <c r="Q34" s="8"/>
      <c r="R34" s="8"/>
      <c r="S34" s="8"/>
      <c r="T34" s="8"/>
      <c r="U34" s="8"/>
      <c r="V34" s="8"/>
      <c r="W34" s="9"/>
      <c r="X34" s="8"/>
      <c r="Y34" s="8"/>
      <c r="Z34" s="9"/>
      <c r="AA34" s="8">
        <f>SUBTOTAL(109,Table13680[ترافیک کل])</f>
        <v>1596.9000000000003</v>
      </c>
      <c r="AB34" s="8"/>
      <c r="AC34" s="22"/>
      <c r="AD34" s="8"/>
      <c r="AE34" s="8"/>
      <c r="AF34" s="9">
        <f>SUBTOTAL(109,Table13680[[مجموع صفحات  مشاهده شده   ]])</f>
        <v>5186.8240000000014</v>
      </c>
      <c r="AG34" s="9">
        <f>SUBTOTAL(109,Table13680[[مجموع زمان حضور در سایت ]])</f>
        <v>2255.1138333333338</v>
      </c>
      <c r="AH34" s="9">
        <f>SUBTOTAL(109,Table13680[سهم سایت از کل ترافیک طبقه بندی])</f>
        <v>99.999999999999986</v>
      </c>
      <c r="AI34" s="9">
        <f>SUBTOTAL(109,Table13680[شاخص هرفیندال هیرشمن (ترافیک)])</f>
        <v>1154.1693626993756</v>
      </c>
      <c r="AJ34" s="9">
        <f>SUBTOTAL(109,Table13680[سهم سایت از کل صفحات مشاهده شده در طبقه بندی])</f>
        <v>99.999999999999986</v>
      </c>
      <c r="AK34" s="9">
        <f>SUBTOTAL(109,Table13680[شاخص هرفیندال -هیرشمن (صفحات مشاهده شده )])</f>
        <v>1629.9645579944481</v>
      </c>
      <c r="AL34" s="9">
        <f>SUBTOTAL(109,Table13680[سهم سایت از کل زمان حضور در طبقه بندی])</f>
        <v>99.999999999999957</v>
      </c>
      <c r="AM34" s="9">
        <f>SUBTOTAL(109,Table13680[شاخص هرفیندال هیرشمن (زمان حضور)])</f>
        <v>1590.6157751481674</v>
      </c>
      <c r="AN34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{03FB2735-704D-45FC-A8AC-93150EC7DB14}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{36C28409-AB1A-4AD4-B31E-F7CBE77B382B}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{E029244A-B68A-4B09-8B38-13A20AD4A096}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{F21B9150-07CC-4558-B5F6-6C8569AA1435}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{C1AF59C1-2099-4A72-9B31-AF9CA7BAC66B}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{21E1DE45-EB17-4164-BBE0-A14C8242FF63}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3FB2735-704D-45FC-A8AC-93150EC7DB1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6C28409-AB1A-4AD4-B31E-F7CBE77B382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029244A-B68A-4B09-8B38-13A20AD4A09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21B9150-07CC-4558-B5F6-6C8569AA143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1AF59C1-2099-4A72-9B31-AF9CA7BAC66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21E1DE45-EB17-4164-BBE0-A14C8242FF6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5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2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784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784</v>
      </c>
      <c r="X2" s="8">
        <v>37.92</v>
      </c>
      <c r="Y2" s="8">
        <v>1.38</v>
      </c>
      <c r="Z2" s="9">
        <v>0.22</v>
      </c>
      <c r="AA2" s="8">
        <v>329.7</v>
      </c>
      <c r="AB2" s="8">
        <v>9318</v>
      </c>
      <c r="AC2" s="21" t="s">
        <v>784</v>
      </c>
      <c r="AD2" s="8" t="s">
        <v>3716</v>
      </c>
      <c r="AE2" s="8" t="s">
        <v>4083</v>
      </c>
      <c r="AF2" s="9">
        <f t="shared" ref="AF2:AF34" si="0">(AA2*Y2)</f>
        <v>454.98599999999993</v>
      </c>
      <c r="AG2" s="9">
        <f t="shared" ref="AG2:AG34" si="1">((((RIGHT(Z2,2))/60)+(LEFT(Z2,2)))*AA2)</f>
        <v>120.88999999999999</v>
      </c>
      <c r="AH2" s="9">
        <f t="shared" ref="AH2:AH34" si="2">(AA2/$AA$35)*100</f>
        <v>18.153287082920379</v>
      </c>
      <c r="AI2" s="9">
        <f t="shared" ref="AI2:AI34" si="3">(AH2*AH2)</f>
        <v>329.54183191492388</v>
      </c>
      <c r="AJ2" s="9">
        <f t="shared" ref="AJ2:AJ34" si="4">(AF2/$AF$35)*100</f>
        <v>10.128558739656865</v>
      </c>
      <c r="AK2" s="9">
        <f t="shared" ref="AK2:AK34" si="5">(AJ2*AJ2)</f>
        <v>102.58770214267948</v>
      </c>
      <c r="AL2" s="9">
        <f t="shared" ref="AL2:AL34" si="6">(AG2/$AG$35)*100</f>
        <v>5.7774425334277462</v>
      </c>
      <c r="AM2" s="9">
        <f t="shared" ref="AM2:AM34" si="7">(AL2*AL2)</f>
        <v>33.378842227060012</v>
      </c>
      <c r="AN2" s="8" t="s">
        <v>784</v>
      </c>
    </row>
    <row r="3" spans="8:40" ht="23">
      <c r="M3" s="8" t="s">
        <v>586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586</v>
      </c>
      <c r="X3" s="8">
        <v>19.2</v>
      </c>
      <c r="Y3" s="8">
        <v>2.61</v>
      </c>
      <c r="Z3" s="9">
        <v>0.37</v>
      </c>
      <c r="AA3" s="8">
        <v>262.2</v>
      </c>
      <c r="AB3" s="8">
        <v>10404</v>
      </c>
      <c r="AC3" s="21" t="s">
        <v>586</v>
      </c>
      <c r="AD3" s="8" t="s">
        <v>3716</v>
      </c>
      <c r="AE3" s="8" t="s">
        <v>4083</v>
      </c>
      <c r="AF3" s="9">
        <f t="shared" si="0"/>
        <v>684.34199999999998</v>
      </c>
      <c r="AG3" s="9">
        <f t="shared" si="1"/>
        <v>161.69</v>
      </c>
      <c r="AH3" s="9">
        <f t="shared" si="2"/>
        <v>14.436736042286089</v>
      </c>
      <c r="AI3" s="9">
        <f t="shared" si="3"/>
        <v>208.4193475546422</v>
      </c>
      <c r="AJ3" s="9">
        <f t="shared" si="4"/>
        <v>15.234310824979799</v>
      </c>
      <c r="AK3" s="9">
        <f t="shared" si="5"/>
        <v>232.08422631209669</v>
      </c>
      <c r="AL3" s="9">
        <f t="shared" si="6"/>
        <v>7.7273114668701499</v>
      </c>
      <c r="AM3" s="9">
        <f t="shared" si="7"/>
        <v>59.711342506022909</v>
      </c>
      <c r="AN3" s="8" t="s">
        <v>586</v>
      </c>
    </row>
    <row r="4" spans="8:40" ht="23">
      <c r="M4" s="24" t="s">
        <v>5284</v>
      </c>
      <c r="N4" s="8" t="s">
        <v>150</v>
      </c>
      <c r="O4" s="24"/>
      <c r="P4" s="24"/>
      <c r="Q4" s="24"/>
      <c r="R4" s="24"/>
      <c r="S4" s="24"/>
      <c r="T4" s="24"/>
      <c r="U4" s="24"/>
      <c r="V4" s="24"/>
      <c r="W4" s="24" t="s">
        <v>5284</v>
      </c>
      <c r="X4" s="24">
        <v>31.11</v>
      </c>
      <c r="Y4" s="24">
        <v>1.56</v>
      </c>
      <c r="Z4" s="25">
        <v>0.28000000000000003</v>
      </c>
      <c r="AA4" s="24">
        <v>260.2</v>
      </c>
      <c r="AB4" s="24">
        <v>8712</v>
      </c>
      <c r="AC4" s="21" t="s">
        <v>5284</v>
      </c>
      <c r="AD4" s="8" t="s">
        <v>3716</v>
      </c>
      <c r="AE4" s="8" t="s">
        <v>4083</v>
      </c>
      <c r="AF4" s="25">
        <f t="shared" si="0"/>
        <v>405.91199999999998</v>
      </c>
      <c r="AG4" s="9">
        <f t="shared" si="1"/>
        <v>121.42666666666666</v>
      </c>
      <c r="AH4" s="9">
        <f t="shared" si="2"/>
        <v>14.326616011452481</v>
      </c>
      <c r="AI4" s="25">
        <f t="shared" si="3"/>
        <v>205.2519263396066</v>
      </c>
      <c r="AJ4" s="9">
        <f t="shared" si="4"/>
        <v>9.0361099794973843</v>
      </c>
      <c r="AK4" s="25">
        <f t="shared" si="5"/>
        <v>81.651283561572214</v>
      </c>
      <c r="AL4" s="9">
        <f t="shared" si="6"/>
        <v>5.8030903192352818</v>
      </c>
      <c r="AM4" s="25">
        <f t="shared" si="7"/>
        <v>33.675857253202246</v>
      </c>
      <c r="AN4" s="24" t="s">
        <v>5284</v>
      </c>
    </row>
    <row r="5" spans="8:40" ht="23">
      <c r="M5" s="8" t="s">
        <v>304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304</v>
      </c>
      <c r="X5" s="8">
        <v>31.54</v>
      </c>
      <c r="Y5" s="8">
        <v>1.52</v>
      </c>
      <c r="Z5" s="9">
        <v>1.07</v>
      </c>
      <c r="AA5" s="8">
        <v>239.7</v>
      </c>
      <c r="AB5" s="8">
        <v>5054</v>
      </c>
      <c r="AC5" s="21" t="s">
        <v>304</v>
      </c>
      <c r="AD5" s="8" t="s">
        <v>3716</v>
      </c>
      <c r="AE5" s="8" t="s">
        <v>4083</v>
      </c>
      <c r="AF5" s="9">
        <f t="shared" si="0"/>
        <v>364.34399999999999</v>
      </c>
      <c r="AG5" s="9">
        <f t="shared" si="1"/>
        <v>267.66500000000002</v>
      </c>
      <c r="AH5" s="9">
        <f t="shared" si="2"/>
        <v>13.197885695407994</v>
      </c>
      <c r="AI5" s="9">
        <f t="shared" si="3"/>
        <v>174.18418682905494</v>
      </c>
      <c r="AJ5" s="9">
        <f t="shared" si="4"/>
        <v>8.1107541890114003</v>
      </c>
      <c r="AK5" s="9">
        <f t="shared" si="5"/>
        <v>65.784333514565972</v>
      </c>
      <c r="AL5" s="9">
        <f t="shared" si="6"/>
        <v>12.791952648771099</v>
      </c>
      <c r="AM5" s="9">
        <f t="shared" si="7"/>
        <v>163.63405256840196</v>
      </c>
      <c r="AN5" s="8" t="s">
        <v>304</v>
      </c>
    </row>
    <row r="6" spans="8:40" ht="23">
      <c r="M6" s="8" t="s">
        <v>204</v>
      </c>
      <c r="N6" s="8" t="s">
        <v>150</v>
      </c>
      <c r="O6" s="8"/>
      <c r="P6" s="8" t="s">
        <v>3691</v>
      </c>
      <c r="Q6" s="8"/>
      <c r="R6" s="8"/>
      <c r="S6" s="8"/>
      <c r="T6" s="8"/>
      <c r="U6" s="8"/>
      <c r="V6" s="8"/>
      <c r="W6" s="8" t="s">
        <v>204</v>
      </c>
      <c r="X6" s="8">
        <v>32.11</v>
      </c>
      <c r="Y6" s="8">
        <v>4.79</v>
      </c>
      <c r="Z6" s="9">
        <v>1.06</v>
      </c>
      <c r="AA6" s="8">
        <v>164.2</v>
      </c>
      <c r="AB6" s="8">
        <v>4258</v>
      </c>
      <c r="AC6" s="21" t="s">
        <v>204</v>
      </c>
      <c r="AD6" s="8" t="s">
        <v>3716</v>
      </c>
      <c r="AE6" s="8" t="s">
        <v>4083</v>
      </c>
      <c r="AF6" s="9">
        <f t="shared" si="0"/>
        <v>786.51799999999992</v>
      </c>
      <c r="AG6" s="9">
        <f t="shared" si="1"/>
        <v>180.62</v>
      </c>
      <c r="AH6" s="9">
        <f t="shared" si="2"/>
        <v>9.0408545314392672</v>
      </c>
      <c r="AI6" s="9">
        <f t="shared" si="3"/>
        <v>81.737050658645927</v>
      </c>
      <c r="AJ6" s="9">
        <f t="shared" si="4"/>
        <v>17.508876674881069</v>
      </c>
      <c r="AK6" s="9">
        <f t="shared" si="5"/>
        <v>306.56076241619434</v>
      </c>
      <c r="AL6" s="9">
        <f t="shared" si="6"/>
        <v>8.6319933029011473</v>
      </c>
      <c r="AM6" s="9">
        <f t="shared" si="7"/>
        <v>74.511308381330252</v>
      </c>
      <c r="AN6" s="8" t="s">
        <v>204</v>
      </c>
    </row>
    <row r="7" spans="8:40" ht="23">
      <c r="M7" s="8" t="s">
        <v>319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319</v>
      </c>
      <c r="X7" s="8">
        <v>49.87</v>
      </c>
      <c r="Y7" s="8">
        <v>3.81</v>
      </c>
      <c r="Z7" s="9">
        <v>1.0900000000000001</v>
      </c>
      <c r="AA7" s="8">
        <v>106.4</v>
      </c>
      <c r="AB7" s="8">
        <v>7902</v>
      </c>
      <c r="AC7" s="21" t="s">
        <v>319</v>
      </c>
      <c r="AD7" s="8" t="s">
        <v>3716</v>
      </c>
      <c r="AE7" s="8" t="s">
        <v>4083</v>
      </c>
      <c r="AF7" s="9">
        <f t="shared" si="0"/>
        <v>405.38400000000001</v>
      </c>
      <c r="AG7" s="9">
        <f t="shared" si="1"/>
        <v>122.36</v>
      </c>
      <c r="AH7" s="9">
        <f t="shared" si="2"/>
        <v>5.8583856403479784</v>
      </c>
      <c r="AI7" s="9">
        <f t="shared" si="3"/>
        <v>34.320682311035391</v>
      </c>
      <c r="AJ7" s="9">
        <f t="shared" si="4"/>
        <v>9.0243560375859015</v>
      </c>
      <c r="AK7" s="9">
        <f t="shared" si="5"/>
        <v>81.439001893113115</v>
      </c>
      <c r="AL7" s="9">
        <f t="shared" si="6"/>
        <v>5.8476951641179511</v>
      </c>
      <c r="AM7" s="9">
        <f t="shared" si="7"/>
        <v>34.195538732448469</v>
      </c>
      <c r="AN7" s="8" t="s">
        <v>319</v>
      </c>
    </row>
    <row r="8" spans="8:40" ht="23">
      <c r="M8" s="8" t="s">
        <v>566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566</v>
      </c>
      <c r="X8" s="8">
        <v>30.86</v>
      </c>
      <c r="Y8" s="8">
        <v>2.11</v>
      </c>
      <c r="Z8" s="9">
        <v>0.32</v>
      </c>
      <c r="AA8" s="8">
        <v>95.2</v>
      </c>
      <c r="AB8" s="8">
        <v>9280</v>
      </c>
      <c r="AC8" s="21" t="s">
        <v>566</v>
      </c>
      <c r="AD8" s="8" t="s">
        <v>3716</v>
      </c>
      <c r="AE8" s="8" t="s">
        <v>4083</v>
      </c>
      <c r="AF8" s="9">
        <f t="shared" si="0"/>
        <v>200.87199999999999</v>
      </c>
      <c r="AG8" s="9">
        <f t="shared" si="1"/>
        <v>50.773333333333333</v>
      </c>
      <c r="AH8" s="9">
        <f t="shared" si="2"/>
        <v>5.2417134676797703</v>
      </c>
      <c r="AI8" s="9">
        <f t="shared" si="3"/>
        <v>27.475560077255484</v>
      </c>
      <c r="AJ8" s="9">
        <f t="shared" si="4"/>
        <v>4.4716625372041197</v>
      </c>
      <c r="AK8" s="9">
        <f t="shared" si="5"/>
        <v>19.995765846634786</v>
      </c>
      <c r="AL8" s="9">
        <f t="shared" si="6"/>
        <v>2.4265035616172126</v>
      </c>
      <c r="AM8" s="9">
        <f t="shared" si="7"/>
        <v>5.8879195345410178</v>
      </c>
      <c r="AN8" s="8" t="s">
        <v>566</v>
      </c>
    </row>
    <row r="9" spans="8:40" ht="23">
      <c r="M9" s="8" t="s">
        <v>881</v>
      </c>
      <c r="N9" s="8" t="s">
        <v>150</v>
      </c>
      <c r="O9" s="8"/>
      <c r="P9" s="8" t="s">
        <v>3691</v>
      </c>
      <c r="Q9" s="8"/>
      <c r="R9" s="8"/>
      <c r="S9" s="8"/>
      <c r="T9" s="8"/>
      <c r="U9" s="8"/>
      <c r="V9" s="8"/>
      <c r="W9" s="8" t="s">
        <v>881</v>
      </c>
      <c r="X9" s="8">
        <v>7.17</v>
      </c>
      <c r="Y9" s="8">
        <v>3.72</v>
      </c>
      <c r="Z9" s="9">
        <v>1.25</v>
      </c>
      <c r="AA9" s="8">
        <v>65.900000000000006</v>
      </c>
      <c r="AB9" s="8">
        <v>7110</v>
      </c>
      <c r="AC9" s="21" t="s">
        <v>881</v>
      </c>
      <c r="AD9" s="8" t="s">
        <v>3716</v>
      </c>
      <c r="AE9" s="8" t="s">
        <v>4083</v>
      </c>
      <c r="AF9" s="9">
        <f t="shared" si="0"/>
        <v>245.14800000000002</v>
      </c>
      <c r="AG9" s="9">
        <f t="shared" si="1"/>
        <v>93.358333333333348</v>
      </c>
      <c r="AH9" s="9">
        <f t="shared" si="2"/>
        <v>3.6284550159674045</v>
      </c>
      <c r="AI9" s="9">
        <f t="shared" si="3"/>
        <v>13.165685802899018</v>
      </c>
      <c r="AJ9" s="9">
        <f t="shared" si="4"/>
        <v>5.4573018024937063</v>
      </c>
      <c r="AK9" s="9">
        <f t="shared" si="5"/>
        <v>29.782142963501055</v>
      </c>
      <c r="AL9" s="9">
        <f t="shared" si="6"/>
        <v>4.4616792608977214</v>
      </c>
      <c r="AM9" s="9">
        <f t="shared" si="7"/>
        <v>19.906581827124839</v>
      </c>
      <c r="AN9" s="8" t="s">
        <v>881</v>
      </c>
    </row>
    <row r="10" spans="8:40" ht="23">
      <c r="M10" s="9" t="s">
        <v>2356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9" t="s">
        <v>2356</v>
      </c>
      <c r="X10" s="8">
        <v>15.82</v>
      </c>
      <c r="Y10" s="8">
        <v>1.88</v>
      </c>
      <c r="Z10" s="9">
        <v>2.2799999999999998</v>
      </c>
      <c r="AA10" s="8">
        <v>64.7</v>
      </c>
      <c r="AB10" s="8">
        <v>15649</v>
      </c>
      <c r="AC10" s="22" t="s">
        <v>2356</v>
      </c>
      <c r="AD10" s="8" t="s">
        <v>3716</v>
      </c>
      <c r="AE10" s="8" t="s">
        <v>4083</v>
      </c>
      <c r="AF10" s="9">
        <f t="shared" si="0"/>
        <v>121.636</v>
      </c>
      <c r="AG10" s="9">
        <f t="shared" si="1"/>
        <v>159.59333333333336</v>
      </c>
      <c r="AH10" s="9">
        <f t="shared" si="2"/>
        <v>3.5623829974672385</v>
      </c>
      <c r="AI10" s="9">
        <f t="shared" si="3"/>
        <v>12.690572620643668</v>
      </c>
      <c r="AJ10" s="9">
        <f t="shared" si="4"/>
        <v>2.7077698453510712</v>
      </c>
      <c r="AK10" s="9">
        <f t="shared" si="5"/>
        <v>7.3320175353925645</v>
      </c>
      <c r="AL10" s="9">
        <f t="shared" si="6"/>
        <v>7.6271098689015844</v>
      </c>
      <c r="AM10" s="9">
        <f t="shared" si="7"/>
        <v>58.172804952295941</v>
      </c>
      <c r="AN10" s="9" t="s">
        <v>2356</v>
      </c>
    </row>
    <row r="11" spans="8:40" ht="23">
      <c r="M11" s="8" t="s">
        <v>676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676</v>
      </c>
      <c r="X11" s="8">
        <v>42.9</v>
      </c>
      <c r="Y11" s="8">
        <v>1.33</v>
      </c>
      <c r="Z11" s="9">
        <v>0.14000000000000001</v>
      </c>
      <c r="AA11" s="8">
        <v>38.299999999999997</v>
      </c>
      <c r="AB11" s="8">
        <v>19366</v>
      </c>
      <c r="AC11" s="21" t="s">
        <v>676</v>
      </c>
      <c r="AD11" s="8" t="s">
        <v>3716</v>
      </c>
      <c r="AE11" s="8" t="s">
        <v>4083</v>
      </c>
      <c r="AF11" s="9">
        <f t="shared" si="0"/>
        <v>50.939</v>
      </c>
      <c r="AG11" s="9">
        <f t="shared" si="1"/>
        <v>8.9366666666666656</v>
      </c>
      <c r="AH11" s="9">
        <f t="shared" si="2"/>
        <v>2.1087985904636048</v>
      </c>
      <c r="AI11" s="9">
        <f t="shared" si="3"/>
        <v>4.447031495141287</v>
      </c>
      <c r="AJ11" s="9">
        <f t="shared" si="4"/>
        <v>1.1339659981612205</v>
      </c>
      <c r="AK11" s="9">
        <f t="shared" si="5"/>
        <v>1.285878884985773</v>
      </c>
      <c r="AL11" s="9">
        <f t="shared" si="6"/>
        <v>0.42709138975155891</v>
      </c>
      <c r="AM11" s="9">
        <f t="shared" si="7"/>
        <v>0.18240705519991801</v>
      </c>
      <c r="AN11" s="8" t="s">
        <v>676</v>
      </c>
    </row>
    <row r="12" spans="8:40" ht="23">
      <c r="M12" s="9" t="s">
        <v>2600</v>
      </c>
      <c r="N12" s="8" t="s">
        <v>150</v>
      </c>
      <c r="O12" s="8"/>
      <c r="P12" s="8" t="s">
        <v>3693</v>
      </c>
      <c r="Q12" s="8"/>
      <c r="R12" s="8"/>
      <c r="S12" s="8"/>
      <c r="T12" s="8"/>
      <c r="U12" s="8"/>
      <c r="V12" s="8"/>
      <c r="W12" s="9" t="s">
        <v>2600</v>
      </c>
      <c r="X12" s="8">
        <v>9.4700000000000006</v>
      </c>
      <c r="Y12" s="8">
        <v>5.66</v>
      </c>
      <c r="Z12" s="9">
        <v>4.22</v>
      </c>
      <c r="AA12" s="8">
        <v>30.3</v>
      </c>
      <c r="AB12" s="8">
        <v>5104</v>
      </c>
      <c r="AC12" s="22" t="s">
        <v>2600</v>
      </c>
      <c r="AD12" s="8" t="s">
        <v>3716</v>
      </c>
      <c r="AE12" s="8" t="s">
        <v>4083</v>
      </c>
      <c r="AF12" s="9">
        <f t="shared" si="0"/>
        <v>171.49800000000002</v>
      </c>
      <c r="AG12" s="9">
        <f t="shared" si="1"/>
        <v>132.31</v>
      </c>
      <c r="AH12" s="9">
        <f t="shared" si="2"/>
        <v>1.6683184671291706</v>
      </c>
      <c r="AI12" s="9">
        <f t="shared" si="3"/>
        <v>2.7832865077642257</v>
      </c>
      <c r="AJ12" s="9">
        <f t="shared" si="4"/>
        <v>3.8177604733632977</v>
      </c>
      <c r="AK12" s="9">
        <f t="shared" si="5"/>
        <v>14.57529503197515</v>
      </c>
      <c r="AL12" s="9">
        <f t="shared" si="6"/>
        <v>6.3232146711706942</v>
      </c>
      <c r="AM12" s="9">
        <f t="shared" si="7"/>
        <v>39.983043777708311</v>
      </c>
      <c r="AN12" s="9" t="s">
        <v>2600</v>
      </c>
    </row>
    <row r="13" spans="8:40" ht="23">
      <c r="M13" s="8" t="s">
        <v>444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444</v>
      </c>
      <c r="X13" s="8">
        <v>25.56</v>
      </c>
      <c r="Y13" s="8">
        <v>2.0299999999999998</v>
      </c>
      <c r="Z13" s="9">
        <v>1.1499999999999999</v>
      </c>
      <c r="AA13" s="8">
        <v>26.4</v>
      </c>
      <c r="AB13" s="8">
        <v>13722</v>
      </c>
      <c r="AC13" s="21" t="s">
        <v>444</v>
      </c>
      <c r="AD13" s="8" t="s">
        <v>3716</v>
      </c>
      <c r="AE13" s="8" t="s">
        <v>4083</v>
      </c>
      <c r="AF13" s="9">
        <f t="shared" si="0"/>
        <v>53.591999999999992</v>
      </c>
      <c r="AG13" s="9">
        <f t="shared" si="1"/>
        <v>33</v>
      </c>
      <c r="AH13" s="9">
        <f t="shared" si="2"/>
        <v>1.4535844070036337</v>
      </c>
      <c r="AI13" s="9">
        <f t="shared" si="3"/>
        <v>2.1129076282841055</v>
      </c>
      <c r="AJ13" s="9">
        <f t="shared" si="4"/>
        <v>1.1930251040157076</v>
      </c>
      <c r="AK13" s="9">
        <f t="shared" si="5"/>
        <v>1.42330889881169</v>
      </c>
      <c r="AL13" s="9">
        <f t="shared" si="6"/>
        <v>1.5770998726372376</v>
      </c>
      <c r="AM13" s="9">
        <f t="shared" si="7"/>
        <v>2.4872440082723912</v>
      </c>
      <c r="AN13" s="8" t="s">
        <v>444</v>
      </c>
    </row>
    <row r="14" spans="8:40" ht="23">
      <c r="M14" s="8" t="s">
        <v>2094</v>
      </c>
      <c r="N14" s="8" t="s">
        <v>2093</v>
      </c>
      <c r="O14" s="8"/>
      <c r="P14" s="8"/>
      <c r="Q14" s="8"/>
      <c r="R14" s="8"/>
      <c r="S14" s="8"/>
      <c r="T14" s="8"/>
      <c r="U14" s="8"/>
      <c r="V14" s="8"/>
      <c r="W14" s="8" t="s">
        <v>2094</v>
      </c>
      <c r="X14" s="8">
        <v>3.26</v>
      </c>
      <c r="Y14" s="8">
        <v>1.28</v>
      </c>
      <c r="Z14" s="9">
        <v>0.17</v>
      </c>
      <c r="AA14" s="8">
        <v>24.6</v>
      </c>
      <c r="AB14" s="8">
        <v>36807</v>
      </c>
      <c r="AC14" s="21" t="s">
        <v>2094</v>
      </c>
      <c r="AD14" s="8" t="s">
        <v>3716</v>
      </c>
      <c r="AE14" s="8" t="s">
        <v>4083</v>
      </c>
      <c r="AF14" s="9">
        <f t="shared" si="0"/>
        <v>31.488000000000003</v>
      </c>
      <c r="AG14" s="9">
        <f t="shared" si="1"/>
        <v>6.9700000000000006</v>
      </c>
      <c r="AH14" s="9">
        <f t="shared" si="2"/>
        <v>1.354476379253386</v>
      </c>
      <c r="AI14" s="9">
        <f t="shared" si="3"/>
        <v>1.8346062619553625</v>
      </c>
      <c r="AJ14" s="9">
        <f t="shared" si="4"/>
        <v>0.70096235399400297</v>
      </c>
      <c r="AK14" s="9">
        <f t="shared" si="5"/>
        <v>0.49134822171681392</v>
      </c>
      <c r="AL14" s="9">
        <f t="shared" si="6"/>
        <v>0.33310260946307718</v>
      </c>
      <c r="AM14" s="9">
        <f t="shared" si="7"/>
        <v>0.11095734843111131</v>
      </c>
      <c r="AN14" s="8" t="s">
        <v>2094</v>
      </c>
    </row>
    <row r="15" spans="8:40" ht="23">
      <c r="M15" s="9" t="s">
        <v>4974</v>
      </c>
      <c r="N15" s="8"/>
      <c r="O15" s="8"/>
      <c r="P15" s="8"/>
      <c r="Q15" s="8"/>
      <c r="R15" s="8"/>
      <c r="S15" s="8"/>
      <c r="T15" s="8"/>
      <c r="U15" s="8"/>
      <c r="V15" s="8"/>
      <c r="W15" s="9" t="s">
        <v>4974</v>
      </c>
      <c r="X15" s="8">
        <v>26.13</v>
      </c>
      <c r="Y15" s="8">
        <v>6.28</v>
      </c>
      <c r="Z15" s="9">
        <v>11.58</v>
      </c>
      <c r="AA15" s="8">
        <v>22.6</v>
      </c>
      <c r="AB15" s="8">
        <v>11935</v>
      </c>
      <c r="AC15" s="22" t="s">
        <v>4974</v>
      </c>
      <c r="AD15" s="8" t="s">
        <v>3716</v>
      </c>
      <c r="AE15" s="8" t="s">
        <v>4083</v>
      </c>
      <c r="AF15" s="9">
        <f t="shared" si="0"/>
        <v>141.92800000000003</v>
      </c>
      <c r="AG15" s="9">
        <f t="shared" si="1"/>
        <v>270.44666666666666</v>
      </c>
      <c r="AH15" s="9">
        <f t="shared" si="2"/>
        <v>1.2443563484197775</v>
      </c>
      <c r="AI15" s="9">
        <f t="shared" si="3"/>
        <v>1.5484227218526028</v>
      </c>
      <c r="AJ15" s="9">
        <f t="shared" si="4"/>
        <v>3.1594952038129085</v>
      </c>
      <c r="AK15" s="9">
        <f t="shared" si="5"/>
        <v>9.9824099429167727</v>
      </c>
      <c r="AL15" s="9">
        <f t="shared" si="6"/>
        <v>12.924891016823196</v>
      </c>
      <c r="AM15" s="9">
        <f t="shared" si="7"/>
        <v>167.05280779675695</v>
      </c>
      <c r="AN15" s="9" t="s">
        <v>4974</v>
      </c>
    </row>
    <row r="16" spans="8:40" ht="23">
      <c r="M16" s="8" t="s">
        <v>853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8" t="s">
        <v>853</v>
      </c>
      <c r="X16" s="8">
        <v>37.46</v>
      </c>
      <c r="Y16" s="8">
        <v>3.61</v>
      </c>
      <c r="Z16" s="9">
        <v>5.17</v>
      </c>
      <c r="AA16" s="8">
        <v>12.4</v>
      </c>
      <c r="AB16" s="8">
        <v>11040</v>
      </c>
      <c r="AC16" s="21" t="s">
        <v>853</v>
      </c>
      <c r="AD16" s="8" t="s">
        <v>3716</v>
      </c>
      <c r="AE16" s="8" t="s">
        <v>4083</v>
      </c>
      <c r="AF16" s="9">
        <f t="shared" si="0"/>
        <v>44.764000000000003</v>
      </c>
      <c r="AG16" s="9">
        <f t="shared" si="1"/>
        <v>65.513333333333335</v>
      </c>
      <c r="AH16" s="9">
        <f t="shared" si="2"/>
        <v>0.68274419116837348</v>
      </c>
      <c r="AI16" s="9">
        <f t="shared" si="3"/>
        <v>0.46613963057415653</v>
      </c>
      <c r="AJ16" s="9">
        <f t="shared" si="4"/>
        <v>0.99650275705626101</v>
      </c>
      <c r="AK16" s="9">
        <f t="shared" si="5"/>
        <v>0.99301774482072958</v>
      </c>
      <c r="AL16" s="9">
        <f t="shared" si="6"/>
        <v>3.1309415047285118</v>
      </c>
      <c r="AM16" s="9">
        <f t="shared" si="7"/>
        <v>9.8027947060316372</v>
      </c>
      <c r="AN16" s="8" t="s">
        <v>853</v>
      </c>
    </row>
    <row r="17" spans="13:40" ht="23">
      <c r="M17" s="9" t="s">
        <v>3190</v>
      </c>
      <c r="N17" s="8" t="s">
        <v>1869</v>
      </c>
      <c r="O17" s="8"/>
      <c r="P17" s="8" t="s">
        <v>3691</v>
      </c>
      <c r="Q17" s="8"/>
      <c r="R17" s="8"/>
      <c r="S17" s="8"/>
      <c r="T17" s="8"/>
      <c r="U17" s="8"/>
      <c r="V17" s="8"/>
      <c r="W17" s="9" t="s">
        <v>3190</v>
      </c>
      <c r="X17" s="8">
        <v>54.04</v>
      </c>
      <c r="Y17" s="8">
        <v>6.89</v>
      </c>
      <c r="Z17" s="9">
        <v>7</v>
      </c>
      <c r="AA17" s="8">
        <v>12</v>
      </c>
      <c r="AB17" s="8">
        <v>8023</v>
      </c>
      <c r="AC17" s="22" t="s">
        <v>3190</v>
      </c>
      <c r="AD17" s="8" t="s">
        <v>3716</v>
      </c>
      <c r="AE17" s="8" t="s">
        <v>4083</v>
      </c>
      <c r="AF17" s="9">
        <f t="shared" si="0"/>
        <v>82.679999999999993</v>
      </c>
      <c r="AG17" s="9">
        <f t="shared" si="1"/>
        <v>85.399999999999991</v>
      </c>
      <c r="AH17" s="9">
        <f t="shared" si="2"/>
        <v>0.66072018500165175</v>
      </c>
      <c r="AI17" s="9">
        <f t="shared" si="3"/>
        <v>0.43655116286861689</v>
      </c>
      <c r="AJ17" s="9">
        <f t="shared" si="4"/>
        <v>1.8405604493211429</v>
      </c>
      <c r="AK17" s="9">
        <f t="shared" si="5"/>
        <v>3.3876627676052475</v>
      </c>
      <c r="AL17" s="9">
        <f t="shared" si="6"/>
        <v>4.0813433067642446</v>
      </c>
      <c r="AM17" s="9">
        <f t="shared" si="7"/>
        <v>16.657363187669301</v>
      </c>
      <c r="AN17" s="9" t="s">
        <v>3190</v>
      </c>
    </row>
    <row r="18" spans="13:40" ht="23">
      <c r="M18" s="24" t="s">
        <v>5044</v>
      </c>
      <c r="N18" s="24" t="s">
        <v>150</v>
      </c>
      <c r="O18" s="24"/>
      <c r="P18" s="24"/>
      <c r="Q18" s="24"/>
      <c r="R18" s="24"/>
      <c r="S18" s="24"/>
      <c r="T18" s="24"/>
      <c r="U18" s="24"/>
      <c r="V18" s="24"/>
      <c r="W18" s="24" t="s">
        <v>5044</v>
      </c>
      <c r="X18" s="24">
        <v>20.65</v>
      </c>
      <c r="Y18" s="24">
        <v>3.57</v>
      </c>
      <c r="Z18" s="25">
        <v>6.08</v>
      </c>
      <c r="AA18" s="24">
        <v>10.4</v>
      </c>
      <c r="AB18" s="24">
        <v>14478</v>
      </c>
      <c r="AC18" s="21" t="s">
        <v>5044</v>
      </c>
      <c r="AD18" s="8" t="s">
        <v>3716</v>
      </c>
      <c r="AE18" s="8" t="s">
        <v>4083</v>
      </c>
      <c r="AF18" s="25">
        <f t="shared" si="0"/>
        <v>37.128</v>
      </c>
      <c r="AG18" s="9">
        <f t="shared" si="1"/>
        <v>63.786666666666676</v>
      </c>
      <c r="AH18" s="9">
        <f t="shared" si="2"/>
        <v>0.57262416033476482</v>
      </c>
      <c r="AI18" s="25">
        <f t="shared" si="3"/>
        <v>0.32789842899909444</v>
      </c>
      <c r="AJ18" s="9">
        <f t="shared" si="4"/>
        <v>0.826515824412136</v>
      </c>
      <c r="AK18" s="25">
        <f t="shared" si="5"/>
        <v>0.6831284080036728</v>
      </c>
      <c r="AL18" s="9">
        <f t="shared" si="6"/>
        <v>3.0484225416955741</v>
      </c>
      <c r="AM18" s="25">
        <f t="shared" si="7"/>
        <v>9.2928799927177046</v>
      </c>
      <c r="AN18" s="24" t="s">
        <v>5044</v>
      </c>
    </row>
    <row r="19" spans="13:40" ht="23">
      <c r="M19" s="8" t="s">
        <v>688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688</v>
      </c>
      <c r="X19" s="8">
        <v>25.02</v>
      </c>
      <c r="Y19" s="8">
        <v>4.32</v>
      </c>
      <c r="Z19" s="9">
        <v>2.15</v>
      </c>
      <c r="AA19" s="8">
        <v>6.4</v>
      </c>
      <c r="AB19" s="8">
        <v>17505</v>
      </c>
      <c r="AC19" s="21" t="s">
        <v>688</v>
      </c>
      <c r="AD19" s="8" t="s">
        <v>3716</v>
      </c>
      <c r="AE19" s="8" t="s">
        <v>4083</v>
      </c>
      <c r="AF19" s="9">
        <f t="shared" si="0"/>
        <v>27.648000000000003</v>
      </c>
      <c r="AG19" s="9">
        <f t="shared" si="1"/>
        <v>14.4</v>
      </c>
      <c r="AH19" s="9">
        <f t="shared" si="2"/>
        <v>0.35238409866754761</v>
      </c>
      <c r="AI19" s="9">
        <f t="shared" si="3"/>
        <v>0.12417455299373993</v>
      </c>
      <c r="AJ19" s="9">
        <f t="shared" si="4"/>
        <v>0.61547914009229521</v>
      </c>
      <c r="AK19" s="9">
        <f t="shared" si="5"/>
        <v>0.37881457188875117</v>
      </c>
      <c r="AL19" s="9">
        <f t="shared" si="6"/>
        <v>0.68818903533261278</v>
      </c>
      <c r="AM19" s="9">
        <f t="shared" si="7"/>
        <v>0.47360414835203213</v>
      </c>
      <c r="AN19" s="8" t="s">
        <v>688</v>
      </c>
    </row>
    <row r="20" spans="13:40" ht="23">
      <c r="M20" s="24" t="s">
        <v>5285</v>
      </c>
      <c r="N20" s="8" t="s">
        <v>150</v>
      </c>
      <c r="O20" s="24"/>
      <c r="P20" s="24"/>
      <c r="Q20" s="24"/>
      <c r="R20" s="24"/>
      <c r="S20" s="24"/>
      <c r="T20" s="24"/>
      <c r="U20" s="24"/>
      <c r="V20" s="24"/>
      <c r="W20" s="24" t="s">
        <v>5285</v>
      </c>
      <c r="X20" s="24">
        <v>34.06</v>
      </c>
      <c r="Y20" s="24">
        <v>3.75</v>
      </c>
      <c r="Z20" s="25">
        <v>3.53</v>
      </c>
      <c r="AA20" s="24">
        <v>5.5</v>
      </c>
      <c r="AB20" s="24">
        <v>16279</v>
      </c>
      <c r="AC20" s="21" t="s">
        <v>5285</v>
      </c>
      <c r="AD20" s="8" t="s">
        <v>3716</v>
      </c>
      <c r="AE20" s="8" t="s">
        <v>4083</v>
      </c>
      <c r="AF20" s="25">
        <f t="shared" si="0"/>
        <v>20.625</v>
      </c>
      <c r="AG20" s="9">
        <f t="shared" si="1"/>
        <v>21.358333333333334</v>
      </c>
      <c r="AH20" s="9">
        <f t="shared" si="2"/>
        <v>0.30283008479242374</v>
      </c>
      <c r="AI20" s="25">
        <f t="shared" si="3"/>
        <v>9.1706060255386551E-2</v>
      </c>
      <c r="AJ20" s="9">
        <f t="shared" si="4"/>
        <v>0.45913835591737517</v>
      </c>
      <c r="AK20" s="25">
        <f t="shared" si="5"/>
        <v>0.21080802987451028</v>
      </c>
      <c r="AL20" s="9">
        <f t="shared" si="6"/>
        <v>1.0207340842346566</v>
      </c>
      <c r="AM20" s="25">
        <f t="shared" si="7"/>
        <v>1.0418980707183632</v>
      </c>
      <c r="AN20" s="24" t="s">
        <v>5285</v>
      </c>
    </row>
    <row r="21" spans="13:40" ht="23">
      <c r="M21" s="9" t="s">
        <v>2948</v>
      </c>
      <c r="N21" s="8" t="s">
        <v>1717</v>
      </c>
      <c r="O21" s="8"/>
      <c r="P21" s="8" t="s">
        <v>3691</v>
      </c>
      <c r="Q21" s="8"/>
      <c r="R21" s="8"/>
      <c r="S21" s="8"/>
      <c r="T21" s="8"/>
      <c r="U21" s="8"/>
      <c r="V21" s="8"/>
      <c r="W21" s="9" t="s">
        <v>2948</v>
      </c>
      <c r="X21" s="8">
        <v>18.68</v>
      </c>
      <c r="Y21" s="8">
        <v>12.34</v>
      </c>
      <c r="Z21" s="9">
        <v>6.55</v>
      </c>
      <c r="AA21" s="8">
        <v>4.3</v>
      </c>
      <c r="AB21" s="8">
        <v>12367</v>
      </c>
      <c r="AC21" s="22" t="s">
        <v>2948</v>
      </c>
      <c r="AD21" s="8" t="s">
        <v>3716</v>
      </c>
      <c r="AE21" s="8" t="s">
        <v>4083</v>
      </c>
      <c r="AF21" s="9">
        <f t="shared" si="0"/>
        <v>53.061999999999998</v>
      </c>
      <c r="AG21" s="9">
        <f t="shared" si="1"/>
        <v>29.741666666666667</v>
      </c>
      <c r="AH21" s="9">
        <f t="shared" si="2"/>
        <v>0.23675806629225851</v>
      </c>
      <c r="AI21" s="9">
        <f t="shared" si="3"/>
        <v>5.6054381954449478E-2</v>
      </c>
      <c r="AJ21" s="9">
        <f t="shared" si="4"/>
        <v>1.1812266395969824</v>
      </c>
      <c r="AK21" s="9">
        <f t="shared" si="5"/>
        <v>1.3952963740935793</v>
      </c>
      <c r="AL21" s="9">
        <f t="shared" si="6"/>
        <v>1.42138117309149</v>
      </c>
      <c r="AM21" s="9">
        <f t="shared" si="7"/>
        <v>2.0203244392189403</v>
      </c>
      <c r="AN21" s="9" t="s">
        <v>2948</v>
      </c>
    </row>
    <row r="22" spans="13:40" ht="23">
      <c r="M22" s="8" t="s">
        <v>1270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8" t="s">
        <v>1270</v>
      </c>
      <c r="X22" s="8">
        <v>29.23</v>
      </c>
      <c r="Y22" s="8">
        <v>2.0499999999999998</v>
      </c>
      <c r="Z22" s="9">
        <v>2.1</v>
      </c>
      <c r="AA22" s="8">
        <v>4</v>
      </c>
      <c r="AB22" s="8">
        <v>61311</v>
      </c>
      <c r="AC22" s="21" t="s">
        <v>1270</v>
      </c>
      <c r="AD22" s="8" t="s">
        <v>3716</v>
      </c>
      <c r="AE22" s="8" t="s">
        <v>4083</v>
      </c>
      <c r="AF22" s="9">
        <f t="shared" si="0"/>
        <v>8.1999999999999993</v>
      </c>
      <c r="AG22" s="9">
        <f t="shared" si="1"/>
        <v>8.0066666666666659</v>
      </c>
      <c r="AH22" s="9">
        <f t="shared" si="2"/>
        <v>0.22024006166721724</v>
      </c>
      <c r="AI22" s="9">
        <f t="shared" si="3"/>
        <v>4.8505684763179652E-2</v>
      </c>
      <c r="AJ22" s="9">
        <f t="shared" si="4"/>
        <v>0.18254227968593822</v>
      </c>
      <c r="AK22" s="9">
        <f t="shared" si="5"/>
        <v>3.3321683872939295E-2</v>
      </c>
      <c r="AL22" s="9">
        <f t="shared" si="6"/>
        <v>0.38264584788632772</v>
      </c>
      <c r="AM22" s="9">
        <f t="shared" si="7"/>
        <v>0.14641784490464665</v>
      </c>
      <c r="AN22" s="8" t="s">
        <v>1270</v>
      </c>
    </row>
    <row r="23" spans="13:40" ht="23">
      <c r="M23" s="24" t="s">
        <v>5129</v>
      </c>
      <c r="N23" s="24" t="s">
        <v>150</v>
      </c>
      <c r="O23" s="24"/>
      <c r="P23" s="24"/>
      <c r="Q23" s="24"/>
      <c r="R23" s="24"/>
      <c r="S23" s="24"/>
      <c r="T23" s="24"/>
      <c r="U23" s="24"/>
      <c r="V23" s="24"/>
      <c r="W23" s="24" t="s">
        <v>5129</v>
      </c>
      <c r="X23" s="24">
        <v>53.96</v>
      </c>
      <c r="Y23" s="24">
        <v>1.61</v>
      </c>
      <c r="Z23" s="25">
        <v>1.07</v>
      </c>
      <c r="AA23" s="24">
        <v>3.7</v>
      </c>
      <c r="AB23" s="24">
        <v>63363</v>
      </c>
      <c r="AC23" s="21" t="s">
        <v>5129</v>
      </c>
      <c r="AD23" s="8" t="s">
        <v>3716</v>
      </c>
      <c r="AE23" s="8" t="s">
        <v>4083</v>
      </c>
      <c r="AF23" s="25">
        <f t="shared" si="0"/>
        <v>5.9570000000000007</v>
      </c>
      <c r="AG23" s="9">
        <f t="shared" si="1"/>
        <v>4.1316666666666668</v>
      </c>
      <c r="AH23" s="9">
        <f t="shared" si="2"/>
        <v>0.20372205704217594</v>
      </c>
      <c r="AI23" s="25">
        <f t="shared" si="3"/>
        <v>4.1502676525495587E-2</v>
      </c>
      <c r="AJ23" s="9">
        <f t="shared" si="4"/>
        <v>0.13261028781574807</v>
      </c>
      <c r="AK23" s="25">
        <f t="shared" si="5"/>
        <v>1.7585488434575542E-2</v>
      </c>
      <c r="AL23" s="9">
        <f t="shared" si="6"/>
        <v>0.19745609011453091</v>
      </c>
      <c r="AM23" s="25">
        <f t="shared" si="7"/>
        <v>3.8988907523317753E-2</v>
      </c>
      <c r="AN23" s="24" t="s">
        <v>5129</v>
      </c>
    </row>
    <row r="24" spans="13:40" ht="23">
      <c r="M24" s="24" t="s">
        <v>5283</v>
      </c>
      <c r="N24" s="8" t="s">
        <v>150</v>
      </c>
      <c r="O24" s="24"/>
      <c r="P24" s="24"/>
      <c r="Q24" s="24"/>
      <c r="R24" s="24"/>
      <c r="S24" s="24"/>
      <c r="T24" s="24"/>
      <c r="U24" s="24"/>
      <c r="V24" s="24"/>
      <c r="W24" s="24" t="s">
        <v>5283</v>
      </c>
      <c r="X24" s="24">
        <v>36.979999999999997</v>
      </c>
      <c r="Y24" s="24">
        <v>7.22</v>
      </c>
      <c r="Z24" s="25">
        <v>5.08</v>
      </c>
      <c r="AA24" s="24">
        <v>3.6</v>
      </c>
      <c r="AB24" s="24">
        <v>19183</v>
      </c>
      <c r="AC24" s="21" t="s">
        <v>5283</v>
      </c>
      <c r="AD24" s="8" t="s">
        <v>3716</v>
      </c>
      <c r="AE24" s="8" t="s">
        <v>4083</v>
      </c>
      <c r="AF24" s="25">
        <f t="shared" si="0"/>
        <v>25.992000000000001</v>
      </c>
      <c r="AG24" s="9">
        <f t="shared" si="1"/>
        <v>18.48</v>
      </c>
      <c r="AH24" s="9">
        <f t="shared" si="2"/>
        <v>0.19821605550049554</v>
      </c>
      <c r="AI24" s="25">
        <f t="shared" si="3"/>
        <v>3.9289604658175527E-2</v>
      </c>
      <c r="AJ24" s="9">
        <f t="shared" si="4"/>
        <v>0.57861450409718385</v>
      </c>
      <c r="AK24" s="25">
        <f t="shared" si="5"/>
        <v>0.33479474435162998</v>
      </c>
      <c r="AL24" s="9">
        <f t="shared" si="6"/>
        <v>0.88317592867685302</v>
      </c>
      <c r="AM24" s="25">
        <f t="shared" si="7"/>
        <v>0.77999972099422177</v>
      </c>
      <c r="AN24" s="24" t="s">
        <v>5283</v>
      </c>
    </row>
    <row r="25" spans="13:40" ht="23">
      <c r="M25" s="8" t="s">
        <v>851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8" t="s">
        <v>851</v>
      </c>
      <c r="X25" s="8">
        <v>16.47</v>
      </c>
      <c r="Y25" s="8">
        <v>1.97</v>
      </c>
      <c r="Z25" s="9">
        <v>0.56999999999999995</v>
      </c>
      <c r="AA25" s="8">
        <v>3.6</v>
      </c>
      <c r="AB25" s="8">
        <v>64443</v>
      </c>
      <c r="AC25" s="21" t="s">
        <v>851</v>
      </c>
      <c r="AD25" s="8" t="s">
        <v>3716</v>
      </c>
      <c r="AE25" s="8" t="s">
        <v>4083</v>
      </c>
      <c r="AF25" s="9">
        <f t="shared" si="0"/>
        <v>7.0919999999999996</v>
      </c>
      <c r="AG25" s="9">
        <f t="shared" si="1"/>
        <v>3.42</v>
      </c>
      <c r="AH25" s="9">
        <f t="shared" si="2"/>
        <v>0.19821605550049554</v>
      </c>
      <c r="AI25" s="9">
        <f t="shared" si="3"/>
        <v>3.9289604658175527E-2</v>
      </c>
      <c r="AJ25" s="9">
        <f t="shared" si="4"/>
        <v>0.15787681067471634</v>
      </c>
      <c r="AK25" s="9">
        <f t="shared" si="5"/>
        <v>2.4925087348820228E-2</v>
      </c>
      <c r="AL25" s="9">
        <f t="shared" si="6"/>
        <v>0.16344489589149555</v>
      </c>
      <c r="AM25" s="9">
        <f t="shared" si="7"/>
        <v>2.6714233992981819E-2</v>
      </c>
      <c r="AN25" s="8" t="s">
        <v>851</v>
      </c>
    </row>
    <row r="26" spans="13:40" ht="23">
      <c r="M26" s="24" t="s">
        <v>5036</v>
      </c>
      <c r="N26" s="24" t="s">
        <v>1902</v>
      </c>
      <c r="O26" s="24"/>
      <c r="P26" s="24"/>
      <c r="Q26" s="24"/>
      <c r="R26" s="24"/>
      <c r="S26" s="24"/>
      <c r="T26" s="24"/>
      <c r="U26" s="24"/>
      <c r="V26" s="24"/>
      <c r="W26" s="24" t="s">
        <v>5036</v>
      </c>
      <c r="X26" s="24">
        <v>1.06</v>
      </c>
      <c r="Y26" s="24">
        <v>1.32</v>
      </c>
      <c r="Z26" s="25">
        <v>0.05</v>
      </c>
      <c r="AA26" s="24">
        <v>3.2</v>
      </c>
      <c r="AB26" s="24">
        <v>102009</v>
      </c>
      <c r="AC26" s="21" t="s">
        <v>5036</v>
      </c>
      <c r="AD26" s="8" t="s">
        <v>3716</v>
      </c>
      <c r="AE26" s="8" t="s">
        <v>4083</v>
      </c>
      <c r="AF26" s="25">
        <f t="shared" si="0"/>
        <v>4.2240000000000002</v>
      </c>
      <c r="AG26" s="9">
        <f t="shared" si="1"/>
        <v>0.26666666666666666</v>
      </c>
      <c r="AH26" s="9">
        <f t="shared" si="2"/>
        <v>0.1761920493337738</v>
      </c>
      <c r="AI26" s="25">
        <f t="shared" si="3"/>
        <v>3.1043638248434983E-2</v>
      </c>
      <c r="AJ26" s="9">
        <f t="shared" si="4"/>
        <v>9.4031535291878438E-2</v>
      </c>
      <c r="AK26" s="25">
        <f t="shared" si="5"/>
        <v>8.8419296293477806E-3</v>
      </c>
      <c r="AL26" s="9">
        <f t="shared" si="6"/>
        <v>1.2744241395048385E-2</v>
      </c>
      <c r="AM26" s="25">
        <f t="shared" si="7"/>
        <v>1.6241568873526479E-4</v>
      </c>
      <c r="AN26" s="24" t="s">
        <v>5036</v>
      </c>
    </row>
    <row r="27" spans="13:40" ht="23">
      <c r="M27" s="8" t="s">
        <v>1919</v>
      </c>
      <c r="N27" s="8" t="s">
        <v>1902</v>
      </c>
      <c r="O27" s="8"/>
      <c r="P27" s="8"/>
      <c r="Q27" s="8"/>
      <c r="R27" s="8"/>
      <c r="S27" s="8"/>
      <c r="T27" s="8"/>
      <c r="U27" s="8"/>
      <c r="V27" s="8"/>
      <c r="W27" s="8" t="s">
        <v>1919</v>
      </c>
      <c r="X27" s="8">
        <v>17.05</v>
      </c>
      <c r="Y27" s="8">
        <v>4.54</v>
      </c>
      <c r="Z27" s="9">
        <v>4.2699999999999996</v>
      </c>
      <c r="AA27" s="8">
        <v>3.1</v>
      </c>
      <c r="AB27" s="8">
        <v>32575</v>
      </c>
      <c r="AC27" s="21" t="s">
        <v>1919</v>
      </c>
      <c r="AD27" s="8" t="s">
        <v>3716</v>
      </c>
      <c r="AE27" s="8" t="s">
        <v>4083</v>
      </c>
      <c r="AF27" s="9">
        <f t="shared" si="0"/>
        <v>14.074</v>
      </c>
      <c r="AG27" s="9">
        <f t="shared" si="1"/>
        <v>13.795000000000002</v>
      </c>
      <c r="AH27" s="9">
        <f t="shared" si="2"/>
        <v>0.17068604779209337</v>
      </c>
      <c r="AI27" s="9">
        <f t="shared" si="3"/>
        <v>2.9133726910884783E-2</v>
      </c>
      <c r="AJ27" s="9">
        <f t="shared" si="4"/>
        <v>0.31330488345120672</v>
      </c>
      <c r="AK27" s="9">
        <f t="shared" si="5"/>
        <v>9.8159949994374218E-2</v>
      </c>
      <c r="AL27" s="9">
        <f t="shared" si="6"/>
        <v>0.65927553766759683</v>
      </c>
      <c r="AM27" s="9">
        <f t="shared" si="7"/>
        <v>0.43464423456689888</v>
      </c>
      <c r="AN27" s="8" t="s">
        <v>1919</v>
      </c>
    </row>
    <row r="28" spans="13:40" ht="23">
      <c r="M28" s="9" t="s">
        <v>5033</v>
      </c>
      <c r="N28" s="8" t="s">
        <v>150</v>
      </c>
      <c r="O28" s="8"/>
      <c r="P28" s="8" t="s">
        <v>3693</v>
      </c>
      <c r="Q28" s="8"/>
      <c r="R28" s="8"/>
      <c r="S28" s="8"/>
      <c r="T28" s="8"/>
      <c r="U28" s="8"/>
      <c r="V28" s="8"/>
      <c r="W28" s="9" t="s">
        <v>5033</v>
      </c>
      <c r="X28" s="8">
        <v>43.44</v>
      </c>
      <c r="Y28" s="8">
        <v>4.28</v>
      </c>
      <c r="Z28" s="9">
        <v>4.4800000000000004</v>
      </c>
      <c r="AA28" s="8">
        <v>2.9</v>
      </c>
      <c r="AB28" s="8">
        <v>27717</v>
      </c>
      <c r="AC28" s="22" t="s">
        <v>5033</v>
      </c>
      <c r="AD28" s="8" t="s">
        <v>3716</v>
      </c>
      <c r="AE28" s="8" t="s">
        <v>4083</v>
      </c>
      <c r="AF28" s="9">
        <f t="shared" si="0"/>
        <v>12.412000000000001</v>
      </c>
      <c r="AG28" s="9">
        <f t="shared" si="1"/>
        <v>13.92</v>
      </c>
      <c r="AH28" s="9">
        <f t="shared" si="2"/>
        <v>0.1596740447087325</v>
      </c>
      <c r="AI28" s="9">
        <f t="shared" si="3"/>
        <v>2.5495800553646308E-2</v>
      </c>
      <c r="AJ28" s="9">
        <f t="shared" si="4"/>
        <v>0.27630667993437386</v>
      </c>
      <c r="AK28" s="9">
        <f t="shared" si="5"/>
        <v>7.6345381376356519E-2</v>
      </c>
      <c r="AL28" s="9">
        <f t="shared" si="6"/>
        <v>0.66524940082152573</v>
      </c>
      <c r="AM28" s="9">
        <f t="shared" si="7"/>
        <v>0.44255676529339899</v>
      </c>
      <c r="AN28" s="9" t="s">
        <v>5033</v>
      </c>
    </row>
    <row r="29" spans="13:40" ht="23">
      <c r="M29" s="8" t="s">
        <v>1275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1275</v>
      </c>
      <c r="X29" s="8">
        <v>16.21</v>
      </c>
      <c r="Y29" s="8">
        <v>1.9</v>
      </c>
      <c r="Z29" s="9">
        <v>2.2000000000000002</v>
      </c>
      <c r="AA29" s="8">
        <v>2.9</v>
      </c>
      <c r="AB29" s="8">
        <v>40860</v>
      </c>
      <c r="AC29" s="21" t="s">
        <v>1275</v>
      </c>
      <c r="AD29" s="8" t="s">
        <v>3716</v>
      </c>
      <c r="AE29" s="8" t="s">
        <v>4083</v>
      </c>
      <c r="AF29" s="9">
        <f t="shared" si="0"/>
        <v>5.51</v>
      </c>
      <c r="AG29" s="9">
        <f t="shared" si="1"/>
        <v>5.8096666666666668</v>
      </c>
      <c r="AH29" s="9">
        <f t="shared" si="2"/>
        <v>0.1596740447087325</v>
      </c>
      <c r="AI29" s="9">
        <f t="shared" si="3"/>
        <v>2.5495800553646308E-2</v>
      </c>
      <c r="AJ29" s="9">
        <f t="shared" si="4"/>
        <v>0.12265950744750241</v>
      </c>
      <c r="AK29" s="9">
        <f t="shared" si="5"/>
        <v>1.5045354767263899E-2</v>
      </c>
      <c r="AL29" s="9">
        <f t="shared" si="6"/>
        <v>0.27764922909287287</v>
      </c>
      <c r="AM29" s="9">
        <f t="shared" si="7"/>
        <v>7.7089094415866602E-2</v>
      </c>
      <c r="AN29" s="8" t="s">
        <v>1275</v>
      </c>
    </row>
    <row r="30" spans="13:40" ht="23">
      <c r="M30" s="9" t="s">
        <v>2306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9" t="s">
        <v>2306</v>
      </c>
      <c r="X30" s="8">
        <v>73.28</v>
      </c>
      <c r="Y30" s="8">
        <v>1.37</v>
      </c>
      <c r="Z30" s="9">
        <v>0.13</v>
      </c>
      <c r="AA30" s="8">
        <v>2</v>
      </c>
      <c r="AB30" s="8">
        <v>56801</v>
      </c>
      <c r="AC30" s="22" t="s">
        <v>2306</v>
      </c>
      <c r="AD30" s="8" t="s">
        <v>3716</v>
      </c>
      <c r="AE30" s="8" t="s">
        <v>4083</v>
      </c>
      <c r="AF30" s="9">
        <f t="shared" si="0"/>
        <v>2.74</v>
      </c>
      <c r="AG30" s="9">
        <f t="shared" si="1"/>
        <v>0.43333333333333335</v>
      </c>
      <c r="AH30" s="9">
        <f t="shared" si="2"/>
        <v>0.11012003083360862</v>
      </c>
      <c r="AI30" s="9">
        <f t="shared" si="3"/>
        <v>1.2126421190794913E-2</v>
      </c>
      <c r="AJ30" s="9">
        <f t="shared" si="4"/>
        <v>6.099583491944767E-2</v>
      </c>
      <c r="AK30" s="9">
        <f t="shared" si="5"/>
        <v>3.7204918775205118E-3</v>
      </c>
      <c r="AL30" s="9">
        <f t="shared" si="6"/>
        <v>2.0709392266953626E-2</v>
      </c>
      <c r="AM30" s="9">
        <f t="shared" si="7"/>
        <v>4.2887892806655866E-4</v>
      </c>
      <c r="AN30" s="9" t="s">
        <v>2306</v>
      </c>
    </row>
    <row r="31" spans="13:40" ht="23">
      <c r="M31" s="24" t="s">
        <v>5109</v>
      </c>
      <c r="N31" s="24" t="s">
        <v>150</v>
      </c>
      <c r="O31" s="24"/>
      <c r="P31" s="24"/>
      <c r="Q31" s="24"/>
      <c r="R31" s="24"/>
      <c r="S31" s="24"/>
      <c r="T31" s="24"/>
      <c r="U31" s="24"/>
      <c r="V31" s="24"/>
      <c r="W31" s="24" t="s">
        <v>5109</v>
      </c>
      <c r="X31" s="24">
        <v>23.94</v>
      </c>
      <c r="Y31" s="24">
        <v>3.16</v>
      </c>
      <c r="Z31" s="25">
        <v>3.2</v>
      </c>
      <c r="AA31" s="24">
        <v>1.6</v>
      </c>
      <c r="AB31" s="24">
        <v>47210</v>
      </c>
      <c r="AC31" s="21" t="s">
        <v>5109</v>
      </c>
      <c r="AD31" s="8" t="s">
        <v>3716</v>
      </c>
      <c r="AE31" s="8" t="s">
        <v>4083</v>
      </c>
      <c r="AF31" s="25">
        <f t="shared" si="0"/>
        <v>5.0560000000000009</v>
      </c>
      <c r="AG31" s="9">
        <f t="shared" si="1"/>
        <v>4.8053333333333335</v>
      </c>
      <c r="AH31" s="9">
        <f t="shared" si="2"/>
        <v>8.8096024666886902E-2</v>
      </c>
      <c r="AI31" s="25">
        <f t="shared" si="3"/>
        <v>7.7609095621087457E-3</v>
      </c>
      <c r="AJ31" s="9">
        <f t="shared" si="4"/>
        <v>0.11255289830391511</v>
      </c>
      <c r="AK31" s="25">
        <f t="shared" si="5"/>
        <v>1.2668154916611458E-2</v>
      </c>
      <c r="AL31" s="9">
        <f t="shared" si="6"/>
        <v>0.22965122993877191</v>
      </c>
      <c r="AM31" s="25">
        <f t="shared" si="7"/>
        <v>5.2739687412390684E-2</v>
      </c>
      <c r="AN31" s="24" t="s">
        <v>5109</v>
      </c>
    </row>
    <row r="32" spans="13:40" ht="23">
      <c r="M32" s="9" t="s">
        <v>4973</v>
      </c>
      <c r="N32" s="8" t="s">
        <v>1614</v>
      </c>
      <c r="O32" s="8"/>
      <c r="P32" s="8"/>
      <c r="Q32" s="8"/>
      <c r="R32" s="8"/>
      <c r="S32" s="8"/>
      <c r="T32" s="8"/>
      <c r="U32" s="8"/>
      <c r="V32" s="8"/>
      <c r="W32" s="9" t="s">
        <v>4973</v>
      </c>
      <c r="X32" s="8">
        <v>11.04</v>
      </c>
      <c r="Y32" s="8">
        <v>5.58</v>
      </c>
      <c r="Z32" s="9">
        <v>5.09</v>
      </c>
      <c r="AA32" s="8">
        <v>1.5</v>
      </c>
      <c r="AB32" s="8">
        <v>53140</v>
      </c>
      <c r="AC32" s="22" t="s">
        <v>4973</v>
      </c>
      <c r="AD32" s="8" t="s">
        <v>3716</v>
      </c>
      <c r="AE32" s="8" t="s">
        <v>4083</v>
      </c>
      <c r="AF32" s="9">
        <f t="shared" si="0"/>
        <v>8.370000000000001</v>
      </c>
      <c r="AG32" s="9">
        <f t="shared" si="1"/>
        <v>7.7250000000000005</v>
      </c>
      <c r="AH32" s="9">
        <f t="shared" si="2"/>
        <v>8.2590023125206469E-2</v>
      </c>
      <c r="AI32" s="9">
        <f t="shared" si="3"/>
        <v>6.821111919822139E-3</v>
      </c>
      <c r="AJ32" s="9">
        <f t="shared" si="4"/>
        <v>0.18632669280137845</v>
      </c>
      <c r="AK32" s="9">
        <f t="shared" si="5"/>
        <v>3.4717636450299259E-2</v>
      </c>
      <c r="AL32" s="9">
        <f t="shared" si="6"/>
        <v>0.36918474291280795</v>
      </c>
      <c r="AM32" s="9">
        <f t="shared" si="7"/>
        <v>0.13629737439959611</v>
      </c>
      <c r="AN32" s="9" t="s">
        <v>4973</v>
      </c>
    </row>
    <row r="33" spans="13:40" ht="23">
      <c r="M33" s="8" t="s">
        <v>1294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8" t="s">
        <v>1294</v>
      </c>
      <c r="X33" s="8">
        <v>32.299999999999997</v>
      </c>
      <c r="Y33" s="8">
        <v>1.67</v>
      </c>
      <c r="Z33" s="9">
        <v>0.03</v>
      </c>
      <c r="AA33" s="8">
        <v>1.5</v>
      </c>
      <c r="AB33" s="8">
        <v>85753</v>
      </c>
      <c r="AC33" s="21" t="s">
        <v>1294</v>
      </c>
      <c r="AD33" s="8" t="s">
        <v>3716</v>
      </c>
      <c r="AE33" s="8" t="s">
        <v>4083</v>
      </c>
      <c r="AF33" s="9">
        <f t="shared" si="0"/>
        <v>2.5049999999999999</v>
      </c>
      <c r="AG33" s="9">
        <f t="shared" si="1"/>
        <v>7.5000000000000011E-2</v>
      </c>
      <c r="AH33" s="9">
        <f t="shared" si="2"/>
        <v>8.2590023125206469E-2</v>
      </c>
      <c r="AI33" s="9">
        <f t="shared" si="3"/>
        <v>6.821111919822139E-3</v>
      </c>
      <c r="AJ33" s="9">
        <f t="shared" si="4"/>
        <v>5.5764440318692106E-2</v>
      </c>
      <c r="AK33" s="9">
        <f t="shared" si="5"/>
        <v>3.1096728040569737E-3</v>
      </c>
      <c r="AL33" s="9">
        <f t="shared" si="6"/>
        <v>3.5843178923573586E-3</v>
      </c>
      <c r="AM33" s="9">
        <f t="shared" si="7"/>
        <v>1.2847334753473098E-5</v>
      </c>
      <c r="AN33" s="8" t="s">
        <v>1294</v>
      </c>
    </row>
    <row r="34" spans="13:40" ht="23">
      <c r="M34" s="9" t="s">
        <v>3656</v>
      </c>
      <c r="N34" s="8" t="s">
        <v>2107</v>
      </c>
      <c r="O34" s="8"/>
      <c r="P34" s="8"/>
      <c r="Q34" s="8"/>
      <c r="R34" s="8"/>
      <c r="S34" s="8"/>
      <c r="T34" s="8"/>
      <c r="U34" s="8"/>
      <c r="V34" s="8"/>
      <c r="W34" s="9" t="s">
        <v>3656</v>
      </c>
      <c r="X34" s="8">
        <v>21.78</v>
      </c>
      <c r="Y34" s="8">
        <v>4.57</v>
      </c>
      <c r="Z34" s="9">
        <v>1.07</v>
      </c>
      <c r="AA34" s="8">
        <v>1.2</v>
      </c>
      <c r="AB34" s="8">
        <v>44390</v>
      </c>
      <c r="AC34" s="22" t="s">
        <v>3656</v>
      </c>
      <c r="AD34" s="8" t="s">
        <v>3716</v>
      </c>
      <c r="AE34" s="8" t="s">
        <v>4083</v>
      </c>
      <c r="AF34" s="9">
        <f t="shared" si="0"/>
        <v>5.484</v>
      </c>
      <c r="AG34" s="9">
        <f t="shared" si="1"/>
        <v>1.34</v>
      </c>
      <c r="AH34" s="9">
        <f t="shared" si="2"/>
        <v>6.6072018500165169E-2</v>
      </c>
      <c r="AI34" s="9">
        <f t="shared" si="3"/>
        <v>4.3655116286861681E-3</v>
      </c>
      <c r="AJ34" s="9">
        <f t="shared" si="4"/>
        <v>0.12208071485337625</v>
      </c>
      <c r="AK34" s="9">
        <f t="shared" si="5"/>
        <v>1.490370093911136E-2</v>
      </c>
      <c r="AL34" s="9">
        <f t="shared" si="6"/>
        <v>6.4039813010118143E-2</v>
      </c>
      <c r="AM34" s="9">
        <f t="shared" si="7"/>
        <v>4.1010976503708966E-3</v>
      </c>
      <c r="AN34" s="9" t="s">
        <v>3656</v>
      </c>
    </row>
    <row r="35" spans="13:40" ht="23"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9"/>
      <c r="AA35" s="8">
        <f>SUBTOTAL(109,Table1361719[ترافیک کل])</f>
        <v>1816.2000000000003</v>
      </c>
      <c r="AB35" s="8"/>
      <c r="AC35" s="21"/>
      <c r="AD35" s="8"/>
      <c r="AE35" s="8"/>
      <c r="AF35" s="9">
        <f>SUBTOTAL(109,Table1361719[[مجموع صفحات  مشاهده شده   ]])</f>
        <v>4492.1099999999997</v>
      </c>
      <c r="AG35" s="9">
        <f>SUBTOTAL(109,Table1361719[[مجموع زمان حضور در سایت ]])</f>
        <v>2092.4483333333333</v>
      </c>
      <c r="AH35" s="9">
        <f>SUBTOTAL(109,Table1361719[سهم سایت از کل ترافیک طبقه بندی])</f>
        <v>99.999999999999957</v>
      </c>
      <c r="AI35" s="9">
        <f>SUBTOTAL(109,Table1361719[شاخص هرفیندال هیرشمن (ترافیک)])</f>
        <v>1101.3332745444434</v>
      </c>
      <c r="AJ35" s="9">
        <f>SUBTOTAL(109,Table1361719[سهم سایت از کل صفحات مشاهده شده در طبقه بندی])</f>
        <v>100.00000000000003</v>
      </c>
      <c r="AK35" s="9">
        <f>SUBTOTAL(109,Table1361719[شاخص هرفیندال -هیرشمن (صفحات مشاهده شده )])</f>
        <v>962.70234433920564</v>
      </c>
      <c r="AL35" s="9">
        <f>SUBTOTAL(109,Table1361719[سهم سایت از کل زمان حضور در طبقه بندی])</f>
        <v>100</v>
      </c>
      <c r="AM35" s="9">
        <f>SUBTOTAL(109,Table1361719[شاخص هرفیندال هیرشمن (زمان حضور)])</f>
        <v>734.31972561660962</v>
      </c>
      <c r="AN35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{2A2BEF51-78DC-4CB0-B3DB-FB6075AA62C9}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{9CDBC497-FBD8-4F45-889A-04DB55538092}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{5B9C0DAE-ABE8-4994-B258-563B464BA824}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{B9AE01F5-7B17-4D7C-A499-B77423183726}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{479407EE-884F-4635-AE13-6526DCCC108D}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{9F58DEEC-5FBC-4315-AEA3-E9943E21592E}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A2BEF51-78DC-4CB0-B3DB-FB6075AA62C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CDBC497-FBD8-4F45-889A-04DB555380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B9C0DAE-ABE8-4994-B258-563B464BA82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9AE01F5-7B17-4D7C-A499-B774231837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479407EE-884F-4635-AE13-6526DCCC108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9F58DEEC-5FBC-4315-AEA3-E9943E21592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9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2733</v>
      </c>
      <c r="N2" s="8" t="s">
        <v>1614</v>
      </c>
      <c r="O2" s="8"/>
      <c r="P2" s="8" t="s">
        <v>3691</v>
      </c>
      <c r="Q2" s="8"/>
      <c r="R2" s="8"/>
      <c r="S2" s="8"/>
      <c r="T2" s="8"/>
      <c r="U2" s="8"/>
      <c r="V2" s="8"/>
      <c r="W2" s="9" t="s">
        <v>2733</v>
      </c>
      <c r="X2" s="8">
        <v>18.38</v>
      </c>
      <c r="Y2" s="8">
        <v>2.91</v>
      </c>
      <c r="Z2" s="9">
        <v>1.47</v>
      </c>
      <c r="AA2" s="8">
        <v>211.9</v>
      </c>
      <c r="AB2" s="8">
        <v>3579</v>
      </c>
      <c r="AC2" s="22" t="s">
        <v>2733</v>
      </c>
      <c r="AD2" s="8" t="s">
        <v>4033</v>
      </c>
      <c r="AE2" s="8" t="s">
        <v>4083</v>
      </c>
      <c r="AF2" s="9">
        <f t="shared" ref="AF2:AF28" si="0">(AA2*Y2)</f>
        <v>616.62900000000002</v>
      </c>
      <c r="AG2" s="9">
        <f t="shared" ref="AG2:AG28" si="1">((((RIGHT(Z2,2))/60)+(LEFT(Z2,2)))*AA2)</f>
        <v>377.88833333333332</v>
      </c>
      <c r="AH2" s="9">
        <f t="shared" ref="AH2:AH28" si="2">(AA2/$AA$29)*100</f>
        <v>26.768569984840834</v>
      </c>
      <c r="AI2" s="9">
        <f t="shared" ref="AI2:AI28" si="3">(AH2*AH2)</f>
        <v>716.55633903332159</v>
      </c>
      <c r="AJ2" s="9">
        <f t="shared" ref="AJ2:AJ28" si="4">(AF2/$AF$29)*100</f>
        <v>21.987410071942449</v>
      </c>
      <c r="AK2" s="9">
        <f t="shared" ref="AK2:AK28" si="5">(AJ2*AJ2)</f>
        <v>483.44620167175623</v>
      </c>
      <c r="AL2" s="9">
        <f t="shared" ref="AL2:AL28" si="6">(AG2/$AG$29)*100</f>
        <v>22.760353801218908</v>
      </c>
      <c r="AM2" s="9">
        <f t="shared" ref="AM2:AM28" si="7">(AL2*AL2)</f>
        <v>518.03370515666006</v>
      </c>
      <c r="AN2" s="9" t="s">
        <v>2733</v>
      </c>
    </row>
    <row r="3" spans="8:40" ht="23">
      <c r="M3" s="8" t="s">
        <v>863</v>
      </c>
      <c r="N3" s="8" t="s">
        <v>150</v>
      </c>
      <c r="O3" s="8"/>
      <c r="P3" s="8" t="s">
        <v>3691</v>
      </c>
      <c r="Q3" s="8"/>
      <c r="R3" s="8"/>
      <c r="S3" s="8"/>
      <c r="T3" s="8"/>
      <c r="U3" s="8"/>
      <c r="V3" s="8"/>
      <c r="W3" s="8" t="s">
        <v>863</v>
      </c>
      <c r="X3" s="8">
        <v>18.71</v>
      </c>
      <c r="Y3" s="8">
        <v>3.2</v>
      </c>
      <c r="Z3" s="9">
        <v>2.33</v>
      </c>
      <c r="AA3" s="8">
        <v>153.19999999999999</v>
      </c>
      <c r="AB3" s="8">
        <v>2610</v>
      </c>
      <c r="AC3" s="21" t="s">
        <v>863</v>
      </c>
      <c r="AD3" s="8" t="s">
        <v>4033</v>
      </c>
      <c r="AE3" s="8" t="s">
        <v>4083</v>
      </c>
      <c r="AF3" s="9">
        <f t="shared" si="0"/>
        <v>490.24</v>
      </c>
      <c r="AG3" s="9">
        <f t="shared" si="1"/>
        <v>390.65999999999997</v>
      </c>
      <c r="AH3" s="9">
        <f t="shared" si="2"/>
        <v>19.35320869125821</v>
      </c>
      <c r="AI3" s="9">
        <f t="shared" si="3"/>
        <v>374.54668664739233</v>
      </c>
      <c r="AJ3" s="9">
        <f t="shared" si="4"/>
        <v>17.480702194786598</v>
      </c>
      <c r="AK3" s="9">
        <f t="shared" si="5"/>
        <v>305.574949222817</v>
      </c>
      <c r="AL3" s="9">
        <f t="shared" si="6"/>
        <v>23.529595998776124</v>
      </c>
      <c r="AM3" s="9">
        <f t="shared" si="7"/>
        <v>553.64188786562136</v>
      </c>
      <c r="AN3" s="8" t="s">
        <v>863</v>
      </c>
    </row>
    <row r="4" spans="8:40" ht="23">
      <c r="M4" s="8" t="s">
        <v>168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168</v>
      </c>
      <c r="X4" s="8">
        <v>49.84</v>
      </c>
      <c r="Y4" s="8">
        <v>1.1299999999999999</v>
      </c>
      <c r="Z4" s="9">
        <v>0.15</v>
      </c>
      <c r="AA4" s="8">
        <v>81.099999999999994</v>
      </c>
      <c r="AB4" s="8">
        <v>13397</v>
      </c>
      <c r="AC4" s="21" t="s">
        <v>168</v>
      </c>
      <c r="AD4" s="8" t="s">
        <v>4033</v>
      </c>
      <c r="AE4" s="8" t="s">
        <v>4083</v>
      </c>
      <c r="AF4" s="9">
        <f t="shared" si="0"/>
        <v>91.642999999999986</v>
      </c>
      <c r="AG4" s="9">
        <f t="shared" si="1"/>
        <v>20.274999999999999</v>
      </c>
      <c r="AH4" s="9">
        <f t="shared" si="2"/>
        <v>10.245073269327944</v>
      </c>
      <c r="AI4" s="9">
        <f t="shared" si="3"/>
        <v>104.96152629389798</v>
      </c>
      <c r="AJ4" s="9">
        <f t="shared" si="4"/>
        <v>3.2677545513153312</v>
      </c>
      <c r="AK4" s="9">
        <f t="shared" si="5"/>
        <v>10.678219807642062</v>
      </c>
      <c r="AL4" s="9">
        <f t="shared" si="6"/>
        <v>1.2211707338227253</v>
      </c>
      <c r="AM4" s="9">
        <f t="shared" si="7"/>
        <v>1.4912579611451335</v>
      </c>
      <c r="AN4" s="8" t="s">
        <v>168</v>
      </c>
    </row>
    <row r="5" spans="8:40" ht="23">
      <c r="M5" s="9" t="s">
        <v>3171</v>
      </c>
      <c r="N5" s="8" t="s">
        <v>1869</v>
      </c>
      <c r="O5" s="8"/>
      <c r="P5" s="8"/>
      <c r="Q5" s="8"/>
      <c r="R5" s="8"/>
      <c r="S5" s="8"/>
      <c r="T5" s="8"/>
      <c r="U5" s="8"/>
      <c r="V5" s="8"/>
      <c r="W5" s="9" t="s">
        <v>3171</v>
      </c>
      <c r="X5" s="8">
        <v>38.76</v>
      </c>
      <c r="Y5" s="8">
        <v>1.1499999999999999</v>
      </c>
      <c r="Z5" s="9">
        <v>0.11</v>
      </c>
      <c r="AA5" s="8">
        <v>58.6</v>
      </c>
      <c r="AB5" s="8">
        <v>23756</v>
      </c>
      <c r="AC5" s="22" t="s">
        <v>3171</v>
      </c>
      <c r="AD5" s="8" t="s">
        <v>4033</v>
      </c>
      <c r="AE5" s="8" t="s">
        <v>4083</v>
      </c>
      <c r="AF5" s="9">
        <f t="shared" si="0"/>
        <v>67.39</v>
      </c>
      <c r="AG5" s="9">
        <f t="shared" si="1"/>
        <v>10.743333333333332</v>
      </c>
      <c r="AH5" s="9">
        <f t="shared" si="2"/>
        <v>7.4027286508337546</v>
      </c>
      <c r="AI5" s="9">
        <f t="shared" si="3"/>
        <v>54.800391477874939</v>
      </c>
      <c r="AJ5" s="9">
        <f t="shared" si="4"/>
        <v>2.40295471790688</v>
      </c>
      <c r="AK5" s="9">
        <f t="shared" si="5"/>
        <v>5.7741913763109327</v>
      </c>
      <c r="AL5" s="9">
        <f t="shared" si="6"/>
        <v>0.64707493220068135</v>
      </c>
      <c r="AM5" s="9">
        <f t="shared" si="7"/>
        <v>0.41870596788251635</v>
      </c>
      <c r="AN5" s="9" t="s">
        <v>3171</v>
      </c>
    </row>
    <row r="6" spans="8:40" ht="23">
      <c r="M6" s="8" t="s">
        <v>514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514</v>
      </c>
      <c r="X6" s="8">
        <v>22.6</v>
      </c>
      <c r="Y6" s="8">
        <v>1.75</v>
      </c>
      <c r="Z6" s="9">
        <v>0.18</v>
      </c>
      <c r="AA6" s="8">
        <v>57</v>
      </c>
      <c r="AB6" s="8">
        <v>8942</v>
      </c>
      <c r="AC6" s="21" t="s">
        <v>514</v>
      </c>
      <c r="AD6" s="8" t="s">
        <v>4033</v>
      </c>
      <c r="AE6" s="8" t="s">
        <v>4083</v>
      </c>
      <c r="AF6" s="9">
        <f t="shared" si="0"/>
        <v>99.75</v>
      </c>
      <c r="AG6" s="9">
        <f t="shared" si="1"/>
        <v>17.099999999999998</v>
      </c>
      <c r="AH6" s="9">
        <f t="shared" si="2"/>
        <v>7.2006063668519458</v>
      </c>
      <c r="AI6" s="9">
        <f t="shared" si="3"/>
        <v>51.848732050348779</v>
      </c>
      <c r="AJ6" s="9">
        <f t="shared" si="4"/>
        <v>3.5568293977030909</v>
      </c>
      <c r="AK6" s="9">
        <f t="shared" si="5"/>
        <v>12.651035364364933</v>
      </c>
      <c r="AL6" s="9">
        <f t="shared" si="6"/>
        <v>1.029939311880079</v>
      </c>
      <c r="AM6" s="9">
        <f t="shared" si="7"/>
        <v>1.0607749861560107</v>
      </c>
      <c r="AN6" s="8" t="s">
        <v>514</v>
      </c>
    </row>
    <row r="7" spans="8:40" ht="23">
      <c r="M7" s="9" t="s">
        <v>2146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9" t="s">
        <v>2146</v>
      </c>
      <c r="X7" s="8">
        <v>33.14</v>
      </c>
      <c r="Y7" s="8">
        <v>1.17</v>
      </c>
      <c r="Z7" s="9">
        <v>0.13</v>
      </c>
      <c r="AA7" s="8">
        <v>43.6</v>
      </c>
      <c r="AB7" s="8">
        <v>38781</v>
      </c>
      <c r="AC7" s="22" t="s">
        <v>2146</v>
      </c>
      <c r="AD7" s="8" t="s">
        <v>4033</v>
      </c>
      <c r="AE7" s="8" t="s">
        <v>4083</v>
      </c>
      <c r="AF7" s="9">
        <f t="shared" si="0"/>
        <v>51.012</v>
      </c>
      <c r="AG7" s="9">
        <f t="shared" si="1"/>
        <v>9.4466666666666672</v>
      </c>
      <c r="AH7" s="9">
        <f t="shared" si="2"/>
        <v>5.5078322385042959</v>
      </c>
      <c r="AI7" s="9">
        <f t="shared" si="3"/>
        <v>30.336215967507243</v>
      </c>
      <c r="AJ7" s="9">
        <f t="shared" si="4"/>
        <v>1.8189572053697249</v>
      </c>
      <c r="AK7" s="9">
        <f t="shared" si="5"/>
        <v>3.3086053149664396</v>
      </c>
      <c r="AL7" s="9">
        <f t="shared" si="6"/>
        <v>0.56897622024720174</v>
      </c>
      <c r="AM7" s="9">
        <f t="shared" si="7"/>
        <v>0.32373393920679222</v>
      </c>
      <c r="AN7" s="9" t="s">
        <v>2146</v>
      </c>
    </row>
    <row r="8" spans="8:40" ht="23">
      <c r="M8" s="8" t="s">
        <v>15</v>
      </c>
      <c r="N8" s="8" t="s">
        <v>13</v>
      </c>
      <c r="O8" s="8"/>
      <c r="P8" s="8"/>
      <c r="Q8" s="8"/>
      <c r="R8" s="8"/>
      <c r="S8" s="8"/>
      <c r="T8" s="8"/>
      <c r="U8" s="8"/>
      <c r="V8" s="8"/>
      <c r="W8" s="8" t="s">
        <v>15</v>
      </c>
      <c r="X8" s="8">
        <v>1.84</v>
      </c>
      <c r="Y8" s="8">
        <v>17.47</v>
      </c>
      <c r="Z8" s="9">
        <v>7.34</v>
      </c>
      <c r="AA8" s="8">
        <v>40.799999999999997</v>
      </c>
      <c r="AB8" s="8">
        <v>32416</v>
      </c>
      <c r="AC8" s="21" t="s">
        <v>15</v>
      </c>
      <c r="AD8" s="8" t="s">
        <v>4033</v>
      </c>
      <c r="AE8" s="8" t="s">
        <v>4083</v>
      </c>
      <c r="AF8" s="9">
        <f t="shared" si="0"/>
        <v>712.77599999999995</v>
      </c>
      <c r="AG8" s="9">
        <f t="shared" si="1"/>
        <v>308.71999999999997</v>
      </c>
      <c r="AH8" s="9">
        <f t="shared" si="2"/>
        <v>5.1541182415361302</v>
      </c>
      <c r="AI8" s="9">
        <f t="shared" si="3"/>
        <v>26.56493484773549</v>
      </c>
      <c r="AJ8" s="9">
        <f t="shared" si="4"/>
        <v>25.415765722077371</v>
      </c>
      <c r="AK8" s="9">
        <f t="shared" si="5"/>
        <v>645.96114723952303</v>
      </c>
      <c r="AL8" s="9">
        <f t="shared" si="6"/>
        <v>18.594319553427955</v>
      </c>
      <c r="AM8" s="9">
        <f t="shared" si="7"/>
        <v>345.74871965499318</v>
      </c>
      <c r="AN8" s="8" t="s">
        <v>15</v>
      </c>
    </row>
    <row r="9" spans="8:40" ht="23">
      <c r="M9" s="8" t="s">
        <v>230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230</v>
      </c>
      <c r="X9" s="8">
        <v>19</v>
      </c>
      <c r="Y9" s="8">
        <v>3.38</v>
      </c>
      <c r="Z9" s="9">
        <v>3.08</v>
      </c>
      <c r="AA9" s="8">
        <v>22.3</v>
      </c>
      <c r="AB9" s="8">
        <v>7614</v>
      </c>
      <c r="AC9" s="21" t="s">
        <v>230</v>
      </c>
      <c r="AD9" s="8" t="s">
        <v>4033</v>
      </c>
      <c r="AE9" s="8" t="s">
        <v>4083</v>
      </c>
      <c r="AF9" s="9">
        <f t="shared" si="0"/>
        <v>75.373999999999995</v>
      </c>
      <c r="AG9" s="9">
        <f t="shared" si="1"/>
        <v>69.873333333333335</v>
      </c>
      <c r="AH9" s="9">
        <f t="shared" si="2"/>
        <v>2.817079332996463</v>
      </c>
      <c r="AI9" s="9">
        <f t="shared" si="3"/>
        <v>7.9359359683957971</v>
      </c>
      <c r="AJ9" s="9">
        <f t="shared" si="4"/>
        <v>2.6876436994734108</v>
      </c>
      <c r="AK9" s="9">
        <f t="shared" si="5"/>
        <v>7.2234286553191218</v>
      </c>
      <c r="AL9" s="9">
        <f t="shared" si="6"/>
        <v>4.2084966580175873</v>
      </c>
      <c r="AM9" s="9">
        <f t="shared" si="7"/>
        <v>17.711444120545202</v>
      </c>
      <c r="AN9" s="8" t="s">
        <v>230</v>
      </c>
    </row>
    <row r="10" spans="8:40" ht="23">
      <c r="M10" s="8" t="s">
        <v>664</v>
      </c>
      <c r="N10" s="8" t="s">
        <v>150</v>
      </c>
      <c r="O10" s="8"/>
      <c r="P10" s="8" t="s">
        <v>3693</v>
      </c>
      <c r="Q10" s="8"/>
      <c r="R10" s="8"/>
      <c r="S10" s="8"/>
      <c r="T10" s="8"/>
      <c r="U10" s="8"/>
      <c r="V10" s="8"/>
      <c r="W10" s="8" t="s">
        <v>664</v>
      </c>
      <c r="X10" s="8">
        <v>28.12</v>
      </c>
      <c r="Y10" s="8">
        <v>9.49</v>
      </c>
      <c r="Z10" s="9">
        <v>8.34</v>
      </c>
      <c r="AA10" s="8">
        <v>21.2</v>
      </c>
      <c r="AB10" s="8">
        <v>3330</v>
      </c>
      <c r="AC10" s="21" t="s">
        <v>664</v>
      </c>
      <c r="AD10" s="8" t="s">
        <v>4033</v>
      </c>
      <c r="AE10" s="8" t="s">
        <v>4083</v>
      </c>
      <c r="AF10" s="9">
        <f t="shared" si="0"/>
        <v>201.18799999999999</v>
      </c>
      <c r="AG10" s="9">
        <f t="shared" si="1"/>
        <v>181.61333333333332</v>
      </c>
      <c r="AH10" s="9">
        <f t="shared" si="2"/>
        <v>2.6781202627589691</v>
      </c>
      <c r="AI10" s="9">
        <f t="shared" si="3"/>
        <v>7.1723281418001692</v>
      </c>
      <c r="AJ10" s="9">
        <f t="shared" si="4"/>
        <v>7.1738485500259586</v>
      </c>
      <c r="AK10" s="9">
        <f t="shared" si="5"/>
        <v>51.464103018709551</v>
      </c>
      <c r="AL10" s="9">
        <f t="shared" si="6"/>
        <v>10.938638103016419</v>
      </c>
      <c r="AM10" s="9">
        <f t="shared" si="7"/>
        <v>119.65380354876265</v>
      </c>
      <c r="AN10" s="8" t="s">
        <v>664</v>
      </c>
    </row>
    <row r="11" spans="8:40" ht="23">
      <c r="M11" s="8" t="s">
        <v>1807</v>
      </c>
      <c r="N11" s="8" t="s">
        <v>1717</v>
      </c>
      <c r="O11" s="8"/>
      <c r="P11" s="8"/>
      <c r="Q11" s="8"/>
      <c r="R11" s="8"/>
      <c r="S11" s="8"/>
      <c r="T11" s="8"/>
      <c r="U11" s="8"/>
      <c r="V11" s="8"/>
      <c r="W11" s="8" t="s">
        <v>1807</v>
      </c>
      <c r="X11" s="8">
        <v>5.56</v>
      </c>
      <c r="Y11" s="8">
        <v>2.06</v>
      </c>
      <c r="Z11" s="9">
        <v>0.03</v>
      </c>
      <c r="AA11" s="8">
        <v>12.5</v>
      </c>
      <c r="AB11" s="8">
        <v>62446</v>
      </c>
      <c r="AC11" s="21" t="s">
        <v>1807</v>
      </c>
      <c r="AD11" s="8" t="s">
        <v>4033</v>
      </c>
      <c r="AE11" s="8" t="s">
        <v>4083</v>
      </c>
      <c r="AF11" s="9">
        <f t="shared" si="0"/>
        <v>25.75</v>
      </c>
      <c r="AG11" s="9">
        <f t="shared" si="1"/>
        <v>0.625</v>
      </c>
      <c r="AH11" s="9">
        <f t="shared" si="2"/>
        <v>1.5790803436078829</v>
      </c>
      <c r="AI11" s="9">
        <f t="shared" si="3"/>
        <v>2.4934947315687892</v>
      </c>
      <c r="AJ11" s="9">
        <f t="shared" si="4"/>
        <v>0.91817901745217623</v>
      </c>
      <c r="AK11" s="9">
        <f t="shared" si="5"/>
        <v>0.84305270808944377</v>
      </c>
      <c r="AL11" s="9">
        <f t="shared" si="6"/>
        <v>3.7643980697371314E-2</v>
      </c>
      <c r="AM11" s="9">
        <f t="shared" si="7"/>
        <v>1.417069282744064E-3</v>
      </c>
      <c r="AN11" s="8" t="s">
        <v>1807</v>
      </c>
    </row>
    <row r="12" spans="8:40" ht="23">
      <c r="M12" s="8" t="s">
        <v>1762</v>
      </c>
      <c r="N12" s="8" t="s">
        <v>1717</v>
      </c>
      <c r="O12" s="8"/>
      <c r="P12" s="8" t="s">
        <v>3691</v>
      </c>
      <c r="Q12" s="8"/>
      <c r="R12" s="8"/>
      <c r="S12" s="8"/>
      <c r="T12" s="8"/>
      <c r="U12" s="8"/>
      <c r="V12" s="8"/>
      <c r="W12" s="8" t="s">
        <v>1762</v>
      </c>
      <c r="X12" s="8">
        <v>46.93</v>
      </c>
      <c r="Y12" s="8">
        <v>4.43</v>
      </c>
      <c r="Z12" s="9">
        <v>2.09</v>
      </c>
      <c r="AA12" s="8">
        <v>12.3</v>
      </c>
      <c r="AB12" s="8">
        <v>19744</v>
      </c>
      <c r="AC12" s="21" t="s">
        <v>1762</v>
      </c>
      <c r="AD12" s="8" t="s">
        <v>4033</v>
      </c>
      <c r="AE12" s="8" t="s">
        <v>4083</v>
      </c>
      <c r="AF12" s="9">
        <f t="shared" si="0"/>
        <v>54.488999999999997</v>
      </c>
      <c r="AG12" s="9">
        <f t="shared" si="1"/>
        <v>26.445</v>
      </c>
      <c r="AH12" s="9">
        <f t="shared" si="2"/>
        <v>1.5538150581101569</v>
      </c>
      <c r="AI12" s="9">
        <f t="shared" si="3"/>
        <v>2.4143412348098701</v>
      </c>
      <c r="AJ12" s="9">
        <f t="shared" si="4"/>
        <v>1.9429381158039469</v>
      </c>
      <c r="AK12" s="9">
        <f t="shared" si="5"/>
        <v>3.7750085218437914</v>
      </c>
      <c r="AL12" s="9">
        <f t="shared" si="6"/>
        <v>1.5927921112671752</v>
      </c>
      <c r="AM12" s="9">
        <f t="shared" si="7"/>
        <v>2.5369867097149457</v>
      </c>
      <c r="AN12" s="8" t="s">
        <v>1762</v>
      </c>
    </row>
    <row r="13" spans="8:40" ht="23">
      <c r="M13" s="8" t="s">
        <v>745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745</v>
      </c>
      <c r="X13" s="8">
        <v>46.47</v>
      </c>
      <c r="Y13" s="8">
        <v>1.34</v>
      </c>
      <c r="Z13" s="9">
        <v>0.27</v>
      </c>
      <c r="AA13" s="8">
        <v>11.5</v>
      </c>
      <c r="AB13" s="8">
        <v>51502</v>
      </c>
      <c r="AC13" s="21" t="s">
        <v>745</v>
      </c>
      <c r="AD13" s="8" t="s">
        <v>4033</v>
      </c>
      <c r="AE13" s="8" t="s">
        <v>4083</v>
      </c>
      <c r="AF13" s="9">
        <f t="shared" si="0"/>
        <v>15.41</v>
      </c>
      <c r="AG13" s="9">
        <f t="shared" si="1"/>
        <v>5.1749999999999998</v>
      </c>
      <c r="AH13" s="9">
        <f t="shared" si="2"/>
        <v>1.4527539161192524</v>
      </c>
      <c r="AI13" s="9">
        <f t="shared" si="3"/>
        <v>2.1104939407998238</v>
      </c>
      <c r="AJ13" s="9">
        <f t="shared" si="4"/>
        <v>0.54948111296846736</v>
      </c>
      <c r="AK13" s="9">
        <f t="shared" si="5"/>
        <v>0.30192949350906556</v>
      </c>
      <c r="AL13" s="9">
        <f t="shared" si="6"/>
        <v>0.31169216017423451</v>
      </c>
      <c r="AM13" s="9">
        <f t="shared" si="7"/>
        <v>9.7152002714080657E-2</v>
      </c>
      <c r="AN13" s="8" t="s">
        <v>745</v>
      </c>
    </row>
    <row r="14" spans="8:40" ht="23">
      <c r="M14" s="9" t="s">
        <v>2638</v>
      </c>
      <c r="N14" s="8" t="s">
        <v>150</v>
      </c>
      <c r="O14" s="8"/>
      <c r="P14" s="8" t="s">
        <v>3691</v>
      </c>
      <c r="Q14" s="8"/>
      <c r="R14" s="8"/>
      <c r="S14" s="8"/>
      <c r="T14" s="8"/>
      <c r="U14" s="8"/>
      <c r="V14" s="8"/>
      <c r="W14" s="9" t="s">
        <v>2638</v>
      </c>
      <c r="X14" s="8">
        <v>16.39</v>
      </c>
      <c r="Y14" s="8">
        <v>8.8699999999999992</v>
      </c>
      <c r="Z14" s="9">
        <v>6.05</v>
      </c>
      <c r="AA14" s="8">
        <v>9.6</v>
      </c>
      <c r="AB14" s="8">
        <v>11216</v>
      </c>
      <c r="AC14" s="22" t="s">
        <v>2638</v>
      </c>
      <c r="AD14" s="8" t="s">
        <v>4033</v>
      </c>
      <c r="AE14" s="8" t="s">
        <v>4083</v>
      </c>
      <c r="AF14" s="9">
        <f t="shared" si="0"/>
        <v>85.151999999999987</v>
      </c>
      <c r="AG14" s="9">
        <f t="shared" si="1"/>
        <v>58.399999999999991</v>
      </c>
      <c r="AH14" s="9">
        <f t="shared" si="2"/>
        <v>1.2127337038908539</v>
      </c>
      <c r="AI14" s="9">
        <f t="shared" si="3"/>
        <v>1.4707230365528292</v>
      </c>
      <c r="AJ14" s="9">
        <f t="shared" si="4"/>
        <v>3.036302124042241</v>
      </c>
      <c r="AK14" s="9">
        <f t="shared" si="5"/>
        <v>9.2191305884634236</v>
      </c>
      <c r="AL14" s="9">
        <f t="shared" si="6"/>
        <v>3.517453556362375</v>
      </c>
      <c r="AM14" s="9">
        <f t="shared" si="7"/>
        <v>12.372479521166319</v>
      </c>
      <c r="AN14" s="9" t="s">
        <v>2638</v>
      </c>
    </row>
    <row r="15" spans="8:40" ht="23">
      <c r="M15" s="9" t="s">
        <v>2162</v>
      </c>
      <c r="N15" s="8" t="s">
        <v>150</v>
      </c>
      <c r="O15" s="8"/>
      <c r="P15" s="8" t="s">
        <v>3692</v>
      </c>
      <c r="Q15" s="8"/>
      <c r="R15" s="8"/>
      <c r="S15" s="8"/>
      <c r="T15" s="8"/>
      <c r="U15" s="8"/>
      <c r="V15" s="8"/>
      <c r="W15" s="9" t="s">
        <v>2162</v>
      </c>
      <c r="X15" s="8">
        <v>9.82</v>
      </c>
      <c r="Y15" s="8">
        <v>4.67</v>
      </c>
      <c r="Z15" s="9">
        <v>2.29</v>
      </c>
      <c r="AA15" s="8">
        <v>8.9</v>
      </c>
      <c r="AB15" s="8">
        <v>15089</v>
      </c>
      <c r="AC15" s="22" t="s">
        <v>2162</v>
      </c>
      <c r="AD15" s="8" t="s">
        <v>4033</v>
      </c>
      <c r="AE15" s="8" t="s">
        <v>4083</v>
      </c>
      <c r="AF15" s="9">
        <f t="shared" si="0"/>
        <v>41.563000000000002</v>
      </c>
      <c r="AG15" s="9">
        <f t="shared" si="1"/>
        <v>22.101666666666667</v>
      </c>
      <c r="AH15" s="9">
        <f t="shared" si="2"/>
        <v>1.1243052046488127</v>
      </c>
      <c r="AI15" s="9">
        <f t="shared" si="3"/>
        <v>1.2640621932004086</v>
      </c>
      <c r="AJ15" s="9">
        <f t="shared" si="4"/>
        <v>1.4820300777617399</v>
      </c>
      <c r="AK15" s="9">
        <f t="shared" si="5"/>
        <v>2.1964131513904688</v>
      </c>
      <c r="AL15" s="9">
        <f t="shared" si="6"/>
        <v>1.3311915414075761</v>
      </c>
      <c r="AM15" s="9">
        <f t="shared" si="7"/>
        <v>1.7720709199150784</v>
      </c>
      <c r="AN15" s="9" t="s">
        <v>2162</v>
      </c>
    </row>
    <row r="16" spans="8:40" ht="23">
      <c r="M16" s="9" t="s">
        <v>4966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9" t="s">
        <v>4966</v>
      </c>
      <c r="X16" s="8">
        <v>9.59</v>
      </c>
      <c r="Y16" s="8">
        <v>13.38</v>
      </c>
      <c r="Z16" s="9">
        <v>18.399999999999999</v>
      </c>
      <c r="AA16" s="8">
        <v>6.8</v>
      </c>
      <c r="AB16" s="8">
        <v>9160</v>
      </c>
      <c r="AC16" s="22" t="s">
        <v>4966</v>
      </c>
      <c r="AD16" s="8" t="s">
        <v>4033</v>
      </c>
      <c r="AE16" s="8" t="s">
        <v>4083</v>
      </c>
      <c r="AF16" s="9">
        <f t="shared" si="0"/>
        <v>90.984000000000009</v>
      </c>
      <c r="AG16" s="9">
        <f t="shared" si="1"/>
        <v>122.44533333333334</v>
      </c>
      <c r="AH16" s="9">
        <f t="shared" si="2"/>
        <v>0.85901970692268836</v>
      </c>
      <c r="AI16" s="9">
        <f t="shared" si="3"/>
        <v>0.73791485688154146</v>
      </c>
      <c r="AJ16" s="9">
        <f t="shared" si="4"/>
        <v>3.2442562999560707</v>
      </c>
      <c r="AK16" s="9">
        <f t="shared" si="5"/>
        <v>10.525198939804653</v>
      </c>
      <c r="AL16" s="9">
        <f t="shared" si="6"/>
        <v>7.3749276231731153</v>
      </c>
      <c r="AM16" s="9">
        <f t="shared" si="7"/>
        <v>54.389557447041859</v>
      </c>
      <c r="AN16" s="9" t="s">
        <v>4966</v>
      </c>
    </row>
    <row r="17" spans="13:40" ht="23">
      <c r="M17" s="9" t="s">
        <v>3397</v>
      </c>
      <c r="N17" s="8" t="s">
        <v>1990</v>
      </c>
      <c r="O17" s="8"/>
      <c r="P17" s="8"/>
      <c r="Q17" s="8"/>
      <c r="R17" s="8"/>
      <c r="S17" s="8"/>
      <c r="T17" s="8"/>
      <c r="U17" s="8"/>
      <c r="V17" s="8"/>
      <c r="W17" s="9" t="s">
        <v>3397</v>
      </c>
      <c r="X17" s="8">
        <v>31.38</v>
      </c>
      <c r="Y17" s="8">
        <v>1.75</v>
      </c>
      <c r="Z17" s="9">
        <v>0.28000000000000003</v>
      </c>
      <c r="AA17" s="8">
        <v>6.2</v>
      </c>
      <c r="AB17" s="8">
        <v>35613</v>
      </c>
      <c r="AC17" s="22" t="s">
        <v>3397</v>
      </c>
      <c r="AD17" s="8" t="s">
        <v>4033</v>
      </c>
      <c r="AE17" s="8" t="s">
        <v>4083</v>
      </c>
      <c r="AF17" s="9">
        <f t="shared" si="0"/>
        <v>10.85</v>
      </c>
      <c r="AG17" s="9">
        <f t="shared" si="1"/>
        <v>2.8933333333333335</v>
      </c>
      <c r="AH17" s="9">
        <f t="shared" si="2"/>
        <v>0.78322385042951004</v>
      </c>
      <c r="AI17" s="9">
        <f t="shared" si="3"/>
        <v>0.61343959988162755</v>
      </c>
      <c r="AJ17" s="9">
        <f t="shared" si="4"/>
        <v>0.38688319764489754</v>
      </c>
      <c r="AK17" s="9">
        <f t="shared" si="5"/>
        <v>0.14967860861994084</v>
      </c>
      <c r="AL17" s="9">
        <f t="shared" si="6"/>
        <v>0.17426653464169764</v>
      </c>
      <c r="AM17" s="9">
        <f t="shared" si="7"/>
        <v>3.0368825096026005E-2</v>
      </c>
      <c r="AN17" s="9" t="s">
        <v>3397</v>
      </c>
    </row>
    <row r="18" spans="13:40" ht="23">
      <c r="M18" s="8" t="s">
        <v>2104</v>
      </c>
      <c r="N18" s="8" t="s">
        <v>2100</v>
      </c>
      <c r="O18" s="8"/>
      <c r="P18" s="8"/>
      <c r="Q18" s="8"/>
      <c r="R18" s="8"/>
      <c r="S18" s="8"/>
      <c r="T18" s="8"/>
      <c r="U18" s="8"/>
      <c r="V18" s="8"/>
      <c r="W18" s="8" t="s">
        <v>2104</v>
      </c>
      <c r="X18" s="8">
        <v>14.31</v>
      </c>
      <c r="Y18" s="8">
        <v>1.77</v>
      </c>
      <c r="Z18" s="9">
        <v>0.38</v>
      </c>
      <c r="AA18" s="8">
        <v>6.1</v>
      </c>
      <c r="AB18" s="8">
        <v>41817</v>
      </c>
      <c r="AC18" s="21" t="s">
        <v>2104</v>
      </c>
      <c r="AD18" s="8" t="s">
        <v>4033</v>
      </c>
      <c r="AE18" s="8" t="s">
        <v>4083</v>
      </c>
      <c r="AF18" s="9">
        <f t="shared" si="0"/>
        <v>10.796999999999999</v>
      </c>
      <c r="AG18" s="9">
        <f t="shared" si="1"/>
        <v>3.8633333333333328</v>
      </c>
      <c r="AH18" s="9">
        <f t="shared" si="2"/>
        <v>0.77059120768064682</v>
      </c>
      <c r="AI18" s="9">
        <f t="shared" si="3"/>
        <v>0.59381080935471775</v>
      </c>
      <c r="AJ18" s="9">
        <f t="shared" si="4"/>
        <v>0.38499335345363672</v>
      </c>
      <c r="AK18" s="9">
        <f t="shared" si="5"/>
        <v>0.14821988220347684</v>
      </c>
      <c r="AL18" s="9">
        <f t="shared" si="6"/>
        <v>0.23268999268401788</v>
      </c>
      <c r="AM18" s="9">
        <f t="shared" si="7"/>
        <v>5.4144632695288297E-2</v>
      </c>
      <c r="AN18" s="8" t="s">
        <v>2104</v>
      </c>
    </row>
    <row r="19" spans="13:40" ht="23">
      <c r="M19" s="9" t="s">
        <v>2753</v>
      </c>
      <c r="N19" s="8" t="s">
        <v>1614</v>
      </c>
      <c r="O19" s="8"/>
      <c r="P19" s="8"/>
      <c r="Q19" s="8"/>
      <c r="R19" s="8"/>
      <c r="S19" s="8"/>
      <c r="T19" s="8"/>
      <c r="U19" s="8"/>
      <c r="V19" s="8"/>
      <c r="W19" s="9" t="s">
        <v>2753</v>
      </c>
      <c r="X19" s="8">
        <v>93.23</v>
      </c>
      <c r="Y19" s="8">
        <v>1.0900000000000001</v>
      </c>
      <c r="Z19" s="9">
        <v>0.03</v>
      </c>
      <c r="AA19" s="8">
        <v>5.4</v>
      </c>
      <c r="AB19" s="8">
        <v>133628</v>
      </c>
      <c r="AC19" s="22" t="s">
        <v>2753</v>
      </c>
      <c r="AD19" s="8" t="s">
        <v>4033</v>
      </c>
      <c r="AE19" s="8" t="s">
        <v>4083</v>
      </c>
      <c r="AF19" s="9">
        <f t="shared" si="0"/>
        <v>5.886000000000001</v>
      </c>
      <c r="AG19" s="9">
        <f t="shared" si="1"/>
        <v>0.27</v>
      </c>
      <c r="AH19" s="9">
        <f t="shared" si="2"/>
        <v>0.68216270843860549</v>
      </c>
      <c r="AI19" s="9">
        <f t="shared" si="3"/>
        <v>0.46534596078429391</v>
      </c>
      <c r="AJ19" s="9">
        <f t="shared" si="4"/>
        <v>0.20987967754266063</v>
      </c>
      <c r="AK19" s="9">
        <f t="shared" si="5"/>
        <v>4.4049479045411205E-2</v>
      </c>
      <c r="AL19" s="9">
        <f t="shared" si="6"/>
        <v>1.6262199661264409E-2</v>
      </c>
      <c r="AM19" s="9">
        <f t="shared" si="7"/>
        <v>2.6445913782282827E-4</v>
      </c>
      <c r="AN19" s="9" t="s">
        <v>2753</v>
      </c>
    </row>
    <row r="20" spans="13:40" ht="23">
      <c r="M20" s="8" t="s">
        <v>1323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1323</v>
      </c>
      <c r="X20" s="8">
        <v>25.49</v>
      </c>
      <c r="Y20" s="8">
        <v>3.31</v>
      </c>
      <c r="Z20" s="9">
        <v>2.12</v>
      </c>
      <c r="AA20" s="8">
        <v>4.2</v>
      </c>
      <c r="AB20" s="8">
        <v>23080</v>
      </c>
      <c r="AC20" s="21" t="s">
        <v>1323</v>
      </c>
      <c r="AD20" s="8" t="s">
        <v>4033</v>
      </c>
      <c r="AE20" s="8" t="s">
        <v>4083</v>
      </c>
      <c r="AF20" s="9">
        <f t="shared" si="0"/>
        <v>13.902000000000001</v>
      </c>
      <c r="AG20" s="9">
        <f t="shared" si="1"/>
        <v>9.240000000000002</v>
      </c>
      <c r="AH20" s="9">
        <f t="shared" si="2"/>
        <v>0.53057099545224862</v>
      </c>
      <c r="AI20" s="9">
        <f t="shared" si="3"/>
        <v>0.28150558121519004</v>
      </c>
      <c r="AJ20" s="9">
        <f t="shared" si="4"/>
        <v>0.4957096971114624</v>
      </c>
      <c r="AK20" s="9">
        <f t="shared" si="5"/>
        <v>0.2457281038103378</v>
      </c>
      <c r="AL20" s="9">
        <f t="shared" si="6"/>
        <v>0.55652861062993764</v>
      </c>
      <c r="AM20" s="9">
        <f t="shared" si="7"/>
        <v>0.30972409444968874</v>
      </c>
      <c r="AN20" s="8" t="s">
        <v>1323</v>
      </c>
    </row>
    <row r="21" spans="13:40" ht="23">
      <c r="M21" s="8" t="s">
        <v>60</v>
      </c>
      <c r="N21" s="8" t="s">
        <v>24</v>
      </c>
      <c r="O21" s="8"/>
      <c r="P21" s="8"/>
      <c r="Q21" s="8"/>
      <c r="R21" s="8"/>
      <c r="S21" s="8"/>
      <c r="T21" s="8"/>
      <c r="U21" s="8"/>
      <c r="V21" s="8"/>
      <c r="W21" s="8" t="s">
        <v>60</v>
      </c>
      <c r="X21" s="8">
        <v>56.22</v>
      </c>
      <c r="Y21" s="8">
        <v>1.77</v>
      </c>
      <c r="Z21" s="9">
        <v>0.49</v>
      </c>
      <c r="AA21" s="8">
        <v>3.5</v>
      </c>
      <c r="AB21" s="8">
        <v>40889</v>
      </c>
      <c r="AC21" s="21" t="s">
        <v>60</v>
      </c>
      <c r="AD21" s="8" t="s">
        <v>4033</v>
      </c>
      <c r="AE21" s="8" t="s">
        <v>4083</v>
      </c>
      <c r="AF21" s="9">
        <f t="shared" si="0"/>
        <v>6.1950000000000003</v>
      </c>
      <c r="AG21" s="9">
        <f t="shared" si="1"/>
        <v>2.8583333333333334</v>
      </c>
      <c r="AH21" s="9">
        <f t="shared" si="2"/>
        <v>0.44214249621020729</v>
      </c>
      <c r="AI21" s="9">
        <f t="shared" si="3"/>
        <v>0.19548998695499317</v>
      </c>
      <c r="AJ21" s="9">
        <f t="shared" si="4"/>
        <v>0.22089782575208669</v>
      </c>
      <c r="AK21" s="9">
        <f t="shared" si="5"/>
        <v>4.8795849421999257E-2</v>
      </c>
      <c r="AL21" s="9">
        <f t="shared" si="6"/>
        <v>0.17215847172264484</v>
      </c>
      <c r="AM21" s="9">
        <f t="shared" si="7"/>
        <v>2.9638539385876704E-2</v>
      </c>
      <c r="AN21" s="8" t="s">
        <v>60</v>
      </c>
    </row>
    <row r="22" spans="13:40" ht="23">
      <c r="M22" s="9" t="s">
        <v>2368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9" t="s">
        <v>2368</v>
      </c>
      <c r="X22" s="8">
        <v>33.94</v>
      </c>
      <c r="Y22" s="8">
        <v>1.69</v>
      </c>
      <c r="Z22" s="9">
        <v>0.38</v>
      </c>
      <c r="AA22" s="8">
        <v>2.7</v>
      </c>
      <c r="AB22" s="8">
        <v>50580</v>
      </c>
      <c r="AC22" s="22" t="s">
        <v>2368</v>
      </c>
      <c r="AD22" s="8" t="s">
        <v>4033</v>
      </c>
      <c r="AE22" s="8" t="s">
        <v>4083</v>
      </c>
      <c r="AF22" s="9">
        <f t="shared" si="0"/>
        <v>4.5629999999999997</v>
      </c>
      <c r="AG22" s="9">
        <f t="shared" si="1"/>
        <v>1.71</v>
      </c>
      <c r="AH22" s="9">
        <f t="shared" si="2"/>
        <v>0.34108135421930275</v>
      </c>
      <c r="AI22" s="9">
        <f t="shared" si="3"/>
        <v>0.11633649019607348</v>
      </c>
      <c r="AJ22" s="9">
        <f t="shared" si="4"/>
        <v>0.16270488763628271</v>
      </c>
      <c r="AK22" s="9">
        <f t="shared" si="5"/>
        <v>2.6472880460735385E-2</v>
      </c>
      <c r="AL22" s="9">
        <f t="shared" si="6"/>
        <v>0.10299393118800791</v>
      </c>
      <c r="AM22" s="9">
        <f t="shared" si="7"/>
        <v>1.0607749861560109E-2</v>
      </c>
      <c r="AN22" s="9" t="s">
        <v>2368</v>
      </c>
    </row>
    <row r="23" spans="13:40" ht="23">
      <c r="M23" s="8" t="s">
        <v>1929</v>
      </c>
      <c r="N23" s="8" t="s">
        <v>1902</v>
      </c>
      <c r="O23" s="8"/>
      <c r="P23" s="8"/>
      <c r="Q23" s="8"/>
      <c r="R23" s="8"/>
      <c r="S23" s="8"/>
      <c r="T23" s="8"/>
      <c r="U23" s="8"/>
      <c r="V23" s="8"/>
      <c r="W23" s="8" t="s">
        <v>1929</v>
      </c>
      <c r="X23" s="8">
        <v>38.81</v>
      </c>
      <c r="Y23" s="8">
        <v>2.5</v>
      </c>
      <c r="Z23" s="9">
        <v>1.41</v>
      </c>
      <c r="AA23" s="8">
        <v>2.5</v>
      </c>
      <c r="AB23" s="8">
        <v>39998</v>
      </c>
      <c r="AC23" s="21" t="s">
        <v>1929</v>
      </c>
      <c r="AD23" s="8" t="s">
        <v>4033</v>
      </c>
      <c r="AE23" s="8" t="s">
        <v>4083</v>
      </c>
      <c r="AF23" s="9">
        <f t="shared" si="0"/>
        <v>6.25</v>
      </c>
      <c r="AG23" s="9">
        <f t="shared" si="1"/>
        <v>4.208333333333333</v>
      </c>
      <c r="AH23" s="9">
        <f t="shared" si="2"/>
        <v>0.31581606872157658</v>
      </c>
      <c r="AI23" s="9">
        <f t="shared" si="3"/>
        <v>9.973978926275158E-2</v>
      </c>
      <c r="AJ23" s="9">
        <f t="shared" si="4"/>
        <v>0.2228589848184894</v>
      </c>
      <c r="AK23" s="9">
        <f t="shared" si="5"/>
        <v>4.9666127114327691E-2</v>
      </c>
      <c r="AL23" s="9">
        <f t="shared" si="6"/>
        <v>0.25346947002896686</v>
      </c>
      <c r="AM23" s="9">
        <f t="shared" si="7"/>
        <v>6.4246772236765323E-2</v>
      </c>
      <c r="AN23" s="8" t="s">
        <v>1929</v>
      </c>
    </row>
    <row r="24" spans="13:40" ht="23">
      <c r="M24" s="8" t="s">
        <v>5272</v>
      </c>
      <c r="N24" s="8"/>
      <c r="O24" s="8"/>
      <c r="P24" s="8"/>
      <c r="Q24" s="8"/>
      <c r="R24" s="8"/>
      <c r="S24" s="8"/>
      <c r="T24" s="8"/>
      <c r="U24" s="8"/>
      <c r="V24" s="8"/>
      <c r="W24" s="8" t="s">
        <v>5272</v>
      </c>
      <c r="X24" s="8">
        <v>33.89</v>
      </c>
      <c r="Y24" s="8">
        <v>2.84</v>
      </c>
      <c r="Z24" s="9">
        <v>1.45</v>
      </c>
      <c r="AA24" s="8">
        <v>2.4</v>
      </c>
      <c r="AB24" s="8">
        <v>39044</v>
      </c>
      <c r="AC24" s="21" t="s">
        <v>5272</v>
      </c>
      <c r="AD24" s="8" t="s">
        <v>4033</v>
      </c>
      <c r="AE24" s="8" t="s">
        <v>4083</v>
      </c>
      <c r="AF24" s="9">
        <f t="shared" si="0"/>
        <v>6.8159999999999998</v>
      </c>
      <c r="AG24" s="9">
        <f t="shared" si="1"/>
        <v>4.2</v>
      </c>
      <c r="AH24" s="9">
        <f t="shared" si="2"/>
        <v>0.30318342597271347</v>
      </c>
      <c r="AI24" s="9">
        <f t="shared" si="3"/>
        <v>9.1920189784551826E-2</v>
      </c>
      <c r="AJ24" s="9">
        <f t="shared" si="4"/>
        <v>0.24304109448365177</v>
      </c>
      <c r="AK24" s="9">
        <f t="shared" si="5"/>
        <v>5.9068973607811347E-2</v>
      </c>
      <c r="AL24" s="9">
        <f t="shared" si="6"/>
        <v>0.25296755028633527</v>
      </c>
      <c r="AM24" s="9">
        <f t="shared" si="7"/>
        <v>6.3992581497869572E-2</v>
      </c>
      <c r="AN24" s="8" t="s">
        <v>5272</v>
      </c>
    </row>
    <row r="25" spans="13:40" ht="23">
      <c r="M25" s="9" t="s">
        <v>2545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9" t="s">
        <v>2545</v>
      </c>
      <c r="X25" s="8">
        <v>71.45</v>
      </c>
      <c r="Y25" s="8">
        <v>2.19</v>
      </c>
      <c r="Z25" s="9">
        <v>0.46</v>
      </c>
      <c r="AA25" s="8">
        <v>2.4</v>
      </c>
      <c r="AB25" s="8">
        <v>50044</v>
      </c>
      <c r="AC25" s="22" t="s">
        <v>2545</v>
      </c>
      <c r="AD25" s="8" t="s">
        <v>4033</v>
      </c>
      <c r="AE25" s="8" t="s">
        <v>4083</v>
      </c>
      <c r="AF25" s="9">
        <f t="shared" si="0"/>
        <v>5.2559999999999993</v>
      </c>
      <c r="AG25" s="9">
        <f t="shared" si="1"/>
        <v>1.84</v>
      </c>
      <c r="AH25" s="9">
        <f t="shared" si="2"/>
        <v>0.30318342597271347</v>
      </c>
      <c r="AI25" s="9">
        <f t="shared" si="3"/>
        <v>9.1920189784551826E-2</v>
      </c>
      <c r="AJ25" s="9">
        <f t="shared" si="4"/>
        <v>0.18741549187295681</v>
      </c>
      <c r="AK25" s="9">
        <f t="shared" si="5"/>
        <v>3.5124566593982338E-2</v>
      </c>
      <c r="AL25" s="9">
        <f t="shared" si="6"/>
        <v>0.11082387917306118</v>
      </c>
      <c r="AM25" s="9">
        <f t="shared" si="7"/>
        <v>1.2281932194965263E-2</v>
      </c>
      <c r="AN25" s="9" t="s">
        <v>2545</v>
      </c>
    </row>
    <row r="26" spans="13:40" ht="23">
      <c r="M26" s="9" t="s">
        <v>2863</v>
      </c>
      <c r="N26" s="8" t="s">
        <v>1717</v>
      </c>
      <c r="O26" s="8"/>
      <c r="P26" s="8"/>
      <c r="Q26" s="8"/>
      <c r="R26" s="8"/>
      <c r="S26" s="8"/>
      <c r="T26" s="8"/>
      <c r="U26" s="8"/>
      <c r="V26" s="8"/>
      <c r="W26" s="9" t="s">
        <v>2863</v>
      </c>
      <c r="X26" s="8">
        <v>24.34</v>
      </c>
      <c r="Y26" s="8">
        <v>1.69</v>
      </c>
      <c r="Z26" s="9">
        <v>0.25</v>
      </c>
      <c r="AA26" s="8">
        <v>2.2999999999999998</v>
      </c>
      <c r="AB26" s="8">
        <v>71361</v>
      </c>
      <c r="AC26" s="22" t="s">
        <v>2863</v>
      </c>
      <c r="AD26" s="8" t="s">
        <v>4033</v>
      </c>
      <c r="AE26" s="8" t="s">
        <v>4083</v>
      </c>
      <c r="AF26" s="9">
        <f t="shared" si="0"/>
        <v>3.8869999999999996</v>
      </c>
      <c r="AG26" s="9">
        <f t="shared" si="1"/>
        <v>0.95833333333333326</v>
      </c>
      <c r="AH26" s="9">
        <f t="shared" si="2"/>
        <v>0.29055078322385047</v>
      </c>
      <c r="AI26" s="9">
        <f t="shared" si="3"/>
        <v>8.4419757631992956E-2</v>
      </c>
      <c r="AJ26" s="9">
        <f t="shared" si="4"/>
        <v>0.1386004598383149</v>
      </c>
      <c r="AK26" s="9">
        <f t="shared" si="5"/>
        <v>1.9210087467392341E-2</v>
      </c>
      <c r="AL26" s="9">
        <f t="shared" si="6"/>
        <v>5.7720770402636012E-2</v>
      </c>
      <c r="AM26" s="9">
        <f t="shared" si="7"/>
        <v>3.3316873358738217E-3</v>
      </c>
      <c r="AN26" s="9" t="s">
        <v>2863</v>
      </c>
    </row>
    <row r="27" spans="13:40" ht="23">
      <c r="M27" s="29" t="s">
        <v>5276</v>
      </c>
      <c r="N27" s="8"/>
      <c r="O27" s="8"/>
      <c r="P27" s="8"/>
      <c r="Q27" s="8"/>
      <c r="R27" s="8"/>
      <c r="S27" s="8"/>
      <c r="T27" s="8"/>
      <c r="U27" s="8"/>
      <c r="V27" s="8"/>
      <c r="W27" s="29" t="s">
        <v>5276</v>
      </c>
      <c r="X27" s="8">
        <v>34.03</v>
      </c>
      <c r="Y27" s="8">
        <v>5.67</v>
      </c>
      <c r="Z27" s="9">
        <v>2.4900000000000002</v>
      </c>
      <c r="AA27" s="8">
        <v>1.3</v>
      </c>
      <c r="AB27" s="8">
        <v>49269</v>
      </c>
      <c r="AC27" s="38" t="s">
        <v>5276</v>
      </c>
      <c r="AD27" s="8" t="s">
        <v>4033</v>
      </c>
      <c r="AE27" s="8" t="s">
        <v>4083</v>
      </c>
      <c r="AF27" s="9">
        <f t="shared" si="0"/>
        <v>7.3710000000000004</v>
      </c>
      <c r="AG27" s="9">
        <f t="shared" si="1"/>
        <v>3.6616666666666666</v>
      </c>
      <c r="AH27" s="9">
        <f t="shared" si="2"/>
        <v>0.16422435573521982</v>
      </c>
      <c r="AI27" s="9">
        <f t="shared" si="3"/>
        <v>2.6969639016648027E-2</v>
      </c>
      <c r="AJ27" s="9">
        <f t="shared" si="4"/>
        <v>0.26283097233553365</v>
      </c>
      <c r="AK27" s="9">
        <f t="shared" si="5"/>
        <v>6.9080120018842062E-2</v>
      </c>
      <c r="AL27" s="9">
        <f t="shared" si="6"/>
        <v>0.22054353491233275</v>
      </c>
      <c r="AM27" s="9">
        <f t="shared" si="7"/>
        <v>4.8639450791627334E-2</v>
      </c>
      <c r="AN27" s="29" t="s">
        <v>5276</v>
      </c>
    </row>
    <row r="28" spans="13:40" ht="23">
      <c r="M28" s="9" t="s">
        <v>3218</v>
      </c>
      <c r="N28" s="8" t="s">
        <v>1902</v>
      </c>
      <c r="O28" s="8"/>
      <c r="P28" s="8"/>
      <c r="Q28" s="8"/>
      <c r="R28" s="8"/>
      <c r="S28" s="8"/>
      <c r="T28" s="8"/>
      <c r="U28" s="8"/>
      <c r="V28" s="8"/>
      <c r="W28" s="9" t="s">
        <v>3218</v>
      </c>
      <c r="X28" s="8">
        <v>24.83</v>
      </c>
      <c r="Y28" s="8">
        <v>2.57</v>
      </c>
      <c r="Z28" s="9">
        <v>2.2200000000000002</v>
      </c>
      <c r="AA28" s="8">
        <v>1.3</v>
      </c>
      <c r="AB28" s="8">
        <v>65657</v>
      </c>
      <c r="AC28" s="22" t="s">
        <v>3218</v>
      </c>
      <c r="AD28" s="8" t="s">
        <v>4033</v>
      </c>
      <c r="AE28" s="8" t="s">
        <v>4083</v>
      </c>
      <c r="AF28" s="9">
        <f t="shared" si="0"/>
        <v>3.3409999999999997</v>
      </c>
      <c r="AG28" s="9">
        <f t="shared" si="1"/>
        <v>3.0766666666666667</v>
      </c>
      <c r="AH28" s="9">
        <f t="shared" si="2"/>
        <v>0.16422435573521982</v>
      </c>
      <c r="AI28" s="9">
        <f t="shared" si="3"/>
        <v>2.6969639016648027E-2</v>
      </c>
      <c r="AJ28" s="9">
        <f t="shared" si="4"/>
        <v>0.11913149892457167</v>
      </c>
      <c r="AK28" s="9">
        <f t="shared" si="5"/>
        <v>1.4192314036015221E-2</v>
      </c>
      <c r="AL28" s="9">
        <f t="shared" si="6"/>
        <v>0.1853087689795932</v>
      </c>
      <c r="AM28" s="9">
        <f t="shared" si="7"/>
        <v>3.4339339860732239E-2</v>
      </c>
      <c r="AN28" s="9" t="s">
        <v>3218</v>
      </c>
    </row>
    <row r="29" spans="13:40" ht="23"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9"/>
      <c r="AA29" s="8">
        <f>SUBTOTAL(109,Table13648[ترافیک کل])</f>
        <v>791.59999999999991</v>
      </c>
      <c r="AB29" s="8"/>
      <c r="AC29" s="21"/>
      <c r="AD29" s="8"/>
      <c r="AE29" s="8"/>
      <c r="AF29" s="9">
        <f>SUBTOTAL(109,Table13648[[مجموع صفحات  مشاهده شده   ]])</f>
        <v>2804.4639999999999</v>
      </c>
      <c r="AG29" s="9">
        <f>SUBTOTAL(109,Table13648[[مجموع زمان حضور در سایت ]])</f>
        <v>1660.2919999999995</v>
      </c>
      <c r="AH29" s="9">
        <f>SUBTOTAL(109,Table13648[سهم سایت از کل ترافیک طبقه بندی])</f>
        <v>99.999999999999986</v>
      </c>
      <c r="AI29" s="9">
        <f>SUBTOTAL(109,Table13648[شاخص هرفیندال هیرشمن (ترافیک)])</f>
        <v>1387.9019880549718</v>
      </c>
      <c r="AJ29" s="9">
        <f>SUBTOTAL(109,Table13648[سهم سایت از کل صفحات مشاهده شده در طبقه بندی])</f>
        <v>100.00000000000001</v>
      </c>
      <c r="AK29" s="9">
        <f>SUBTOTAL(109,Table13648[شاخص هرفیندال -هیرشمن (صفحات مشاهده شده )])</f>
        <v>1553.8519020669107</v>
      </c>
      <c r="AL29" s="9">
        <f>SUBTOTAL(109,Table13648[سهم سایت از کل زمان حضور در طبقه بندی])</f>
        <v>100</v>
      </c>
      <c r="AM29" s="9">
        <f>SUBTOTAL(109,Table13648[شاخص هرفیندال هیرشمن (زمان حضور)])</f>
        <v>1629.9152769353516</v>
      </c>
      <c r="AN29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{8FEFC9A6-0D8E-4AB1-9E02-8F078BBDDE99}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{21E719D0-FA59-491C-8467-7CB3953CB8D3}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{3421750A-8930-4D7D-8FA7-E535DA251D0D}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{15690E60-1C20-44A1-B1FF-20EBF1E0CB76}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{2F121B4F-2247-4AC7-BCB6-DE7AFBA76BBF}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{FEAEA1C9-9BA5-49E2-8A09-AD6879F841B2}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EFC9A6-0D8E-4AB1-9E02-8F078BBDDE9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1E719D0-FA59-491C-8467-7CB3953CB8D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421750A-8930-4D7D-8FA7-E535DA251D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5690E60-1C20-44A1-B1FF-20EBF1E0CB7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F121B4F-2247-4AC7-BCB6-DE7AFBA76BB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FEAEA1C9-9BA5-49E2-8A09-AD6879F841B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3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.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3442</v>
      </c>
      <c r="N2" s="8" t="s">
        <v>2003</v>
      </c>
      <c r="O2" s="8"/>
      <c r="P2" s="8" t="s">
        <v>3693</v>
      </c>
      <c r="Q2" s="8"/>
      <c r="R2" s="8"/>
      <c r="S2" s="8"/>
      <c r="T2" s="8"/>
      <c r="U2" s="8"/>
      <c r="V2" s="8"/>
      <c r="W2" s="9" t="s">
        <v>3442</v>
      </c>
      <c r="X2" s="8">
        <v>24.97</v>
      </c>
      <c r="Y2" s="8">
        <v>3.46</v>
      </c>
      <c r="Z2" s="9">
        <v>4.01</v>
      </c>
      <c r="AA2" s="8">
        <v>200</v>
      </c>
      <c r="AB2" s="8">
        <v>3825</v>
      </c>
      <c r="AC2" s="22" t="s">
        <v>3442</v>
      </c>
      <c r="AD2" s="8" t="s">
        <v>5357</v>
      </c>
      <c r="AE2" s="8" t="s">
        <v>4083</v>
      </c>
      <c r="AF2" s="9">
        <f t="shared" ref="AF2:AF32" si="0">(AA2*Y2)</f>
        <v>692</v>
      </c>
      <c r="AG2" s="9">
        <f t="shared" ref="AG2:AG32" si="1">((((RIGHT(Z2,2))/60)+(LEFT(Z2,2)))*AA2)</f>
        <v>803.33333333333337</v>
      </c>
      <c r="AH2" s="9">
        <f t="shared" ref="AH2:AH32" si="2">(AA2/$AA$33)*100</f>
        <v>22.598870056497177</v>
      </c>
      <c r="AI2" s="9">
        <f t="shared" ref="AI2:AI32" si="3">(AH2*AH2)</f>
        <v>510.70892783044468</v>
      </c>
      <c r="AJ2" s="9">
        <f t="shared" ref="AJ2:AJ32" si="4">(AF2/$AF$33)*100</f>
        <v>28.581412004358253</v>
      </c>
      <c r="AK2" s="9">
        <f t="shared" ref="AK2:AK32" si="5">(AJ2*AJ2)</f>
        <v>816.89711216287401</v>
      </c>
      <c r="AL2" s="9">
        <f t="shared" ref="AL2:AL32" si="6">(AG2/$AG$33)*100</f>
        <v>44.319157516722214</v>
      </c>
      <c r="AM2" s="9">
        <f t="shared" ref="AM2:AM32" si="7">(AL2*AL2)</f>
        <v>1964.1877229920351</v>
      </c>
      <c r="AN2" s="9" t="s">
        <v>3442</v>
      </c>
    </row>
    <row r="3" spans="8:40" ht="23">
      <c r="M3" s="8" t="s">
        <v>1953</v>
      </c>
      <c r="N3" s="8" t="s">
        <v>1939</v>
      </c>
      <c r="O3" s="8"/>
      <c r="P3" s="8" t="s">
        <v>4226</v>
      </c>
      <c r="Q3" s="8"/>
      <c r="R3" s="8"/>
      <c r="S3" s="8"/>
      <c r="T3" s="8"/>
      <c r="U3" s="8"/>
      <c r="V3" s="8"/>
      <c r="W3" s="8" t="s">
        <v>1953</v>
      </c>
      <c r="X3" s="8">
        <v>26.73</v>
      </c>
      <c r="Y3" s="8">
        <v>2.93</v>
      </c>
      <c r="Z3" s="9">
        <v>2.35</v>
      </c>
      <c r="AA3" s="8">
        <v>124.2</v>
      </c>
      <c r="AB3" s="8">
        <v>3108</v>
      </c>
      <c r="AC3" s="21" t="s">
        <v>1953</v>
      </c>
      <c r="AD3" s="8" t="s">
        <v>5357</v>
      </c>
      <c r="AE3" s="8" t="s">
        <v>4083</v>
      </c>
      <c r="AF3" s="9">
        <f t="shared" si="0"/>
        <v>363.90600000000001</v>
      </c>
      <c r="AG3" s="9">
        <f t="shared" si="1"/>
        <v>320.85000000000002</v>
      </c>
      <c r="AH3" s="9">
        <f t="shared" si="2"/>
        <v>14.033898305084747</v>
      </c>
      <c r="AI3" s="9">
        <f t="shared" si="3"/>
        <v>196.95030163746054</v>
      </c>
      <c r="AJ3" s="9">
        <f t="shared" si="4"/>
        <v>15.030270689101147</v>
      </c>
      <c r="AK3" s="9">
        <f t="shared" si="5"/>
        <v>225.90903698765308</v>
      </c>
      <c r="AL3" s="9">
        <f t="shared" si="6"/>
        <v>17.700997953411189</v>
      </c>
      <c r="AM3" s="9">
        <f t="shared" si="7"/>
        <v>313.32532854666709</v>
      </c>
      <c r="AN3" s="8" t="s">
        <v>1953</v>
      </c>
    </row>
    <row r="4" spans="8:40" ht="23">
      <c r="M4" s="8" t="s">
        <v>5072</v>
      </c>
      <c r="N4" s="8" t="s">
        <v>1902</v>
      </c>
      <c r="O4" s="8"/>
      <c r="P4" s="8"/>
      <c r="Q4" s="8"/>
      <c r="R4" s="8"/>
      <c r="S4" s="8"/>
      <c r="T4" s="8"/>
      <c r="U4" s="8"/>
      <c r="V4" s="8"/>
      <c r="W4" s="21" t="s">
        <v>5072</v>
      </c>
      <c r="X4" s="8">
        <v>35.75</v>
      </c>
      <c r="Y4" s="8">
        <v>1.1499999999999999</v>
      </c>
      <c r="Z4" s="9">
        <v>0.16</v>
      </c>
      <c r="AA4" s="8">
        <v>60</v>
      </c>
      <c r="AB4" s="8">
        <v>25144</v>
      </c>
      <c r="AC4" s="21" t="s">
        <v>5072</v>
      </c>
      <c r="AD4" s="8" t="s">
        <v>5357</v>
      </c>
      <c r="AE4" s="8" t="s">
        <v>4083</v>
      </c>
      <c r="AF4" s="9">
        <f t="shared" si="0"/>
        <v>69</v>
      </c>
      <c r="AG4" s="9">
        <f t="shared" si="1"/>
        <v>16</v>
      </c>
      <c r="AH4" s="9">
        <f t="shared" si="2"/>
        <v>6.7796610169491522</v>
      </c>
      <c r="AI4" s="9">
        <f t="shared" si="3"/>
        <v>45.963803504740014</v>
      </c>
      <c r="AJ4" s="9">
        <f t="shared" si="4"/>
        <v>2.8498806767351437</v>
      </c>
      <c r="AK4" s="9">
        <f t="shared" si="5"/>
        <v>8.1218198716283609</v>
      </c>
      <c r="AL4" s="9">
        <f t="shared" si="6"/>
        <v>0.88270521195131368</v>
      </c>
      <c r="AM4" s="9">
        <f t="shared" si="7"/>
        <v>0.77916849120601361</v>
      </c>
      <c r="AN4" s="21" t="s">
        <v>5072</v>
      </c>
    </row>
    <row r="5" spans="8:40" ht="23">
      <c r="M5" s="9" t="s">
        <v>3314</v>
      </c>
      <c r="N5" s="8" t="s">
        <v>1939</v>
      </c>
      <c r="O5" s="8"/>
      <c r="P5" s="8"/>
      <c r="Q5" s="8"/>
      <c r="R5" s="8"/>
      <c r="S5" s="8"/>
      <c r="T5" s="8"/>
      <c r="U5" s="8"/>
      <c r="V5" s="8"/>
      <c r="W5" s="9" t="s">
        <v>3314</v>
      </c>
      <c r="X5" s="8">
        <v>12.92</v>
      </c>
      <c r="Y5" s="8">
        <v>2.29</v>
      </c>
      <c r="Z5" s="9">
        <v>0.56000000000000005</v>
      </c>
      <c r="AA5" s="8">
        <v>59.9</v>
      </c>
      <c r="AB5" s="8">
        <v>8505</v>
      </c>
      <c r="AC5" s="22" t="s">
        <v>3314</v>
      </c>
      <c r="AD5" s="8" t="s">
        <v>5357</v>
      </c>
      <c r="AE5" s="8" t="s">
        <v>4083</v>
      </c>
      <c r="AF5" s="9">
        <f t="shared" si="0"/>
        <v>137.17099999999999</v>
      </c>
      <c r="AG5" s="9">
        <f t="shared" si="1"/>
        <v>55.906666666666666</v>
      </c>
      <c r="AH5" s="9">
        <f t="shared" si="2"/>
        <v>6.768361581920904</v>
      </c>
      <c r="AI5" s="9">
        <f t="shared" si="3"/>
        <v>45.810718503622844</v>
      </c>
      <c r="AJ5" s="9">
        <f t="shared" si="4"/>
        <v>5.6655214827309619</v>
      </c>
      <c r="AK5" s="9">
        <f t="shared" si="5"/>
        <v>32.098133671286035</v>
      </c>
      <c r="AL5" s="9">
        <f t="shared" si="6"/>
        <v>3.0843191280932154</v>
      </c>
      <c r="AM5" s="9">
        <f t="shared" si="7"/>
        <v>9.5130244839216918</v>
      </c>
      <c r="AN5" s="9" t="s">
        <v>3314</v>
      </c>
    </row>
    <row r="6" spans="8:40" ht="23">
      <c r="M6" s="9" t="s">
        <v>3310</v>
      </c>
      <c r="N6" s="8" t="s">
        <v>1939</v>
      </c>
      <c r="O6" s="8"/>
      <c r="P6" s="8"/>
      <c r="Q6" s="8"/>
      <c r="R6" s="8"/>
      <c r="S6" s="8"/>
      <c r="T6" s="8"/>
      <c r="U6" s="8"/>
      <c r="V6" s="8"/>
      <c r="W6" s="9" t="s">
        <v>3310</v>
      </c>
      <c r="X6" s="8">
        <v>4.26</v>
      </c>
      <c r="Y6" s="8">
        <v>1.43</v>
      </c>
      <c r="Z6" s="9">
        <v>0.34</v>
      </c>
      <c r="AA6" s="8">
        <v>56.3</v>
      </c>
      <c r="AB6" s="8">
        <v>17887</v>
      </c>
      <c r="AC6" s="22" t="s">
        <v>3310</v>
      </c>
      <c r="AD6" s="8" t="s">
        <v>5357</v>
      </c>
      <c r="AE6" s="8" t="s">
        <v>4083</v>
      </c>
      <c r="AF6" s="9">
        <f t="shared" si="0"/>
        <v>80.508999999999986</v>
      </c>
      <c r="AG6" s="9">
        <f t="shared" si="1"/>
        <v>31.903333333333332</v>
      </c>
      <c r="AH6" s="9">
        <f t="shared" si="2"/>
        <v>6.3615819209039541</v>
      </c>
      <c r="AI6" s="9">
        <f t="shared" si="3"/>
        <v>40.469724536372041</v>
      </c>
      <c r="AJ6" s="9">
        <f t="shared" si="4"/>
        <v>3.3252325130908646</v>
      </c>
      <c r="AK6" s="9">
        <f t="shared" si="5"/>
        <v>11.057171266116587</v>
      </c>
      <c r="AL6" s="9">
        <f t="shared" si="6"/>
        <v>1.760077413247088</v>
      </c>
      <c r="AM6" s="9">
        <f t="shared" si="7"/>
        <v>3.0978725006225605</v>
      </c>
      <c r="AN6" s="9" t="s">
        <v>3310</v>
      </c>
    </row>
    <row r="7" spans="8:40" ht="23">
      <c r="M7" s="8" t="s">
        <v>84</v>
      </c>
      <c r="N7" s="8" t="s">
        <v>90</v>
      </c>
      <c r="O7" s="8"/>
      <c r="P7" s="8"/>
      <c r="Q7" s="8"/>
      <c r="R7" s="8"/>
      <c r="S7" s="8"/>
      <c r="T7" s="8"/>
      <c r="U7" s="8"/>
      <c r="V7" s="8"/>
      <c r="W7" s="8" t="s">
        <v>84</v>
      </c>
      <c r="X7" s="8">
        <v>2.66</v>
      </c>
      <c r="Y7" s="8">
        <v>3.13</v>
      </c>
      <c r="Z7" s="9">
        <v>0.42</v>
      </c>
      <c r="AA7" s="8">
        <v>52.9</v>
      </c>
      <c r="AB7" s="8">
        <v>22360</v>
      </c>
      <c r="AC7" s="21" t="s">
        <v>84</v>
      </c>
      <c r="AD7" s="8" t="s">
        <v>5357</v>
      </c>
      <c r="AE7" s="8" t="s">
        <v>4083</v>
      </c>
      <c r="AF7" s="9">
        <f t="shared" si="0"/>
        <v>165.577</v>
      </c>
      <c r="AG7" s="9">
        <f t="shared" si="1"/>
        <v>37.029999999999994</v>
      </c>
      <c r="AH7" s="9">
        <f t="shared" si="2"/>
        <v>5.9774011299435026</v>
      </c>
      <c r="AI7" s="9">
        <f t="shared" si="3"/>
        <v>35.729324268249862</v>
      </c>
      <c r="AJ7" s="9">
        <f t="shared" si="4"/>
        <v>6.8387636639387672</v>
      </c>
      <c r="AK7" s="9">
        <f t="shared" si="5"/>
        <v>46.768688451209194</v>
      </c>
      <c r="AL7" s="9">
        <f t="shared" si="6"/>
        <v>2.0429108749098215</v>
      </c>
      <c r="AM7" s="9">
        <f t="shared" si="7"/>
        <v>4.1734848428248119</v>
      </c>
      <c r="AN7" s="8" t="s">
        <v>84</v>
      </c>
    </row>
    <row r="8" spans="8:40" ht="23">
      <c r="M8" s="9" t="s">
        <v>2566</v>
      </c>
      <c r="N8" s="8" t="s">
        <v>150</v>
      </c>
      <c r="O8" s="8"/>
      <c r="P8" s="8" t="s">
        <v>3692</v>
      </c>
      <c r="Q8" s="8"/>
      <c r="R8" s="8"/>
      <c r="S8" s="8"/>
      <c r="T8" s="8"/>
      <c r="U8" s="8"/>
      <c r="V8" s="8"/>
      <c r="W8" s="9" t="s">
        <v>2566</v>
      </c>
      <c r="X8" s="8">
        <v>29.22</v>
      </c>
      <c r="Y8" s="8">
        <v>2.15</v>
      </c>
      <c r="Z8" s="9">
        <v>1.08</v>
      </c>
      <c r="AA8" s="8">
        <v>43.3</v>
      </c>
      <c r="AB8" s="8">
        <v>14495</v>
      </c>
      <c r="AC8" s="22" t="s">
        <v>2566</v>
      </c>
      <c r="AD8" s="8" t="s">
        <v>5357</v>
      </c>
      <c r="AE8" s="8" t="s">
        <v>4083</v>
      </c>
      <c r="AF8" s="9">
        <f t="shared" si="0"/>
        <v>93.094999999999985</v>
      </c>
      <c r="AG8" s="9">
        <f t="shared" si="1"/>
        <v>49.073333333333331</v>
      </c>
      <c r="AH8" s="9">
        <f t="shared" si="2"/>
        <v>4.8926553672316384</v>
      </c>
      <c r="AI8" s="9">
        <f t="shared" si="3"/>
        <v>23.938076542500557</v>
      </c>
      <c r="AJ8" s="9">
        <f t="shared" si="4"/>
        <v>3.8450672695747561</v>
      </c>
      <c r="AK8" s="9">
        <f t="shared" si="5"/>
        <v>14.784542307555069</v>
      </c>
      <c r="AL8" s="9">
        <f t="shared" si="6"/>
        <v>2.7073304438223413</v>
      </c>
      <c r="AM8" s="9">
        <f t="shared" si="7"/>
        <v>7.3296381320472754</v>
      </c>
      <c r="AN8" s="9" t="s">
        <v>2566</v>
      </c>
    </row>
    <row r="9" spans="8:40" ht="23">
      <c r="M9" s="8" t="s">
        <v>1289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1289</v>
      </c>
      <c r="X9" s="8">
        <v>9.3000000000000007</v>
      </c>
      <c r="Y9" s="8">
        <v>1.5</v>
      </c>
      <c r="Z9" s="9">
        <v>0.15</v>
      </c>
      <c r="AA9" s="8">
        <v>41.2</v>
      </c>
      <c r="AB9" s="8">
        <v>26889</v>
      </c>
      <c r="AC9" s="21" t="s">
        <v>1289</v>
      </c>
      <c r="AD9" s="8" t="s">
        <v>5357</v>
      </c>
      <c r="AE9" s="8" t="s">
        <v>4083</v>
      </c>
      <c r="AF9" s="9">
        <f t="shared" si="0"/>
        <v>61.800000000000004</v>
      </c>
      <c r="AG9" s="9">
        <f t="shared" si="1"/>
        <v>10.3</v>
      </c>
      <c r="AH9" s="9">
        <f t="shared" si="2"/>
        <v>4.6553672316384187</v>
      </c>
      <c r="AI9" s="9">
        <f t="shared" si="3"/>
        <v>21.672444061412754</v>
      </c>
      <c r="AJ9" s="9">
        <f t="shared" si="4"/>
        <v>2.5525018235106072</v>
      </c>
      <c r="AK9" s="9">
        <f t="shared" si="5"/>
        <v>6.5152655590249751</v>
      </c>
      <c r="AL9" s="9">
        <f t="shared" si="6"/>
        <v>0.56824148019365828</v>
      </c>
      <c r="AM9" s="9">
        <f t="shared" si="7"/>
        <v>0.32289837981267971</v>
      </c>
      <c r="AN9" s="8" t="s">
        <v>1289</v>
      </c>
    </row>
    <row r="10" spans="8:40" ht="23">
      <c r="M10" s="8" t="s">
        <v>1970</v>
      </c>
      <c r="N10" s="8" t="s">
        <v>1964</v>
      </c>
      <c r="O10" s="8"/>
      <c r="P10" s="8"/>
      <c r="Q10" s="8"/>
      <c r="R10" s="8"/>
      <c r="S10" s="8"/>
      <c r="T10" s="8"/>
      <c r="U10" s="8"/>
      <c r="V10" s="8"/>
      <c r="W10" s="8" t="s">
        <v>1970</v>
      </c>
      <c r="X10" s="8">
        <v>22.99</v>
      </c>
      <c r="Y10" s="8">
        <v>1.63</v>
      </c>
      <c r="Z10" s="9">
        <v>0.14000000000000001</v>
      </c>
      <c r="AA10" s="8">
        <v>39.9</v>
      </c>
      <c r="AB10" s="8">
        <v>22305</v>
      </c>
      <c r="AC10" s="21" t="s">
        <v>1970</v>
      </c>
      <c r="AD10" s="8" t="s">
        <v>5357</v>
      </c>
      <c r="AE10" s="8" t="s">
        <v>4083</v>
      </c>
      <c r="AF10" s="9">
        <f t="shared" si="0"/>
        <v>65.036999999999992</v>
      </c>
      <c r="AG10" s="9">
        <f t="shared" si="1"/>
        <v>9.31</v>
      </c>
      <c r="AH10" s="9">
        <f t="shared" si="2"/>
        <v>4.508474576271186</v>
      </c>
      <c r="AI10" s="9">
        <f t="shared" si="3"/>
        <v>20.32634300488365</v>
      </c>
      <c r="AJ10" s="9">
        <f t="shared" si="4"/>
        <v>2.6861983996061376</v>
      </c>
      <c r="AK10" s="9">
        <f t="shared" si="5"/>
        <v>7.2156618420465746</v>
      </c>
      <c r="AL10" s="9">
        <f t="shared" si="6"/>
        <v>0.51362409520417074</v>
      </c>
      <c r="AM10" s="9">
        <f t="shared" si="7"/>
        <v>0.26380971117430307</v>
      </c>
      <c r="AN10" s="8" t="s">
        <v>1970</v>
      </c>
    </row>
    <row r="11" spans="8:40" ht="23">
      <c r="M11" s="9" t="s">
        <v>5308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9" t="s">
        <v>5308</v>
      </c>
      <c r="X11" s="8">
        <v>16.510000000000002</v>
      </c>
      <c r="Y11" s="8">
        <v>2.33</v>
      </c>
      <c r="Z11" s="9">
        <v>0.43</v>
      </c>
      <c r="AA11" s="8">
        <v>34.200000000000003</v>
      </c>
      <c r="AB11" s="8">
        <v>20431</v>
      </c>
      <c r="AC11" s="22" t="s">
        <v>5308</v>
      </c>
      <c r="AD11" s="8" t="s">
        <v>5357</v>
      </c>
      <c r="AE11" s="8" t="s">
        <v>4083</v>
      </c>
      <c r="AF11" s="9">
        <f t="shared" si="0"/>
        <v>79.686000000000007</v>
      </c>
      <c r="AG11" s="9">
        <f t="shared" si="1"/>
        <v>24.51</v>
      </c>
      <c r="AH11" s="9">
        <f t="shared" si="2"/>
        <v>3.8644067796610173</v>
      </c>
      <c r="AI11" s="9">
        <f t="shared" si="3"/>
        <v>14.933639758690035</v>
      </c>
      <c r="AJ11" s="9">
        <f t="shared" si="4"/>
        <v>3.29124045806256</v>
      </c>
      <c r="AK11" s="9">
        <f t="shared" si="5"/>
        <v>10.832263752787851</v>
      </c>
      <c r="AL11" s="9">
        <f t="shared" si="6"/>
        <v>1.3521940465579187</v>
      </c>
      <c r="AM11" s="9">
        <f t="shared" si="7"/>
        <v>1.8284287395466789</v>
      </c>
      <c r="AN11" s="9" t="s">
        <v>5308</v>
      </c>
    </row>
    <row r="12" spans="8:40" ht="23">
      <c r="M12" s="8" t="s">
        <v>1771</v>
      </c>
      <c r="N12" s="8" t="s">
        <v>1717</v>
      </c>
      <c r="O12" s="8"/>
      <c r="P12" s="8"/>
      <c r="Q12" s="8"/>
      <c r="R12" s="8"/>
      <c r="S12" s="8"/>
      <c r="T12" s="8"/>
      <c r="U12" s="8"/>
      <c r="V12" s="8"/>
      <c r="W12" s="8" t="s">
        <v>1771</v>
      </c>
      <c r="X12" s="8">
        <v>56.46</v>
      </c>
      <c r="Y12" s="8">
        <v>1.26</v>
      </c>
      <c r="Z12" s="9">
        <v>0.15</v>
      </c>
      <c r="AA12" s="8">
        <v>32.700000000000003</v>
      </c>
      <c r="AB12" s="8">
        <v>20903</v>
      </c>
      <c r="AC12" s="21" t="s">
        <v>1771</v>
      </c>
      <c r="AD12" s="8" t="s">
        <v>5357</v>
      </c>
      <c r="AE12" s="8" t="s">
        <v>4083</v>
      </c>
      <c r="AF12" s="9">
        <f t="shared" si="0"/>
        <v>41.202000000000005</v>
      </c>
      <c r="AG12" s="9">
        <f t="shared" si="1"/>
        <v>8.1750000000000007</v>
      </c>
      <c r="AH12" s="9">
        <f t="shared" si="2"/>
        <v>3.6949152542372881</v>
      </c>
      <c r="AI12" s="9">
        <f t="shared" si="3"/>
        <v>13.652398735995403</v>
      </c>
      <c r="AJ12" s="9">
        <f t="shared" si="4"/>
        <v>1.7017504875774117</v>
      </c>
      <c r="AK12" s="9">
        <f t="shared" si="5"/>
        <v>2.8959547219699582</v>
      </c>
      <c r="AL12" s="9">
        <f t="shared" si="6"/>
        <v>0.45100719423137442</v>
      </c>
      <c r="AM12" s="9">
        <f t="shared" si="7"/>
        <v>0.2034074892484567</v>
      </c>
      <c r="AN12" s="8" t="s">
        <v>1771</v>
      </c>
    </row>
    <row r="13" spans="8:40" ht="23">
      <c r="M13" s="8" t="s">
        <v>338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338</v>
      </c>
      <c r="X13" s="8">
        <v>35.96</v>
      </c>
      <c r="Y13" s="8">
        <v>1.38</v>
      </c>
      <c r="Z13" s="9">
        <v>0.22</v>
      </c>
      <c r="AA13" s="8">
        <v>28</v>
      </c>
      <c r="AB13" s="8">
        <v>26368</v>
      </c>
      <c r="AC13" s="21" t="s">
        <v>338</v>
      </c>
      <c r="AD13" s="8" t="s">
        <v>5357</v>
      </c>
      <c r="AE13" s="8" t="s">
        <v>4083</v>
      </c>
      <c r="AF13" s="9">
        <f t="shared" si="0"/>
        <v>38.64</v>
      </c>
      <c r="AG13" s="9">
        <f t="shared" si="1"/>
        <v>10.266666666666666</v>
      </c>
      <c r="AH13" s="9">
        <f t="shared" si="2"/>
        <v>3.1638418079096042</v>
      </c>
      <c r="AI13" s="9">
        <f t="shared" si="3"/>
        <v>10.009894985476713</v>
      </c>
      <c r="AJ13" s="9">
        <f t="shared" si="4"/>
        <v>1.5959331789716806</v>
      </c>
      <c r="AK13" s="9">
        <f t="shared" si="5"/>
        <v>2.5470027117426546</v>
      </c>
      <c r="AL13" s="9">
        <f t="shared" si="6"/>
        <v>0.56640251100209293</v>
      </c>
      <c r="AM13" s="9">
        <f t="shared" si="7"/>
        <v>0.32081180446947599</v>
      </c>
      <c r="AN13" s="8" t="s">
        <v>338</v>
      </c>
    </row>
    <row r="14" spans="8:40" ht="23">
      <c r="M14" s="9" t="s">
        <v>3457</v>
      </c>
      <c r="N14" s="8" t="s">
        <v>2003</v>
      </c>
      <c r="O14" s="8"/>
      <c r="P14" s="8"/>
      <c r="Q14" s="8"/>
      <c r="R14" s="8"/>
      <c r="S14" s="8"/>
      <c r="T14" s="8"/>
      <c r="U14" s="8"/>
      <c r="V14" s="8"/>
      <c r="W14" s="9" t="s">
        <v>3457</v>
      </c>
      <c r="X14" s="8">
        <v>41.94</v>
      </c>
      <c r="Y14" s="8">
        <v>1.06</v>
      </c>
      <c r="Z14" s="9">
        <v>0.01</v>
      </c>
      <c r="AA14" s="8">
        <v>18.8</v>
      </c>
      <c r="AB14" s="8">
        <v>51614</v>
      </c>
      <c r="AC14" s="22" t="s">
        <v>3457</v>
      </c>
      <c r="AD14" s="8" t="s">
        <v>5357</v>
      </c>
      <c r="AE14" s="8" t="s">
        <v>4083</v>
      </c>
      <c r="AF14" s="9">
        <f t="shared" si="0"/>
        <v>19.928000000000001</v>
      </c>
      <c r="AG14" s="9">
        <f t="shared" si="1"/>
        <v>0.31333333333333335</v>
      </c>
      <c r="AH14" s="9">
        <f t="shared" si="2"/>
        <v>2.1242937853107344</v>
      </c>
      <c r="AI14" s="9">
        <f t="shared" si="3"/>
        <v>4.5126240863098088</v>
      </c>
      <c r="AJ14" s="9">
        <f t="shared" si="4"/>
        <v>0.82307858153591229</v>
      </c>
      <c r="AK14" s="9">
        <f t="shared" si="5"/>
        <v>0.67745835138316945</v>
      </c>
      <c r="AL14" s="9">
        <f t="shared" si="6"/>
        <v>1.7286310400713229E-2</v>
      </c>
      <c r="AM14" s="9">
        <f t="shared" si="7"/>
        <v>2.9881652726980635E-4</v>
      </c>
      <c r="AN14" s="9" t="s">
        <v>3457</v>
      </c>
    </row>
    <row r="15" spans="8:40" ht="23">
      <c r="M15" s="8" t="s">
        <v>2067</v>
      </c>
      <c r="N15" s="8" t="s">
        <v>2066</v>
      </c>
      <c r="O15" s="8"/>
      <c r="P15" s="8" t="s">
        <v>3698</v>
      </c>
      <c r="Q15" s="8"/>
      <c r="R15" s="8"/>
      <c r="S15" s="8"/>
      <c r="T15" s="8"/>
      <c r="U15" s="8"/>
      <c r="V15" s="8"/>
      <c r="W15" s="8" t="s">
        <v>2067</v>
      </c>
      <c r="X15" s="8">
        <v>26.42</v>
      </c>
      <c r="Y15" s="8">
        <v>4.9800000000000004</v>
      </c>
      <c r="Z15" s="9">
        <v>1.53</v>
      </c>
      <c r="AA15" s="8">
        <v>15.3</v>
      </c>
      <c r="AB15" s="8">
        <v>16552</v>
      </c>
      <c r="AC15" s="21" t="s">
        <v>2067</v>
      </c>
      <c r="AD15" s="8" t="s">
        <v>5357</v>
      </c>
      <c r="AE15" s="8" t="s">
        <v>4083</v>
      </c>
      <c r="AF15" s="9">
        <f t="shared" si="0"/>
        <v>76.194000000000017</v>
      </c>
      <c r="AG15" s="9">
        <f t="shared" si="1"/>
        <v>28.815000000000001</v>
      </c>
      <c r="AH15" s="9">
        <f t="shared" si="2"/>
        <v>1.728813559322034</v>
      </c>
      <c r="AI15" s="9">
        <f t="shared" si="3"/>
        <v>2.9887963228957197</v>
      </c>
      <c r="AJ15" s="9">
        <f t="shared" si="4"/>
        <v>3.1470117142486607</v>
      </c>
      <c r="AK15" s="9">
        <f t="shared" si="5"/>
        <v>9.9036827296182945</v>
      </c>
      <c r="AL15" s="9">
        <f t="shared" si="6"/>
        <v>1.5896969176485691</v>
      </c>
      <c r="AM15" s="9">
        <f t="shared" si="7"/>
        <v>2.5271362899813616</v>
      </c>
      <c r="AN15" s="8" t="s">
        <v>2067</v>
      </c>
    </row>
    <row r="16" spans="8:40" ht="23">
      <c r="M16" s="9" t="s">
        <v>2477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9" t="s">
        <v>2477</v>
      </c>
      <c r="X16" s="8">
        <v>44.81</v>
      </c>
      <c r="Y16" s="8">
        <v>1.93</v>
      </c>
      <c r="Z16" s="9">
        <v>0.57999999999999996</v>
      </c>
      <c r="AA16" s="8">
        <v>10.6</v>
      </c>
      <c r="AB16" s="8">
        <v>20596</v>
      </c>
      <c r="AC16" s="22" t="s">
        <v>2477</v>
      </c>
      <c r="AD16" s="8" t="s">
        <v>5357</v>
      </c>
      <c r="AE16" s="8" t="s">
        <v>4083</v>
      </c>
      <c r="AF16" s="9">
        <f t="shared" si="0"/>
        <v>20.457999999999998</v>
      </c>
      <c r="AG16" s="9">
        <f t="shared" si="1"/>
        <v>10.246666666666666</v>
      </c>
      <c r="AH16" s="9">
        <f t="shared" si="2"/>
        <v>1.1977401129943503</v>
      </c>
      <c r="AI16" s="9">
        <f t="shared" si="3"/>
        <v>1.4345813782757191</v>
      </c>
      <c r="AJ16" s="9">
        <f t="shared" si="4"/>
        <v>0.84496896934271837</v>
      </c>
      <c r="AK16" s="9">
        <f t="shared" si="5"/>
        <v>0.71397255915209579</v>
      </c>
      <c r="AL16" s="9">
        <f t="shared" si="6"/>
        <v>0.56529912948715377</v>
      </c>
      <c r="AM16" s="9">
        <f t="shared" si="7"/>
        <v>0.31956310579893382</v>
      </c>
      <c r="AN16" s="9" t="s">
        <v>2477</v>
      </c>
    </row>
    <row r="17" spans="13:40" ht="23">
      <c r="M17" s="8" t="s">
        <v>1233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1233</v>
      </c>
      <c r="X17" s="8">
        <v>19.91</v>
      </c>
      <c r="Y17" s="8">
        <v>17.27</v>
      </c>
      <c r="Z17" s="9">
        <v>18.059999999999999</v>
      </c>
      <c r="AA17" s="8">
        <v>9.5</v>
      </c>
      <c r="AB17" s="8"/>
      <c r="AC17" s="21" t="s">
        <v>1233</v>
      </c>
      <c r="AD17" s="8" t="s">
        <v>5357</v>
      </c>
      <c r="AE17" s="8" t="s">
        <v>4083</v>
      </c>
      <c r="AF17" s="9">
        <f t="shared" si="0"/>
        <v>164.065</v>
      </c>
      <c r="AG17" s="9">
        <f t="shared" si="1"/>
        <v>171.95000000000002</v>
      </c>
      <c r="AH17" s="9">
        <f t="shared" si="2"/>
        <v>1.0734463276836157</v>
      </c>
      <c r="AI17" s="9">
        <f t="shared" si="3"/>
        <v>1.1522870184174405</v>
      </c>
      <c r="AJ17" s="9">
        <f t="shared" si="4"/>
        <v>6.7763141047616129</v>
      </c>
      <c r="AK17" s="9">
        <f t="shared" si="5"/>
        <v>45.918432846391177</v>
      </c>
      <c r="AL17" s="9">
        <f t="shared" si="6"/>
        <v>9.4863225746892752</v>
      </c>
      <c r="AM17" s="9">
        <f t="shared" si="7"/>
        <v>89.990315991059362</v>
      </c>
      <c r="AN17" s="8" t="s">
        <v>1233</v>
      </c>
    </row>
    <row r="18" spans="13:40" ht="23">
      <c r="M18" s="8" t="s">
        <v>910</v>
      </c>
      <c r="N18" s="8" t="s">
        <v>150</v>
      </c>
      <c r="O18" s="8"/>
      <c r="P18" s="8" t="s">
        <v>3693</v>
      </c>
      <c r="Q18" s="8" t="s">
        <v>4225</v>
      </c>
      <c r="R18" s="8"/>
      <c r="S18" s="8"/>
      <c r="T18" s="8"/>
      <c r="U18" s="8"/>
      <c r="V18" s="8"/>
      <c r="W18" s="8" t="s">
        <v>910</v>
      </c>
      <c r="X18" s="8">
        <v>17.62</v>
      </c>
      <c r="Y18" s="8">
        <v>5.95</v>
      </c>
      <c r="Z18" s="9">
        <v>8.48</v>
      </c>
      <c r="AA18" s="8">
        <v>9.5</v>
      </c>
      <c r="AB18" s="8"/>
      <c r="AC18" s="21" t="s">
        <v>910</v>
      </c>
      <c r="AD18" s="8" t="s">
        <v>5357</v>
      </c>
      <c r="AE18" s="8" t="s">
        <v>4083</v>
      </c>
      <c r="AF18" s="9">
        <f t="shared" si="0"/>
        <v>56.524999999999999</v>
      </c>
      <c r="AG18" s="9">
        <f t="shared" si="1"/>
        <v>83.600000000000009</v>
      </c>
      <c r="AH18" s="9">
        <f t="shared" si="2"/>
        <v>1.0734463276836157</v>
      </c>
      <c r="AI18" s="9">
        <f t="shared" si="3"/>
        <v>1.1522870184174405</v>
      </c>
      <c r="AJ18" s="9">
        <f t="shared" si="4"/>
        <v>2.3346305109051304</v>
      </c>
      <c r="AK18" s="9">
        <f t="shared" si="5"/>
        <v>5.4504996224491506</v>
      </c>
      <c r="AL18" s="9">
        <f t="shared" si="6"/>
        <v>4.6121347324456146</v>
      </c>
      <c r="AM18" s="9">
        <f t="shared" si="7"/>
        <v>21.271786790231182</v>
      </c>
      <c r="AN18" s="8" t="s">
        <v>910</v>
      </c>
    </row>
    <row r="19" spans="13:40" ht="23">
      <c r="M19" s="8" t="s">
        <v>1864</v>
      </c>
      <c r="N19" s="8" t="s">
        <v>1862</v>
      </c>
      <c r="O19" s="8"/>
      <c r="P19" s="8"/>
      <c r="Q19" s="8"/>
      <c r="R19" s="8"/>
      <c r="S19" s="8"/>
      <c r="T19" s="8"/>
      <c r="U19" s="8"/>
      <c r="V19" s="8"/>
      <c r="W19" s="8" t="s">
        <v>1864</v>
      </c>
      <c r="X19" s="8">
        <v>7.38</v>
      </c>
      <c r="Y19" s="8">
        <v>1.62</v>
      </c>
      <c r="Z19" s="9">
        <v>0.15</v>
      </c>
      <c r="AA19" s="8">
        <v>9.1</v>
      </c>
      <c r="AB19" s="8">
        <v>75975</v>
      </c>
      <c r="AC19" s="21" t="s">
        <v>1864</v>
      </c>
      <c r="AD19" s="8" t="s">
        <v>5357</v>
      </c>
      <c r="AE19" s="8" t="s">
        <v>4083</v>
      </c>
      <c r="AF19" s="9">
        <f t="shared" si="0"/>
        <v>14.742000000000001</v>
      </c>
      <c r="AG19" s="9">
        <f t="shared" si="1"/>
        <v>2.2749999999999999</v>
      </c>
      <c r="AH19" s="9">
        <f t="shared" si="2"/>
        <v>1.0282485875706215</v>
      </c>
      <c r="AI19" s="9">
        <f t="shared" si="3"/>
        <v>1.0572951578409782</v>
      </c>
      <c r="AJ19" s="9">
        <f t="shared" si="4"/>
        <v>0.608883201977239</v>
      </c>
      <c r="AK19" s="9">
        <f t="shared" si="5"/>
        <v>0.37073875365005521</v>
      </c>
      <c r="AL19" s="9">
        <f t="shared" si="6"/>
        <v>0.12550964732432743</v>
      </c>
      <c r="AM19" s="9">
        <f t="shared" si="7"/>
        <v>1.5752671571477053E-2</v>
      </c>
      <c r="AN19" s="8" t="s">
        <v>1864</v>
      </c>
    </row>
    <row r="20" spans="13:40" ht="23">
      <c r="M20" s="9" t="s">
        <v>3226</v>
      </c>
      <c r="N20" s="8" t="s">
        <v>1902</v>
      </c>
      <c r="O20" s="8"/>
      <c r="P20" s="8"/>
      <c r="Q20" s="8"/>
      <c r="R20" s="8"/>
      <c r="S20" s="8"/>
      <c r="T20" s="8"/>
      <c r="U20" s="8"/>
      <c r="V20" s="8"/>
      <c r="W20" s="9" t="s">
        <v>4407</v>
      </c>
      <c r="X20" s="8">
        <v>40.799999999999997</v>
      </c>
      <c r="Y20" s="8">
        <v>6.07</v>
      </c>
      <c r="Z20" s="9">
        <v>5.18</v>
      </c>
      <c r="AA20" s="8">
        <v>5.5</v>
      </c>
      <c r="AB20" s="8">
        <v>18005</v>
      </c>
      <c r="AC20" s="22" t="s">
        <v>4407</v>
      </c>
      <c r="AD20" s="8" t="s">
        <v>5357</v>
      </c>
      <c r="AE20" s="8" t="s">
        <v>4083</v>
      </c>
      <c r="AF20" s="9">
        <f t="shared" si="0"/>
        <v>33.385000000000005</v>
      </c>
      <c r="AG20" s="9">
        <f t="shared" si="1"/>
        <v>29.15</v>
      </c>
      <c r="AH20" s="9">
        <f t="shared" si="2"/>
        <v>0.62146892655367236</v>
      </c>
      <c r="AI20" s="9">
        <f t="shared" si="3"/>
        <v>0.38622362667177379</v>
      </c>
      <c r="AJ20" s="9">
        <f t="shared" si="4"/>
        <v>1.3788879187362724</v>
      </c>
      <c r="AK20" s="9">
        <f t="shared" si="5"/>
        <v>1.901331892436849</v>
      </c>
      <c r="AL20" s="9">
        <f t="shared" si="6"/>
        <v>1.6081785580237997</v>
      </c>
      <c r="AM20" s="9">
        <f t="shared" si="7"/>
        <v>2.5862382744875076</v>
      </c>
      <c r="AN20" s="9" t="s">
        <v>4407</v>
      </c>
    </row>
    <row r="21" spans="13:40" ht="23">
      <c r="M21" s="9" t="s">
        <v>3261</v>
      </c>
      <c r="N21" s="8" t="s">
        <v>1902</v>
      </c>
      <c r="O21" s="8"/>
      <c r="P21" s="8"/>
      <c r="Q21" s="8"/>
      <c r="R21" s="8"/>
      <c r="S21" s="8"/>
      <c r="T21" s="8"/>
      <c r="U21" s="8"/>
      <c r="V21" s="8"/>
      <c r="W21" s="9" t="s">
        <v>3261</v>
      </c>
      <c r="X21" s="8">
        <v>17.37</v>
      </c>
      <c r="Y21" s="8">
        <v>3.3</v>
      </c>
      <c r="Z21" s="9">
        <v>2.2799999999999998</v>
      </c>
      <c r="AA21" s="8">
        <v>5.5</v>
      </c>
      <c r="AB21" s="8">
        <v>22237</v>
      </c>
      <c r="AC21" s="22" t="s">
        <v>3261</v>
      </c>
      <c r="AD21" s="8" t="s">
        <v>5357</v>
      </c>
      <c r="AE21" s="8" t="s">
        <v>4083</v>
      </c>
      <c r="AF21" s="9">
        <f t="shared" si="0"/>
        <v>18.149999999999999</v>
      </c>
      <c r="AG21" s="9">
        <f t="shared" si="1"/>
        <v>13.566666666666666</v>
      </c>
      <c r="AH21" s="9">
        <f t="shared" si="2"/>
        <v>0.62146892655367236</v>
      </c>
      <c r="AI21" s="9">
        <f t="shared" si="3"/>
        <v>0.38622362667177379</v>
      </c>
      <c r="AJ21" s="9">
        <f t="shared" si="4"/>
        <v>0.74964252583685298</v>
      </c>
      <c r="AK21" s="9">
        <f t="shared" si="5"/>
        <v>0.56196391654305677</v>
      </c>
      <c r="AL21" s="9">
        <f t="shared" si="6"/>
        <v>0.74846046096705143</v>
      </c>
      <c r="AM21" s="9">
        <f t="shared" si="7"/>
        <v>0.56019306163101112</v>
      </c>
      <c r="AN21" s="9" t="s">
        <v>3261</v>
      </c>
    </row>
    <row r="22" spans="13:40" ht="23">
      <c r="M22" s="8" t="s">
        <v>1946</v>
      </c>
      <c r="N22" s="8" t="s">
        <v>1939</v>
      </c>
      <c r="O22" s="8"/>
      <c r="P22" s="8" t="s">
        <v>3691</v>
      </c>
      <c r="Q22" s="8"/>
      <c r="R22" s="8"/>
      <c r="S22" s="8"/>
      <c r="T22" s="8"/>
      <c r="U22" s="8"/>
      <c r="V22" s="8"/>
      <c r="W22" s="8" t="s">
        <v>1946</v>
      </c>
      <c r="X22" s="8">
        <v>34.47</v>
      </c>
      <c r="Y22" s="8">
        <v>4.1100000000000003</v>
      </c>
      <c r="Z22" s="9">
        <v>2.54</v>
      </c>
      <c r="AA22" s="8">
        <v>5.0999999999999996</v>
      </c>
      <c r="AB22" s="8">
        <v>18559</v>
      </c>
      <c r="AC22" s="21" t="s">
        <v>1946</v>
      </c>
      <c r="AD22" s="8" t="s">
        <v>5357</v>
      </c>
      <c r="AE22" s="8" t="s">
        <v>4083</v>
      </c>
      <c r="AF22" s="9">
        <f t="shared" si="0"/>
        <v>20.960999999999999</v>
      </c>
      <c r="AG22" s="9">
        <f t="shared" si="1"/>
        <v>14.79</v>
      </c>
      <c r="AH22" s="9">
        <f t="shared" si="2"/>
        <v>0.57627118644067787</v>
      </c>
      <c r="AI22" s="9">
        <f t="shared" si="3"/>
        <v>0.33208848032174654</v>
      </c>
      <c r="AJ22" s="9">
        <f t="shared" si="4"/>
        <v>0.86574418644993245</v>
      </c>
      <c r="AK22" s="9">
        <f t="shared" si="5"/>
        <v>0.74951299637185542</v>
      </c>
      <c r="AL22" s="9">
        <f t="shared" si="6"/>
        <v>0.81595063029749559</v>
      </c>
      <c r="AM22" s="9">
        <f t="shared" si="7"/>
        <v>0.66577543108288029</v>
      </c>
      <c r="AN22" s="8" t="s">
        <v>1946</v>
      </c>
    </row>
    <row r="23" spans="13:40" ht="23">
      <c r="M23" s="8" t="s">
        <v>980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980</v>
      </c>
      <c r="X23" s="8">
        <v>52.46</v>
      </c>
      <c r="Y23" s="8">
        <v>3.66</v>
      </c>
      <c r="Z23" s="9">
        <v>2.23</v>
      </c>
      <c r="AA23" s="8">
        <v>4.3</v>
      </c>
      <c r="AB23" s="8">
        <v>27436</v>
      </c>
      <c r="AC23" s="21" t="s">
        <v>980</v>
      </c>
      <c r="AD23" s="8" t="s">
        <v>5357</v>
      </c>
      <c r="AE23" s="8" t="s">
        <v>4083</v>
      </c>
      <c r="AF23" s="9">
        <f t="shared" si="0"/>
        <v>15.738</v>
      </c>
      <c r="AG23" s="9">
        <f t="shared" si="1"/>
        <v>10.248333333333333</v>
      </c>
      <c r="AH23" s="9">
        <f t="shared" si="2"/>
        <v>0.48587570621468928</v>
      </c>
      <c r="AI23" s="9">
        <f t="shared" si="3"/>
        <v>0.23607520188962305</v>
      </c>
      <c r="AJ23" s="9">
        <f t="shared" si="4"/>
        <v>0.65002061000663314</v>
      </c>
      <c r="AK23" s="9">
        <f t="shared" si="5"/>
        <v>0.42252679343339544</v>
      </c>
      <c r="AL23" s="9">
        <f t="shared" si="6"/>
        <v>0.56539107794673216</v>
      </c>
      <c r="AM23" s="9">
        <f t="shared" si="7"/>
        <v>0.31966707102176778</v>
      </c>
      <c r="AN23" s="8" t="s">
        <v>980</v>
      </c>
    </row>
    <row r="24" spans="13:40" ht="23">
      <c r="M24" s="8" t="s">
        <v>897</v>
      </c>
      <c r="N24" s="8" t="s">
        <v>150</v>
      </c>
      <c r="O24" s="8"/>
      <c r="P24" s="8" t="s">
        <v>3692</v>
      </c>
      <c r="Q24" s="8"/>
      <c r="R24" s="8"/>
      <c r="S24" s="8"/>
      <c r="T24" s="8"/>
      <c r="U24" s="8"/>
      <c r="V24" s="8"/>
      <c r="W24" s="8" t="s">
        <v>897</v>
      </c>
      <c r="X24" s="8">
        <v>17.37</v>
      </c>
      <c r="Y24" s="8">
        <v>5.9</v>
      </c>
      <c r="Z24" s="9">
        <v>6.26</v>
      </c>
      <c r="AA24" s="8">
        <v>4.2</v>
      </c>
      <c r="AB24" s="8">
        <v>19661</v>
      </c>
      <c r="AC24" s="21" t="s">
        <v>897</v>
      </c>
      <c r="AD24" s="8" t="s">
        <v>5357</v>
      </c>
      <c r="AE24" s="8" t="s">
        <v>4083</v>
      </c>
      <c r="AF24" s="9">
        <f t="shared" si="0"/>
        <v>24.78</v>
      </c>
      <c r="AG24" s="9">
        <f t="shared" si="1"/>
        <v>27.020000000000003</v>
      </c>
      <c r="AH24" s="9">
        <f t="shared" si="2"/>
        <v>0.47457627118644063</v>
      </c>
      <c r="AI24" s="9">
        <f t="shared" si="3"/>
        <v>0.22522263717322605</v>
      </c>
      <c r="AJ24" s="9">
        <f t="shared" si="4"/>
        <v>1.0234788865144473</v>
      </c>
      <c r="AK24" s="9">
        <f t="shared" si="5"/>
        <v>1.0475090311408528</v>
      </c>
      <c r="AL24" s="9">
        <f t="shared" si="6"/>
        <v>1.4906684266827814</v>
      </c>
      <c r="AM24" s="9">
        <f t="shared" si="7"/>
        <v>2.2220923583089189</v>
      </c>
      <c r="AN24" s="8" t="s">
        <v>897</v>
      </c>
    </row>
    <row r="25" spans="13:40" ht="23">
      <c r="M25" s="9" t="s">
        <v>2486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9" t="s">
        <v>2486</v>
      </c>
      <c r="X25" s="8">
        <v>51.99</v>
      </c>
      <c r="Y25" s="8">
        <v>3.27</v>
      </c>
      <c r="Z25" s="9">
        <v>3.44</v>
      </c>
      <c r="AA25" s="8">
        <v>3.5</v>
      </c>
      <c r="AB25" s="8">
        <v>27192</v>
      </c>
      <c r="AC25" s="22" t="s">
        <v>2486</v>
      </c>
      <c r="AD25" s="8" t="s">
        <v>5357</v>
      </c>
      <c r="AE25" s="8" t="s">
        <v>4083</v>
      </c>
      <c r="AF25" s="9">
        <f t="shared" si="0"/>
        <v>11.445</v>
      </c>
      <c r="AG25" s="9">
        <f t="shared" si="1"/>
        <v>13.066666666666666</v>
      </c>
      <c r="AH25" s="9">
        <f t="shared" si="2"/>
        <v>0.39548022598870053</v>
      </c>
      <c r="AI25" s="9">
        <f t="shared" si="3"/>
        <v>0.15640460914807364</v>
      </c>
      <c r="AJ25" s="9">
        <f t="shared" si="4"/>
        <v>0.47270846877150319</v>
      </c>
      <c r="AK25" s="9">
        <f t="shared" si="5"/>
        <v>0.2234532964482992</v>
      </c>
      <c r="AL25" s="9">
        <f t="shared" si="6"/>
        <v>0.72087592309357285</v>
      </c>
      <c r="AM25" s="9">
        <f t="shared" si="7"/>
        <v>0.51966209649601081</v>
      </c>
      <c r="AN25" s="9" t="s">
        <v>2486</v>
      </c>
    </row>
    <row r="26" spans="13:40" ht="23">
      <c r="M26" s="8" t="s">
        <v>2048</v>
      </c>
      <c r="N26" s="8" t="s">
        <v>2041</v>
      </c>
      <c r="O26" s="8"/>
      <c r="P26" s="8"/>
      <c r="Q26" s="8"/>
      <c r="R26" s="8"/>
      <c r="S26" s="8"/>
      <c r="T26" s="8"/>
      <c r="U26" s="8"/>
      <c r="V26" s="8"/>
      <c r="W26" s="8" t="s">
        <v>2048</v>
      </c>
      <c r="X26" s="8">
        <v>55.1</v>
      </c>
      <c r="Y26" s="8">
        <v>2.88</v>
      </c>
      <c r="Z26" s="9">
        <v>0.19</v>
      </c>
      <c r="AA26" s="8">
        <v>2.2000000000000002</v>
      </c>
      <c r="AB26" s="8">
        <v>41470</v>
      </c>
      <c r="AC26" s="21" t="s">
        <v>2048</v>
      </c>
      <c r="AD26" s="8" t="s">
        <v>5357</v>
      </c>
      <c r="AE26" s="8" t="s">
        <v>4083</v>
      </c>
      <c r="AF26" s="9">
        <f t="shared" si="0"/>
        <v>6.3360000000000003</v>
      </c>
      <c r="AG26" s="9">
        <f t="shared" si="1"/>
        <v>0.69666666666666666</v>
      </c>
      <c r="AH26" s="9">
        <f t="shared" si="2"/>
        <v>0.24858757062146894</v>
      </c>
      <c r="AI26" s="9">
        <f t="shared" si="3"/>
        <v>6.1795780267483807E-2</v>
      </c>
      <c r="AJ26" s="9">
        <f t="shared" si="4"/>
        <v>0.2616933908375923</v>
      </c>
      <c r="AK26" s="9">
        <f t="shared" si="5"/>
        <v>6.8483430808076839E-2</v>
      </c>
      <c r="AL26" s="9">
        <f t="shared" si="6"/>
        <v>3.8434456103713453E-2</v>
      </c>
      <c r="AM26" s="9">
        <f t="shared" si="7"/>
        <v>1.4772074159882763E-3</v>
      </c>
      <c r="AN26" s="8" t="s">
        <v>2048</v>
      </c>
    </row>
    <row r="27" spans="13:40" ht="23">
      <c r="M27" s="8" t="s">
        <v>406</v>
      </c>
      <c r="N27" s="8" t="s">
        <v>150</v>
      </c>
      <c r="O27" s="8"/>
      <c r="P27" s="8" t="s">
        <v>3692</v>
      </c>
      <c r="Q27" s="8"/>
      <c r="R27" s="8"/>
      <c r="S27" s="8"/>
      <c r="T27" s="8"/>
      <c r="U27" s="8"/>
      <c r="V27" s="8"/>
      <c r="W27" s="8" t="s">
        <v>406</v>
      </c>
      <c r="X27" s="8">
        <v>23.45</v>
      </c>
      <c r="Y27" s="8">
        <v>12.64</v>
      </c>
      <c r="Z27" s="9">
        <v>7.08</v>
      </c>
      <c r="AA27" s="8">
        <v>1.9</v>
      </c>
      <c r="AB27" s="8">
        <v>22433</v>
      </c>
      <c r="AC27" s="21" t="s">
        <v>406</v>
      </c>
      <c r="AD27" s="8" t="s">
        <v>5357</v>
      </c>
      <c r="AE27" s="8" t="s">
        <v>4083</v>
      </c>
      <c r="AF27" s="9">
        <f t="shared" si="0"/>
        <v>24.015999999999998</v>
      </c>
      <c r="AG27" s="9">
        <f t="shared" si="1"/>
        <v>13.553333333333333</v>
      </c>
      <c r="AH27" s="9">
        <f t="shared" si="2"/>
        <v>0.21468926553672316</v>
      </c>
      <c r="AI27" s="9">
        <f t="shared" si="3"/>
        <v>4.6091480736697624E-2</v>
      </c>
      <c r="AJ27" s="9">
        <f t="shared" si="4"/>
        <v>0.99192368597784353</v>
      </c>
      <c r="AK27" s="9">
        <f t="shared" si="5"/>
        <v>0.9839125988038715</v>
      </c>
      <c r="AL27" s="9">
        <f t="shared" si="6"/>
        <v>0.74772487329042536</v>
      </c>
      <c r="AM27" s="9">
        <f t="shared" si="7"/>
        <v>0.55909248613718265</v>
      </c>
      <c r="AN27" s="8" t="s">
        <v>406</v>
      </c>
    </row>
    <row r="28" spans="13:40" ht="23">
      <c r="M28" s="9" t="s">
        <v>3225</v>
      </c>
      <c r="N28" s="8" t="s">
        <v>1902</v>
      </c>
      <c r="O28" s="8"/>
      <c r="P28" s="8"/>
      <c r="Q28" s="8"/>
      <c r="R28" s="8"/>
      <c r="S28" s="8"/>
      <c r="T28" s="8"/>
      <c r="U28" s="8"/>
      <c r="V28" s="8"/>
      <c r="W28" s="9" t="s">
        <v>3225</v>
      </c>
      <c r="X28" s="8">
        <v>32.24</v>
      </c>
      <c r="Y28" s="8">
        <v>5</v>
      </c>
      <c r="Z28" s="9">
        <v>3.1</v>
      </c>
      <c r="AA28" s="8">
        <v>1.8</v>
      </c>
      <c r="AB28" s="8">
        <v>34819</v>
      </c>
      <c r="AC28" s="22" t="s">
        <v>3225</v>
      </c>
      <c r="AD28" s="8" t="s">
        <v>5357</v>
      </c>
      <c r="AE28" s="8" t="s">
        <v>4083</v>
      </c>
      <c r="AF28" s="9">
        <f t="shared" si="0"/>
        <v>9</v>
      </c>
      <c r="AG28" s="9">
        <f t="shared" si="1"/>
        <v>5.4029999999999996</v>
      </c>
      <c r="AH28" s="9">
        <f t="shared" si="2"/>
        <v>0.20338983050847459</v>
      </c>
      <c r="AI28" s="9">
        <f t="shared" si="3"/>
        <v>4.1367423154266024E-2</v>
      </c>
      <c r="AJ28" s="9">
        <f t="shared" si="4"/>
        <v>0.3717235665306709</v>
      </c>
      <c r="AK28" s="9">
        <f t="shared" si="5"/>
        <v>0.13817840991428212</v>
      </c>
      <c r="AL28" s="9">
        <f t="shared" si="6"/>
        <v>0.29807851626080922</v>
      </c>
      <c r="AM28" s="9">
        <f t="shared" si="7"/>
        <v>8.8850801856245512E-2</v>
      </c>
      <c r="AN28" s="9" t="s">
        <v>3225</v>
      </c>
    </row>
    <row r="29" spans="13:40" ht="23">
      <c r="M29" s="9" t="s">
        <v>2484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9" t="s">
        <v>2484</v>
      </c>
      <c r="X29" s="8">
        <v>26.58</v>
      </c>
      <c r="Y29" s="8">
        <v>2.96</v>
      </c>
      <c r="Z29" s="9">
        <v>1.33</v>
      </c>
      <c r="AA29" s="8">
        <v>1.6</v>
      </c>
      <c r="AB29" s="8">
        <v>48756</v>
      </c>
      <c r="AC29" s="22" t="s">
        <v>2484</v>
      </c>
      <c r="AD29" s="8" t="s">
        <v>5357</v>
      </c>
      <c r="AE29" s="8" t="s">
        <v>4083</v>
      </c>
      <c r="AF29" s="9">
        <f t="shared" si="0"/>
        <v>4.7359999999999998</v>
      </c>
      <c r="AG29" s="9">
        <f t="shared" si="1"/>
        <v>2.4800000000000004</v>
      </c>
      <c r="AH29" s="9">
        <f t="shared" si="2"/>
        <v>0.18079096045197743</v>
      </c>
      <c r="AI29" s="9">
        <f t="shared" si="3"/>
        <v>3.2685371381148465E-2</v>
      </c>
      <c r="AJ29" s="9">
        <f t="shared" si="4"/>
        <v>0.19560920123213971</v>
      </c>
      <c r="AK29" s="9">
        <f t="shared" si="5"/>
        <v>3.8262959606675723E-2</v>
      </c>
      <c r="AL29" s="9">
        <f t="shared" si="6"/>
        <v>0.13681930785245364</v>
      </c>
      <c r="AM29" s="9">
        <f t="shared" si="7"/>
        <v>1.8719523001224481E-2</v>
      </c>
      <c r="AN29" s="9" t="s">
        <v>2484</v>
      </c>
    </row>
    <row r="30" spans="13:40" ht="23">
      <c r="M30" s="8" t="s">
        <v>1758</v>
      </c>
      <c r="N30" s="8" t="s">
        <v>1717</v>
      </c>
      <c r="O30" s="8"/>
      <c r="P30" s="8"/>
      <c r="Q30" s="8"/>
      <c r="R30" s="8"/>
      <c r="S30" s="8"/>
      <c r="T30" s="8"/>
      <c r="U30" s="8"/>
      <c r="V30" s="8"/>
      <c r="W30" s="8" t="s">
        <v>1758</v>
      </c>
      <c r="X30" s="8">
        <v>49.94</v>
      </c>
      <c r="Y30" s="8">
        <v>2.2999999999999998</v>
      </c>
      <c r="Z30" s="9">
        <v>2.31</v>
      </c>
      <c r="AA30" s="8">
        <v>1.4</v>
      </c>
      <c r="AB30" s="8">
        <v>58989</v>
      </c>
      <c r="AC30" s="21" t="s">
        <v>1758</v>
      </c>
      <c r="AD30" s="8" t="s">
        <v>5357</v>
      </c>
      <c r="AE30" s="8" t="s">
        <v>4083</v>
      </c>
      <c r="AF30" s="9">
        <f t="shared" si="0"/>
        <v>3.2199999999999998</v>
      </c>
      <c r="AG30" s="9">
        <f t="shared" si="1"/>
        <v>3.523333333333333</v>
      </c>
      <c r="AH30" s="9">
        <f t="shared" si="2"/>
        <v>0.15819209039548021</v>
      </c>
      <c r="AI30" s="9">
        <f t="shared" si="3"/>
        <v>2.5024737463691781E-2</v>
      </c>
      <c r="AJ30" s="9">
        <f t="shared" si="4"/>
        <v>0.13299443158097335</v>
      </c>
      <c r="AK30" s="9">
        <f t="shared" si="5"/>
        <v>1.7687518831546203E-2</v>
      </c>
      <c r="AL30" s="9">
        <f t="shared" si="6"/>
        <v>0.19437904354844554</v>
      </c>
      <c r="AM30" s="9">
        <f t="shared" si="7"/>
        <v>3.7783212570808487E-2</v>
      </c>
      <c r="AN30" s="8" t="s">
        <v>1758</v>
      </c>
    </row>
    <row r="31" spans="13:40" ht="23">
      <c r="M31" s="9" t="s">
        <v>3270</v>
      </c>
      <c r="N31" s="8" t="s">
        <v>1902</v>
      </c>
      <c r="O31" s="8"/>
      <c r="P31" s="8"/>
      <c r="Q31" s="8"/>
      <c r="R31" s="8"/>
      <c r="S31" s="8"/>
      <c r="T31" s="8"/>
      <c r="U31" s="8"/>
      <c r="V31" s="8"/>
      <c r="W31" s="9" t="s">
        <v>3270</v>
      </c>
      <c r="X31" s="8">
        <v>17.760000000000002</v>
      </c>
      <c r="Y31" s="8">
        <v>3.9</v>
      </c>
      <c r="Z31" s="9">
        <v>1.22</v>
      </c>
      <c r="AA31" s="8">
        <v>1.4</v>
      </c>
      <c r="AB31" s="8"/>
      <c r="AC31" s="22" t="s">
        <v>3270</v>
      </c>
      <c r="AD31" s="8" t="s">
        <v>5357</v>
      </c>
      <c r="AE31" s="8" t="s">
        <v>4083</v>
      </c>
      <c r="AF31" s="9">
        <f t="shared" si="0"/>
        <v>5.46</v>
      </c>
      <c r="AG31" s="9">
        <f t="shared" si="1"/>
        <v>1.9133333333333333</v>
      </c>
      <c r="AH31" s="9">
        <f t="shared" si="2"/>
        <v>0.15819209039548021</v>
      </c>
      <c r="AI31" s="9">
        <f t="shared" si="3"/>
        <v>2.5024737463691781E-2</v>
      </c>
      <c r="AJ31" s="9">
        <f t="shared" si="4"/>
        <v>0.22551229702860703</v>
      </c>
      <c r="AK31" s="9">
        <f t="shared" si="5"/>
        <v>5.0855796111118685E-2</v>
      </c>
      <c r="AL31" s="9">
        <f t="shared" si="6"/>
        <v>0.1055568315958446</v>
      </c>
      <c r="AM31" s="9">
        <f t="shared" si="7"/>
        <v>1.1142244696553496E-2</v>
      </c>
      <c r="AN31" s="9" t="s">
        <v>3270</v>
      </c>
    </row>
    <row r="32" spans="13:40" ht="23">
      <c r="M32" s="8" t="s">
        <v>527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527</v>
      </c>
      <c r="X32" s="8">
        <v>18.43</v>
      </c>
      <c r="Y32" s="8">
        <v>3.66</v>
      </c>
      <c r="Z32" s="9">
        <v>2.4700000000000002</v>
      </c>
      <c r="AA32" s="8">
        <v>1.2</v>
      </c>
      <c r="AB32" s="8">
        <v>70417</v>
      </c>
      <c r="AC32" s="21" t="s">
        <v>527</v>
      </c>
      <c r="AD32" s="8" t="s">
        <v>5357</v>
      </c>
      <c r="AE32" s="8" t="s">
        <v>4083</v>
      </c>
      <c r="AF32" s="9">
        <f t="shared" si="0"/>
        <v>4.3920000000000003</v>
      </c>
      <c r="AG32" s="9">
        <f t="shared" si="1"/>
        <v>3.34</v>
      </c>
      <c r="AH32" s="9">
        <f t="shared" si="2"/>
        <v>0.13559322033898305</v>
      </c>
      <c r="AI32" s="9">
        <f t="shared" si="3"/>
        <v>1.8385521401896008E-2</v>
      </c>
      <c r="AJ32" s="9">
        <f t="shared" si="4"/>
        <v>0.18140110046696742</v>
      </c>
      <c r="AK32" s="9">
        <f t="shared" si="5"/>
        <v>3.2906359250626807E-2</v>
      </c>
      <c r="AL32" s="9">
        <f t="shared" si="6"/>
        <v>0.18426471299483674</v>
      </c>
      <c r="AM32" s="9">
        <f t="shared" si="7"/>
        <v>3.3953484455069557E-2</v>
      </c>
      <c r="AN32" s="8" t="s">
        <v>527</v>
      </c>
    </row>
    <row r="33" spans="13:40" ht="18">
      <c r="M33" s="49"/>
      <c r="N33" s="48"/>
      <c r="O33" s="48"/>
      <c r="P33" s="48"/>
      <c r="Q33" s="48"/>
      <c r="R33" s="48"/>
      <c r="S33" s="48"/>
      <c r="T33" s="48"/>
      <c r="U33" s="48"/>
      <c r="V33" s="48"/>
      <c r="W33" s="49"/>
      <c r="X33" s="48"/>
      <c r="Y33" s="48"/>
      <c r="Z33" s="49"/>
      <c r="AA33" s="48">
        <f>SUBTOTAL(109,Table13632434445[ترافیک کل])</f>
        <v>885</v>
      </c>
      <c r="AB33" s="48"/>
      <c r="AC33" s="54"/>
      <c r="AD33" s="48"/>
      <c r="AE33" s="48"/>
      <c r="AF33" s="49">
        <f>SUBTOTAL(109,Table13632434445[[مجموع صفحات  مشاهده شده   ]])</f>
        <v>2421.154</v>
      </c>
      <c r="AG33" s="49">
        <f>SUBTOTAL(109,Table13632434445[[مجموع زمان حضور در سایت ]])</f>
        <v>1812.6096666666665</v>
      </c>
      <c r="AH33" s="49">
        <f>SUBTOTAL(109,Table13632434445[سهم سایت از کل ترافیک طبقه بندی])</f>
        <v>99.999999999999986</v>
      </c>
      <c r="AI33" s="49">
        <f>SUBTOTAL(109,Table13632434445[شاخص هرفیندال هیرشمن (ترافیک)])</f>
        <v>994.43608158575137</v>
      </c>
      <c r="AJ33" s="49">
        <f>SUBTOTAL(109,Table13632434445[سهم سایت از کل صفحات مشاهده شده در طبقه بندی])</f>
        <v>99.999999999999986</v>
      </c>
      <c r="AK33" s="49">
        <f>SUBTOTAL(109,Table13632434445[شاخص هرفیندال -هیرشمن (صفحات مشاهده شده )])</f>
        <v>1254.9140231682388</v>
      </c>
      <c r="AL33" s="49">
        <f>SUBTOTAL(109,Table13632434445[سهم سایت از کل زمان حضور در طبقه بندی])</f>
        <v>100</v>
      </c>
      <c r="AM33" s="49">
        <f>SUBTOTAL(109,Table13632434445[شاخص هرفیندال هیرشمن (زمان حضور)])</f>
        <v>2427.0950970319077</v>
      </c>
      <c r="AN33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{557E72BF-9171-462A-A647-140F38E8A718}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{5DCC4FF0-3109-4715-A58D-143D295162BA}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{0DCB546C-CBA6-42AC-8558-8B6BCECEC144}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{E1C45813-CF07-49A6-8B71-F8CD6DC104A6}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{58CAB844-7352-4EDC-8487-F51177B0F6B5}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{BCF2C7C1-1A7C-46FE-AF3C-4178690AC8AF}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7E72BF-9171-462A-A647-140F38E8A71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DCC4FF0-3109-4715-A58D-143D295162B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DCB546C-CBA6-42AC-8558-8B6BCECEC1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1C45813-CF07-49A6-8B71-F8CD6DC104A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8CAB844-7352-4EDC-8487-F51177B0F6B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BCF2C7C1-1A7C-46FE-AF3C-4178690AC8A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9"/>
  <sheetViews>
    <sheetView showGridLines="0" rightToLeft="1" topLeftCell="Z1" zoomScale="70" zoomScaleNormal="70" workbookViewId="0">
      <selection activeCell="AC39" sqref="AC39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2.5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878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878</v>
      </c>
      <c r="X2" s="8">
        <v>29.59</v>
      </c>
      <c r="Y2" s="8">
        <v>1.39</v>
      </c>
      <c r="Z2" s="9">
        <v>0.28999999999999998</v>
      </c>
      <c r="AA2" s="8">
        <v>222.7</v>
      </c>
      <c r="AB2" s="8">
        <v>6367</v>
      </c>
      <c r="AC2" s="21" t="s">
        <v>878</v>
      </c>
      <c r="AD2" s="8" t="s">
        <v>4119</v>
      </c>
      <c r="AE2" s="8" t="s">
        <v>4083</v>
      </c>
      <c r="AF2" s="9">
        <f t="shared" ref="AF2:AF38" si="0">(AA2*Y2)</f>
        <v>309.55299999999994</v>
      </c>
      <c r="AG2" s="9">
        <f t="shared" ref="AG2:AG38" si="1">((((RIGHT(Z2,2))/60)+(LEFT(Z2,2)))*AA2)</f>
        <v>107.63833333333334</v>
      </c>
      <c r="AH2" s="9">
        <f t="shared" ref="AH2:AH38" si="2">(AA2/$AA$39)*100</f>
        <v>23.018087855297157</v>
      </c>
      <c r="AI2" s="9">
        <f t="shared" ref="AI2:AI38" si="3">(AH2*AH2)</f>
        <v>529.83236851417848</v>
      </c>
      <c r="AJ2" s="9">
        <f t="shared" ref="AJ2:AJ38" si="4">(AF2/$AF$39)*100</f>
        <v>12.753833013958419</v>
      </c>
      <c r="AK2" s="9">
        <f t="shared" ref="AK2:AK38" si="5">(AJ2*AJ2)</f>
        <v>162.66025654793569</v>
      </c>
      <c r="AL2" s="9">
        <f t="shared" ref="AL2:AL38" si="6">(AG2/$AG$39)*100</f>
        <v>5.9853624001949202</v>
      </c>
      <c r="AM2" s="9">
        <f t="shared" ref="AM2:AM38" si="7">(AL2*AL2)</f>
        <v>35.824563061667092</v>
      </c>
      <c r="AN2" s="8" t="s">
        <v>878</v>
      </c>
    </row>
    <row r="3" spans="8:40" ht="23">
      <c r="M3" s="8" t="s">
        <v>1868</v>
      </c>
      <c r="N3" s="8" t="s">
        <v>1862</v>
      </c>
      <c r="O3" s="8"/>
      <c r="P3" s="8"/>
      <c r="Q3" s="8"/>
      <c r="R3" s="8"/>
      <c r="S3" s="8"/>
      <c r="T3" s="8"/>
      <c r="U3" s="8"/>
      <c r="V3" s="8"/>
      <c r="W3" s="8" t="s">
        <v>1868</v>
      </c>
      <c r="X3" s="8">
        <v>12.09</v>
      </c>
      <c r="Y3" s="8">
        <v>2.63</v>
      </c>
      <c r="Z3" s="9">
        <v>2.58</v>
      </c>
      <c r="AA3" s="8">
        <v>147.1</v>
      </c>
      <c r="AB3" s="8">
        <v>3703</v>
      </c>
      <c r="AC3" s="21" t="s">
        <v>1868</v>
      </c>
      <c r="AD3" s="8" t="s">
        <v>4119</v>
      </c>
      <c r="AE3" s="8" t="s">
        <v>4083</v>
      </c>
      <c r="AF3" s="9">
        <f t="shared" si="0"/>
        <v>386.87299999999999</v>
      </c>
      <c r="AG3" s="9">
        <f t="shared" si="1"/>
        <v>436.39666666666665</v>
      </c>
      <c r="AH3" s="9">
        <f t="shared" si="2"/>
        <v>15.204134366925064</v>
      </c>
      <c r="AI3" s="9">
        <f t="shared" si="3"/>
        <v>231.16570184751183</v>
      </c>
      <c r="AJ3" s="9">
        <f t="shared" si="4"/>
        <v>15.939479312457433</v>
      </c>
      <c r="AK3" s="9">
        <f t="shared" si="5"/>
        <v>254.06700075225848</v>
      </c>
      <c r="AL3" s="9">
        <f t="shared" si="6"/>
        <v>24.266375364139748</v>
      </c>
      <c r="AM3" s="9">
        <f t="shared" si="7"/>
        <v>588.85697331332847</v>
      </c>
      <c r="AN3" s="8" t="s">
        <v>1868</v>
      </c>
    </row>
    <row r="4" spans="8:40" ht="23">
      <c r="M4" s="8" t="s">
        <v>1804</v>
      </c>
      <c r="N4" s="8" t="s">
        <v>1717</v>
      </c>
      <c r="O4" s="8"/>
      <c r="P4" s="8"/>
      <c r="Q4" s="8"/>
      <c r="R4" s="8"/>
      <c r="S4" s="8"/>
      <c r="T4" s="8"/>
      <c r="U4" s="8"/>
      <c r="V4" s="8"/>
      <c r="W4" s="8" t="s">
        <v>1804</v>
      </c>
      <c r="X4" s="8">
        <v>22.5</v>
      </c>
      <c r="Y4" s="8">
        <v>3.85</v>
      </c>
      <c r="Z4" s="9">
        <v>3.53</v>
      </c>
      <c r="AA4" s="8">
        <v>84.4</v>
      </c>
      <c r="AB4" s="8">
        <v>16264</v>
      </c>
      <c r="AC4" s="21" t="s">
        <v>1804</v>
      </c>
      <c r="AD4" s="8" t="s">
        <v>4119</v>
      </c>
      <c r="AE4" s="8" t="s">
        <v>4083</v>
      </c>
      <c r="AF4" s="9">
        <f t="shared" si="0"/>
        <v>324.94000000000005</v>
      </c>
      <c r="AG4" s="9">
        <f t="shared" si="1"/>
        <v>327.75333333333333</v>
      </c>
      <c r="AH4" s="9">
        <f t="shared" si="2"/>
        <v>8.7235142118863056</v>
      </c>
      <c r="AI4" s="9">
        <f t="shared" si="3"/>
        <v>76.099700204982355</v>
      </c>
      <c r="AJ4" s="9">
        <f t="shared" si="4"/>
        <v>13.387789811617557</v>
      </c>
      <c r="AK4" s="9">
        <f t="shared" si="5"/>
        <v>179.23291604005087</v>
      </c>
      <c r="AL4" s="9">
        <f t="shared" si="6"/>
        <v>18.225128698312734</v>
      </c>
      <c r="AM4" s="9">
        <f t="shared" si="7"/>
        <v>332.15531607006238</v>
      </c>
      <c r="AN4" s="8" t="s">
        <v>1804</v>
      </c>
    </row>
    <row r="5" spans="8:40" ht="23">
      <c r="M5" s="8" t="s">
        <v>129</v>
      </c>
      <c r="N5" s="8" t="s">
        <v>125</v>
      </c>
      <c r="O5" s="8"/>
      <c r="P5" s="8"/>
      <c r="Q5" s="8"/>
      <c r="R5" s="8"/>
      <c r="S5" s="8"/>
      <c r="T5" s="8"/>
      <c r="U5" s="8"/>
      <c r="V5" s="8"/>
      <c r="W5" s="8" t="s">
        <v>129</v>
      </c>
      <c r="X5" s="8">
        <v>23.49</v>
      </c>
      <c r="Y5" s="8">
        <v>2.56</v>
      </c>
      <c r="Z5" s="9">
        <v>1.58</v>
      </c>
      <c r="AA5" s="8">
        <v>80.599999999999994</v>
      </c>
      <c r="AB5" s="8">
        <v>18579</v>
      </c>
      <c r="AC5" s="21" t="s">
        <v>129</v>
      </c>
      <c r="AD5" s="8" t="s">
        <v>4119</v>
      </c>
      <c r="AE5" s="8" t="s">
        <v>4083</v>
      </c>
      <c r="AF5" s="9">
        <f t="shared" si="0"/>
        <v>206.33599999999998</v>
      </c>
      <c r="AG5" s="9">
        <f t="shared" si="1"/>
        <v>158.51333333333332</v>
      </c>
      <c r="AH5" s="9">
        <f t="shared" si="2"/>
        <v>8.3307493540051674</v>
      </c>
      <c r="AI5" s="9">
        <f t="shared" si="3"/>
        <v>69.401384799257514</v>
      </c>
      <c r="AJ5" s="9">
        <f t="shared" si="4"/>
        <v>8.5012094496519968</v>
      </c>
      <c r="AK5" s="9">
        <f t="shared" si="5"/>
        <v>72.27056210685241</v>
      </c>
      <c r="AL5" s="9">
        <f t="shared" si="6"/>
        <v>8.8143295783369986</v>
      </c>
      <c r="AM5" s="9">
        <f t="shared" si="7"/>
        <v>77.692405915546487</v>
      </c>
      <c r="AN5" s="8" t="s">
        <v>129</v>
      </c>
    </row>
    <row r="6" spans="8:40" ht="23">
      <c r="M6" s="8" t="s">
        <v>1354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1354</v>
      </c>
      <c r="X6" s="8">
        <v>26.19</v>
      </c>
      <c r="Y6" s="8">
        <v>1.25</v>
      </c>
      <c r="Z6" s="9">
        <v>0.27</v>
      </c>
      <c r="AA6" s="8">
        <v>65.3</v>
      </c>
      <c r="AB6" s="8">
        <v>14285</v>
      </c>
      <c r="AC6" s="21" t="s">
        <v>1354</v>
      </c>
      <c r="AD6" s="8" t="s">
        <v>4119</v>
      </c>
      <c r="AE6" s="8" t="s">
        <v>4083</v>
      </c>
      <c r="AF6" s="9">
        <f t="shared" si="0"/>
        <v>81.625</v>
      </c>
      <c r="AG6" s="9">
        <f t="shared" si="1"/>
        <v>29.384999999999998</v>
      </c>
      <c r="AH6" s="9">
        <f t="shared" si="2"/>
        <v>6.7493540051679579</v>
      </c>
      <c r="AI6" s="9">
        <f t="shared" si="3"/>
        <v>45.553779487076753</v>
      </c>
      <c r="AJ6" s="9">
        <f t="shared" si="4"/>
        <v>3.3630157671363419</v>
      </c>
      <c r="AK6" s="9">
        <f t="shared" si="5"/>
        <v>11.309875050007639</v>
      </c>
      <c r="AL6" s="9">
        <f t="shared" si="6"/>
        <v>1.6339891996010811</v>
      </c>
      <c r="AM6" s="9">
        <f t="shared" si="7"/>
        <v>2.6699207044129816</v>
      </c>
      <c r="AN6" s="8" t="s">
        <v>1354</v>
      </c>
    </row>
    <row r="7" spans="8:40" ht="23">
      <c r="M7" s="8" t="s">
        <v>5287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5287</v>
      </c>
      <c r="X7" s="8">
        <v>4.05</v>
      </c>
      <c r="Y7" s="8">
        <v>6.69</v>
      </c>
      <c r="Z7" s="9">
        <v>1.54</v>
      </c>
      <c r="AA7" s="8">
        <v>49.2</v>
      </c>
      <c r="AB7" s="8">
        <v>7771</v>
      </c>
      <c r="AC7" s="21" t="s">
        <v>5287</v>
      </c>
      <c r="AD7" s="8" t="s">
        <v>4119</v>
      </c>
      <c r="AE7" s="8" t="s">
        <v>4083</v>
      </c>
      <c r="AF7" s="9">
        <f t="shared" si="0"/>
        <v>329.14800000000002</v>
      </c>
      <c r="AG7" s="9">
        <f t="shared" si="1"/>
        <v>93.48</v>
      </c>
      <c r="AH7" s="9">
        <f t="shared" si="2"/>
        <v>5.0852713178294575</v>
      </c>
      <c r="AI7" s="9">
        <f t="shared" si="3"/>
        <v>25.859984375938946</v>
      </c>
      <c r="AJ7" s="9">
        <f t="shared" si="4"/>
        <v>13.561162802099759</v>
      </c>
      <c r="AK7" s="9">
        <f t="shared" si="5"/>
        <v>183.90513654505418</v>
      </c>
      <c r="AL7" s="9">
        <f t="shared" si="6"/>
        <v>5.1980707973016536</v>
      </c>
      <c r="AM7" s="9">
        <f t="shared" si="7"/>
        <v>27.019940013760248</v>
      </c>
      <c r="AN7" s="8" t="s">
        <v>5287</v>
      </c>
    </row>
    <row r="8" spans="8:40" ht="23">
      <c r="M8" s="8" t="s">
        <v>5292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5292</v>
      </c>
      <c r="X8" s="8">
        <v>78.92</v>
      </c>
      <c r="Y8" s="8">
        <v>1.08</v>
      </c>
      <c r="Z8" s="9">
        <v>0.01</v>
      </c>
      <c r="AA8" s="8">
        <v>44.5</v>
      </c>
      <c r="AB8" s="8">
        <v>42040</v>
      </c>
      <c r="AC8" s="21" t="s">
        <v>5292</v>
      </c>
      <c r="AD8" s="8" t="s">
        <v>4119</v>
      </c>
      <c r="AE8" s="8" t="s">
        <v>4083</v>
      </c>
      <c r="AF8" s="9">
        <f t="shared" si="0"/>
        <v>48.06</v>
      </c>
      <c r="AG8" s="9">
        <f t="shared" si="1"/>
        <v>0.7416666666666667</v>
      </c>
      <c r="AH8" s="9">
        <f t="shared" si="2"/>
        <v>4.5994832041343674</v>
      </c>
      <c r="AI8" s="9">
        <f t="shared" si="3"/>
        <v>21.155245745114147</v>
      </c>
      <c r="AJ8" s="9">
        <f t="shared" si="4"/>
        <v>1.9801107230452999</v>
      </c>
      <c r="AK8" s="9">
        <f t="shared" si="5"/>
        <v>3.9208384755189805</v>
      </c>
      <c r="AL8" s="9">
        <f t="shared" si="6"/>
        <v>4.1241290557681422E-2</v>
      </c>
      <c r="AM8" s="9">
        <f t="shared" si="7"/>
        <v>1.7008440468631028E-3</v>
      </c>
      <c r="AN8" s="8" t="s">
        <v>5292</v>
      </c>
    </row>
    <row r="9" spans="8:40" ht="23">
      <c r="M9" s="8" t="s">
        <v>5289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5289</v>
      </c>
      <c r="X9" s="8">
        <v>25.9</v>
      </c>
      <c r="Y9" s="8">
        <v>2.74</v>
      </c>
      <c r="Z9" s="9">
        <v>0.28000000000000003</v>
      </c>
      <c r="AA9" s="8">
        <v>35.700000000000003</v>
      </c>
      <c r="AB9" s="8">
        <v>19184</v>
      </c>
      <c r="AC9" s="21" t="s">
        <v>5289</v>
      </c>
      <c r="AD9" s="8" t="s">
        <v>4119</v>
      </c>
      <c r="AE9" s="8" t="s">
        <v>4083</v>
      </c>
      <c r="AF9" s="9">
        <f t="shared" si="0"/>
        <v>97.818000000000012</v>
      </c>
      <c r="AG9" s="9">
        <f t="shared" si="1"/>
        <v>16.66</v>
      </c>
      <c r="AH9" s="9">
        <f t="shared" si="2"/>
        <v>3.6899224806201549</v>
      </c>
      <c r="AI9" s="9">
        <f t="shared" si="3"/>
        <v>13.615527912985998</v>
      </c>
      <c r="AJ9" s="9">
        <f t="shared" si="4"/>
        <v>4.0301804142081803</v>
      </c>
      <c r="AK9" s="9">
        <f t="shared" si="5"/>
        <v>16.24235417106722</v>
      </c>
      <c r="AL9" s="9">
        <f t="shared" si="6"/>
        <v>0.92639986610018776</v>
      </c>
      <c r="AM9" s="9">
        <f t="shared" si="7"/>
        <v>0.8582167119104458</v>
      </c>
      <c r="AN9" s="8" t="s">
        <v>5289</v>
      </c>
    </row>
    <row r="10" spans="8:40" ht="23">
      <c r="M10" s="8" t="s">
        <v>1464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8" t="s">
        <v>1464</v>
      </c>
      <c r="X10" s="8">
        <v>5.33</v>
      </c>
      <c r="Y10" s="8">
        <v>1.79</v>
      </c>
      <c r="Z10" s="9">
        <v>0.25</v>
      </c>
      <c r="AA10" s="8">
        <v>32.5</v>
      </c>
      <c r="AB10" s="8">
        <v>21201</v>
      </c>
      <c r="AC10" s="21" t="s">
        <v>1464</v>
      </c>
      <c r="AD10" s="8" t="s">
        <v>4119</v>
      </c>
      <c r="AE10" s="8" t="s">
        <v>4083</v>
      </c>
      <c r="AF10" s="9">
        <f t="shared" si="0"/>
        <v>58.175000000000004</v>
      </c>
      <c r="AG10" s="9">
        <f t="shared" si="1"/>
        <v>13.541666666666668</v>
      </c>
      <c r="AH10" s="9">
        <f t="shared" si="2"/>
        <v>3.3591731266149871</v>
      </c>
      <c r="AI10" s="9">
        <f t="shared" si="3"/>
        <v>11.284044094572309</v>
      </c>
      <c r="AJ10" s="9">
        <f t="shared" si="4"/>
        <v>2.3968568729330073</v>
      </c>
      <c r="AK10" s="9">
        <f t="shared" si="5"/>
        <v>5.744922869326194</v>
      </c>
      <c r="AL10" s="9">
        <f t="shared" si="6"/>
        <v>0.75300109164305973</v>
      </c>
      <c r="AM10" s="9">
        <f t="shared" si="7"/>
        <v>0.56701064401563961</v>
      </c>
      <c r="AN10" s="8" t="s">
        <v>1464</v>
      </c>
    </row>
    <row r="11" spans="8:40" ht="23">
      <c r="M11" s="8" t="s">
        <v>829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829</v>
      </c>
      <c r="X11" s="8">
        <v>25.55</v>
      </c>
      <c r="Y11" s="8">
        <v>3.3</v>
      </c>
      <c r="Z11" s="9">
        <v>3.58</v>
      </c>
      <c r="AA11" s="8">
        <v>24.7</v>
      </c>
      <c r="AB11" s="8">
        <v>5345</v>
      </c>
      <c r="AC11" s="21" t="s">
        <v>829</v>
      </c>
      <c r="AD11" s="8" t="s">
        <v>4119</v>
      </c>
      <c r="AE11" s="8" t="s">
        <v>4083</v>
      </c>
      <c r="AF11" s="9">
        <f t="shared" si="0"/>
        <v>81.509999999999991</v>
      </c>
      <c r="AG11" s="9">
        <f t="shared" si="1"/>
        <v>97.976666666666674</v>
      </c>
      <c r="AH11" s="9">
        <f t="shared" si="2"/>
        <v>2.5529715762273901</v>
      </c>
      <c r="AI11" s="9">
        <f t="shared" si="3"/>
        <v>6.5176638690249646</v>
      </c>
      <c r="AJ11" s="9">
        <f t="shared" si="4"/>
        <v>3.3582776744782015</v>
      </c>
      <c r="AK11" s="9">
        <f t="shared" si="5"/>
        <v>11.278028938898716</v>
      </c>
      <c r="AL11" s="9">
        <f t="shared" si="6"/>
        <v>5.4481134982558661</v>
      </c>
      <c r="AM11" s="9">
        <f t="shared" si="7"/>
        <v>29.68194068987777</v>
      </c>
      <c r="AN11" s="8" t="s">
        <v>829</v>
      </c>
    </row>
    <row r="12" spans="8:40" ht="23">
      <c r="M12" s="8" t="s">
        <v>293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293</v>
      </c>
      <c r="X12" s="8">
        <v>48.25</v>
      </c>
      <c r="Y12" s="8">
        <v>1.53</v>
      </c>
      <c r="Z12" s="9">
        <v>2.56</v>
      </c>
      <c r="AA12" s="8">
        <v>24.3</v>
      </c>
      <c r="AB12" s="8">
        <v>13766</v>
      </c>
      <c r="AC12" s="21" t="s">
        <v>293</v>
      </c>
      <c r="AD12" s="8" t="s">
        <v>4119</v>
      </c>
      <c r="AE12" s="8" t="s">
        <v>4083</v>
      </c>
      <c r="AF12" s="9">
        <f t="shared" si="0"/>
        <v>37.179000000000002</v>
      </c>
      <c r="AG12" s="9">
        <f t="shared" si="1"/>
        <v>71.28</v>
      </c>
      <c r="AH12" s="9">
        <f t="shared" si="2"/>
        <v>2.5116279069767442</v>
      </c>
      <c r="AI12" s="9">
        <f t="shared" si="3"/>
        <v>6.3082747431043806</v>
      </c>
      <c r="AJ12" s="9">
        <f t="shared" si="4"/>
        <v>1.5318047559738079</v>
      </c>
      <c r="AK12" s="9">
        <f t="shared" si="5"/>
        <v>2.3464258104239772</v>
      </c>
      <c r="AL12" s="9">
        <f t="shared" si="6"/>
        <v>3.9636123922942001</v>
      </c>
      <c r="AM12" s="9">
        <f t="shared" si="7"/>
        <v>15.710223196348153</v>
      </c>
      <c r="AN12" s="8" t="s">
        <v>293</v>
      </c>
    </row>
    <row r="13" spans="8:40" ht="23">
      <c r="M13" s="8" t="s">
        <v>5296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5296</v>
      </c>
      <c r="X13" s="8">
        <v>23.33</v>
      </c>
      <c r="Y13" s="8">
        <v>1.58</v>
      </c>
      <c r="Z13" s="9">
        <v>0.52</v>
      </c>
      <c r="AA13" s="8">
        <v>19.100000000000001</v>
      </c>
      <c r="AB13" s="8">
        <v>20462</v>
      </c>
      <c r="AC13" s="21" t="s">
        <v>5296</v>
      </c>
      <c r="AD13" s="8" t="s">
        <v>4119</v>
      </c>
      <c r="AE13" s="8" t="s">
        <v>4083</v>
      </c>
      <c r="AF13" s="9">
        <f t="shared" si="0"/>
        <v>30.178000000000004</v>
      </c>
      <c r="AG13" s="9">
        <f t="shared" si="1"/>
        <v>16.553333333333335</v>
      </c>
      <c r="AH13" s="9">
        <f t="shared" si="2"/>
        <v>1.9741602067183464</v>
      </c>
      <c r="AI13" s="9">
        <f t="shared" si="3"/>
        <v>3.8973085217902241</v>
      </c>
      <c r="AJ13" s="9">
        <f t="shared" si="4"/>
        <v>1.2433579151073879</v>
      </c>
      <c r="AK13" s="9">
        <f t="shared" si="5"/>
        <v>1.5459389050601904</v>
      </c>
      <c r="AL13" s="9">
        <f t="shared" si="6"/>
        <v>0.92046853442447618</v>
      </c>
      <c r="AM13" s="9">
        <f t="shared" si="7"/>
        <v>0.84726232286554304</v>
      </c>
      <c r="AN13" s="8" t="s">
        <v>5296</v>
      </c>
    </row>
    <row r="14" spans="8:40" ht="23">
      <c r="M14" s="8" t="s">
        <v>5288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5288</v>
      </c>
      <c r="X14" s="8">
        <v>33.340000000000003</v>
      </c>
      <c r="Y14" s="8">
        <v>1.1399999999999999</v>
      </c>
      <c r="Z14" s="9">
        <v>0.05</v>
      </c>
      <c r="AA14" s="8">
        <v>13.2</v>
      </c>
      <c r="AB14" s="8">
        <v>64060</v>
      </c>
      <c r="AC14" s="21" t="s">
        <v>5288</v>
      </c>
      <c r="AD14" s="8" t="s">
        <v>4119</v>
      </c>
      <c r="AE14" s="8" t="s">
        <v>4083</v>
      </c>
      <c r="AF14" s="9">
        <f t="shared" si="0"/>
        <v>15.047999999999998</v>
      </c>
      <c r="AG14" s="9">
        <f t="shared" si="1"/>
        <v>1.0999999999999999</v>
      </c>
      <c r="AH14" s="9">
        <f t="shared" si="2"/>
        <v>1.3643410852713178</v>
      </c>
      <c r="AI14" s="9">
        <f t="shared" si="3"/>
        <v>1.8614265969593173</v>
      </c>
      <c r="AJ14" s="9">
        <f t="shared" si="4"/>
        <v>0.61998972451905265</v>
      </c>
      <c r="AK14" s="9">
        <f t="shared" si="5"/>
        <v>0.38438725850921079</v>
      </c>
      <c r="AL14" s="9">
        <f t="shared" si="6"/>
        <v>6.1166857905774683E-2</v>
      </c>
      <c r="AM14" s="9">
        <f t="shared" si="7"/>
        <v>3.7413845060652309E-3</v>
      </c>
      <c r="AN14" s="8" t="s">
        <v>5288</v>
      </c>
    </row>
    <row r="15" spans="8:40" ht="23">
      <c r="M15" s="8" t="s">
        <v>5291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5291</v>
      </c>
      <c r="X15" s="8">
        <v>14.95</v>
      </c>
      <c r="Y15" s="8">
        <v>3.12</v>
      </c>
      <c r="Z15" s="9">
        <v>2.2200000000000002</v>
      </c>
      <c r="AA15" s="8">
        <v>12.3</v>
      </c>
      <c r="AB15" s="8">
        <v>9313</v>
      </c>
      <c r="AC15" s="21" t="s">
        <v>5291</v>
      </c>
      <c r="AD15" s="8" t="s">
        <v>4119</v>
      </c>
      <c r="AE15" s="8" t="s">
        <v>4083</v>
      </c>
      <c r="AF15" s="9">
        <f t="shared" si="0"/>
        <v>38.376000000000005</v>
      </c>
      <c r="AG15" s="9">
        <f t="shared" si="1"/>
        <v>29.110000000000003</v>
      </c>
      <c r="AH15" s="9">
        <f t="shared" si="2"/>
        <v>1.2713178294573644</v>
      </c>
      <c r="AI15" s="9">
        <f t="shared" si="3"/>
        <v>1.6162490234961842</v>
      </c>
      <c r="AJ15" s="9">
        <f t="shared" si="4"/>
        <v>1.581122120424187</v>
      </c>
      <c r="AK15" s="9">
        <f t="shared" si="5"/>
        <v>2.4999471596946772</v>
      </c>
      <c r="AL15" s="9">
        <f t="shared" si="6"/>
        <v>1.6186974851246378</v>
      </c>
      <c r="AM15" s="9">
        <f t="shared" si="7"/>
        <v>2.6201815483488273</v>
      </c>
      <c r="AN15" s="8" t="s">
        <v>5291</v>
      </c>
    </row>
    <row r="16" spans="8:40" ht="23">
      <c r="M16" s="8" t="s">
        <v>973</v>
      </c>
      <c r="N16" s="8" t="s">
        <v>150</v>
      </c>
      <c r="O16" s="8"/>
      <c r="P16" s="8" t="s">
        <v>3691</v>
      </c>
      <c r="Q16" s="8"/>
      <c r="R16" s="8"/>
      <c r="S16" s="8"/>
      <c r="T16" s="8"/>
      <c r="U16" s="8"/>
      <c r="V16" s="8"/>
      <c r="W16" s="8" t="s">
        <v>973</v>
      </c>
      <c r="X16" s="8">
        <v>20.22</v>
      </c>
      <c r="Y16" s="8">
        <v>3.99</v>
      </c>
      <c r="Z16" s="9">
        <v>4.18</v>
      </c>
      <c r="AA16" s="8">
        <v>10.4</v>
      </c>
      <c r="AB16" s="8">
        <v>9097</v>
      </c>
      <c r="AC16" s="21" t="s">
        <v>973</v>
      </c>
      <c r="AD16" s="8" t="s">
        <v>4119</v>
      </c>
      <c r="AE16" s="8" t="s">
        <v>4083</v>
      </c>
      <c r="AF16" s="9">
        <f t="shared" si="0"/>
        <v>41.496000000000002</v>
      </c>
      <c r="AG16" s="9">
        <f t="shared" si="1"/>
        <v>44.72</v>
      </c>
      <c r="AH16" s="9">
        <f t="shared" si="2"/>
        <v>1.0749354005167959</v>
      </c>
      <c r="AI16" s="9">
        <f t="shared" si="3"/>
        <v>1.1554861152842044</v>
      </c>
      <c r="AJ16" s="9">
        <f t="shared" si="4"/>
        <v>1.709668634279812</v>
      </c>
      <c r="AK16" s="9">
        <f t="shared" si="5"/>
        <v>2.9229668390401975</v>
      </c>
      <c r="AL16" s="9">
        <f t="shared" si="6"/>
        <v>2.4867108050420401</v>
      </c>
      <c r="AM16" s="9">
        <f t="shared" si="7"/>
        <v>6.1837306279128317</v>
      </c>
      <c r="AN16" s="8" t="s">
        <v>973</v>
      </c>
    </row>
    <row r="17" spans="13:40" ht="23">
      <c r="M17" s="8" t="s">
        <v>1054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1054</v>
      </c>
      <c r="X17" s="8">
        <v>14.68</v>
      </c>
      <c r="Y17" s="8">
        <v>2.5099999999999998</v>
      </c>
      <c r="Z17" s="9">
        <v>1.05</v>
      </c>
      <c r="AA17" s="8">
        <v>10.199999999999999</v>
      </c>
      <c r="AB17" s="8">
        <v>25161</v>
      </c>
      <c r="AC17" s="21" t="s">
        <v>1054</v>
      </c>
      <c r="AD17" s="8" t="s">
        <v>4119</v>
      </c>
      <c r="AE17" s="8" t="s">
        <v>4083</v>
      </c>
      <c r="AF17" s="9">
        <f t="shared" si="0"/>
        <v>25.601999999999997</v>
      </c>
      <c r="AG17" s="9">
        <f t="shared" si="1"/>
        <v>11.049999999999999</v>
      </c>
      <c r="AH17" s="9">
        <f t="shared" si="2"/>
        <v>1.0542635658914727</v>
      </c>
      <c r="AI17" s="9">
        <f t="shared" si="3"/>
        <v>1.1114716663662036</v>
      </c>
      <c r="AJ17" s="9">
        <f t="shared" si="4"/>
        <v>1.0548230281191375</v>
      </c>
      <c r="AK17" s="9">
        <f t="shared" si="5"/>
        <v>1.1126516206504269</v>
      </c>
      <c r="AL17" s="9">
        <f t="shared" si="6"/>
        <v>0.61444889078073661</v>
      </c>
      <c r="AM17" s="9">
        <f t="shared" si="7"/>
        <v>0.37754743938167756</v>
      </c>
      <c r="AN17" s="8" t="s">
        <v>1054</v>
      </c>
    </row>
    <row r="18" spans="13:40" ht="23">
      <c r="M18" s="8" t="s">
        <v>5290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5290</v>
      </c>
      <c r="X18" s="8">
        <v>33.72</v>
      </c>
      <c r="Y18" s="8">
        <v>2.27</v>
      </c>
      <c r="Z18" s="9">
        <v>2.41</v>
      </c>
      <c r="AA18" s="8">
        <v>9.5</v>
      </c>
      <c r="AB18" s="8">
        <v>13458</v>
      </c>
      <c r="AC18" s="21" t="s">
        <v>5290</v>
      </c>
      <c r="AD18" s="8" t="s">
        <v>4119</v>
      </c>
      <c r="AE18" s="8" t="s">
        <v>4083</v>
      </c>
      <c r="AF18" s="9">
        <f t="shared" si="0"/>
        <v>21.565000000000001</v>
      </c>
      <c r="AG18" s="9">
        <f t="shared" si="1"/>
        <v>25.491666666666667</v>
      </c>
      <c r="AH18" s="9">
        <f t="shared" si="2"/>
        <v>0.98191214470284227</v>
      </c>
      <c r="AI18" s="9">
        <f t="shared" si="3"/>
        <v>0.96415145991493545</v>
      </c>
      <c r="AJ18" s="9">
        <f t="shared" si="4"/>
        <v>0.88849537541556156</v>
      </c>
      <c r="AK18" s="9">
        <f t="shared" si="5"/>
        <v>0.78942403213483969</v>
      </c>
      <c r="AL18" s="9">
        <f t="shared" si="6"/>
        <v>1.4174955934376121</v>
      </c>
      <c r="AM18" s="9">
        <f t="shared" si="7"/>
        <v>2.009293757415048</v>
      </c>
      <c r="AN18" s="8" t="s">
        <v>5290</v>
      </c>
    </row>
    <row r="19" spans="13:40" ht="23">
      <c r="M19" s="8" t="s">
        <v>5298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5298</v>
      </c>
      <c r="X19" s="8">
        <v>48.33</v>
      </c>
      <c r="Y19" s="8">
        <v>3.09</v>
      </c>
      <c r="Z19" s="9">
        <v>2.0499999999999998</v>
      </c>
      <c r="AA19" s="8">
        <v>8</v>
      </c>
      <c r="AB19" s="8">
        <v>21416</v>
      </c>
      <c r="AC19" s="21" t="s">
        <v>5298</v>
      </c>
      <c r="AD19" s="8" t="s">
        <v>4119</v>
      </c>
      <c r="AE19" s="8" t="s">
        <v>4083</v>
      </c>
      <c r="AF19" s="9">
        <f t="shared" si="0"/>
        <v>24.72</v>
      </c>
      <c r="AG19" s="9">
        <f t="shared" si="1"/>
        <v>16.666666666666668</v>
      </c>
      <c r="AH19" s="9">
        <f t="shared" si="2"/>
        <v>0.82687338501291985</v>
      </c>
      <c r="AI19" s="9">
        <f t="shared" si="3"/>
        <v>0.68371959484272438</v>
      </c>
      <c r="AJ19" s="9">
        <f t="shared" si="4"/>
        <v>1.0184839174714899</v>
      </c>
      <c r="AK19" s="9">
        <f t="shared" si="5"/>
        <v>1.0373094901480726</v>
      </c>
      <c r="AL19" s="9">
        <f t="shared" si="6"/>
        <v>0.92677057432991972</v>
      </c>
      <c r="AM19" s="9">
        <f t="shared" si="7"/>
        <v>0.85890369744380923</v>
      </c>
      <c r="AN19" s="8" t="s">
        <v>5298</v>
      </c>
    </row>
    <row r="20" spans="13:40" ht="23">
      <c r="M20" s="8" t="s">
        <v>5297</v>
      </c>
      <c r="N20" s="8" t="s">
        <v>1902</v>
      </c>
      <c r="O20" s="8"/>
      <c r="P20" s="8"/>
      <c r="Q20" s="8"/>
      <c r="R20" s="8"/>
      <c r="S20" s="8"/>
      <c r="T20" s="8"/>
      <c r="U20" s="8"/>
      <c r="V20" s="8"/>
      <c r="W20" s="8" t="s">
        <v>5297</v>
      </c>
      <c r="X20" s="8">
        <v>24.08</v>
      </c>
      <c r="Y20" s="8">
        <v>3.03</v>
      </c>
      <c r="Z20" s="9">
        <v>3.1</v>
      </c>
      <c r="AA20" s="8">
        <v>6.7</v>
      </c>
      <c r="AB20" s="8">
        <v>14438</v>
      </c>
      <c r="AC20" s="21" t="s">
        <v>5297</v>
      </c>
      <c r="AD20" s="8" t="s">
        <v>4119</v>
      </c>
      <c r="AE20" s="8" t="s">
        <v>4083</v>
      </c>
      <c r="AF20" s="9">
        <f t="shared" si="0"/>
        <v>20.300999999999998</v>
      </c>
      <c r="AG20" s="9">
        <f t="shared" si="1"/>
        <v>20.111166666666666</v>
      </c>
      <c r="AH20" s="9">
        <f t="shared" si="2"/>
        <v>0.69250645994832039</v>
      </c>
      <c r="AI20" s="9">
        <f t="shared" si="3"/>
        <v>0.47956519707015466</v>
      </c>
      <c r="AJ20" s="9">
        <f t="shared" si="4"/>
        <v>0.83641755698174414</v>
      </c>
      <c r="AK20" s="9">
        <f t="shared" si="5"/>
        <v>0.69959432962730916</v>
      </c>
      <c r="AL20" s="9">
        <f t="shared" si="6"/>
        <v>1.1183062489266842</v>
      </c>
      <c r="AM20" s="9">
        <f t="shared" si="7"/>
        <v>1.2506088663884709</v>
      </c>
      <c r="AN20" s="8" t="s">
        <v>5297</v>
      </c>
    </row>
    <row r="21" spans="13:40" ht="23">
      <c r="M21" s="8" t="s">
        <v>817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817</v>
      </c>
      <c r="X21" s="8">
        <v>13.97</v>
      </c>
      <c r="Y21" s="8">
        <v>5.83</v>
      </c>
      <c r="Z21" s="9">
        <v>8.41</v>
      </c>
      <c r="AA21" s="8">
        <v>6.6</v>
      </c>
      <c r="AB21" s="8">
        <v>13707</v>
      </c>
      <c r="AC21" s="21" t="s">
        <v>817</v>
      </c>
      <c r="AD21" s="8" t="s">
        <v>4119</v>
      </c>
      <c r="AE21" s="8" t="s">
        <v>4083</v>
      </c>
      <c r="AF21" s="9">
        <f t="shared" si="0"/>
        <v>38.478000000000002</v>
      </c>
      <c r="AG21" s="9">
        <f t="shared" si="1"/>
        <v>57.309999999999995</v>
      </c>
      <c r="AH21" s="9">
        <f t="shared" si="2"/>
        <v>0.68217054263565891</v>
      </c>
      <c r="AI21" s="9">
        <f t="shared" si="3"/>
        <v>0.46535664923982933</v>
      </c>
      <c r="AJ21" s="9">
        <f t="shared" si="4"/>
        <v>1.5853246026079286</v>
      </c>
      <c r="AK21" s="9">
        <f t="shared" si="5"/>
        <v>2.5132540956339868</v>
      </c>
      <c r="AL21" s="9">
        <f t="shared" si="6"/>
        <v>3.1867932968908614</v>
      </c>
      <c r="AM21" s="9">
        <f t="shared" si="7"/>
        <v>10.155651517108526</v>
      </c>
      <c r="AN21" s="8" t="s">
        <v>817</v>
      </c>
    </row>
    <row r="22" spans="13:40" ht="23">
      <c r="M22" s="9" t="s">
        <v>883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9" t="s">
        <v>883</v>
      </c>
      <c r="X22" s="8">
        <v>43.26</v>
      </c>
      <c r="Y22" s="8">
        <v>2.92</v>
      </c>
      <c r="Z22" s="9">
        <v>2.37</v>
      </c>
      <c r="AA22" s="8">
        <v>6.6</v>
      </c>
      <c r="AB22" s="8">
        <v>20321</v>
      </c>
      <c r="AC22" s="22" t="s">
        <v>883</v>
      </c>
      <c r="AD22" s="8" t="s">
        <v>4119</v>
      </c>
      <c r="AE22" s="8" t="s">
        <v>4083</v>
      </c>
      <c r="AF22" s="9">
        <f t="shared" si="0"/>
        <v>19.271999999999998</v>
      </c>
      <c r="AG22" s="9">
        <f t="shared" si="1"/>
        <v>17.27</v>
      </c>
      <c r="AH22" s="9">
        <f t="shared" si="2"/>
        <v>0.68217054263565891</v>
      </c>
      <c r="AI22" s="9">
        <f t="shared" si="3"/>
        <v>0.46535664923982933</v>
      </c>
      <c r="AJ22" s="9">
        <f t="shared" si="4"/>
        <v>0.79402192789282178</v>
      </c>
      <c r="AK22" s="9">
        <f t="shared" si="5"/>
        <v>0.63047082197463344</v>
      </c>
      <c r="AL22" s="9">
        <f t="shared" si="6"/>
        <v>0.96031966912066258</v>
      </c>
      <c r="AM22" s="9">
        <f t="shared" si="7"/>
        <v>0.92221386690001883</v>
      </c>
      <c r="AN22" s="9" t="s">
        <v>883</v>
      </c>
    </row>
    <row r="23" spans="13:40" ht="23">
      <c r="M23" s="8" t="s">
        <v>5295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5295</v>
      </c>
      <c r="X23" s="8">
        <v>11.16</v>
      </c>
      <c r="Y23" s="8">
        <v>4.7</v>
      </c>
      <c r="Z23" s="9">
        <v>5.43</v>
      </c>
      <c r="AA23" s="8">
        <v>5.8</v>
      </c>
      <c r="AB23" s="8">
        <v>20913</v>
      </c>
      <c r="AC23" s="21" t="s">
        <v>5295</v>
      </c>
      <c r="AD23" s="8" t="s">
        <v>4119</v>
      </c>
      <c r="AE23" s="8" t="s">
        <v>4083</v>
      </c>
      <c r="AF23" s="9">
        <f t="shared" si="0"/>
        <v>27.26</v>
      </c>
      <c r="AG23" s="9">
        <f t="shared" si="1"/>
        <v>33.156666666666666</v>
      </c>
      <c r="AH23" s="9">
        <f t="shared" si="2"/>
        <v>0.59948320413436695</v>
      </c>
      <c r="AI23" s="9">
        <f t="shared" si="3"/>
        <v>0.35938011203920706</v>
      </c>
      <c r="AJ23" s="9">
        <f t="shared" si="4"/>
        <v>1.1231339640078002</v>
      </c>
      <c r="AK23" s="9">
        <f t="shared" si="5"/>
        <v>1.2614299011078747</v>
      </c>
      <c r="AL23" s="9">
        <f t="shared" si="6"/>
        <v>1.843717380571942</v>
      </c>
      <c r="AM23" s="9">
        <f t="shared" si="7"/>
        <v>3.3992937794230631</v>
      </c>
      <c r="AN23" s="8" t="s">
        <v>5295</v>
      </c>
    </row>
    <row r="24" spans="13:40" ht="23">
      <c r="M24" s="9" t="s">
        <v>2648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9" t="s">
        <v>2648</v>
      </c>
      <c r="X24" s="8">
        <v>20.79</v>
      </c>
      <c r="Y24" s="8">
        <v>4.47</v>
      </c>
      <c r="Z24" s="9">
        <v>5.43</v>
      </c>
      <c r="AA24" s="8">
        <v>5.5</v>
      </c>
      <c r="AB24" s="8">
        <v>19124</v>
      </c>
      <c r="AC24" s="22" t="s">
        <v>2648</v>
      </c>
      <c r="AD24" s="8" t="s">
        <v>4119</v>
      </c>
      <c r="AE24" s="8" t="s">
        <v>4083</v>
      </c>
      <c r="AF24" s="9">
        <f t="shared" si="0"/>
        <v>24.584999999999997</v>
      </c>
      <c r="AG24" s="9">
        <f t="shared" si="1"/>
        <v>31.441666666666666</v>
      </c>
      <c r="AH24" s="9">
        <f t="shared" si="2"/>
        <v>0.5684754521963824</v>
      </c>
      <c r="AI24" s="9">
        <f t="shared" si="3"/>
        <v>0.32316433974988146</v>
      </c>
      <c r="AJ24" s="9">
        <f t="shared" si="4"/>
        <v>1.0129218086988907</v>
      </c>
      <c r="AK24" s="9">
        <f t="shared" si="5"/>
        <v>1.0260105905378321</v>
      </c>
      <c r="AL24" s="9">
        <f t="shared" si="6"/>
        <v>1.7483526884733935</v>
      </c>
      <c r="AM24" s="9">
        <f t="shared" si="7"/>
        <v>3.0567371232921432</v>
      </c>
      <c r="AN24" s="9" t="s">
        <v>2648</v>
      </c>
    </row>
    <row r="25" spans="13:40" ht="23">
      <c r="M25" s="8" t="s">
        <v>1768</v>
      </c>
      <c r="N25" s="8" t="s">
        <v>1717</v>
      </c>
      <c r="O25" s="8"/>
      <c r="P25" s="8"/>
      <c r="Q25" s="8"/>
      <c r="R25" s="8"/>
      <c r="S25" s="8"/>
      <c r="T25" s="8"/>
      <c r="U25" s="8"/>
      <c r="V25" s="8"/>
      <c r="W25" s="8" t="s">
        <v>1768</v>
      </c>
      <c r="X25" s="8">
        <v>18.38</v>
      </c>
      <c r="Y25" s="8">
        <v>3.53</v>
      </c>
      <c r="Z25" s="9">
        <v>3.12</v>
      </c>
      <c r="AA25" s="8">
        <v>4.8</v>
      </c>
      <c r="AB25" s="8">
        <v>19260</v>
      </c>
      <c r="AC25" s="21" t="s">
        <v>1768</v>
      </c>
      <c r="AD25" s="8" t="s">
        <v>4119</v>
      </c>
      <c r="AE25" s="8" t="s">
        <v>4083</v>
      </c>
      <c r="AF25" s="9">
        <f t="shared" si="0"/>
        <v>16.943999999999999</v>
      </c>
      <c r="AG25" s="9">
        <f t="shared" si="1"/>
        <v>15.36</v>
      </c>
      <c r="AH25" s="9">
        <f t="shared" si="2"/>
        <v>0.49612403100775188</v>
      </c>
      <c r="AI25" s="9">
        <f t="shared" si="3"/>
        <v>0.24613905414338075</v>
      </c>
      <c r="AJ25" s="9">
        <f t="shared" si="4"/>
        <v>0.69810645216977851</v>
      </c>
      <c r="AK25" s="9">
        <f t="shared" si="5"/>
        <v>0.48735261856107526</v>
      </c>
      <c r="AL25" s="9">
        <f t="shared" si="6"/>
        <v>0.85411176130245381</v>
      </c>
      <c r="AM25" s="9">
        <f t="shared" si="7"/>
        <v>0.72950690079517988</v>
      </c>
      <c r="AN25" s="8" t="s">
        <v>1768</v>
      </c>
    </row>
    <row r="26" spans="13:40" ht="23">
      <c r="M26" s="8" t="s">
        <v>5286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8" t="s">
        <v>5286</v>
      </c>
      <c r="X26" s="8">
        <v>22.15</v>
      </c>
      <c r="Y26" s="8">
        <v>6.82</v>
      </c>
      <c r="Z26" s="9">
        <v>6.14</v>
      </c>
      <c r="AA26" s="8">
        <v>4.2</v>
      </c>
      <c r="AB26" s="8">
        <v>16949</v>
      </c>
      <c r="AC26" s="21" t="s">
        <v>5286</v>
      </c>
      <c r="AD26" s="8" t="s">
        <v>4119</v>
      </c>
      <c r="AE26" s="8" t="s">
        <v>4083</v>
      </c>
      <c r="AF26" s="9">
        <f t="shared" si="0"/>
        <v>28.644000000000002</v>
      </c>
      <c r="AG26" s="9">
        <f t="shared" si="1"/>
        <v>26.18</v>
      </c>
      <c r="AH26" s="9">
        <f t="shared" si="2"/>
        <v>0.434108527131783</v>
      </c>
      <c r="AI26" s="9">
        <f t="shared" si="3"/>
        <v>0.18845021332852596</v>
      </c>
      <c r="AJ26" s="9">
        <f t="shared" si="4"/>
        <v>1.1801558791283724</v>
      </c>
      <c r="AK26" s="9">
        <f t="shared" si="5"/>
        <v>1.3927678990412615</v>
      </c>
      <c r="AL26" s="9">
        <f t="shared" si="6"/>
        <v>1.4557712181574378</v>
      </c>
      <c r="AM26" s="9">
        <f t="shared" si="7"/>
        <v>2.1192698396155905</v>
      </c>
      <c r="AN26" s="8" t="s">
        <v>5286</v>
      </c>
    </row>
    <row r="27" spans="13:40" ht="23">
      <c r="M27" s="9" t="s">
        <v>2255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9" t="s">
        <v>2255</v>
      </c>
      <c r="X27" s="8">
        <v>17.920000000000002</v>
      </c>
      <c r="Y27" s="8">
        <v>1.78</v>
      </c>
      <c r="Z27" s="9">
        <v>1</v>
      </c>
      <c r="AA27" s="8">
        <v>4.2</v>
      </c>
      <c r="AB27" s="8">
        <v>42660</v>
      </c>
      <c r="AC27" s="22" t="s">
        <v>2255</v>
      </c>
      <c r="AD27" s="8" t="s">
        <v>4119</v>
      </c>
      <c r="AE27" s="8" t="s">
        <v>4083</v>
      </c>
      <c r="AF27" s="9">
        <f t="shared" si="0"/>
        <v>7.4760000000000009</v>
      </c>
      <c r="AG27" s="9">
        <f t="shared" si="1"/>
        <v>4.2699999999999996</v>
      </c>
      <c r="AH27" s="9">
        <f t="shared" si="2"/>
        <v>0.434108527131783</v>
      </c>
      <c r="AI27" s="9">
        <f t="shared" si="3"/>
        <v>0.18845021332852596</v>
      </c>
      <c r="AJ27" s="9">
        <f t="shared" si="4"/>
        <v>0.30801722358482447</v>
      </c>
      <c r="AK27" s="9">
        <f t="shared" si="5"/>
        <v>9.4874610024903744E-2</v>
      </c>
      <c r="AL27" s="9">
        <f t="shared" si="6"/>
        <v>0.23743862114332537</v>
      </c>
      <c r="AM27" s="9">
        <f t="shared" si="7"/>
        <v>5.6377098810443595E-2</v>
      </c>
      <c r="AN27" s="9" t="s">
        <v>2255</v>
      </c>
    </row>
    <row r="28" spans="13:40" ht="23">
      <c r="M28" s="8" t="s">
        <v>5293</v>
      </c>
      <c r="N28" s="8" t="s">
        <v>1814</v>
      </c>
      <c r="O28" s="8"/>
      <c r="P28" s="8"/>
      <c r="Q28" s="8"/>
      <c r="R28" s="8"/>
      <c r="S28" s="8"/>
      <c r="T28" s="8"/>
      <c r="U28" s="8"/>
      <c r="V28" s="8"/>
      <c r="W28" s="8" t="s">
        <v>5293</v>
      </c>
      <c r="X28" s="8">
        <v>32.32</v>
      </c>
      <c r="Y28" s="8">
        <v>1.89</v>
      </c>
      <c r="Z28" s="9">
        <v>0.31</v>
      </c>
      <c r="AA28" s="8">
        <v>4.2</v>
      </c>
      <c r="AB28" s="8">
        <v>30580</v>
      </c>
      <c r="AC28" s="21" t="s">
        <v>5293</v>
      </c>
      <c r="AD28" s="8" t="s">
        <v>4119</v>
      </c>
      <c r="AE28" s="8" t="s">
        <v>4083</v>
      </c>
      <c r="AF28" s="9">
        <f t="shared" si="0"/>
        <v>7.9379999999999997</v>
      </c>
      <c r="AG28" s="9">
        <f t="shared" si="1"/>
        <v>2.1700000000000004</v>
      </c>
      <c r="AH28" s="9">
        <f t="shared" si="2"/>
        <v>0.434108527131783</v>
      </c>
      <c r="AI28" s="9">
        <f t="shared" si="3"/>
        <v>0.18845021332852596</v>
      </c>
      <c r="AJ28" s="9">
        <f t="shared" si="4"/>
        <v>0.32705199582883043</v>
      </c>
      <c r="AK28" s="9">
        <f t="shared" si="5"/>
        <v>0.10696300797562132</v>
      </c>
      <c r="AL28" s="9">
        <f t="shared" si="6"/>
        <v>0.12066552877775555</v>
      </c>
      <c r="AM28" s="9">
        <f t="shared" si="7"/>
        <v>1.4560169835215353E-2</v>
      </c>
      <c r="AN28" s="8" t="s">
        <v>5293</v>
      </c>
    </row>
    <row r="29" spans="13:40" ht="23">
      <c r="M29" s="8" t="s">
        <v>5294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5294</v>
      </c>
      <c r="X29" s="8">
        <v>17.34</v>
      </c>
      <c r="Y29" s="8">
        <v>2.39</v>
      </c>
      <c r="Z29" s="9">
        <v>3.05</v>
      </c>
      <c r="AA29" s="8">
        <v>3.9</v>
      </c>
      <c r="AB29" s="8">
        <v>24987</v>
      </c>
      <c r="AC29" s="21" t="s">
        <v>5294</v>
      </c>
      <c r="AD29" s="8" t="s">
        <v>4119</v>
      </c>
      <c r="AE29" s="8" t="s">
        <v>4083</v>
      </c>
      <c r="AF29" s="9">
        <f t="shared" si="0"/>
        <v>9.3209999999999997</v>
      </c>
      <c r="AG29" s="9">
        <f t="shared" si="1"/>
        <v>12.025</v>
      </c>
      <c r="AH29" s="9">
        <f t="shared" si="2"/>
        <v>0.40310077519379844</v>
      </c>
      <c r="AI29" s="9">
        <f t="shared" si="3"/>
        <v>0.16249023496184123</v>
      </c>
      <c r="AJ29" s="9">
        <f t="shared" si="4"/>
        <v>0.38403271014367951</v>
      </c>
      <c r="AK29" s="9">
        <f t="shared" si="5"/>
        <v>0.14748112246029937</v>
      </c>
      <c r="AL29" s="9">
        <f t="shared" si="6"/>
        <v>0.66866496937903697</v>
      </c>
      <c r="AM29" s="9">
        <f t="shared" si="7"/>
        <v>0.44711284127466844</v>
      </c>
      <c r="AN29" s="8" t="s">
        <v>5294</v>
      </c>
    </row>
    <row r="30" spans="13:40" ht="23">
      <c r="M30" s="8" t="s">
        <v>1293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1293</v>
      </c>
      <c r="X30" s="8">
        <v>23.93</v>
      </c>
      <c r="Y30" s="8">
        <v>3.63</v>
      </c>
      <c r="Z30" s="9">
        <v>5.03</v>
      </c>
      <c r="AA30" s="8">
        <v>3.8</v>
      </c>
      <c r="AB30" s="8">
        <v>26060</v>
      </c>
      <c r="AC30" s="21" t="s">
        <v>1293</v>
      </c>
      <c r="AD30" s="8" t="s">
        <v>4119</v>
      </c>
      <c r="AE30" s="8" t="s">
        <v>4083</v>
      </c>
      <c r="AF30" s="9">
        <f t="shared" si="0"/>
        <v>13.793999999999999</v>
      </c>
      <c r="AG30" s="9">
        <f t="shared" si="1"/>
        <v>19.189999999999998</v>
      </c>
      <c r="AH30" s="9">
        <f t="shared" si="2"/>
        <v>0.39276485788113691</v>
      </c>
      <c r="AI30" s="9">
        <f t="shared" si="3"/>
        <v>0.15426423358638966</v>
      </c>
      <c r="AJ30" s="9">
        <f t="shared" si="4"/>
        <v>0.56832391414246486</v>
      </c>
      <c r="AK30" s="9">
        <f t="shared" si="5"/>
        <v>0.32299207138621178</v>
      </c>
      <c r="AL30" s="9">
        <f t="shared" si="6"/>
        <v>1.0670836392834693</v>
      </c>
      <c r="AM30" s="9">
        <f t="shared" si="7"/>
        <v>1.1386674932264531</v>
      </c>
      <c r="AN30" s="8" t="s">
        <v>1293</v>
      </c>
    </row>
    <row r="31" spans="13:40" ht="23">
      <c r="M31" s="8" t="s">
        <v>120</v>
      </c>
      <c r="N31" s="8" t="s">
        <v>125</v>
      </c>
      <c r="O31" s="8"/>
      <c r="P31" s="8"/>
      <c r="Q31" s="8"/>
      <c r="R31" s="8"/>
      <c r="S31" s="8"/>
      <c r="T31" s="8"/>
      <c r="U31" s="8"/>
      <c r="V31" s="8"/>
      <c r="W31" s="8" t="s">
        <v>120</v>
      </c>
      <c r="X31" s="8">
        <v>39.58</v>
      </c>
      <c r="Y31" s="8">
        <v>2.02</v>
      </c>
      <c r="Z31" s="9">
        <v>2.0299999999999998</v>
      </c>
      <c r="AA31" s="8">
        <v>3.5</v>
      </c>
      <c r="AB31" s="8">
        <v>31469</v>
      </c>
      <c r="AC31" s="21" t="s">
        <v>120</v>
      </c>
      <c r="AD31" s="8" t="s">
        <v>4119</v>
      </c>
      <c r="AE31" s="8" t="s">
        <v>4083</v>
      </c>
      <c r="AF31" s="9">
        <f t="shared" si="0"/>
        <v>7.07</v>
      </c>
      <c r="AG31" s="9">
        <f t="shared" si="1"/>
        <v>7.1749999999999989</v>
      </c>
      <c r="AH31" s="9">
        <f t="shared" si="2"/>
        <v>0.36175710594315241</v>
      </c>
      <c r="AI31" s="9">
        <f t="shared" si="3"/>
        <v>0.1308682037003652</v>
      </c>
      <c r="AJ31" s="9">
        <f t="shared" si="4"/>
        <v>0.29128969646130398</v>
      </c>
      <c r="AK31" s="9">
        <f t="shared" si="5"/>
        <v>8.4849687264518608E-2</v>
      </c>
      <c r="AL31" s="9">
        <f t="shared" si="6"/>
        <v>0.39897473224903035</v>
      </c>
      <c r="AM31" s="9">
        <f t="shared" si="7"/>
        <v>0.15918083697318547</v>
      </c>
      <c r="AN31" s="8" t="s">
        <v>120</v>
      </c>
    </row>
    <row r="32" spans="13:40" ht="23">
      <c r="M32" s="9" t="s">
        <v>2312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9" t="s">
        <v>2312</v>
      </c>
      <c r="X32" s="8">
        <v>41.66</v>
      </c>
      <c r="Y32" s="8">
        <v>2.44</v>
      </c>
      <c r="Z32" s="9">
        <v>3.22</v>
      </c>
      <c r="AA32" s="8">
        <v>2.4</v>
      </c>
      <c r="AB32" s="8">
        <v>39519</v>
      </c>
      <c r="AC32" s="22" t="s">
        <v>2312</v>
      </c>
      <c r="AD32" s="8" t="s">
        <v>4235</v>
      </c>
      <c r="AE32" s="8" t="s">
        <v>4083</v>
      </c>
      <c r="AF32" s="9">
        <f t="shared" si="0"/>
        <v>5.8559999999999999</v>
      </c>
      <c r="AG32" s="9">
        <f t="shared" si="1"/>
        <v>8.08</v>
      </c>
      <c r="AH32" s="9">
        <f t="shared" si="2"/>
        <v>0.24806201550387594</v>
      </c>
      <c r="AI32" s="9">
        <f t="shared" si="3"/>
        <v>6.1534763535845187E-2</v>
      </c>
      <c r="AJ32" s="9">
        <f t="shared" si="4"/>
        <v>0.24127191831363454</v>
      </c>
      <c r="AK32" s="9">
        <f t="shared" si="5"/>
        <v>5.8212138566741137E-2</v>
      </c>
      <c r="AL32" s="9">
        <f t="shared" si="6"/>
        <v>0.44929837443514503</v>
      </c>
      <c r="AM32" s="9">
        <f t="shared" si="7"/>
        <v>0.20186902927006378</v>
      </c>
      <c r="AN32" s="9" t="s">
        <v>2312</v>
      </c>
    </row>
    <row r="33" spans="13:40" ht="23">
      <c r="M33" s="8" t="s">
        <v>5299</v>
      </c>
      <c r="N33" s="8"/>
      <c r="O33" s="8"/>
      <c r="P33" s="8"/>
      <c r="Q33" s="8"/>
      <c r="R33" s="8"/>
      <c r="S33" s="8"/>
      <c r="T33" s="8"/>
      <c r="U33" s="8"/>
      <c r="V33" s="8"/>
      <c r="W33" s="8" t="s">
        <v>5299</v>
      </c>
      <c r="X33" s="8">
        <v>38.340000000000003</v>
      </c>
      <c r="Y33" s="8">
        <v>2.9</v>
      </c>
      <c r="Z33" s="9">
        <v>3.19</v>
      </c>
      <c r="AA33" s="8">
        <v>2.4</v>
      </c>
      <c r="AB33" s="8">
        <v>35877</v>
      </c>
      <c r="AC33" s="21" t="s">
        <v>5299</v>
      </c>
      <c r="AD33" s="8" t="s">
        <v>4119</v>
      </c>
      <c r="AE33" s="8" t="s">
        <v>4083</v>
      </c>
      <c r="AF33" s="9">
        <f t="shared" si="0"/>
        <v>6.96</v>
      </c>
      <c r="AG33" s="9">
        <f t="shared" si="1"/>
        <v>7.9599999999999991</v>
      </c>
      <c r="AH33" s="9">
        <f t="shared" si="2"/>
        <v>0.24806201550387594</v>
      </c>
      <c r="AI33" s="9">
        <f t="shared" si="3"/>
        <v>6.1534763535845187E-2</v>
      </c>
      <c r="AJ33" s="9">
        <f t="shared" si="4"/>
        <v>0.28675760783177873</v>
      </c>
      <c r="AK33" s="9">
        <f t="shared" si="5"/>
        <v>8.2229925649404206E-2</v>
      </c>
      <c r="AL33" s="9">
        <f t="shared" si="6"/>
        <v>0.4426256262999696</v>
      </c>
      <c r="AM33" s="9">
        <f t="shared" si="7"/>
        <v>0.19591744505744033</v>
      </c>
      <c r="AN33" s="8" t="s">
        <v>5299</v>
      </c>
    </row>
    <row r="34" spans="13:40" ht="23">
      <c r="M34" s="9" t="s">
        <v>2940</v>
      </c>
      <c r="N34" s="8" t="s">
        <v>1717</v>
      </c>
      <c r="O34" s="8"/>
      <c r="P34" s="8"/>
      <c r="Q34" s="8"/>
      <c r="R34" s="8"/>
      <c r="S34" s="8"/>
      <c r="T34" s="8"/>
      <c r="U34" s="8"/>
      <c r="V34" s="8"/>
      <c r="W34" s="9" t="s">
        <v>2940</v>
      </c>
      <c r="X34" s="8">
        <v>16.68</v>
      </c>
      <c r="Y34" s="8">
        <v>5.88</v>
      </c>
      <c r="Z34" s="9">
        <v>2.15</v>
      </c>
      <c r="AA34" s="8">
        <v>2.4</v>
      </c>
      <c r="AB34" s="8"/>
      <c r="AC34" s="22" t="s">
        <v>2940</v>
      </c>
      <c r="AD34" s="8" t="s">
        <v>4119</v>
      </c>
      <c r="AE34" s="8" t="s">
        <v>4083</v>
      </c>
      <c r="AF34" s="9">
        <f t="shared" si="0"/>
        <v>14.112</v>
      </c>
      <c r="AG34" s="9">
        <f t="shared" si="1"/>
        <v>5.3999999999999995</v>
      </c>
      <c r="AH34" s="9">
        <f t="shared" si="2"/>
        <v>0.24806201550387594</v>
      </c>
      <c r="AI34" s="9">
        <f t="shared" si="3"/>
        <v>6.1534763535845187E-2</v>
      </c>
      <c r="AJ34" s="9">
        <f t="shared" si="4"/>
        <v>0.58142577036236509</v>
      </c>
      <c r="AK34" s="9">
        <f t="shared" si="5"/>
        <v>0.3380559264414697</v>
      </c>
      <c r="AL34" s="9">
        <f t="shared" si="6"/>
        <v>0.30027366608289391</v>
      </c>
      <c r="AM34" s="9">
        <f t="shared" si="7"/>
        <v>9.0164274542861272E-2</v>
      </c>
      <c r="AN34" s="9" t="s">
        <v>2940</v>
      </c>
    </row>
    <row r="35" spans="13:40" ht="23">
      <c r="M35" s="9" t="s">
        <v>2544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9" t="s">
        <v>2544</v>
      </c>
      <c r="X35" s="8">
        <v>29.21</v>
      </c>
      <c r="Y35" s="8">
        <v>4.41</v>
      </c>
      <c r="Z35" s="9">
        <v>4.3899999999999997</v>
      </c>
      <c r="AA35" s="8">
        <v>2.2999999999999998</v>
      </c>
      <c r="AB35" s="8">
        <v>30370</v>
      </c>
      <c r="AC35" s="22" t="s">
        <v>2544</v>
      </c>
      <c r="AD35" s="8" t="s">
        <v>4119</v>
      </c>
      <c r="AE35" s="8" t="s">
        <v>4083</v>
      </c>
      <c r="AF35" s="9">
        <f t="shared" si="0"/>
        <v>10.142999999999999</v>
      </c>
      <c r="AG35" s="9">
        <f t="shared" si="1"/>
        <v>10.695</v>
      </c>
      <c r="AH35" s="9">
        <f t="shared" si="2"/>
        <v>0.23772609819121443</v>
      </c>
      <c r="AI35" s="9">
        <f t="shared" si="3"/>
        <v>5.6513697761218923E-2</v>
      </c>
      <c r="AJ35" s="9">
        <f t="shared" si="4"/>
        <v>0.4178997724479499</v>
      </c>
      <c r="AK35" s="9">
        <f t="shared" si="5"/>
        <v>0.1746402198120483</v>
      </c>
      <c r="AL35" s="9">
        <f t="shared" si="6"/>
        <v>0.59470867754750945</v>
      </c>
      <c r="AM35" s="9">
        <f t="shared" si="7"/>
        <v>0.35367841115030757</v>
      </c>
      <c r="AN35" s="9" t="s">
        <v>2544</v>
      </c>
    </row>
    <row r="36" spans="13:40" ht="23">
      <c r="M36" s="8" t="s">
        <v>1187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8" t="s">
        <v>1187</v>
      </c>
      <c r="X36" s="8">
        <v>30.52</v>
      </c>
      <c r="Y36" s="8">
        <v>2.5499999999999998</v>
      </c>
      <c r="Z36" s="9">
        <v>4.25</v>
      </c>
      <c r="AA36" s="8">
        <v>1.6</v>
      </c>
      <c r="AB36" s="8">
        <v>44126</v>
      </c>
      <c r="AC36" s="21" t="s">
        <v>1187</v>
      </c>
      <c r="AD36" s="8" t="s">
        <v>4119</v>
      </c>
      <c r="AE36" s="8" t="s">
        <v>4083</v>
      </c>
      <c r="AF36" s="9">
        <f t="shared" si="0"/>
        <v>4.08</v>
      </c>
      <c r="AG36" s="9">
        <f t="shared" si="1"/>
        <v>7.0666666666666673</v>
      </c>
      <c r="AH36" s="9">
        <f t="shared" si="2"/>
        <v>0.16537467700258399</v>
      </c>
      <c r="AI36" s="9">
        <f t="shared" si="3"/>
        <v>2.7348783793708982E-2</v>
      </c>
      <c r="AJ36" s="9">
        <f t="shared" si="4"/>
        <v>0.1680992873496634</v>
      </c>
      <c r="AK36" s="9">
        <f t="shared" si="5"/>
        <v>2.8257370407464705E-2</v>
      </c>
      <c r="AL36" s="9">
        <f t="shared" si="6"/>
        <v>0.392950723515886</v>
      </c>
      <c r="AM36" s="9">
        <f t="shared" si="7"/>
        <v>0.15441027111165828</v>
      </c>
      <c r="AN36" s="8" t="s">
        <v>1187</v>
      </c>
    </row>
    <row r="37" spans="13:40" ht="23">
      <c r="M37" s="9" t="s">
        <v>2163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9" t="s">
        <v>2163</v>
      </c>
      <c r="X37" s="8">
        <v>32.799999999999997</v>
      </c>
      <c r="Y37" s="8">
        <v>2.19</v>
      </c>
      <c r="Z37" s="9">
        <v>7.24</v>
      </c>
      <c r="AA37" s="8">
        <v>1.5</v>
      </c>
      <c r="AB37" s="8">
        <v>64672</v>
      </c>
      <c r="AC37" s="22" t="s">
        <v>2163</v>
      </c>
      <c r="AD37" s="8" t="s">
        <v>4119</v>
      </c>
      <c r="AE37" s="8" t="s">
        <v>4083</v>
      </c>
      <c r="AF37" s="9">
        <f t="shared" si="0"/>
        <v>3.2850000000000001</v>
      </c>
      <c r="AG37" s="9">
        <f t="shared" si="1"/>
        <v>11.100000000000001</v>
      </c>
      <c r="AH37" s="9">
        <f t="shared" si="2"/>
        <v>0.15503875968992248</v>
      </c>
      <c r="AI37" s="9">
        <f t="shared" si="3"/>
        <v>2.4037017006189532E-2</v>
      </c>
      <c r="AJ37" s="9">
        <f t="shared" si="4"/>
        <v>0.13534464679991282</v>
      </c>
      <c r="AK37" s="9">
        <f t="shared" si="5"/>
        <v>1.8318173417393151E-2</v>
      </c>
      <c r="AL37" s="9">
        <f t="shared" si="6"/>
        <v>0.61722920250372648</v>
      </c>
      <c r="AM37" s="9">
        <f t="shared" si="7"/>
        <v>0.3809718884233862</v>
      </c>
      <c r="AN37" s="9" t="s">
        <v>2163</v>
      </c>
    </row>
    <row r="38" spans="13:40" ht="23">
      <c r="M38" s="8" t="s">
        <v>602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8" t="s">
        <v>602</v>
      </c>
      <c r="X38" s="8">
        <v>39.4</v>
      </c>
      <c r="Y38" s="8">
        <v>2.44</v>
      </c>
      <c r="Z38" s="9">
        <v>3.06</v>
      </c>
      <c r="AA38" s="8">
        <v>1.4</v>
      </c>
      <c r="AB38" s="8">
        <v>53808</v>
      </c>
      <c r="AC38" s="21" t="s">
        <v>602</v>
      </c>
      <c r="AD38" s="8" t="s">
        <v>4119</v>
      </c>
      <c r="AE38" s="8" t="s">
        <v>4083</v>
      </c>
      <c r="AF38" s="9">
        <f t="shared" si="0"/>
        <v>3.4159999999999999</v>
      </c>
      <c r="AG38" s="9">
        <f t="shared" si="1"/>
        <v>4.34</v>
      </c>
      <c r="AH38" s="9">
        <f t="shared" si="2"/>
        <v>0.14470284237726097</v>
      </c>
      <c r="AI38" s="9">
        <f t="shared" si="3"/>
        <v>2.0938912592058434E-2</v>
      </c>
      <c r="AJ38" s="9">
        <f t="shared" si="4"/>
        <v>0.14074195234962011</v>
      </c>
      <c r="AK38" s="9">
        <f t="shared" si="5"/>
        <v>1.9808297151182739E-2</v>
      </c>
      <c r="AL38" s="9">
        <f t="shared" si="6"/>
        <v>0.24133105755551107</v>
      </c>
      <c r="AM38" s="9">
        <f t="shared" si="7"/>
        <v>5.8240679340861398E-2</v>
      </c>
      <c r="AN38" s="8" t="s">
        <v>602</v>
      </c>
    </row>
    <row r="39" spans="13:40" ht="23"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9"/>
      <c r="AA39" s="8">
        <f>SUBTOTAL(109,Table13649[ترافیک کل])</f>
        <v>967.5</v>
      </c>
      <c r="AB39" s="8"/>
      <c r="AC39" s="21"/>
      <c r="AD39" s="8"/>
      <c r="AE39" s="8"/>
      <c r="AF39" s="9">
        <f>SUBTOTAL(109,Table13649[[مجموع صفحات  مشاهده شده   ]])</f>
        <v>2427.1370000000002</v>
      </c>
      <c r="AG39" s="9">
        <f>SUBTOTAL(109,Table13649[[مجموع زمان حضور در سایت ]])</f>
        <v>1798.3594999999996</v>
      </c>
      <c r="AH39" s="9">
        <f>SUBTOTAL(109,Table13649[سهم سایت از کل ترافیک طبقه بندی])</f>
        <v>100</v>
      </c>
      <c r="AI39" s="9">
        <f>SUBTOTAL(109,Table13649[شاخص هرفیندال هیرشمن (ترافیک)])</f>
        <v>1051.7488665878777</v>
      </c>
      <c r="AJ39" s="9">
        <f>SUBTOTAL(109,Table13649[سهم سایت از کل صفحات مشاهده شده در طبقه بندی])</f>
        <v>99.999999999999972</v>
      </c>
      <c r="AK39" s="9">
        <f>SUBTOTAL(109,Table13649[شاخص هرفیندال -هیرشمن (صفحات مشاهده شده )])</f>
        <v>922.7585054196735</v>
      </c>
      <c r="AL39" s="9">
        <f>SUBTOTAL(109,Table13649[سهم سایت از کل زمان حضور در طبقه بندی])</f>
        <v>99.999999999999972</v>
      </c>
      <c r="AM39" s="9">
        <f>SUBTOTAL(109,Table13649[شاخص هرفیندال هیرشمن (زمان حضور)])</f>
        <v>1148.8233042753898</v>
      </c>
      <c r="AN39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{11CC3E46-D97C-492A-929A-AD12DAAB45B7}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{F41E41A6-DBD3-4941-B8F7-A78ABA6E7D4B}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{AD502A71-C4F1-4AE3-BC5F-3E6D63D8CBA5}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{A00CFC20-6DCA-4C20-8049-24AA4922F894}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{26326140-A2EA-47F8-8832-558DEFC846B8}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{E8109909-DC63-4AF2-B32C-1B3894E4F4B7}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CC3E46-D97C-492A-929A-AD12DAAB45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41E41A6-DBD3-4941-B8F7-A78ABA6E7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D502A71-C4F1-4AE3-BC5F-3E6D63D8CBA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00CFC20-6DCA-4C20-8049-24AA4922F8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6326140-A2EA-47F8-8832-558DEFC846B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E8109909-DC63-4AF2-B32C-1B3894E4F4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1"/>
  <sheetViews>
    <sheetView showGridLines="0" rightToLeft="1" topLeftCell="AA1" zoomScale="85" zoomScaleNormal="85" workbookViewId="0">
      <selection activeCell="AC21" sqref="AC2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30.6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585</v>
      </c>
      <c r="N2" s="8" t="s">
        <v>150</v>
      </c>
      <c r="O2" s="8"/>
      <c r="P2" s="8" t="s">
        <v>3692</v>
      </c>
      <c r="Q2" s="8"/>
      <c r="R2" s="8"/>
      <c r="S2" s="8"/>
      <c r="T2" s="8"/>
      <c r="U2" s="8"/>
      <c r="V2" s="8"/>
      <c r="W2" s="8" t="s">
        <v>585</v>
      </c>
      <c r="X2" s="8">
        <v>15.92</v>
      </c>
      <c r="Y2" s="8">
        <v>7.12</v>
      </c>
      <c r="Z2" s="9">
        <v>5.1100000000000003</v>
      </c>
      <c r="AA2" s="8">
        <v>538.79999999999995</v>
      </c>
      <c r="AB2" s="8">
        <v>1123</v>
      </c>
      <c r="AC2" s="21" t="s">
        <v>585</v>
      </c>
      <c r="AD2" s="8" t="s">
        <v>4236</v>
      </c>
      <c r="AE2" s="8"/>
      <c r="AF2" s="9">
        <f t="shared" ref="AF2:AF20" si="0">(AA2*Y2)</f>
        <v>3836.2559999999999</v>
      </c>
      <c r="AG2" s="9">
        <f t="shared" ref="AG2:AG20" si="1">((((RIGHT(Z2,2))/60)+(LEFT(Z2,2)))*AA2)</f>
        <v>2792.7799999999997</v>
      </c>
      <c r="AH2" s="9">
        <f t="shared" ref="AH2:AH20" si="2">(AA2/$AA$21)*100</f>
        <v>36.025675314255139</v>
      </c>
      <c r="AI2" s="9">
        <f t="shared" ref="AI2:AI20" si="3">(AH2*AH2)</f>
        <v>1297.849281848132</v>
      </c>
      <c r="AJ2" s="9">
        <f t="shared" ref="AJ2:AJ20" si="4">(AF2/$AF$21)*100</f>
        <v>56.823370799298623</v>
      </c>
      <c r="AK2" s="9">
        <f t="shared" ref="AK2:AK20" si="5">(AJ2*AJ2)</f>
        <v>3228.8954689945836</v>
      </c>
      <c r="AL2" s="9">
        <f t="shared" ref="AL2:AL20" si="6">(AG2/$AG$21)*100</f>
        <v>66.436319034906106</v>
      </c>
      <c r="AM2" s="9">
        <f t="shared" ref="AM2:AM20" si="7">(AL2*AL2)</f>
        <v>4413.7844869078272</v>
      </c>
      <c r="AN2" s="8" t="s">
        <v>585</v>
      </c>
    </row>
    <row r="3" spans="8:40" ht="23">
      <c r="M3" s="9" t="s">
        <v>3168</v>
      </c>
      <c r="N3" s="8" t="s">
        <v>1869</v>
      </c>
      <c r="O3" s="8"/>
      <c r="P3" s="8"/>
      <c r="Q3" s="8"/>
      <c r="R3" s="8"/>
      <c r="S3" s="8"/>
      <c r="T3" s="8"/>
      <c r="U3" s="8"/>
      <c r="V3" s="8"/>
      <c r="W3" s="9" t="s">
        <v>3168</v>
      </c>
      <c r="X3" s="8">
        <v>26.68</v>
      </c>
      <c r="Y3" s="8">
        <v>1.72</v>
      </c>
      <c r="Z3" s="9">
        <v>0.39</v>
      </c>
      <c r="AA3" s="8">
        <v>170.8</v>
      </c>
      <c r="AB3" s="8">
        <v>5695</v>
      </c>
      <c r="AC3" s="22" t="s">
        <v>3168</v>
      </c>
      <c r="AD3" s="8" t="s">
        <v>4236</v>
      </c>
      <c r="AE3" s="8"/>
      <c r="AF3" s="9">
        <f t="shared" si="0"/>
        <v>293.77600000000001</v>
      </c>
      <c r="AG3" s="9">
        <f t="shared" si="1"/>
        <v>111.02000000000001</v>
      </c>
      <c r="AH3" s="9">
        <f t="shared" si="2"/>
        <v>11.420165819737898</v>
      </c>
      <c r="AI3" s="9">
        <f t="shared" si="3"/>
        <v>130.42018735030976</v>
      </c>
      <c r="AJ3" s="9">
        <f t="shared" si="4"/>
        <v>4.3514673108193911</v>
      </c>
      <c r="AK3" s="9">
        <f t="shared" si="5"/>
        <v>18.935267757129743</v>
      </c>
      <c r="AL3" s="9">
        <f t="shared" si="6"/>
        <v>2.6410100828763015</v>
      </c>
      <c r="AM3" s="9">
        <f t="shared" si="7"/>
        <v>6.9749342578542883</v>
      </c>
      <c r="AN3" s="9" t="s">
        <v>3168</v>
      </c>
    </row>
    <row r="4" spans="8:40" ht="23">
      <c r="M4" s="8" t="s">
        <v>1512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1512</v>
      </c>
      <c r="X4" s="8">
        <v>5.32</v>
      </c>
      <c r="Y4" s="8">
        <v>1.95</v>
      </c>
      <c r="Z4" s="9">
        <v>0.33</v>
      </c>
      <c r="AA4" s="8">
        <v>164.9</v>
      </c>
      <c r="AB4" s="8">
        <v>8973</v>
      </c>
      <c r="AC4" s="21" t="s">
        <v>1512</v>
      </c>
      <c r="AD4" s="8" t="s">
        <v>4236</v>
      </c>
      <c r="AE4" s="8"/>
      <c r="AF4" s="9">
        <f t="shared" si="0"/>
        <v>321.55500000000001</v>
      </c>
      <c r="AG4" s="9">
        <f t="shared" si="1"/>
        <v>90.695000000000007</v>
      </c>
      <c r="AH4" s="9">
        <f t="shared" si="2"/>
        <v>11.025675314255148</v>
      </c>
      <c r="AI4" s="9">
        <f t="shared" si="3"/>
        <v>121.56551613537535</v>
      </c>
      <c r="AJ4" s="9">
        <f t="shared" si="4"/>
        <v>4.7629352674504704</v>
      </c>
      <c r="AK4" s="9">
        <f t="shared" si="5"/>
        <v>22.685552361923484</v>
      </c>
      <c r="AL4" s="9">
        <f t="shared" si="6"/>
        <v>2.1575068408076574</v>
      </c>
      <c r="AM4" s="9">
        <f t="shared" si="7"/>
        <v>4.6548357681318384</v>
      </c>
      <c r="AN4" s="8" t="s">
        <v>1512</v>
      </c>
    </row>
    <row r="5" spans="8:40" ht="23">
      <c r="M5" s="8" t="s">
        <v>1327</v>
      </c>
      <c r="N5" s="8" t="s">
        <v>150</v>
      </c>
      <c r="O5" s="8"/>
      <c r="P5" s="8" t="s">
        <v>3691</v>
      </c>
      <c r="Q5" s="8"/>
      <c r="R5" s="8"/>
      <c r="S5" s="8"/>
      <c r="T5" s="8"/>
      <c r="U5" s="8"/>
      <c r="V5" s="8"/>
      <c r="W5" s="8" t="s">
        <v>1327</v>
      </c>
      <c r="X5" s="8">
        <v>23.89</v>
      </c>
      <c r="Y5" s="8">
        <v>4.3600000000000003</v>
      </c>
      <c r="Z5" s="9">
        <v>4.04</v>
      </c>
      <c r="AA5" s="8">
        <v>142.9</v>
      </c>
      <c r="AB5" s="8">
        <v>1832</v>
      </c>
      <c r="AC5" s="21" t="s">
        <v>1327</v>
      </c>
      <c r="AD5" s="8" t="s">
        <v>4236</v>
      </c>
      <c r="AE5" s="8"/>
      <c r="AF5" s="9">
        <f t="shared" si="0"/>
        <v>623.0440000000001</v>
      </c>
      <c r="AG5" s="9">
        <f t="shared" si="1"/>
        <v>581.12666666666667</v>
      </c>
      <c r="AH5" s="9">
        <f t="shared" si="2"/>
        <v>9.5546937683872688</v>
      </c>
      <c r="AI5" s="9">
        <f t="shared" si="3"/>
        <v>91.292173007658505</v>
      </c>
      <c r="AJ5" s="9">
        <f t="shared" si="4"/>
        <v>9.2286490360075586</v>
      </c>
      <c r="AK5" s="9">
        <f t="shared" si="5"/>
        <v>85.167963029803246</v>
      </c>
      <c r="AL5" s="9">
        <f t="shared" si="6"/>
        <v>13.824188309268257</v>
      </c>
      <c r="AM5" s="9">
        <f t="shared" si="7"/>
        <v>191.10818241010915</v>
      </c>
      <c r="AN5" s="8" t="s">
        <v>1327</v>
      </c>
    </row>
    <row r="6" spans="8:40" ht="23">
      <c r="M6" s="9" t="s">
        <v>3073</v>
      </c>
      <c r="N6" s="8" t="s">
        <v>1814</v>
      </c>
      <c r="O6" s="8"/>
      <c r="P6" s="8"/>
      <c r="Q6" s="8"/>
      <c r="R6" s="8"/>
      <c r="S6" s="8"/>
      <c r="T6" s="8"/>
      <c r="U6" s="8"/>
      <c r="V6" s="8"/>
      <c r="W6" s="9" t="s">
        <v>3073</v>
      </c>
      <c r="X6" s="8">
        <v>2.99</v>
      </c>
      <c r="Y6" s="8">
        <v>2.16</v>
      </c>
      <c r="Z6" s="9">
        <v>0.17</v>
      </c>
      <c r="AA6" s="8">
        <v>125.4</v>
      </c>
      <c r="AB6" s="8">
        <v>12509</v>
      </c>
      <c r="AC6" s="22" t="s">
        <v>3073</v>
      </c>
      <c r="AD6" s="8" t="s">
        <v>4236</v>
      </c>
      <c r="AE6" s="8"/>
      <c r="AF6" s="9">
        <f t="shared" si="0"/>
        <v>270.86400000000003</v>
      </c>
      <c r="AG6" s="9">
        <f t="shared" si="1"/>
        <v>35.53</v>
      </c>
      <c r="AH6" s="9">
        <f t="shared" si="2"/>
        <v>8.3845948114469095</v>
      </c>
      <c r="AI6" s="9">
        <f t="shared" si="3"/>
        <v>70.30143015214243</v>
      </c>
      <c r="AJ6" s="9">
        <f t="shared" si="4"/>
        <v>4.0120903058036861</v>
      </c>
      <c r="AK6" s="9">
        <f t="shared" si="5"/>
        <v>16.096868621923914</v>
      </c>
      <c r="AL6" s="9">
        <f t="shared" si="6"/>
        <v>0.84520886547104113</v>
      </c>
      <c r="AM6" s="9">
        <f t="shared" si="7"/>
        <v>0.71437802627084446</v>
      </c>
      <c r="AN6" s="9" t="s">
        <v>3073</v>
      </c>
    </row>
    <row r="7" spans="8:40" ht="23">
      <c r="M7" s="8" t="s">
        <v>503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503</v>
      </c>
      <c r="X7" s="8">
        <v>7.3</v>
      </c>
      <c r="Y7" s="8">
        <v>6.19</v>
      </c>
      <c r="Z7" s="9">
        <v>1.08</v>
      </c>
      <c r="AA7" s="8">
        <v>118.9</v>
      </c>
      <c r="AB7" s="8">
        <v>4453</v>
      </c>
      <c r="AC7" s="21" t="s">
        <v>503</v>
      </c>
      <c r="AD7" s="8" t="s">
        <v>4236</v>
      </c>
      <c r="AE7" s="8"/>
      <c r="AF7" s="9">
        <f t="shared" si="0"/>
        <v>735.9910000000001</v>
      </c>
      <c r="AG7" s="9">
        <f t="shared" si="1"/>
        <v>134.75333333333333</v>
      </c>
      <c r="AH7" s="9">
        <f t="shared" si="2"/>
        <v>7.9499866274404916</v>
      </c>
      <c r="AI7" s="9">
        <f t="shared" si="3"/>
        <v>63.202287376482644</v>
      </c>
      <c r="AJ7" s="9">
        <f t="shared" si="4"/>
        <v>10.901641991031516</v>
      </c>
      <c r="AK7" s="9">
        <f t="shared" si="5"/>
        <v>118.84579810062159</v>
      </c>
      <c r="AL7" s="9">
        <f t="shared" si="6"/>
        <v>3.2055927944021305</v>
      </c>
      <c r="AM7" s="9">
        <f t="shared" si="7"/>
        <v>10.27582516352286</v>
      </c>
      <c r="AN7" s="8" t="s">
        <v>503</v>
      </c>
    </row>
    <row r="8" spans="8:40" ht="23">
      <c r="M8" s="8" t="s">
        <v>749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749</v>
      </c>
      <c r="X8" s="8">
        <v>31.57</v>
      </c>
      <c r="Y8" s="8">
        <v>1.85</v>
      </c>
      <c r="Z8" s="9">
        <v>1</v>
      </c>
      <c r="AA8" s="8">
        <v>55.4</v>
      </c>
      <c r="AB8" s="8">
        <v>7844</v>
      </c>
      <c r="AC8" s="21" t="s">
        <v>749</v>
      </c>
      <c r="AD8" s="8" t="s">
        <v>4236</v>
      </c>
      <c r="AE8" s="8"/>
      <c r="AF8" s="9">
        <f t="shared" si="0"/>
        <v>102.49000000000001</v>
      </c>
      <c r="AG8" s="9">
        <f t="shared" si="1"/>
        <v>56.323333333333331</v>
      </c>
      <c r="AH8" s="9">
        <f t="shared" si="2"/>
        <v>3.704198983685477</v>
      </c>
      <c r="AI8" s="9">
        <f t="shared" si="3"/>
        <v>13.721090110736521</v>
      </c>
      <c r="AJ8" s="9">
        <f t="shared" si="4"/>
        <v>1.5181018350235533</v>
      </c>
      <c r="AK8" s="9">
        <f t="shared" si="5"/>
        <v>2.3046331815018801</v>
      </c>
      <c r="AL8" s="9">
        <f t="shared" si="6"/>
        <v>1.3398531006533616</v>
      </c>
      <c r="AM8" s="9">
        <f t="shared" si="7"/>
        <v>1.7952063313304272</v>
      </c>
      <c r="AN8" s="8" t="s">
        <v>749</v>
      </c>
    </row>
    <row r="9" spans="8:40" ht="23">
      <c r="M9" s="8" t="s">
        <v>5180</v>
      </c>
      <c r="N9" s="8" t="s">
        <v>1869</v>
      </c>
      <c r="O9" s="8"/>
      <c r="P9" s="8"/>
      <c r="Q9" s="8"/>
      <c r="R9" s="8"/>
      <c r="S9" s="8"/>
      <c r="T9" s="8"/>
      <c r="U9" s="8"/>
      <c r="V9" s="8"/>
      <c r="W9" s="21" t="s">
        <v>5180</v>
      </c>
      <c r="X9" s="8">
        <v>35.44</v>
      </c>
      <c r="Y9" s="8">
        <v>1.08</v>
      </c>
      <c r="Z9" s="9">
        <v>0.03</v>
      </c>
      <c r="AA9" s="8">
        <v>41.8</v>
      </c>
      <c r="AB9" s="8">
        <v>53375</v>
      </c>
      <c r="AC9" s="21" t="s">
        <v>5180</v>
      </c>
      <c r="AD9" s="8" t="s">
        <v>4236</v>
      </c>
      <c r="AE9" s="8"/>
      <c r="AF9" s="9">
        <f t="shared" si="0"/>
        <v>45.143999999999998</v>
      </c>
      <c r="AG9" s="9">
        <f t="shared" si="1"/>
        <v>2.09</v>
      </c>
      <c r="AH9" s="9">
        <f t="shared" si="2"/>
        <v>2.79486493714897</v>
      </c>
      <c r="AI9" s="9">
        <f t="shared" si="3"/>
        <v>7.8112700169047162</v>
      </c>
      <c r="AJ9" s="9">
        <f t="shared" si="4"/>
        <v>0.66868171763394757</v>
      </c>
      <c r="AK9" s="9">
        <f t="shared" si="5"/>
        <v>0.44713523949788636</v>
      </c>
      <c r="AL9" s="9">
        <f t="shared" si="6"/>
        <v>4.9718168557120059E-2</v>
      </c>
      <c r="AM9" s="9">
        <f t="shared" si="7"/>
        <v>2.4718962846742016E-3</v>
      </c>
      <c r="AN9" s="8"/>
    </row>
    <row r="10" spans="8:40" ht="23">
      <c r="M10" s="9" t="s">
        <v>3312</v>
      </c>
      <c r="N10" s="8" t="s">
        <v>1939</v>
      </c>
      <c r="O10" s="8"/>
      <c r="P10" s="8"/>
      <c r="Q10" s="8"/>
      <c r="R10" s="8"/>
      <c r="S10" s="8"/>
      <c r="T10" s="8"/>
      <c r="U10" s="8"/>
      <c r="V10" s="8"/>
      <c r="W10" s="9" t="s">
        <v>3312</v>
      </c>
      <c r="X10" s="8">
        <v>2.74</v>
      </c>
      <c r="Y10" s="8">
        <v>3.06</v>
      </c>
      <c r="Z10" s="9">
        <v>0.59</v>
      </c>
      <c r="AA10" s="8">
        <v>31.5</v>
      </c>
      <c r="AB10" s="8">
        <v>24584</v>
      </c>
      <c r="AC10" s="22" t="s">
        <v>3312</v>
      </c>
      <c r="AD10" s="8" t="s">
        <v>4236</v>
      </c>
      <c r="AE10" s="8"/>
      <c r="AF10" s="9">
        <f t="shared" si="0"/>
        <v>96.39</v>
      </c>
      <c r="AG10" s="9">
        <f t="shared" si="1"/>
        <v>30.974999999999998</v>
      </c>
      <c r="AH10" s="9">
        <f t="shared" si="2"/>
        <v>2.1061781224926452</v>
      </c>
      <c r="AI10" s="9">
        <f t="shared" si="3"/>
        <v>4.4359862836666437</v>
      </c>
      <c r="AJ10" s="9">
        <f t="shared" si="4"/>
        <v>1.4277474473404264</v>
      </c>
      <c r="AK10" s="9">
        <f t="shared" si="5"/>
        <v>2.0384627733871037</v>
      </c>
      <c r="AL10" s="9">
        <f t="shared" si="6"/>
        <v>0.73685180433339414</v>
      </c>
      <c r="AM10" s="9">
        <f t="shared" si="7"/>
        <v>0.54295058154937859</v>
      </c>
      <c r="AN10" s="9" t="s">
        <v>3312</v>
      </c>
    </row>
    <row r="11" spans="8:40" ht="23">
      <c r="M11" s="8" t="s">
        <v>914</v>
      </c>
      <c r="N11" s="8" t="s">
        <v>150</v>
      </c>
      <c r="O11" s="8"/>
      <c r="P11" s="8" t="s">
        <v>3691</v>
      </c>
      <c r="Q11" s="8"/>
      <c r="R11" s="8"/>
      <c r="S11" s="8"/>
      <c r="T11" s="8"/>
      <c r="U11" s="8"/>
      <c r="V11" s="8"/>
      <c r="W11" s="8" t="s">
        <v>914</v>
      </c>
      <c r="X11" s="8">
        <v>16.23</v>
      </c>
      <c r="Y11" s="8">
        <v>4.45</v>
      </c>
      <c r="Z11" s="9">
        <v>3.4</v>
      </c>
      <c r="AA11" s="8">
        <v>25</v>
      </c>
      <c r="AB11" s="8">
        <v>6844</v>
      </c>
      <c r="AC11" s="21" t="s">
        <v>914</v>
      </c>
      <c r="AD11" s="8" t="s">
        <v>4236</v>
      </c>
      <c r="AE11" s="8"/>
      <c r="AF11" s="9">
        <f t="shared" si="0"/>
        <v>111.25</v>
      </c>
      <c r="AG11" s="9">
        <f t="shared" si="1"/>
        <v>75.166666666666671</v>
      </c>
      <c r="AH11" s="9">
        <f t="shared" si="2"/>
        <v>1.6715699384862261</v>
      </c>
      <c r="AI11" s="9">
        <f t="shared" si="3"/>
        <v>2.794146059250846</v>
      </c>
      <c r="AJ11" s="9">
        <f t="shared" si="4"/>
        <v>1.6478566606144041</v>
      </c>
      <c r="AK11" s="9">
        <f t="shared" si="5"/>
        <v>2.7154315739312551</v>
      </c>
      <c r="AL11" s="9">
        <f t="shared" si="6"/>
        <v>1.7881095709139674</v>
      </c>
      <c r="AM11" s="9">
        <f t="shared" si="7"/>
        <v>3.1973358375941325</v>
      </c>
      <c r="AN11" s="8" t="s">
        <v>914</v>
      </c>
    </row>
    <row r="12" spans="8:40" ht="23">
      <c r="M12" s="8" t="s">
        <v>961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961</v>
      </c>
      <c r="X12" s="8">
        <v>9.83</v>
      </c>
      <c r="Y12" s="8">
        <v>3.97</v>
      </c>
      <c r="Z12" s="9">
        <v>3.09</v>
      </c>
      <c r="AA12" s="8">
        <v>21.5</v>
      </c>
      <c r="AB12" s="8">
        <v>6918</v>
      </c>
      <c r="AC12" s="21" t="s">
        <v>961</v>
      </c>
      <c r="AD12" s="8" t="s">
        <v>4236</v>
      </c>
      <c r="AE12" s="8"/>
      <c r="AF12" s="9">
        <f t="shared" si="0"/>
        <v>85.355000000000004</v>
      </c>
      <c r="AG12" s="9">
        <f t="shared" si="1"/>
        <v>67.724999999999994</v>
      </c>
      <c r="AH12" s="9">
        <f t="shared" si="2"/>
        <v>1.4375501470981544</v>
      </c>
      <c r="AI12" s="9">
        <f t="shared" si="3"/>
        <v>2.0665504254219256</v>
      </c>
      <c r="AJ12" s="9">
        <f t="shared" si="4"/>
        <v>1.2642948788021797</v>
      </c>
      <c r="AK12" s="9">
        <f t="shared" si="5"/>
        <v>1.5984415405654182</v>
      </c>
      <c r="AL12" s="9">
        <f t="shared" si="6"/>
        <v>1.6110827586272518</v>
      </c>
      <c r="AM12" s="9">
        <f t="shared" si="7"/>
        <v>2.5955876551459958</v>
      </c>
      <c r="AN12" s="8" t="s">
        <v>961</v>
      </c>
    </row>
    <row r="13" spans="8:40" ht="23">
      <c r="M13" s="8" t="s">
        <v>164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164</v>
      </c>
      <c r="X13" s="8">
        <v>6.72</v>
      </c>
      <c r="Y13" s="8">
        <v>1.84</v>
      </c>
      <c r="Z13" s="9">
        <v>0.4</v>
      </c>
      <c r="AA13" s="8">
        <v>18.8</v>
      </c>
      <c r="AB13" s="8">
        <v>18913</v>
      </c>
      <c r="AC13" s="21" t="s">
        <v>164</v>
      </c>
      <c r="AD13" s="8" t="s">
        <v>4236</v>
      </c>
      <c r="AE13" s="8"/>
      <c r="AF13" s="9">
        <f t="shared" si="0"/>
        <v>34.592000000000006</v>
      </c>
      <c r="AG13" s="9">
        <f t="shared" si="1"/>
        <v>0.12533333333333335</v>
      </c>
      <c r="AH13" s="9">
        <f t="shared" si="2"/>
        <v>1.2570205937416421</v>
      </c>
      <c r="AI13" s="9">
        <f t="shared" si="3"/>
        <v>1.5801007730905905</v>
      </c>
      <c r="AJ13" s="9">
        <f t="shared" si="4"/>
        <v>0.51238343913684026</v>
      </c>
      <c r="AK13" s="9">
        <f t="shared" si="5"/>
        <v>0.26253678870169611</v>
      </c>
      <c r="AL13" s="9">
        <f t="shared" si="6"/>
        <v>2.9815042069341541E-3</v>
      </c>
      <c r="AM13" s="9">
        <f t="shared" si="7"/>
        <v>8.8893673359660586E-6</v>
      </c>
      <c r="AN13" s="8" t="s">
        <v>164</v>
      </c>
    </row>
    <row r="14" spans="8:40" ht="23">
      <c r="M14" s="9" t="s">
        <v>2405</v>
      </c>
      <c r="N14" s="8" t="s">
        <v>150</v>
      </c>
      <c r="O14" s="8"/>
      <c r="P14" s="8" t="s">
        <v>3693</v>
      </c>
      <c r="Q14" s="8"/>
      <c r="R14" s="8"/>
      <c r="S14" s="8"/>
      <c r="T14" s="8"/>
      <c r="U14" s="8"/>
      <c r="V14" s="8"/>
      <c r="W14" s="9" t="s">
        <v>2405</v>
      </c>
      <c r="X14" s="8">
        <v>21.86</v>
      </c>
      <c r="Y14" s="8">
        <v>6.79</v>
      </c>
      <c r="Z14" s="9">
        <v>10.35</v>
      </c>
      <c r="AA14" s="8">
        <v>14.2</v>
      </c>
      <c r="AB14" s="8">
        <v>6821</v>
      </c>
      <c r="AC14" s="22" t="s">
        <v>2405</v>
      </c>
      <c r="AD14" s="8" t="s">
        <v>4236</v>
      </c>
      <c r="AE14" s="8"/>
      <c r="AF14" s="9">
        <f t="shared" si="0"/>
        <v>96.417999999999992</v>
      </c>
      <c r="AG14" s="9">
        <f t="shared" si="1"/>
        <v>150.28333333333333</v>
      </c>
      <c r="AH14" s="9">
        <f t="shared" si="2"/>
        <v>0.94945172506017639</v>
      </c>
      <c r="AI14" s="9">
        <f t="shared" si="3"/>
        <v>0.90145857821974473</v>
      </c>
      <c r="AJ14" s="9">
        <f t="shared" si="4"/>
        <v>1.4281621887920866</v>
      </c>
      <c r="AK14" s="9">
        <f t="shared" si="5"/>
        <v>2.0396472374954033</v>
      </c>
      <c r="AL14" s="9">
        <f t="shared" si="6"/>
        <v>3.5750297119581469</v>
      </c>
      <c r="AM14" s="9">
        <f t="shared" si="7"/>
        <v>12.78083744138355</v>
      </c>
      <c r="AN14" s="9" t="s">
        <v>2405</v>
      </c>
    </row>
    <row r="15" spans="8:40" ht="23">
      <c r="M15" s="9" t="s">
        <v>4605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9" t="s">
        <v>4605</v>
      </c>
      <c r="X15" s="8">
        <v>69.209999999999994</v>
      </c>
      <c r="Y15" s="8">
        <v>1.29</v>
      </c>
      <c r="Z15" s="9">
        <v>0.15</v>
      </c>
      <c r="AA15" s="8">
        <v>8</v>
      </c>
      <c r="AB15" s="8">
        <v>55165</v>
      </c>
      <c r="AC15" s="22" t="s">
        <v>4605</v>
      </c>
      <c r="AD15" s="8" t="s">
        <v>4236</v>
      </c>
      <c r="AE15" s="8"/>
      <c r="AF15" s="9">
        <f t="shared" si="0"/>
        <v>10.32</v>
      </c>
      <c r="AG15" s="9">
        <f t="shared" si="1"/>
        <v>2</v>
      </c>
      <c r="AH15" s="9">
        <f t="shared" si="2"/>
        <v>0.53490238031559234</v>
      </c>
      <c r="AI15" s="9">
        <f t="shared" si="3"/>
        <v>0.28612055646728657</v>
      </c>
      <c r="AJ15" s="9">
        <f t="shared" si="4"/>
        <v>0.15286184932620811</v>
      </c>
      <c r="AK15" s="9">
        <f t="shared" si="5"/>
        <v>2.3366744979428349E-2</v>
      </c>
      <c r="AL15" s="9">
        <f t="shared" si="6"/>
        <v>4.757719479150245E-2</v>
      </c>
      <c r="AM15" s="9">
        <f t="shared" si="7"/>
        <v>2.2635894642285678E-3</v>
      </c>
      <c r="AN15" s="9" t="s">
        <v>4605</v>
      </c>
    </row>
    <row r="16" spans="8:40" ht="23">
      <c r="M16" s="9" t="s">
        <v>2428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9" t="s">
        <v>2428</v>
      </c>
      <c r="X16" s="8">
        <v>14.71</v>
      </c>
      <c r="Y16" s="8">
        <v>8.81</v>
      </c>
      <c r="Z16" s="9">
        <v>5.42</v>
      </c>
      <c r="AA16" s="8">
        <v>5.7</v>
      </c>
      <c r="AB16" s="8">
        <v>15323</v>
      </c>
      <c r="AC16" s="22" t="s">
        <v>2428</v>
      </c>
      <c r="AD16" s="8" t="s">
        <v>4236</v>
      </c>
      <c r="AE16" s="8"/>
      <c r="AF16" s="9">
        <f t="shared" si="0"/>
        <v>50.217000000000006</v>
      </c>
      <c r="AG16" s="9">
        <f t="shared" si="1"/>
        <v>32.49</v>
      </c>
      <c r="AH16" s="9">
        <f t="shared" si="2"/>
        <v>0.38111794597485954</v>
      </c>
      <c r="AI16" s="9">
        <f t="shared" si="3"/>
        <v>0.14525088874409595</v>
      </c>
      <c r="AJ16" s="9">
        <f t="shared" si="4"/>
        <v>0.74382398135796446</v>
      </c>
      <c r="AK16" s="9">
        <f t="shared" si="5"/>
        <v>0.55327411524321346</v>
      </c>
      <c r="AL16" s="9">
        <f t="shared" si="6"/>
        <v>0.77289152938795735</v>
      </c>
      <c r="AM16" s="9">
        <f t="shared" si="7"/>
        <v>0.59736131619965571</v>
      </c>
      <c r="AN16" s="9" t="s">
        <v>2428</v>
      </c>
    </row>
    <row r="17" spans="13:40" ht="23">
      <c r="M17" s="8" t="s">
        <v>4774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4774</v>
      </c>
      <c r="X17" s="8">
        <v>56.16</v>
      </c>
      <c r="Y17" s="8">
        <v>3.11</v>
      </c>
      <c r="Z17" s="9">
        <v>4.58</v>
      </c>
      <c r="AA17" s="8">
        <v>5.0999999999999996</v>
      </c>
      <c r="AB17" s="8">
        <v>22346</v>
      </c>
      <c r="AC17" s="21" t="s">
        <v>4774</v>
      </c>
      <c r="AD17" s="8" t="s">
        <v>4236</v>
      </c>
      <c r="AE17" s="8"/>
      <c r="AF17" s="9">
        <f t="shared" si="0"/>
        <v>15.860999999999999</v>
      </c>
      <c r="AG17" s="9">
        <f t="shared" si="1"/>
        <v>25.33</v>
      </c>
      <c r="AH17" s="9">
        <f t="shared" si="2"/>
        <v>0.34100026745119011</v>
      </c>
      <c r="AI17" s="9">
        <f t="shared" si="3"/>
        <v>0.11628118240178319</v>
      </c>
      <c r="AJ17" s="9">
        <f t="shared" si="4"/>
        <v>0.23493622017083204</v>
      </c>
      <c r="AK17" s="9">
        <f t="shared" si="5"/>
        <v>5.5195027548157673E-2</v>
      </c>
      <c r="AL17" s="9">
        <f t="shared" si="6"/>
        <v>0.60256517203437854</v>
      </c>
      <c r="AM17" s="9">
        <f t="shared" si="7"/>
        <v>0.3630847865488202</v>
      </c>
      <c r="AN17" s="8" t="s">
        <v>4774</v>
      </c>
    </row>
    <row r="18" spans="13:40" ht="23">
      <c r="M18" s="9" t="s">
        <v>2184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9" t="s">
        <v>2184</v>
      </c>
      <c r="X18" s="8">
        <v>33.83</v>
      </c>
      <c r="Y18" s="8">
        <v>4.04</v>
      </c>
      <c r="Z18" s="9">
        <v>3.08</v>
      </c>
      <c r="AA18" s="8">
        <v>3.4</v>
      </c>
      <c r="AB18" s="8">
        <v>50347</v>
      </c>
      <c r="AC18" s="22" t="s">
        <v>2184</v>
      </c>
      <c r="AD18" s="8" t="s">
        <v>4236</v>
      </c>
      <c r="AE18" s="8"/>
      <c r="AF18" s="9">
        <f t="shared" si="0"/>
        <v>13.735999999999999</v>
      </c>
      <c r="AG18" s="9">
        <f t="shared" si="1"/>
        <v>10.653333333333332</v>
      </c>
      <c r="AH18" s="9">
        <f t="shared" si="2"/>
        <v>0.22733351163412674</v>
      </c>
      <c r="AI18" s="9">
        <f t="shared" si="3"/>
        <v>5.1680525511903636E-2</v>
      </c>
      <c r="AJ18" s="9">
        <f t="shared" si="4"/>
        <v>0.20346030642875915</v>
      </c>
      <c r="AK18" s="9">
        <f t="shared" si="5"/>
        <v>4.1396096292084572E-2</v>
      </c>
      <c r="AL18" s="9">
        <f t="shared" si="6"/>
        <v>0.25342785758940306</v>
      </c>
      <c r="AM18" s="9">
        <f t="shared" si="7"/>
        <v>6.4225679002354763E-2</v>
      </c>
      <c r="AN18" s="9" t="s">
        <v>2184</v>
      </c>
    </row>
    <row r="19" spans="13:40" ht="23">
      <c r="M19" s="8" t="s">
        <v>441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441</v>
      </c>
      <c r="X19" s="8">
        <v>38.64</v>
      </c>
      <c r="Y19" s="8">
        <v>2.29</v>
      </c>
      <c r="Z19" s="9">
        <v>0.45</v>
      </c>
      <c r="AA19" s="8">
        <v>1.9</v>
      </c>
      <c r="AB19" s="8">
        <v>57442</v>
      </c>
      <c r="AC19" s="21" t="s">
        <v>441</v>
      </c>
      <c r="AD19" s="8" t="s">
        <v>4236</v>
      </c>
      <c r="AE19" s="8"/>
      <c r="AF19" s="9">
        <f t="shared" si="0"/>
        <v>4.351</v>
      </c>
      <c r="AG19" s="9">
        <f t="shared" si="1"/>
        <v>1.4249999999999998</v>
      </c>
      <c r="AH19" s="9">
        <f t="shared" si="2"/>
        <v>0.12703931532495319</v>
      </c>
      <c r="AI19" s="9">
        <f t="shared" si="3"/>
        <v>1.6138987638232887E-2</v>
      </c>
      <c r="AJ19" s="9">
        <f t="shared" si="4"/>
        <v>6.4447859149063133E-2</v>
      </c>
      <c r="AK19" s="9">
        <f t="shared" si="5"/>
        <v>4.1535265488974807E-3</v>
      </c>
      <c r="AL19" s="9">
        <f t="shared" si="6"/>
        <v>3.389875128894549E-2</v>
      </c>
      <c r="AM19" s="9">
        <f t="shared" si="7"/>
        <v>1.1491253389497836E-3</v>
      </c>
      <c r="AN19" s="8" t="s">
        <v>441</v>
      </c>
    </row>
    <row r="20" spans="13:40" ht="23">
      <c r="M20" s="9" t="s">
        <v>2628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9" t="s">
        <v>2628</v>
      </c>
      <c r="X20" s="8">
        <v>20.87</v>
      </c>
      <c r="Y20" s="8">
        <v>2.2400000000000002</v>
      </c>
      <c r="Z20" s="9">
        <v>2.1</v>
      </c>
      <c r="AA20" s="8">
        <v>1.6</v>
      </c>
      <c r="AB20" s="8">
        <v>53503</v>
      </c>
      <c r="AC20" s="22" t="s">
        <v>2628</v>
      </c>
      <c r="AD20" s="8" t="s">
        <v>4236</v>
      </c>
      <c r="AE20" s="8"/>
      <c r="AF20" s="9">
        <f t="shared" si="0"/>
        <v>3.5840000000000005</v>
      </c>
      <c r="AG20" s="9">
        <f t="shared" si="1"/>
        <v>3.2026666666666666</v>
      </c>
      <c r="AH20" s="9">
        <f t="shared" si="2"/>
        <v>0.10698047606311847</v>
      </c>
      <c r="AI20" s="9">
        <f t="shared" si="3"/>
        <v>1.1444822258691464E-2</v>
      </c>
      <c r="AJ20" s="9">
        <f t="shared" si="4"/>
        <v>5.3086905812512589E-2</v>
      </c>
      <c r="AK20" s="9">
        <f t="shared" si="5"/>
        <v>2.8182195687465827E-3</v>
      </c>
      <c r="AL20" s="9">
        <f t="shared" si="6"/>
        <v>7.6186947926125931E-2</v>
      </c>
      <c r="AM20" s="9">
        <f t="shared" si="7"/>
        <v>5.8044510342982244E-3</v>
      </c>
      <c r="AN20" s="9" t="s">
        <v>2628</v>
      </c>
    </row>
    <row r="21" spans="13:40" ht="23"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9"/>
      <c r="AA21" s="8">
        <f>SUBTOTAL(109,Table13688[ترافیک کل])</f>
        <v>1495.6000000000001</v>
      </c>
      <c r="AB21" s="8"/>
      <c r="AC21" s="8"/>
      <c r="AD21" s="8"/>
      <c r="AE21" s="8"/>
      <c r="AF21" s="9">
        <f>SUBTOTAL(109,Table13688[[مجموع صفحات  مشاهده شده   ]])</f>
        <v>6751.1939999999986</v>
      </c>
      <c r="AG21" s="9">
        <f>SUBTOTAL(109,Table13688[[مجموع زمان حضور در سایت ]])</f>
        <v>4203.6946666666672</v>
      </c>
      <c r="AH21" s="9">
        <f>SUBTOTAL(109,Table13688[سهم سایت از کل ترافیک طبقه بندی])</f>
        <v>99.999999999999986</v>
      </c>
      <c r="AI21" s="9">
        <f>SUBTOTAL(109,Table13688[شاخص هرفیندال هیرشمن (ترافیک)])</f>
        <v>1808.5683950804137</v>
      </c>
      <c r="AJ21" s="9">
        <f>SUBTOTAL(109,Table13688[سهم سایت از کل صفحات مشاهده شده در طبقه بندی])</f>
        <v>100.00000000000001</v>
      </c>
      <c r="AK21" s="9">
        <f>SUBTOTAL(109,Table13688[شاخص هرفیندال -هیرشمن (صفحات مشاهده شده )])</f>
        <v>3502.7134109312465</v>
      </c>
      <c r="AL21" s="9">
        <f>SUBTOTAL(109,Table13688[سهم سایت از کل زمان حضور در طبقه بندی])</f>
        <v>99.999999999999986</v>
      </c>
      <c r="AM21" s="9">
        <f>SUBTOTAL(109,Table13688[شاخص هرفیندال هیرشمن (زمان حضور)])</f>
        <v>4649.4609301139608</v>
      </c>
      <c r="AN21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{B14BC7E0-6440-4C0E-95C8-96D70FDD0C52}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{0C4900EB-1EA0-476A-9FEE-86AF15B59023}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{CAE40E48-2540-4642-84A0-F906385F7634}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{66EAD1C7-DD2E-4D9B-937D-21564662CB72}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{D30332B3-7406-474E-B388-C448FDAADAAB}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{7B09594D-FC2F-4E03-9E31-C34E6B8456BE}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4BC7E0-6440-4C0E-95C8-96D70FDD0C5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0C4900EB-1EA0-476A-9FEE-86AF15B5902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AE40E48-2540-4642-84A0-F906385F763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6EAD1C7-DD2E-4D9B-937D-21564662CB7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30332B3-7406-474E-B388-C448FDAADA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7B09594D-FC2F-4E03-9E31-C34E6B8456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4"/>
  <sheetViews>
    <sheetView showGridLines="0" rightToLeft="1" topLeftCell="AA1" zoomScale="70" zoomScaleNormal="70" workbookViewId="0">
      <selection activeCell="AC34" sqref="AC34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30.082031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31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22" t="s">
        <v>3250</v>
      </c>
      <c r="N2" s="8" t="s">
        <v>1902</v>
      </c>
      <c r="O2" s="8"/>
      <c r="P2" s="8"/>
      <c r="Q2" s="8"/>
      <c r="R2" s="8"/>
      <c r="S2" s="8"/>
      <c r="T2" s="8"/>
      <c r="U2" s="8"/>
      <c r="V2" s="8"/>
      <c r="W2" s="22" t="s">
        <v>3250</v>
      </c>
      <c r="X2" s="8">
        <v>25.62</v>
      </c>
      <c r="Y2" s="8">
        <v>1.21</v>
      </c>
      <c r="Z2" s="9">
        <v>0.32</v>
      </c>
      <c r="AA2" s="8">
        <v>181.8</v>
      </c>
      <c r="AB2" s="8">
        <v>9429</v>
      </c>
      <c r="AC2" s="22" t="s">
        <v>3250</v>
      </c>
      <c r="AD2" s="8" t="s">
        <v>4189</v>
      </c>
      <c r="AE2" s="8" t="s">
        <v>4054</v>
      </c>
      <c r="AF2" s="9">
        <f t="shared" ref="AF2:AF33" si="0">(AA2*Y2)</f>
        <v>219.97800000000001</v>
      </c>
      <c r="AG2" s="9">
        <f t="shared" ref="AG2:AG33" si="1">((((RIGHT(Z2,2))/60)+(LEFT(Z2,2)))*AA2)</f>
        <v>96.960000000000008</v>
      </c>
      <c r="AH2" s="9">
        <f t="shared" ref="AH2:AH33" si="2">(AA2/$AA$34)*100</f>
        <v>22.92849035187287</v>
      </c>
      <c r="AI2" s="9">
        <f t="shared" ref="AI2:AI33" si="3">(AH2*AH2)</f>
        <v>525.7156698159273</v>
      </c>
      <c r="AJ2" s="9">
        <f t="shared" ref="AJ2:AJ33" si="4">(AF2/$AF$34)*100</f>
        <v>9.7550527357677286</v>
      </c>
      <c r="AK2" s="9">
        <f t="shared" ref="AK2:AK33" si="5">(AJ2*AJ2)</f>
        <v>95.161053877609447</v>
      </c>
      <c r="AL2" s="9">
        <f t="shared" ref="AL2:AL33" si="6">(AG2/$AG$34)*100</f>
        <v>4.7254144789409347</v>
      </c>
      <c r="AM2" s="9">
        <f t="shared" ref="AM2:AM33" si="7">(AL2*AL2)</f>
        <v>22.329541997784624</v>
      </c>
      <c r="AN2" s="22" t="s">
        <v>3250</v>
      </c>
    </row>
    <row r="3" spans="8:40" ht="23">
      <c r="M3" s="21" t="s">
        <v>1190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21" t="s">
        <v>1190</v>
      </c>
      <c r="X3" s="8">
        <v>50.48</v>
      </c>
      <c r="Y3" s="8">
        <v>3.76</v>
      </c>
      <c r="Z3" s="9">
        <v>3.56</v>
      </c>
      <c r="AA3" s="8">
        <v>119.9</v>
      </c>
      <c r="AB3" s="8">
        <v>2083</v>
      </c>
      <c r="AC3" s="21" t="s">
        <v>1190</v>
      </c>
      <c r="AD3" s="8" t="s">
        <v>4187</v>
      </c>
      <c r="AE3" s="8" t="s">
        <v>4054</v>
      </c>
      <c r="AF3" s="9">
        <f t="shared" si="0"/>
        <v>450.82400000000001</v>
      </c>
      <c r="AG3" s="9">
        <f t="shared" si="1"/>
        <v>471.60666666666674</v>
      </c>
      <c r="AH3" s="9">
        <f t="shared" si="2"/>
        <v>15.121705133055871</v>
      </c>
      <c r="AI3" s="9">
        <f t="shared" si="3"/>
        <v>228.66596613108828</v>
      </c>
      <c r="AJ3" s="9">
        <f t="shared" si="4"/>
        <v>19.992053271462375</v>
      </c>
      <c r="AK3" s="9">
        <f t="shared" si="5"/>
        <v>399.68219400898943</v>
      </c>
      <c r="AL3" s="9">
        <f t="shared" si="6"/>
        <v>22.984085922357032</v>
      </c>
      <c r="AM3" s="9">
        <f t="shared" si="7"/>
        <v>528.26820568629068</v>
      </c>
      <c r="AN3" s="21" t="s">
        <v>1190</v>
      </c>
    </row>
    <row r="4" spans="8:40" ht="23">
      <c r="M4" s="22" t="s">
        <v>2354</v>
      </c>
      <c r="N4" s="8" t="s">
        <v>150</v>
      </c>
      <c r="O4" s="8"/>
      <c r="P4" s="8" t="s">
        <v>3692</v>
      </c>
      <c r="Q4" s="8"/>
      <c r="R4" s="8"/>
      <c r="S4" s="8"/>
      <c r="T4" s="8"/>
      <c r="U4" s="8"/>
      <c r="V4" s="8"/>
      <c r="W4" s="22" t="s">
        <v>2354</v>
      </c>
      <c r="X4" s="8">
        <v>25.71</v>
      </c>
      <c r="Y4" s="8">
        <v>4.33</v>
      </c>
      <c r="Z4" s="9">
        <v>4.0599999999999996</v>
      </c>
      <c r="AA4" s="8">
        <v>117.5</v>
      </c>
      <c r="AB4" s="8">
        <v>7568</v>
      </c>
      <c r="AC4" s="22" t="s">
        <v>2354</v>
      </c>
      <c r="AD4" s="8" t="s">
        <v>4055</v>
      </c>
      <c r="AE4" s="8" t="s">
        <v>4054</v>
      </c>
      <c r="AF4" s="9">
        <f t="shared" si="0"/>
        <v>508.77500000000003</v>
      </c>
      <c r="AG4" s="9">
        <f t="shared" si="1"/>
        <v>481.74999999999994</v>
      </c>
      <c r="AH4" s="9">
        <f t="shared" si="2"/>
        <v>14.819018791777019</v>
      </c>
      <c r="AI4" s="9">
        <f t="shared" si="3"/>
        <v>219.60331795104042</v>
      </c>
      <c r="AJ4" s="9">
        <f t="shared" si="4"/>
        <v>22.561924172600108</v>
      </c>
      <c r="AK4" s="9">
        <f t="shared" si="5"/>
        <v>509.04042237015705</v>
      </c>
      <c r="AL4" s="9">
        <f t="shared" si="6"/>
        <v>23.478428478030061</v>
      </c>
      <c r="AM4" s="9">
        <f t="shared" si="7"/>
        <v>551.23660379797298</v>
      </c>
      <c r="AN4" s="22" t="s">
        <v>2354</v>
      </c>
    </row>
    <row r="5" spans="8:40" ht="23">
      <c r="M5" s="21" t="s">
        <v>772</v>
      </c>
      <c r="N5" s="8" t="s">
        <v>150</v>
      </c>
      <c r="O5" s="8"/>
      <c r="P5" s="8" t="s">
        <v>3691</v>
      </c>
      <c r="Q5" s="8"/>
      <c r="R5" s="8"/>
      <c r="S5" s="8"/>
      <c r="T5" s="8"/>
      <c r="U5" s="8"/>
      <c r="V5" s="8"/>
      <c r="W5" s="21" t="s">
        <v>772</v>
      </c>
      <c r="X5" s="8">
        <v>29.99</v>
      </c>
      <c r="Y5" s="8">
        <v>2.36</v>
      </c>
      <c r="Z5" s="9">
        <v>1.54</v>
      </c>
      <c r="AA5" s="8">
        <v>89.6</v>
      </c>
      <c r="AB5" s="8">
        <v>2994</v>
      </c>
      <c r="AC5" s="21" t="s">
        <v>772</v>
      </c>
      <c r="AD5" s="8" t="s">
        <v>4054</v>
      </c>
      <c r="AE5" s="8" t="s">
        <v>4054</v>
      </c>
      <c r="AF5" s="9">
        <f t="shared" si="0"/>
        <v>211.45599999999999</v>
      </c>
      <c r="AG5" s="9">
        <f t="shared" si="1"/>
        <v>170.23999999999998</v>
      </c>
      <c r="AH5" s="9">
        <f t="shared" si="2"/>
        <v>11.300290074410391</v>
      </c>
      <c r="AI5" s="9">
        <f t="shared" si="3"/>
        <v>127.696555765818</v>
      </c>
      <c r="AJ5" s="9">
        <f t="shared" si="4"/>
        <v>9.3771396743969877</v>
      </c>
      <c r="AK5" s="9">
        <f t="shared" si="5"/>
        <v>87.930748473150047</v>
      </c>
      <c r="AL5" s="9">
        <f t="shared" si="6"/>
        <v>8.2967673359622989</v>
      </c>
      <c r="AM5" s="9">
        <f t="shared" si="7"/>
        <v>68.836348227090937</v>
      </c>
      <c r="AN5" s="21" t="s">
        <v>772</v>
      </c>
    </row>
    <row r="6" spans="8:40" ht="23">
      <c r="M6" s="21" t="s">
        <v>1852</v>
      </c>
      <c r="N6" s="8" t="s">
        <v>1814</v>
      </c>
      <c r="O6" s="8"/>
      <c r="P6" s="8"/>
      <c r="Q6" s="8"/>
      <c r="R6" s="8"/>
      <c r="S6" s="8"/>
      <c r="T6" s="8"/>
      <c r="U6" s="8"/>
      <c r="V6" s="8"/>
      <c r="W6" s="21" t="s">
        <v>1852</v>
      </c>
      <c r="X6" s="8">
        <v>31.48</v>
      </c>
      <c r="Y6" s="8">
        <v>2.54</v>
      </c>
      <c r="Z6" s="9">
        <v>3.15</v>
      </c>
      <c r="AA6" s="8">
        <v>68.400000000000006</v>
      </c>
      <c r="AB6" s="8">
        <v>6515</v>
      </c>
      <c r="AC6" s="21" t="s">
        <v>1852</v>
      </c>
      <c r="AD6" s="8" t="s">
        <v>4175</v>
      </c>
      <c r="AE6" s="8" t="s">
        <v>4054</v>
      </c>
      <c r="AF6" s="9">
        <f t="shared" si="0"/>
        <v>173.73600000000002</v>
      </c>
      <c r="AG6" s="9">
        <f t="shared" si="1"/>
        <v>222.3</v>
      </c>
      <c r="AH6" s="9">
        <f t="shared" si="2"/>
        <v>8.6265607264472184</v>
      </c>
      <c r="AI6" s="9">
        <f t="shared" si="3"/>
        <v>74.417549967081555</v>
      </c>
      <c r="AJ6" s="9">
        <f t="shared" si="4"/>
        <v>7.7044242701603896</v>
      </c>
      <c r="AK6" s="9">
        <f t="shared" si="5"/>
        <v>59.358153334636448</v>
      </c>
      <c r="AL6" s="9">
        <f t="shared" si="6"/>
        <v>10.833948418611486</v>
      </c>
      <c r="AM6" s="9">
        <f t="shared" si="7"/>
        <v>117.37443833713432</v>
      </c>
      <c r="AN6" s="21" t="s">
        <v>1852</v>
      </c>
    </row>
    <row r="7" spans="8:40" ht="23">
      <c r="M7" s="22" t="s">
        <v>3315</v>
      </c>
      <c r="N7" s="8" t="s">
        <v>1939</v>
      </c>
      <c r="O7" s="8"/>
      <c r="P7" s="8"/>
      <c r="Q7" s="8"/>
      <c r="R7" s="8"/>
      <c r="S7" s="8"/>
      <c r="T7" s="8"/>
      <c r="U7" s="8"/>
      <c r="V7" s="8"/>
      <c r="W7" s="22" t="s">
        <v>3315</v>
      </c>
      <c r="X7" s="8">
        <v>28.85</v>
      </c>
      <c r="Y7" s="8">
        <v>1.1299999999999999</v>
      </c>
      <c r="Z7" s="9">
        <v>0.06</v>
      </c>
      <c r="AA7" s="8">
        <v>68.3</v>
      </c>
      <c r="AB7" s="8">
        <v>45944</v>
      </c>
      <c r="AC7" s="22" t="s">
        <v>3315</v>
      </c>
      <c r="AD7" s="8" t="s">
        <v>4220</v>
      </c>
      <c r="AE7" s="8" t="s">
        <v>4054</v>
      </c>
      <c r="AF7" s="9">
        <f t="shared" si="0"/>
        <v>77.178999999999988</v>
      </c>
      <c r="AG7" s="9">
        <f t="shared" si="1"/>
        <v>6.83</v>
      </c>
      <c r="AH7" s="9">
        <f t="shared" si="2"/>
        <v>8.6139487955605976</v>
      </c>
      <c r="AI7" s="9">
        <f t="shared" si="3"/>
        <v>74.200113852539872</v>
      </c>
      <c r="AJ7" s="9">
        <f t="shared" si="4"/>
        <v>3.4225477779315083</v>
      </c>
      <c r="AK7" s="9">
        <f t="shared" si="5"/>
        <v>11.713833292223905</v>
      </c>
      <c r="AL7" s="9">
        <f t="shared" si="6"/>
        <v>0.3328649019303484</v>
      </c>
      <c r="AM7" s="9">
        <f t="shared" si="7"/>
        <v>0.11079904293710045</v>
      </c>
      <c r="AN7" s="22" t="s">
        <v>3315</v>
      </c>
    </row>
    <row r="8" spans="8:40" ht="23">
      <c r="M8" s="21" t="s">
        <v>667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21" t="s">
        <v>667</v>
      </c>
      <c r="X8" s="8">
        <v>9.3800000000000008</v>
      </c>
      <c r="Y8" s="8">
        <v>3.98</v>
      </c>
      <c r="Z8" s="9">
        <v>2.25</v>
      </c>
      <c r="AA8" s="8">
        <v>14.7</v>
      </c>
      <c r="AB8" s="8">
        <v>10363</v>
      </c>
      <c r="AC8" s="21" t="s">
        <v>667</v>
      </c>
      <c r="AD8" s="8" t="s">
        <v>4108</v>
      </c>
      <c r="AE8" s="8" t="s">
        <v>4054</v>
      </c>
      <c r="AF8" s="9">
        <f t="shared" si="0"/>
        <v>58.506</v>
      </c>
      <c r="AG8" s="9">
        <f t="shared" si="1"/>
        <v>35.524999999999999</v>
      </c>
      <c r="AH8" s="9">
        <f t="shared" si="2"/>
        <v>1.8539538403329547</v>
      </c>
      <c r="AI8" s="9">
        <f t="shared" si="3"/>
        <v>3.4371448420853112</v>
      </c>
      <c r="AJ8" s="9">
        <f t="shared" si="4"/>
        <v>2.5944826999010204</v>
      </c>
      <c r="AK8" s="9">
        <f t="shared" si="5"/>
        <v>6.7313404800856889</v>
      </c>
      <c r="AL8" s="9">
        <f t="shared" si="6"/>
        <v>1.7313361114312777</v>
      </c>
      <c r="AM8" s="9">
        <f t="shared" si="7"/>
        <v>2.9975247307459778</v>
      </c>
      <c r="AN8" s="21" t="s">
        <v>667</v>
      </c>
    </row>
    <row r="9" spans="8:40" ht="23">
      <c r="M9" s="21" t="s">
        <v>1055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21" t="s">
        <v>1055</v>
      </c>
      <c r="X9" s="8">
        <v>26.87</v>
      </c>
      <c r="Y9" s="8">
        <v>3.28</v>
      </c>
      <c r="Z9" s="9">
        <v>3.24</v>
      </c>
      <c r="AA9" s="8">
        <v>13.9</v>
      </c>
      <c r="AB9" s="8">
        <v>10070</v>
      </c>
      <c r="AC9" s="21" t="s">
        <v>1055</v>
      </c>
      <c r="AD9" s="8" t="s">
        <v>4177</v>
      </c>
      <c r="AE9" s="8" t="s">
        <v>4054</v>
      </c>
      <c r="AF9" s="9">
        <f t="shared" si="0"/>
        <v>45.591999999999999</v>
      </c>
      <c r="AG9" s="9">
        <f t="shared" si="1"/>
        <v>47.26</v>
      </c>
      <c r="AH9" s="9">
        <f t="shared" si="2"/>
        <v>1.7530583932400048</v>
      </c>
      <c r="AI9" s="9">
        <f t="shared" si="3"/>
        <v>3.0732137301092273</v>
      </c>
      <c r="AJ9" s="9">
        <f t="shared" si="4"/>
        <v>2.0218038364251076</v>
      </c>
      <c r="AK9" s="9">
        <f t="shared" si="5"/>
        <v>4.0876907529832831</v>
      </c>
      <c r="AL9" s="9">
        <f t="shared" si="6"/>
        <v>2.3032496728006246</v>
      </c>
      <c r="AM9" s="9">
        <f t="shared" si="7"/>
        <v>5.3049590552561847</v>
      </c>
      <c r="AN9" s="21" t="s">
        <v>1055</v>
      </c>
    </row>
    <row r="10" spans="8:40" ht="23">
      <c r="M10" s="22" t="s">
        <v>2645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22" t="s">
        <v>2645</v>
      </c>
      <c r="X10" s="8">
        <v>21.09</v>
      </c>
      <c r="Y10" s="8">
        <v>5.15</v>
      </c>
      <c r="Z10" s="9">
        <v>7.03</v>
      </c>
      <c r="AA10" s="8">
        <v>12.5</v>
      </c>
      <c r="AB10" s="8">
        <v>6917</v>
      </c>
      <c r="AC10" s="22" t="s">
        <v>2645</v>
      </c>
      <c r="AD10" s="8" t="s">
        <v>4189</v>
      </c>
      <c r="AE10" s="8" t="s">
        <v>4054</v>
      </c>
      <c r="AF10" s="9">
        <f t="shared" si="0"/>
        <v>64.375</v>
      </c>
      <c r="AG10" s="9">
        <f t="shared" si="1"/>
        <v>88.125</v>
      </c>
      <c r="AH10" s="9">
        <f t="shared" si="2"/>
        <v>1.5764913608273423</v>
      </c>
      <c r="AI10" s="9">
        <f t="shared" si="3"/>
        <v>2.4853250107632454</v>
      </c>
      <c r="AJ10" s="9">
        <f t="shared" si="4"/>
        <v>2.8547469286248965</v>
      </c>
      <c r="AK10" s="9">
        <f t="shared" si="5"/>
        <v>8.1495800264932807</v>
      </c>
      <c r="AL10" s="9">
        <f t="shared" si="6"/>
        <v>4.2948344776884264</v>
      </c>
      <c r="AM10" s="9">
        <f t="shared" si="7"/>
        <v>18.445603190741217</v>
      </c>
      <c r="AN10" s="22" t="s">
        <v>2645</v>
      </c>
    </row>
    <row r="11" spans="8:40" ht="23">
      <c r="M11" s="21" t="s">
        <v>958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21" t="s">
        <v>958</v>
      </c>
      <c r="X11" s="8">
        <v>23.78</v>
      </c>
      <c r="Y11" s="8">
        <v>5.14</v>
      </c>
      <c r="Z11" s="9">
        <v>4.5199999999999996</v>
      </c>
      <c r="AA11" s="8">
        <v>10.7</v>
      </c>
      <c r="AB11" s="8">
        <v>7546</v>
      </c>
      <c r="AC11" s="21" t="s">
        <v>958</v>
      </c>
      <c r="AD11" s="8" t="s">
        <v>4108</v>
      </c>
      <c r="AE11" s="8" t="s">
        <v>4054</v>
      </c>
      <c r="AF11" s="9">
        <f t="shared" si="0"/>
        <v>54.99799999999999</v>
      </c>
      <c r="AG11" s="9">
        <f t="shared" si="1"/>
        <v>52.073333333333338</v>
      </c>
      <c r="AH11" s="9">
        <f t="shared" si="2"/>
        <v>1.3494766048682052</v>
      </c>
      <c r="AI11" s="9">
        <f t="shared" si="3"/>
        <v>1.8210871070866179</v>
      </c>
      <c r="AJ11" s="9">
        <f t="shared" si="4"/>
        <v>2.4389183934836822</v>
      </c>
      <c r="AK11" s="9">
        <f t="shared" si="5"/>
        <v>5.9483229300730258</v>
      </c>
      <c r="AL11" s="9">
        <f t="shared" si="6"/>
        <v>2.5378308921209873</v>
      </c>
      <c r="AM11" s="9">
        <f t="shared" si="7"/>
        <v>6.4405856370036068</v>
      </c>
      <c r="AN11" s="21" t="s">
        <v>958</v>
      </c>
    </row>
    <row r="12" spans="8:40" ht="23">
      <c r="M12" s="22" t="s">
        <v>5150</v>
      </c>
      <c r="N12" s="8" t="s">
        <v>2003</v>
      </c>
      <c r="O12" s="8"/>
      <c r="P12" s="8"/>
      <c r="Q12" s="8"/>
      <c r="R12" s="8"/>
      <c r="S12" s="8"/>
      <c r="T12" s="8"/>
      <c r="U12" s="8"/>
      <c r="V12" s="8"/>
      <c r="W12" s="22" t="s">
        <v>5150</v>
      </c>
      <c r="X12" s="8">
        <v>21.39</v>
      </c>
      <c r="Y12" s="8">
        <v>2.2400000000000002</v>
      </c>
      <c r="Z12" s="9">
        <v>0.59</v>
      </c>
      <c r="AA12" s="8">
        <v>9.6</v>
      </c>
      <c r="AB12" s="8">
        <v>21676</v>
      </c>
      <c r="AC12" s="22" t="s">
        <v>5150</v>
      </c>
      <c r="AD12" s="8" t="s">
        <v>4175</v>
      </c>
      <c r="AE12" s="8" t="s">
        <v>4054</v>
      </c>
      <c r="AF12" s="9">
        <f t="shared" si="0"/>
        <v>21.504000000000001</v>
      </c>
      <c r="AG12" s="9">
        <f t="shared" si="1"/>
        <v>9.44</v>
      </c>
      <c r="AH12" s="9">
        <f t="shared" si="2"/>
        <v>1.210745365115399</v>
      </c>
      <c r="AI12" s="9">
        <f t="shared" si="3"/>
        <v>1.4659043391484208</v>
      </c>
      <c r="AJ12" s="9">
        <f t="shared" si="4"/>
        <v>0.95360742451494807</v>
      </c>
      <c r="AK12" s="9">
        <f t="shared" si="5"/>
        <v>0.9093671200900324</v>
      </c>
      <c r="AL12" s="9">
        <f t="shared" si="6"/>
        <v>0.46006510603550349</v>
      </c>
      <c r="AM12" s="9">
        <f t="shared" si="7"/>
        <v>0.21165990179145908</v>
      </c>
      <c r="AN12" s="22" t="s">
        <v>5150</v>
      </c>
    </row>
    <row r="13" spans="8:40" ht="23">
      <c r="M13" s="21" t="s">
        <v>721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21" t="s">
        <v>721</v>
      </c>
      <c r="X13" s="8">
        <v>48.01</v>
      </c>
      <c r="Y13" s="8">
        <v>3.65</v>
      </c>
      <c r="Z13" s="9">
        <v>4.0199999999999996</v>
      </c>
      <c r="AA13" s="8">
        <v>8.5</v>
      </c>
      <c r="AB13" s="8">
        <v>20788</v>
      </c>
      <c r="AC13" s="21" t="s">
        <v>721</v>
      </c>
      <c r="AD13" s="8" t="s">
        <v>4029</v>
      </c>
      <c r="AE13" s="8" t="s">
        <v>4054</v>
      </c>
      <c r="AF13" s="9">
        <f t="shared" si="0"/>
        <v>31.024999999999999</v>
      </c>
      <c r="AG13" s="9">
        <f t="shared" si="1"/>
        <v>34.283333333333331</v>
      </c>
      <c r="AH13" s="9">
        <f t="shared" si="2"/>
        <v>1.0720141253625928</v>
      </c>
      <c r="AI13" s="9">
        <f t="shared" si="3"/>
        <v>1.1492142849769247</v>
      </c>
      <c r="AJ13" s="9">
        <f t="shared" si="4"/>
        <v>1.3758217236596104</v>
      </c>
      <c r="AK13" s="9">
        <f t="shared" si="5"/>
        <v>1.8928854152937014</v>
      </c>
      <c r="AL13" s="9">
        <f t="shared" si="6"/>
        <v>1.6708226043697576</v>
      </c>
      <c r="AM13" s="9">
        <f t="shared" si="7"/>
        <v>2.7916481752729396</v>
      </c>
      <c r="AN13" s="21" t="s">
        <v>721</v>
      </c>
    </row>
    <row r="14" spans="8:40" ht="23">
      <c r="M14" s="22" t="s">
        <v>3458</v>
      </c>
      <c r="N14" s="8" t="s">
        <v>2003</v>
      </c>
      <c r="O14" s="8"/>
      <c r="P14" s="8"/>
      <c r="Q14" s="8"/>
      <c r="R14" s="8"/>
      <c r="S14" s="8"/>
      <c r="T14" s="8"/>
      <c r="U14" s="8"/>
      <c r="V14" s="8"/>
      <c r="W14" s="22" t="s">
        <v>3458</v>
      </c>
      <c r="X14" s="8">
        <v>16.41</v>
      </c>
      <c r="Y14" s="8">
        <v>1.58</v>
      </c>
      <c r="Z14" s="9">
        <v>0.56000000000000005</v>
      </c>
      <c r="AA14" s="8">
        <v>8.5</v>
      </c>
      <c r="AB14" s="8">
        <v>25047</v>
      </c>
      <c r="AC14" s="22" t="s">
        <v>3458</v>
      </c>
      <c r="AD14" s="8" t="s">
        <v>4175</v>
      </c>
      <c r="AE14" s="8" t="s">
        <v>4054</v>
      </c>
      <c r="AF14" s="9">
        <f t="shared" si="0"/>
        <v>13.43</v>
      </c>
      <c r="AG14" s="9">
        <f t="shared" si="1"/>
        <v>7.9333333333333336</v>
      </c>
      <c r="AH14" s="9">
        <f t="shared" si="2"/>
        <v>1.0720141253625928</v>
      </c>
      <c r="AI14" s="9">
        <f t="shared" si="3"/>
        <v>1.1492142849769247</v>
      </c>
      <c r="AJ14" s="9">
        <f t="shared" si="4"/>
        <v>0.59556118448826967</v>
      </c>
      <c r="AK14" s="9">
        <f t="shared" si="5"/>
        <v>0.35469312446907075</v>
      </c>
      <c r="AL14" s="9">
        <f t="shared" si="6"/>
        <v>0.38663663572192736</v>
      </c>
      <c r="AM14" s="9">
        <f t="shared" si="7"/>
        <v>0.14948788808237035</v>
      </c>
      <c r="AN14" s="22" t="s">
        <v>3458</v>
      </c>
    </row>
    <row r="15" spans="8:40" ht="23">
      <c r="M15" s="22" t="s">
        <v>2194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22" t="s">
        <v>2194</v>
      </c>
      <c r="X15" s="8">
        <v>30.49</v>
      </c>
      <c r="Y15" s="8">
        <v>3.93</v>
      </c>
      <c r="Z15" s="9">
        <v>3.04</v>
      </c>
      <c r="AA15" s="8">
        <v>7.1</v>
      </c>
      <c r="AB15" s="8">
        <v>13470</v>
      </c>
      <c r="AC15" s="22" t="s">
        <v>2194</v>
      </c>
      <c r="AD15" s="8" t="s">
        <v>4099</v>
      </c>
      <c r="AE15" s="8" t="s">
        <v>4054</v>
      </c>
      <c r="AF15" s="9">
        <f t="shared" si="0"/>
        <v>27.902999999999999</v>
      </c>
      <c r="AG15" s="9">
        <f t="shared" si="1"/>
        <v>21.773333333333333</v>
      </c>
      <c r="AH15" s="9">
        <f t="shared" si="2"/>
        <v>0.89544709294993052</v>
      </c>
      <c r="AI15" s="9">
        <f t="shared" si="3"/>
        <v>0.80182549627248156</v>
      </c>
      <c r="AJ15" s="9">
        <f t="shared" si="4"/>
        <v>1.2373748124181823</v>
      </c>
      <c r="AK15" s="9">
        <f t="shared" si="5"/>
        <v>1.5310964264069318</v>
      </c>
      <c r="AL15" s="9">
        <f t="shared" si="6"/>
        <v>1.0611388674519451</v>
      </c>
      <c r="AM15" s="9">
        <f t="shared" si="7"/>
        <v>1.1260156960171968</v>
      </c>
      <c r="AN15" s="22" t="s">
        <v>2194</v>
      </c>
    </row>
    <row r="16" spans="8:40" ht="23">
      <c r="M16" s="22" t="s">
        <v>3445</v>
      </c>
      <c r="N16" s="8" t="s">
        <v>2003</v>
      </c>
      <c r="O16" s="8"/>
      <c r="P16" s="8"/>
      <c r="Q16" s="8"/>
      <c r="R16" s="8"/>
      <c r="S16" s="8"/>
      <c r="T16" s="8"/>
      <c r="U16" s="8"/>
      <c r="V16" s="8"/>
      <c r="W16" s="22" t="s">
        <v>3445</v>
      </c>
      <c r="X16" s="8">
        <v>41.68</v>
      </c>
      <c r="Y16" s="8">
        <v>2.57</v>
      </c>
      <c r="Z16" s="9">
        <v>3.22</v>
      </c>
      <c r="AA16" s="8">
        <v>6.4</v>
      </c>
      <c r="AB16" s="8">
        <v>18013</v>
      </c>
      <c r="AC16" s="22" t="s">
        <v>3445</v>
      </c>
      <c r="AD16" s="8" t="s">
        <v>4175</v>
      </c>
      <c r="AE16" s="8" t="s">
        <v>4054</v>
      </c>
      <c r="AF16" s="9">
        <f t="shared" si="0"/>
        <v>16.448</v>
      </c>
      <c r="AG16" s="9">
        <f t="shared" si="1"/>
        <v>21.546666666666667</v>
      </c>
      <c r="AH16" s="9">
        <f t="shared" si="2"/>
        <v>0.8071635767435994</v>
      </c>
      <c r="AI16" s="9">
        <f t="shared" si="3"/>
        <v>0.65151303962152052</v>
      </c>
      <c r="AJ16" s="9">
        <f t="shared" si="4"/>
        <v>0.72939615506054056</v>
      </c>
      <c r="AK16" s="9">
        <f t="shared" si="5"/>
        <v>0.53201875101710017</v>
      </c>
      <c r="AL16" s="9">
        <f t="shared" si="6"/>
        <v>1.0500921064313187</v>
      </c>
      <c r="AM16" s="9">
        <f t="shared" si="7"/>
        <v>1.102693431989364</v>
      </c>
      <c r="AN16" s="22" t="s">
        <v>3445</v>
      </c>
    </row>
    <row r="17" spans="13:40" ht="23">
      <c r="M17" s="22" t="s">
        <v>3053</v>
      </c>
      <c r="N17" s="8" t="s">
        <v>1814</v>
      </c>
      <c r="O17" s="8"/>
      <c r="P17" s="8"/>
      <c r="Q17" s="8"/>
      <c r="R17" s="8"/>
      <c r="S17" s="8"/>
      <c r="T17" s="8"/>
      <c r="U17" s="8"/>
      <c r="V17" s="8"/>
      <c r="W17" s="22" t="s">
        <v>3053</v>
      </c>
      <c r="X17" s="8">
        <v>30.78</v>
      </c>
      <c r="Y17" s="8">
        <v>2.61</v>
      </c>
      <c r="Z17" s="9">
        <v>2.3199999999999998</v>
      </c>
      <c r="AA17" s="8">
        <v>6.2</v>
      </c>
      <c r="AB17" s="8">
        <v>21273</v>
      </c>
      <c r="AC17" s="22" t="s">
        <v>3053</v>
      </c>
      <c r="AD17" s="8" t="s">
        <v>4175</v>
      </c>
      <c r="AE17" s="8" t="s">
        <v>4054</v>
      </c>
      <c r="AF17" s="9">
        <f t="shared" si="0"/>
        <v>16.181999999999999</v>
      </c>
      <c r="AG17" s="9">
        <f t="shared" si="1"/>
        <v>15.706666666666667</v>
      </c>
      <c r="AH17" s="9">
        <f t="shared" si="2"/>
        <v>0.78193971497036197</v>
      </c>
      <c r="AI17" s="9">
        <f t="shared" si="3"/>
        <v>0.61142971784793088</v>
      </c>
      <c r="AJ17" s="9">
        <f t="shared" si="4"/>
        <v>0.71760022988750405</v>
      </c>
      <c r="AK17" s="9">
        <f t="shared" si="5"/>
        <v>0.51495008993459868</v>
      </c>
      <c r="AL17" s="9">
        <f t="shared" si="6"/>
        <v>0.76547555778223608</v>
      </c>
      <c r="AM17" s="9">
        <f t="shared" si="7"/>
        <v>0.58595282956202543</v>
      </c>
      <c r="AN17" s="22" t="s">
        <v>3053</v>
      </c>
    </row>
    <row r="18" spans="13:40" ht="23">
      <c r="M18" s="21" t="s">
        <v>1927</v>
      </c>
      <c r="N18" s="8" t="s">
        <v>1902</v>
      </c>
      <c r="O18" s="8"/>
      <c r="P18" s="8"/>
      <c r="Q18" s="8"/>
      <c r="R18" s="8"/>
      <c r="S18" s="8"/>
      <c r="T18" s="8"/>
      <c r="U18" s="8"/>
      <c r="V18" s="8"/>
      <c r="W18" s="21" t="s">
        <v>1927</v>
      </c>
      <c r="X18" s="8">
        <v>14.8</v>
      </c>
      <c r="Y18" s="8">
        <v>6.74</v>
      </c>
      <c r="Z18" s="9">
        <v>8</v>
      </c>
      <c r="AA18" s="8">
        <v>5.4</v>
      </c>
      <c r="AB18" s="8">
        <v>16073</v>
      </c>
      <c r="AC18" s="21" t="s">
        <v>1927</v>
      </c>
      <c r="AD18" s="8" t="s">
        <v>4175</v>
      </c>
      <c r="AE18" s="8" t="s">
        <v>4054</v>
      </c>
      <c r="AF18" s="9">
        <f t="shared" si="0"/>
        <v>36.396000000000001</v>
      </c>
      <c r="AG18" s="9">
        <f t="shared" si="1"/>
        <v>43.92</v>
      </c>
      <c r="AH18" s="9">
        <f t="shared" si="2"/>
        <v>0.68104426787741201</v>
      </c>
      <c r="AI18" s="9">
        <f t="shared" si="3"/>
        <v>0.46382129480868012</v>
      </c>
      <c r="AJ18" s="9">
        <f t="shared" si="4"/>
        <v>1.6140018518715611</v>
      </c>
      <c r="AK18" s="9">
        <f t="shared" si="5"/>
        <v>2.6050019778448288</v>
      </c>
      <c r="AL18" s="9">
        <f t="shared" si="6"/>
        <v>2.140472400114334</v>
      </c>
      <c r="AM18" s="9">
        <f t="shared" si="7"/>
        <v>4.5816220956512179</v>
      </c>
      <c r="AN18" s="21" t="s">
        <v>1927</v>
      </c>
    </row>
    <row r="19" spans="13:40" ht="23">
      <c r="M19" s="21" t="s">
        <v>5070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21" t="s">
        <v>5070</v>
      </c>
      <c r="X19" s="8">
        <v>20.72</v>
      </c>
      <c r="Y19" s="8">
        <v>23.35</v>
      </c>
      <c r="Z19" s="9">
        <v>28.11</v>
      </c>
      <c r="AA19" s="8">
        <v>5.0999999999999996</v>
      </c>
      <c r="AB19" s="8">
        <v>9239</v>
      </c>
      <c r="AC19" s="21" t="s">
        <v>5070</v>
      </c>
      <c r="AD19" s="8" t="s">
        <v>4446</v>
      </c>
      <c r="AE19" s="8" t="s">
        <v>4054</v>
      </c>
      <c r="AF19" s="9">
        <f t="shared" si="0"/>
        <v>119.08499999999999</v>
      </c>
      <c r="AG19" s="9">
        <f t="shared" si="1"/>
        <v>143.73499999999999</v>
      </c>
      <c r="AH19" s="9">
        <f t="shared" si="2"/>
        <v>0.64320847521755575</v>
      </c>
      <c r="AI19" s="9">
        <f t="shared" si="3"/>
        <v>0.41371714259169301</v>
      </c>
      <c r="AJ19" s="9">
        <f t="shared" si="4"/>
        <v>5.280893794101682</v>
      </c>
      <c r="AK19" s="9">
        <f t="shared" si="5"/>
        <v>27.887839264581658</v>
      </c>
      <c r="AL19" s="9">
        <f t="shared" si="6"/>
        <v>7.0050273322047758</v>
      </c>
      <c r="AM19" s="9">
        <f t="shared" si="7"/>
        <v>49.070407924935957</v>
      </c>
      <c r="AN19" s="21" t="s">
        <v>5070</v>
      </c>
    </row>
    <row r="20" spans="13:40" ht="23">
      <c r="M20" s="22" t="s">
        <v>2529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22" t="s">
        <v>2529</v>
      </c>
      <c r="X20" s="8">
        <v>27.9</v>
      </c>
      <c r="Y20" s="8">
        <v>4.8099999999999996</v>
      </c>
      <c r="Z20" s="9">
        <v>4.29</v>
      </c>
      <c r="AA20" s="8">
        <v>4.7</v>
      </c>
      <c r="AB20" s="8">
        <v>17799</v>
      </c>
      <c r="AC20" s="22" t="s">
        <v>2529</v>
      </c>
      <c r="AD20" s="8" t="s">
        <v>4061</v>
      </c>
      <c r="AE20" s="8" t="s">
        <v>4054</v>
      </c>
      <c r="AF20" s="9">
        <f t="shared" si="0"/>
        <v>22.606999999999999</v>
      </c>
      <c r="AG20" s="9">
        <f t="shared" si="1"/>
        <v>21.071666666666669</v>
      </c>
      <c r="AH20" s="9">
        <f t="shared" si="2"/>
        <v>0.59276075167108089</v>
      </c>
      <c r="AI20" s="9">
        <f t="shared" si="3"/>
        <v>0.35136530872166483</v>
      </c>
      <c r="AJ20" s="9">
        <f t="shared" si="4"/>
        <v>1.0025206029580278</v>
      </c>
      <c r="AK20" s="9">
        <f t="shared" si="5"/>
        <v>1.0050475593553276</v>
      </c>
      <c r="AL20" s="9">
        <f t="shared" si="6"/>
        <v>1.0269426439983882</v>
      </c>
      <c r="AM20" s="9">
        <f t="shared" si="7"/>
        <v>1.0546111940624003</v>
      </c>
      <c r="AN20" s="22" t="s">
        <v>2529</v>
      </c>
    </row>
    <row r="21" spans="13:40" ht="23">
      <c r="M21" s="22" t="s">
        <v>3322</v>
      </c>
      <c r="N21" s="8" t="s">
        <v>1939</v>
      </c>
      <c r="O21" s="8"/>
      <c r="P21" s="8" t="s">
        <v>3693</v>
      </c>
      <c r="Q21" s="8"/>
      <c r="R21" s="8"/>
      <c r="S21" s="8"/>
      <c r="T21" s="8"/>
      <c r="U21" s="8"/>
      <c r="V21" s="8"/>
      <c r="W21" s="22" t="s">
        <v>3322</v>
      </c>
      <c r="X21" s="8">
        <v>24.52</v>
      </c>
      <c r="Y21" s="8">
        <v>3.97</v>
      </c>
      <c r="Z21" s="9">
        <v>4.26</v>
      </c>
      <c r="AA21" s="8">
        <v>4.7</v>
      </c>
      <c r="AB21" s="8">
        <v>17579</v>
      </c>
      <c r="AC21" s="22" t="s">
        <v>3322</v>
      </c>
      <c r="AD21" s="8" t="s">
        <v>4175</v>
      </c>
      <c r="AE21" s="8" t="s">
        <v>4054</v>
      </c>
      <c r="AF21" s="9">
        <f t="shared" si="0"/>
        <v>18.659000000000002</v>
      </c>
      <c r="AG21" s="9">
        <f t="shared" si="1"/>
        <v>20.83666666666667</v>
      </c>
      <c r="AH21" s="9">
        <f t="shared" si="2"/>
        <v>0.59276075167108089</v>
      </c>
      <c r="AI21" s="9">
        <f t="shared" si="3"/>
        <v>0.35136530872166483</v>
      </c>
      <c r="AJ21" s="9">
        <f t="shared" si="4"/>
        <v>0.82744423986348659</v>
      </c>
      <c r="AK21" s="9">
        <f t="shared" si="5"/>
        <v>0.68466397008326307</v>
      </c>
      <c r="AL21" s="9">
        <f t="shared" si="6"/>
        <v>1.0154897520578858</v>
      </c>
      <c r="AM21" s="9">
        <f t="shared" si="7"/>
        <v>1.0312194365345864</v>
      </c>
      <c r="AN21" s="22" t="s">
        <v>3322</v>
      </c>
    </row>
    <row r="22" spans="13:40" ht="23">
      <c r="M22" s="22" t="s">
        <v>3650</v>
      </c>
      <c r="N22" s="8" t="s">
        <v>2100</v>
      </c>
      <c r="O22" s="8"/>
      <c r="P22" s="8"/>
      <c r="Q22" s="8"/>
      <c r="R22" s="8"/>
      <c r="S22" s="8"/>
      <c r="T22" s="8"/>
      <c r="U22" s="8"/>
      <c r="V22" s="8"/>
      <c r="W22" s="22" t="s">
        <v>3650</v>
      </c>
      <c r="X22" s="8">
        <v>91.35</v>
      </c>
      <c r="Y22" s="8">
        <v>1.1200000000000001</v>
      </c>
      <c r="Z22" s="9">
        <v>0.1</v>
      </c>
      <c r="AA22" s="8">
        <v>4.0999999999999996</v>
      </c>
      <c r="AB22" s="8">
        <v>135866</v>
      </c>
      <c r="AC22" s="22" t="s">
        <v>3650</v>
      </c>
      <c r="AD22" s="8" t="s">
        <v>4224</v>
      </c>
      <c r="AE22" s="8" t="s">
        <v>4054</v>
      </c>
      <c r="AF22" s="9">
        <f t="shared" si="0"/>
        <v>4.5919999999999996</v>
      </c>
      <c r="AG22" s="9">
        <f t="shared" si="1"/>
        <v>6.8333333333333328E-3</v>
      </c>
      <c r="AH22" s="9">
        <f t="shared" si="2"/>
        <v>0.51708916635136826</v>
      </c>
      <c r="AI22" s="9">
        <f t="shared" si="3"/>
        <v>0.26738120595795301</v>
      </c>
      <c r="AJ22" s="9">
        <f t="shared" si="4"/>
        <v>0.20363491877662948</v>
      </c>
      <c r="AK22" s="9">
        <f t="shared" si="5"/>
        <v>4.1467180145164484E-2</v>
      </c>
      <c r="AL22" s="9">
        <f t="shared" si="6"/>
        <v>3.3302735429829877E-4</v>
      </c>
      <c r="AM22" s="9">
        <f t="shared" si="7"/>
        <v>1.1090721871092461E-7</v>
      </c>
      <c r="AN22" s="22" t="s">
        <v>3650</v>
      </c>
    </row>
    <row r="23" spans="13:40" ht="23">
      <c r="M23" s="21" t="s">
        <v>994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21" t="s">
        <v>994</v>
      </c>
      <c r="X23" s="8">
        <v>48.27</v>
      </c>
      <c r="Y23" s="8">
        <v>2.5499999999999998</v>
      </c>
      <c r="Z23" s="9">
        <v>1.34</v>
      </c>
      <c r="AA23" s="8">
        <v>3.7</v>
      </c>
      <c r="AB23" s="8">
        <v>25273</v>
      </c>
      <c r="AC23" s="21" t="s">
        <v>994</v>
      </c>
      <c r="AD23" s="8" t="s">
        <v>4179</v>
      </c>
      <c r="AE23" s="8" t="s">
        <v>4054</v>
      </c>
      <c r="AF23" s="9">
        <f t="shared" si="0"/>
        <v>9.4350000000000005</v>
      </c>
      <c r="AG23" s="9">
        <f t="shared" si="1"/>
        <v>5.7966666666666669</v>
      </c>
      <c r="AH23" s="9">
        <f t="shared" si="2"/>
        <v>0.46664144280489339</v>
      </c>
      <c r="AI23" s="9">
        <f t="shared" si="3"/>
        <v>0.2177542361430326</v>
      </c>
      <c r="AJ23" s="9">
        <f t="shared" si="4"/>
        <v>0.4184005789759363</v>
      </c>
      <c r="AK23" s="9">
        <f t="shared" si="5"/>
        <v>0.1750590444873987</v>
      </c>
      <c r="AL23" s="9">
        <f t="shared" si="6"/>
        <v>0.28250466786572759</v>
      </c>
      <c r="AM23" s="9">
        <f t="shared" si="7"/>
        <v>7.9808887365925063E-2</v>
      </c>
      <c r="AN23" s="21" t="s">
        <v>994</v>
      </c>
    </row>
    <row r="24" spans="13:40" ht="23">
      <c r="M24" s="22" t="s">
        <v>3443</v>
      </c>
      <c r="N24" s="8" t="s">
        <v>2003</v>
      </c>
      <c r="O24" s="8"/>
      <c r="P24" s="8"/>
      <c r="Q24" s="8"/>
      <c r="R24" s="8"/>
      <c r="S24" s="8"/>
      <c r="T24" s="8"/>
      <c r="U24" s="8"/>
      <c r="V24" s="8"/>
      <c r="W24" s="22" t="s">
        <v>3443</v>
      </c>
      <c r="X24" s="8">
        <v>42.2</v>
      </c>
      <c r="Y24" s="8">
        <v>2.1800000000000002</v>
      </c>
      <c r="Z24" s="9">
        <v>2.0499999999999998</v>
      </c>
      <c r="AA24" s="8">
        <v>3.4</v>
      </c>
      <c r="AB24" s="8">
        <v>32233</v>
      </c>
      <c r="AC24" s="22" t="s">
        <v>3443</v>
      </c>
      <c r="AD24" s="8" t="s">
        <v>4175</v>
      </c>
      <c r="AE24" s="8" t="s">
        <v>4054</v>
      </c>
      <c r="AF24" s="9">
        <f t="shared" si="0"/>
        <v>7.4119999999999999</v>
      </c>
      <c r="AG24" s="9">
        <f t="shared" si="1"/>
        <v>7.0833333333333339</v>
      </c>
      <c r="AH24" s="9">
        <f t="shared" si="2"/>
        <v>0.42880565014503719</v>
      </c>
      <c r="AI24" s="9">
        <f t="shared" si="3"/>
        <v>0.18387428559630803</v>
      </c>
      <c r="AJ24" s="9">
        <f t="shared" si="4"/>
        <v>0.32868946384415898</v>
      </c>
      <c r="AK24" s="9">
        <f t="shared" si="5"/>
        <v>0.10803676364216069</v>
      </c>
      <c r="AL24" s="9">
        <f t="shared" si="6"/>
        <v>0.34521128189457806</v>
      </c>
      <c r="AM24" s="9">
        <f t="shared" si="7"/>
        <v>0.11917082914729783</v>
      </c>
      <c r="AN24" s="22" t="s">
        <v>3443</v>
      </c>
    </row>
    <row r="25" spans="13:40" ht="23">
      <c r="M25" s="21" t="s">
        <v>723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21" t="s">
        <v>723</v>
      </c>
      <c r="X25" s="8">
        <v>39.380000000000003</v>
      </c>
      <c r="Y25" s="8">
        <v>3.24</v>
      </c>
      <c r="Z25" s="9">
        <v>3.43</v>
      </c>
      <c r="AA25" s="8">
        <v>3.3</v>
      </c>
      <c r="AB25" s="8">
        <v>32766</v>
      </c>
      <c r="AC25" s="21" t="s">
        <v>723</v>
      </c>
      <c r="AD25" s="8" t="s">
        <v>4068</v>
      </c>
      <c r="AE25" s="8" t="s">
        <v>4054</v>
      </c>
      <c r="AF25" s="9">
        <f t="shared" si="0"/>
        <v>10.692</v>
      </c>
      <c r="AG25" s="9">
        <f t="shared" si="1"/>
        <v>12.265000000000001</v>
      </c>
      <c r="AH25" s="9">
        <f t="shared" si="2"/>
        <v>0.41619371925841842</v>
      </c>
      <c r="AI25" s="9">
        <f t="shared" si="3"/>
        <v>0.17321721195015521</v>
      </c>
      <c r="AJ25" s="9">
        <f t="shared" si="4"/>
        <v>0.47414297725603716</v>
      </c>
      <c r="AK25" s="9">
        <f t="shared" si="5"/>
        <v>0.22481156288121898</v>
      </c>
      <c r="AL25" s="9">
        <f t="shared" si="6"/>
        <v>0.59774348787345877</v>
      </c>
      <c r="AM25" s="9">
        <f t="shared" si="7"/>
        <v>0.35729727729512772</v>
      </c>
      <c r="AN25" s="21" t="s">
        <v>723</v>
      </c>
    </row>
    <row r="26" spans="13:40" ht="23">
      <c r="M26" s="22" t="s">
        <v>2478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22" t="s">
        <v>2478</v>
      </c>
      <c r="X26" s="8">
        <v>33.29</v>
      </c>
      <c r="Y26" s="8">
        <v>2.29</v>
      </c>
      <c r="Z26" s="9">
        <v>1.05</v>
      </c>
      <c r="AA26" s="8">
        <v>3</v>
      </c>
      <c r="AB26" s="8">
        <v>33771</v>
      </c>
      <c r="AC26" s="22" t="s">
        <v>2478</v>
      </c>
      <c r="AD26" s="8" t="s">
        <v>4183</v>
      </c>
      <c r="AE26" s="8" t="s">
        <v>4054</v>
      </c>
      <c r="AF26" s="9">
        <f t="shared" si="0"/>
        <v>6.87</v>
      </c>
      <c r="AG26" s="9">
        <f t="shared" si="1"/>
        <v>3.25</v>
      </c>
      <c r="AH26" s="9">
        <f t="shared" si="2"/>
        <v>0.37835792659856221</v>
      </c>
      <c r="AI26" s="9">
        <f t="shared" si="3"/>
        <v>0.14315472061996298</v>
      </c>
      <c r="AJ26" s="9">
        <f t="shared" si="4"/>
        <v>0.30465415766451326</v>
      </c>
      <c r="AK26" s="9">
        <f t="shared" si="5"/>
        <v>9.2814155782274102E-2</v>
      </c>
      <c r="AL26" s="9">
        <f t="shared" si="6"/>
        <v>0.1583910587516299</v>
      </c>
      <c r="AM26" s="9">
        <f t="shared" si="7"/>
        <v>2.5087727492462273E-2</v>
      </c>
      <c r="AN26" s="22" t="s">
        <v>2478</v>
      </c>
    </row>
    <row r="27" spans="13:40" ht="23">
      <c r="M27" s="22" t="s">
        <v>3440</v>
      </c>
      <c r="N27" s="8" t="s">
        <v>2003</v>
      </c>
      <c r="O27" s="8"/>
      <c r="P27" s="8"/>
      <c r="Q27" s="8"/>
      <c r="R27" s="8"/>
      <c r="S27" s="8"/>
      <c r="T27" s="8"/>
      <c r="U27" s="8"/>
      <c r="V27" s="8"/>
      <c r="W27" s="22" t="s">
        <v>3440</v>
      </c>
      <c r="X27" s="8">
        <v>65.33</v>
      </c>
      <c r="Y27" s="8">
        <v>1.76</v>
      </c>
      <c r="Z27" s="9">
        <v>1.02</v>
      </c>
      <c r="AA27" s="8">
        <v>2.2999999999999998</v>
      </c>
      <c r="AB27" s="8">
        <v>46099</v>
      </c>
      <c r="AC27" s="22" t="s">
        <v>3440</v>
      </c>
      <c r="AD27" s="8" t="s">
        <v>4175</v>
      </c>
      <c r="AE27" s="8" t="s">
        <v>4054</v>
      </c>
      <c r="AF27" s="9">
        <f t="shared" si="0"/>
        <v>4.048</v>
      </c>
      <c r="AG27" s="9">
        <f t="shared" si="1"/>
        <v>2.3766666666666669</v>
      </c>
      <c r="AH27" s="9">
        <f t="shared" si="2"/>
        <v>0.29007441039223097</v>
      </c>
      <c r="AI27" s="9">
        <f t="shared" si="3"/>
        <v>8.4143163564400436E-2</v>
      </c>
      <c r="AJ27" s="9">
        <f t="shared" si="4"/>
        <v>0.17951092143026923</v>
      </c>
      <c r="AK27" s="9">
        <f t="shared" si="5"/>
        <v>3.2224170912744293E-2</v>
      </c>
      <c r="AL27" s="9">
        <f t="shared" si="6"/>
        <v>0.11582853834862783</v>
      </c>
      <c r="AM27" s="9">
        <f t="shared" si="7"/>
        <v>1.3416250295979548E-2</v>
      </c>
      <c r="AN27" s="22" t="s">
        <v>3440</v>
      </c>
    </row>
    <row r="28" spans="13:40" ht="23">
      <c r="M28" s="22" t="s">
        <v>3454</v>
      </c>
      <c r="N28" s="8" t="s">
        <v>2003</v>
      </c>
      <c r="O28" s="8"/>
      <c r="P28" s="8"/>
      <c r="Q28" s="8"/>
      <c r="R28" s="8"/>
      <c r="S28" s="8"/>
      <c r="T28" s="8"/>
      <c r="U28" s="8"/>
      <c r="V28" s="8"/>
      <c r="W28" s="22" t="s">
        <v>3454</v>
      </c>
      <c r="X28" s="8">
        <v>42.66</v>
      </c>
      <c r="Y28" s="8">
        <v>1.57</v>
      </c>
      <c r="Z28" s="9">
        <v>0.23</v>
      </c>
      <c r="AA28" s="8">
        <v>2.1</v>
      </c>
      <c r="AB28" s="8">
        <v>49915</v>
      </c>
      <c r="AC28" s="22" t="s">
        <v>3454</v>
      </c>
      <c r="AD28" s="8" t="s">
        <v>4175</v>
      </c>
      <c r="AE28" s="8" t="s">
        <v>4054</v>
      </c>
      <c r="AF28" s="9">
        <f t="shared" si="0"/>
        <v>3.2970000000000002</v>
      </c>
      <c r="AG28" s="9">
        <f t="shared" si="1"/>
        <v>0.80500000000000005</v>
      </c>
      <c r="AH28" s="9">
        <f t="shared" si="2"/>
        <v>0.26485054861899354</v>
      </c>
      <c r="AI28" s="9">
        <f t="shared" si="3"/>
        <v>7.0145813103781859E-2</v>
      </c>
      <c r="AJ28" s="9">
        <f t="shared" si="4"/>
        <v>0.146207388328952</v>
      </c>
      <c r="AK28" s="9">
        <f t="shared" si="5"/>
        <v>2.1376600401972968E-2</v>
      </c>
      <c r="AL28" s="9">
        <f t="shared" si="6"/>
        <v>3.9232246860019103E-2</v>
      </c>
      <c r="AM28" s="9">
        <f t="shared" si="7"/>
        <v>1.5391691936854789E-3</v>
      </c>
      <c r="AN28" s="22" t="s">
        <v>3454</v>
      </c>
    </row>
    <row r="29" spans="13:40" ht="23">
      <c r="M29" s="21" t="s">
        <v>367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21" t="s">
        <v>367</v>
      </c>
      <c r="X29" s="8">
        <v>48.84</v>
      </c>
      <c r="Y29" s="8">
        <v>2.95</v>
      </c>
      <c r="Z29" s="9">
        <v>1.1499999999999999</v>
      </c>
      <c r="AA29" s="8">
        <v>1.9</v>
      </c>
      <c r="AB29" s="8">
        <v>38694</v>
      </c>
      <c r="AC29" s="21" t="s">
        <v>367</v>
      </c>
      <c r="AD29" s="8" t="s">
        <v>4175</v>
      </c>
      <c r="AE29" s="8" t="s">
        <v>4054</v>
      </c>
      <c r="AF29" s="9">
        <f t="shared" si="0"/>
        <v>5.6050000000000004</v>
      </c>
      <c r="AG29" s="9">
        <f t="shared" si="1"/>
        <v>2.375</v>
      </c>
      <c r="AH29" s="9">
        <f t="shared" si="2"/>
        <v>0.23962668684575605</v>
      </c>
      <c r="AI29" s="9">
        <f t="shared" si="3"/>
        <v>5.7420949048674036E-2</v>
      </c>
      <c r="AJ29" s="9">
        <f t="shared" si="4"/>
        <v>0.2485569947175541</v>
      </c>
      <c r="AK29" s="9">
        <f t="shared" si="5"/>
        <v>6.1780579623022219E-2</v>
      </c>
      <c r="AL29" s="9">
        <f t="shared" si="6"/>
        <v>0.11574731216465262</v>
      </c>
      <c r="AM29" s="9">
        <f t="shared" si="7"/>
        <v>1.3397440273341539E-2</v>
      </c>
      <c r="AN29" s="21" t="s">
        <v>367</v>
      </c>
    </row>
    <row r="30" spans="13:40" ht="23">
      <c r="M30" s="21" t="s">
        <v>1609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21" t="s">
        <v>1609</v>
      </c>
      <c r="X30" s="8">
        <v>23.93</v>
      </c>
      <c r="Y30" s="8">
        <v>2.83</v>
      </c>
      <c r="Z30" s="9">
        <v>1.08</v>
      </c>
      <c r="AA30" s="8">
        <v>1.8</v>
      </c>
      <c r="AB30" s="8">
        <v>50828</v>
      </c>
      <c r="AC30" s="21" t="s">
        <v>1609</v>
      </c>
      <c r="AD30" s="8" t="s">
        <v>4093</v>
      </c>
      <c r="AE30" s="8" t="s">
        <v>4054</v>
      </c>
      <c r="AF30" s="9">
        <f t="shared" si="0"/>
        <v>5.0940000000000003</v>
      </c>
      <c r="AG30" s="9">
        <f t="shared" si="1"/>
        <v>2.04</v>
      </c>
      <c r="AH30" s="9">
        <f t="shared" si="2"/>
        <v>0.22701475595913734</v>
      </c>
      <c r="AI30" s="9">
        <f t="shared" si="3"/>
        <v>5.1535699423186684E-2</v>
      </c>
      <c r="AJ30" s="9">
        <f t="shared" si="4"/>
        <v>0.22589640162198407</v>
      </c>
      <c r="AK30" s="9">
        <f t="shared" si="5"/>
        <v>5.1029184265760731E-2</v>
      </c>
      <c r="AL30" s="9">
        <f t="shared" si="6"/>
        <v>9.9420849185638469E-2</v>
      </c>
      <c r="AM30" s="9">
        <f t="shared" si="7"/>
        <v>9.8845052527934685E-3</v>
      </c>
      <c r="AN30" s="21" t="s">
        <v>1609</v>
      </c>
    </row>
    <row r="31" spans="13:40" ht="23">
      <c r="M31" s="22" t="s">
        <v>2302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22" t="s">
        <v>2302</v>
      </c>
      <c r="X31" s="8">
        <v>12.86</v>
      </c>
      <c r="Y31" s="8">
        <v>3.98</v>
      </c>
      <c r="Z31" s="9">
        <v>0.25</v>
      </c>
      <c r="AA31" s="8">
        <v>1.4</v>
      </c>
      <c r="AB31" s="8">
        <v>43448</v>
      </c>
      <c r="AC31" s="22" t="s">
        <v>2302</v>
      </c>
      <c r="AD31" s="8" t="s">
        <v>4175</v>
      </c>
      <c r="AE31" s="8" t="s">
        <v>4054</v>
      </c>
      <c r="AF31" s="9">
        <f t="shared" si="0"/>
        <v>5.5720000000000001</v>
      </c>
      <c r="AG31" s="9">
        <f t="shared" si="1"/>
        <v>0.58333333333333337</v>
      </c>
      <c r="AH31" s="9">
        <f t="shared" si="2"/>
        <v>0.17656703241266236</v>
      </c>
      <c r="AI31" s="9">
        <f t="shared" si="3"/>
        <v>3.1175916935014161E-2</v>
      </c>
      <c r="AJ31" s="9">
        <f t="shared" si="4"/>
        <v>0.24709359046676385</v>
      </c>
      <c r="AK31" s="9">
        <f t="shared" si="5"/>
        <v>6.1055242449756811E-2</v>
      </c>
      <c r="AL31" s="9">
        <f t="shared" si="6"/>
        <v>2.8429164391318193E-2</v>
      </c>
      <c r="AM31" s="9">
        <f t="shared" si="7"/>
        <v>8.0821738798859434E-4</v>
      </c>
      <c r="AN31" s="22" t="s">
        <v>2302</v>
      </c>
    </row>
    <row r="32" spans="13:40" ht="23">
      <c r="M32" s="21" t="s">
        <v>1025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21" t="s">
        <v>1025</v>
      </c>
      <c r="X32" s="8">
        <v>76.010000000000005</v>
      </c>
      <c r="Y32" s="8">
        <v>1.38</v>
      </c>
      <c r="Z32" s="9">
        <v>1.23</v>
      </c>
      <c r="AA32" s="8">
        <v>1.3</v>
      </c>
      <c r="AB32" s="8">
        <v>75651</v>
      </c>
      <c r="AC32" s="21" t="s">
        <v>1025</v>
      </c>
      <c r="AD32" s="8" t="s">
        <v>4152</v>
      </c>
      <c r="AE32" s="8" t="s">
        <v>4054</v>
      </c>
      <c r="AF32" s="9">
        <f t="shared" si="0"/>
        <v>1.7939999999999998</v>
      </c>
      <c r="AG32" s="9">
        <f t="shared" si="1"/>
        <v>1.7983333333333333</v>
      </c>
      <c r="AH32" s="9">
        <f t="shared" si="2"/>
        <v>0.16395510152604362</v>
      </c>
      <c r="AI32" s="9">
        <f t="shared" si="3"/>
        <v>2.6881275316415269E-2</v>
      </c>
      <c r="AJ32" s="9">
        <f t="shared" si="4"/>
        <v>7.9555976542960219E-2</v>
      </c>
      <c r="AK32" s="9">
        <f t="shared" si="5"/>
        <v>6.3291534037040369E-3</v>
      </c>
      <c r="AL32" s="9">
        <f t="shared" si="6"/>
        <v>8.7643052509235223E-2</v>
      </c>
      <c r="AM32" s="9">
        <f t="shared" si="7"/>
        <v>7.6813046531365621E-3</v>
      </c>
      <c r="AN32" s="21" t="s">
        <v>1025</v>
      </c>
    </row>
    <row r="33" spans="13:40" ht="23">
      <c r="M33" s="21" t="s">
        <v>5122</v>
      </c>
      <c r="N33" s="8"/>
      <c r="O33" s="8"/>
      <c r="P33" s="8"/>
      <c r="Q33" s="8"/>
      <c r="R33" s="8"/>
      <c r="S33" s="8"/>
      <c r="T33" s="8"/>
      <c r="U33" s="8"/>
      <c r="V33" s="8"/>
      <c r="W33" s="21" t="s">
        <v>5122</v>
      </c>
      <c r="X33" s="8">
        <v>42.07</v>
      </c>
      <c r="Y33" s="8">
        <v>1.77</v>
      </c>
      <c r="Z33" s="9">
        <v>0.32</v>
      </c>
      <c r="AA33" s="8">
        <v>1.1000000000000001</v>
      </c>
      <c r="AB33" s="8">
        <v>76312</v>
      </c>
      <c r="AC33" s="21" t="s">
        <v>5122</v>
      </c>
      <c r="AD33" s="8" t="s">
        <v>4063</v>
      </c>
      <c r="AE33" s="8" t="s">
        <v>4054</v>
      </c>
      <c r="AF33" s="9">
        <f t="shared" si="0"/>
        <v>1.9470000000000003</v>
      </c>
      <c r="AG33" s="9">
        <f t="shared" si="1"/>
        <v>0.58666666666666667</v>
      </c>
      <c r="AH33" s="9">
        <f t="shared" si="2"/>
        <v>0.13873123975280616</v>
      </c>
      <c r="AI33" s="9">
        <f t="shared" si="3"/>
        <v>1.9246356883350583E-2</v>
      </c>
      <c r="AJ33" s="9">
        <f t="shared" si="4"/>
        <v>8.6340850796624069E-2</v>
      </c>
      <c r="AK33" s="9">
        <f t="shared" si="5"/>
        <v>7.4547425162848988E-3</v>
      </c>
      <c r="AL33" s="9">
        <f t="shared" si="6"/>
        <v>2.8591616759268582E-2</v>
      </c>
      <c r="AM33" s="9">
        <f t="shared" si="7"/>
        <v>8.1748054890888806E-4</v>
      </c>
      <c r="AN33" s="21" t="s">
        <v>5122</v>
      </c>
    </row>
    <row r="34" spans="13:40" ht="23"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9"/>
      <c r="AA34" s="8">
        <f>SUBTOTAL(109,Table136835[ترافیک کل])</f>
        <v>792.90000000000009</v>
      </c>
      <c r="AB34" s="8"/>
      <c r="AC34" s="21"/>
      <c r="AD34" s="8"/>
      <c r="AE34" s="8"/>
      <c r="AF34" s="9">
        <f>SUBTOTAL(109,Table136835[[مجموع صفحات  مشاهده شده   ]])</f>
        <v>2255.0160000000001</v>
      </c>
      <c r="AG34" s="9">
        <f>SUBTOTAL(109,Table136835[[مجموع زمان حضور در سایت ]])</f>
        <v>2051.8834999999999</v>
      </c>
      <c r="AH34" s="9">
        <f>SUBTOTAL(109,Table136835[سهم سایت از کل ترافیک طبقه بندی])</f>
        <v>100.00000000000004</v>
      </c>
      <c r="AI34" s="9">
        <f>SUBTOTAL(109,Table136835[شاخص هرفیندال هیرشمن (ترافیک)])</f>
        <v>1269.8512452257703</v>
      </c>
      <c r="AJ34" s="9">
        <f>SUBTOTAL(109,Table136835[سهم سایت از کل صفحات مشاهده شده در طبقه بندی])</f>
        <v>100</v>
      </c>
      <c r="AK34" s="9">
        <f>SUBTOTAL(109,Table136835[شاخص هرفیندال -هیرشمن (صفحات مشاهده شده )])</f>
        <v>1226.6043416259897</v>
      </c>
      <c r="AL34" s="9">
        <f>SUBTOTAL(109,Table136835[سهم سایت از کل زمان حضور در طبقه بندی])</f>
        <v>100</v>
      </c>
      <c r="AM34" s="9">
        <f>SUBTOTAL(109,Table136835[شاخص هرفیندال هیرشمن (زمان حضور)])</f>
        <v>1383.6788374766709</v>
      </c>
      <c r="AN34" s="9"/>
    </row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{E44B6064-3099-4C9A-A288-3FBA6FA81D6D}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{DAD77C46-1D9B-4042-AAA4-4FB89E1966BE}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{FF8CD5C4-7066-499A-92FB-A6299732BB7E}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{02ED0810-C6C2-4B62-9677-BD16AEE6A241}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{1402D629-03D4-4234-BC75-B63DD814284B}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{C7DBD28F-3000-4405-9497-A8D390ADBC73}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4B6064-3099-4C9A-A288-3FBA6FA81D6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DAD77C46-1D9B-4042-AAA4-4FB89E1966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F8CD5C4-7066-499A-92FB-A6299732BB7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02ED0810-C6C2-4B62-9677-BD16AEE6A2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402D629-03D4-4234-BC75-B63DD81428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C7DBD28F-3000-4405-9497-A8D390ADBC7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4"/>
  <sheetViews>
    <sheetView showGridLines="0" rightToLeft="1" topLeftCell="AA1" zoomScale="85" zoomScaleNormal="85" workbookViewId="0">
      <selection activeCell="AA2" sqref="AA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7.6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940</v>
      </c>
      <c r="N2" s="8" t="s">
        <v>150</v>
      </c>
      <c r="O2" s="8"/>
      <c r="P2" s="8" t="s">
        <v>3691</v>
      </c>
      <c r="Q2" s="8"/>
      <c r="R2" s="8"/>
      <c r="S2" s="8"/>
      <c r="T2" s="8"/>
      <c r="U2" s="8"/>
      <c r="V2" s="8"/>
      <c r="W2" s="8" t="s">
        <v>940</v>
      </c>
      <c r="X2" s="8">
        <v>30.52</v>
      </c>
      <c r="Y2" s="8">
        <v>8.66</v>
      </c>
      <c r="Z2" s="9">
        <v>7.4</v>
      </c>
      <c r="AA2" s="8">
        <v>2645</v>
      </c>
      <c r="AB2" s="8">
        <v>707</v>
      </c>
      <c r="AC2" s="21" t="s">
        <v>940</v>
      </c>
      <c r="AD2" s="8" t="s">
        <v>3726</v>
      </c>
      <c r="AE2" s="8"/>
      <c r="AF2" s="9">
        <f t="shared" ref="AF2:AF13" si="0">(AA2*Y2)</f>
        <v>22905.7</v>
      </c>
      <c r="AG2" s="9">
        <f t="shared" ref="AG2:AG9" si="1">((((RIGHT(Z2,2))/60)+(LEFT(Z2,2)))*AA2)</f>
        <v>18532.633333333335</v>
      </c>
      <c r="AH2" s="9">
        <f t="shared" ref="AH2:AH13" si="2">(AA2/$AA$14)*100</f>
        <v>49.583833233353324</v>
      </c>
      <c r="AI2" s="9">
        <f t="shared" ref="AI2:AI13" si="3">(AH2*AH2)</f>
        <v>2458.5565181129937</v>
      </c>
      <c r="AJ2" s="9">
        <f t="shared" ref="AJ2:AJ13" si="4">(AF2/$AF$14)*100</f>
        <v>61.575770023073076</v>
      </c>
      <c r="AK2" s="9">
        <f t="shared" ref="AK2:AK13" si="5">(AJ2*AJ2)</f>
        <v>3791.5754539343848</v>
      </c>
      <c r="AL2" s="9">
        <f t="shared" ref="AL2:AL13" si="6">(AG2/$AG$14)*100</f>
        <v>60.138626717418795</v>
      </c>
      <c r="AM2" s="9">
        <f t="shared" ref="AM2:AM13" si="7">(AL2*AL2)</f>
        <v>3616.6544234570379</v>
      </c>
      <c r="AN2" s="8" t="s">
        <v>940</v>
      </c>
    </row>
    <row r="3" spans="8:40" ht="23">
      <c r="M3" s="8" t="s">
        <v>318</v>
      </c>
      <c r="N3" s="8" t="s">
        <v>150</v>
      </c>
      <c r="O3" s="8"/>
      <c r="P3" s="8" t="s">
        <v>3691</v>
      </c>
      <c r="Q3" s="8"/>
      <c r="R3" s="8"/>
      <c r="S3" s="8"/>
      <c r="T3" s="8"/>
      <c r="U3" s="8"/>
      <c r="V3" s="8"/>
      <c r="W3" s="8" t="s">
        <v>318</v>
      </c>
      <c r="X3" s="8">
        <v>32.36</v>
      </c>
      <c r="Y3" s="8">
        <v>2.95</v>
      </c>
      <c r="Z3" s="9">
        <v>5.29</v>
      </c>
      <c r="AA3" s="8">
        <v>820.4</v>
      </c>
      <c r="AB3" s="8">
        <v>1443</v>
      </c>
      <c r="AC3" s="21" t="s">
        <v>318</v>
      </c>
      <c r="AD3" s="8" t="s">
        <v>3726</v>
      </c>
      <c r="AE3" s="8"/>
      <c r="AF3" s="9">
        <f t="shared" si="0"/>
        <v>2420.1800000000003</v>
      </c>
      <c r="AG3" s="9">
        <f t="shared" si="1"/>
        <v>4498.5266666666666</v>
      </c>
      <c r="AH3" s="9">
        <f t="shared" si="2"/>
        <v>15.379424115176962</v>
      </c>
      <c r="AI3" s="9">
        <f t="shared" si="3"/>
        <v>236.52668611448667</v>
      </c>
      <c r="AJ3" s="9">
        <f t="shared" si="4"/>
        <v>6.5059983800731258</v>
      </c>
      <c r="AK3" s="9">
        <f t="shared" si="5"/>
        <v>42.328014921514139</v>
      </c>
      <c r="AL3" s="9">
        <f t="shared" si="6"/>
        <v>14.597775238904035</v>
      </c>
      <c r="AM3" s="9">
        <f t="shared" si="7"/>
        <v>213.09504192555974</v>
      </c>
      <c r="AN3" s="8" t="s">
        <v>318</v>
      </c>
    </row>
    <row r="4" spans="8:40" ht="23">
      <c r="M4" s="8" t="s">
        <v>542</v>
      </c>
      <c r="N4" s="8" t="s">
        <v>150</v>
      </c>
      <c r="O4" s="8"/>
      <c r="P4" s="8" t="s">
        <v>3696</v>
      </c>
      <c r="Q4" s="8"/>
      <c r="R4" s="8"/>
      <c r="S4" s="8"/>
      <c r="T4" s="8"/>
      <c r="U4" s="8"/>
      <c r="V4" s="8"/>
      <c r="W4" s="8" t="s">
        <v>542</v>
      </c>
      <c r="X4" s="8">
        <v>27.2</v>
      </c>
      <c r="Y4" s="8">
        <v>7.11</v>
      </c>
      <c r="Z4" s="9">
        <v>5.33</v>
      </c>
      <c r="AA4" s="8">
        <v>684</v>
      </c>
      <c r="AB4" s="8">
        <v>979</v>
      </c>
      <c r="AC4" s="21" t="s">
        <v>542</v>
      </c>
      <c r="AD4" s="8" t="s">
        <v>3726</v>
      </c>
      <c r="AE4" s="8"/>
      <c r="AF4" s="9">
        <f t="shared" si="0"/>
        <v>4863.24</v>
      </c>
      <c r="AG4" s="9">
        <f t="shared" si="1"/>
        <v>3796.2</v>
      </c>
      <c r="AH4" s="9">
        <f t="shared" si="2"/>
        <v>12.822435512897421</v>
      </c>
      <c r="AI4" s="9">
        <f t="shared" si="3"/>
        <v>164.41485248241295</v>
      </c>
      <c r="AJ4" s="9">
        <f t="shared" si="4"/>
        <v>13.073503442680638</v>
      </c>
      <c r="AK4" s="9">
        <f t="shared" si="5"/>
        <v>170.91649226578249</v>
      </c>
      <c r="AL4" s="9">
        <f t="shared" si="6"/>
        <v>12.318716430548557</v>
      </c>
      <c r="AM4" s="9">
        <f t="shared" si="7"/>
        <v>151.75077449626698</v>
      </c>
      <c r="AN4" s="8" t="s">
        <v>542</v>
      </c>
    </row>
    <row r="5" spans="8:40" ht="23">
      <c r="M5" s="8" t="s">
        <v>234</v>
      </c>
      <c r="N5" s="8" t="s">
        <v>150</v>
      </c>
      <c r="O5" s="8"/>
      <c r="P5" s="8" t="s">
        <v>3691</v>
      </c>
      <c r="Q5" s="8"/>
      <c r="R5" s="8"/>
      <c r="S5" s="8"/>
      <c r="T5" s="8"/>
      <c r="U5" s="8"/>
      <c r="V5" s="8"/>
      <c r="W5" s="8" t="s">
        <v>234</v>
      </c>
      <c r="X5" s="8">
        <v>27.54</v>
      </c>
      <c r="Y5" s="8">
        <v>7.38</v>
      </c>
      <c r="Z5" s="9">
        <v>5.39</v>
      </c>
      <c r="AA5" s="8">
        <v>536</v>
      </c>
      <c r="AB5" s="8">
        <v>1700</v>
      </c>
      <c r="AC5" s="21" t="s">
        <v>234</v>
      </c>
      <c r="AD5" s="8" t="s">
        <v>3726</v>
      </c>
      <c r="AE5" s="8"/>
      <c r="AF5" s="9">
        <f t="shared" si="0"/>
        <v>3955.68</v>
      </c>
      <c r="AG5" s="9">
        <f t="shared" si="1"/>
        <v>3028.4</v>
      </c>
      <c r="AH5" s="9">
        <f t="shared" si="2"/>
        <v>10.047990401919616</v>
      </c>
      <c r="AI5" s="9">
        <f t="shared" si="3"/>
        <v>100.96211111706873</v>
      </c>
      <c r="AJ5" s="9">
        <f t="shared" si="4"/>
        <v>10.633774211871703</v>
      </c>
      <c r="AK5" s="9">
        <f t="shared" si="5"/>
        <v>113.07715398906767</v>
      </c>
      <c r="AL5" s="9">
        <f t="shared" si="6"/>
        <v>9.8271958374883432</v>
      </c>
      <c r="AM5" s="9">
        <f t="shared" si="7"/>
        <v>96.573778028348215</v>
      </c>
      <c r="AN5" s="8" t="s">
        <v>234</v>
      </c>
    </row>
    <row r="6" spans="8:40" ht="23">
      <c r="M6" s="24" t="s">
        <v>510</v>
      </c>
      <c r="N6" s="8" t="s">
        <v>150</v>
      </c>
      <c r="O6" s="24"/>
      <c r="P6" s="24" t="s">
        <v>3693</v>
      </c>
      <c r="Q6" s="24"/>
      <c r="R6" s="24"/>
      <c r="S6" s="24"/>
      <c r="T6" s="24"/>
      <c r="U6" s="24"/>
      <c r="V6" s="24"/>
      <c r="W6" s="24" t="s">
        <v>510</v>
      </c>
      <c r="X6" s="24">
        <v>35.96</v>
      </c>
      <c r="Y6" s="24">
        <v>4.7</v>
      </c>
      <c r="Z6" s="25">
        <v>1.26</v>
      </c>
      <c r="AA6" s="24">
        <v>487.1</v>
      </c>
      <c r="AB6" s="24">
        <v>4699</v>
      </c>
      <c r="AC6" s="21" t="s">
        <v>510</v>
      </c>
      <c r="AD6" s="8" t="s">
        <v>3726</v>
      </c>
      <c r="AE6" s="8"/>
      <c r="AF6" s="25">
        <f t="shared" si="0"/>
        <v>2289.3700000000003</v>
      </c>
      <c r="AG6" s="25">
        <f t="shared" si="1"/>
        <v>698.17666666666673</v>
      </c>
      <c r="AH6" s="9">
        <f t="shared" si="2"/>
        <v>9.1312987402519497</v>
      </c>
      <c r="AI6" s="25">
        <f t="shared" si="3"/>
        <v>83.380616683726842</v>
      </c>
      <c r="AJ6" s="9">
        <f t="shared" si="4"/>
        <v>6.1543511273492104</v>
      </c>
      <c r="AK6" s="25">
        <f t="shared" si="5"/>
        <v>37.876037798704495</v>
      </c>
      <c r="AL6" s="9">
        <f t="shared" si="6"/>
        <v>2.2655920065044759</v>
      </c>
      <c r="AM6" s="25">
        <f t="shared" si="7"/>
        <v>5.132907139936977</v>
      </c>
      <c r="AN6" s="24" t="s">
        <v>510</v>
      </c>
    </row>
    <row r="7" spans="8:40" ht="23">
      <c r="M7" s="9" t="s">
        <v>2215</v>
      </c>
      <c r="N7" s="8" t="s">
        <v>150</v>
      </c>
      <c r="O7" s="8"/>
      <c r="P7" s="8" t="s">
        <v>3691</v>
      </c>
      <c r="Q7" s="8"/>
      <c r="R7" s="8"/>
      <c r="S7" s="8"/>
      <c r="T7" s="8"/>
      <c r="U7" s="8"/>
      <c r="V7" s="8"/>
      <c r="W7" s="9" t="s">
        <v>2215</v>
      </c>
      <c r="X7" s="8">
        <v>28.53</v>
      </c>
      <c r="Y7" s="8">
        <v>1.34</v>
      </c>
      <c r="Z7" s="9">
        <v>0.23</v>
      </c>
      <c r="AA7" s="8">
        <v>58.9</v>
      </c>
      <c r="AB7" s="8">
        <v>21610</v>
      </c>
      <c r="AC7" s="22" t="s">
        <v>2215</v>
      </c>
      <c r="AD7" s="8" t="s">
        <v>3726</v>
      </c>
      <c r="AE7" s="8"/>
      <c r="AF7" s="9">
        <f t="shared" si="0"/>
        <v>78.926000000000002</v>
      </c>
      <c r="AG7" s="9">
        <f t="shared" si="1"/>
        <v>22.578333333333333</v>
      </c>
      <c r="AH7" s="9">
        <f t="shared" si="2"/>
        <v>1.1041541691661665</v>
      </c>
      <c r="AI7" s="9">
        <f t="shared" si="3"/>
        <v>1.2191564292870274</v>
      </c>
      <c r="AJ7" s="9">
        <f t="shared" si="4"/>
        <v>0.2121711724523182</v>
      </c>
      <c r="AK7" s="9">
        <f t="shared" si="5"/>
        <v>4.5016606419791348E-2</v>
      </c>
      <c r="AL7" s="9">
        <f t="shared" si="6"/>
        <v>7.3266973765274621E-2</v>
      </c>
      <c r="AM7" s="9">
        <f t="shared" si="7"/>
        <v>5.3680494447214391E-3</v>
      </c>
      <c r="AN7" s="9" t="s">
        <v>2215</v>
      </c>
    </row>
    <row r="8" spans="8:40" ht="23">
      <c r="M8" s="24" t="s">
        <v>2417</v>
      </c>
      <c r="N8" s="8" t="s">
        <v>150</v>
      </c>
      <c r="O8" s="24"/>
      <c r="P8" s="24" t="s">
        <v>3691</v>
      </c>
      <c r="Q8" s="24"/>
      <c r="R8" s="24"/>
      <c r="S8" s="24"/>
      <c r="T8" s="24"/>
      <c r="U8" s="24"/>
      <c r="V8" s="24"/>
      <c r="W8" s="24" t="s">
        <v>2417</v>
      </c>
      <c r="X8" s="24">
        <v>3.17</v>
      </c>
      <c r="Y8" s="24">
        <v>8.8000000000000007</v>
      </c>
      <c r="Z8" s="25">
        <v>1.4</v>
      </c>
      <c r="AA8" s="24">
        <v>28.1</v>
      </c>
      <c r="AB8" s="24">
        <v>16873</v>
      </c>
      <c r="AC8" s="21" t="s">
        <v>2417</v>
      </c>
      <c r="AD8" s="8" t="s">
        <v>3726</v>
      </c>
      <c r="AE8" s="8"/>
      <c r="AF8" s="25">
        <f t="shared" si="0"/>
        <v>247.28000000000003</v>
      </c>
      <c r="AG8" s="25">
        <f t="shared" si="1"/>
        <v>28.287333333333333</v>
      </c>
      <c r="AH8" s="9">
        <f t="shared" si="2"/>
        <v>0.5267696460707858</v>
      </c>
      <c r="AI8" s="25">
        <f t="shared" si="3"/>
        <v>0.27748626002154092</v>
      </c>
      <c r="AJ8" s="9">
        <f t="shared" si="4"/>
        <v>0.66474529969856888</v>
      </c>
      <c r="AK8" s="25">
        <f t="shared" si="5"/>
        <v>0.44188631347134016</v>
      </c>
      <c r="AL8" s="9">
        <f t="shared" si="6"/>
        <v>9.1792750094762454E-2</v>
      </c>
      <c r="AM8" s="25">
        <f t="shared" si="7"/>
        <v>8.4259089699595131E-3</v>
      </c>
      <c r="AN8" s="24" t="s">
        <v>2417</v>
      </c>
    </row>
    <row r="9" spans="8:40" ht="23">
      <c r="M9" s="8" t="s">
        <v>950</v>
      </c>
      <c r="N9" s="8" t="s">
        <v>150</v>
      </c>
      <c r="O9" s="8"/>
      <c r="P9" s="8" t="s">
        <v>3691</v>
      </c>
      <c r="Q9" s="8"/>
      <c r="R9" s="8"/>
      <c r="S9" s="8"/>
      <c r="T9" s="8"/>
      <c r="U9" s="8"/>
      <c r="V9" s="8"/>
      <c r="W9" s="8" t="s">
        <v>950</v>
      </c>
      <c r="X9" s="8">
        <v>27.59</v>
      </c>
      <c r="Y9" s="8">
        <v>8.15</v>
      </c>
      <c r="Z9" s="9">
        <v>5.1100000000000003</v>
      </c>
      <c r="AA9" s="8">
        <v>26.8</v>
      </c>
      <c r="AB9" s="8">
        <v>6654</v>
      </c>
      <c r="AC9" s="21" t="s">
        <v>950</v>
      </c>
      <c r="AD9" s="8" t="s">
        <v>3726</v>
      </c>
      <c r="AE9" s="8"/>
      <c r="AF9" s="9">
        <f t="shared" si="0"/>
        <v>218.42000000000002</v>
      </c>
      <c r="AG9" s="9">
        <f t="shared" si="1"/>
        <v>138.91333333333336</v>
      </c>
      <c r="AH9" s="9">
        <f t="shared" si="2"/>
        <v>0.50239952009598077</v>
      </c>
      <c r="AI9" s="9">
        <f t="shared" si="3"/>
        <v>0.2524052777926718</v>
      </c>
      <c r="AJ9" s="9">
        <f t="shared" si="4"/>
        <v>0.58716300695633061</v>
      </c>
      <c r="AK9" s="9">
        <f t="shared" si="5"/>
        <v>0.34476039673799996</v>
      </c>
      <c r="AL9" s="9">
        <f t="shared" si="6"/>
        <v>0.45077550228007013</v>
      </c>
      <c r="AM9" s="9">
        <f t="shared" si="7"/>
        <v>0.2031985534558495</v>
      </c>
      <c r="AN9" s="8" t="s">
        <v>950</v>
      </c>
    </row>
    <row r="10" spans="8:40" ht="23">
      <c r="M10" s="8" t="s">
        <v>5196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8" t="s">
        <v>5196</v>
      </c>
      <c r="X10" s="8">
        <v>35.26</v>
      </c>
      <c r="Y10" s="8">
        <v>2.2200000000000002</v>
      </c>
      <c r="Z10" s="9">
        <v>0.19</v>
      </c>
      <c r="AA10" s="8">
        <v>24.5</v>
      </c>
      <c r="AB10" s="8">
        <v>5471</v>
      </c>
      <c r="AC10" s="21" t="s">
        <v>5196</v>
      </c>
      <c r="AD10" s="8" t="s">
        <v>3726</v>
      </c>
      <c r="AE10" s="8"/>
      <c r="AF10" s="9">
        <f t="shared" si="0"/>
        <v>54.390000000000008</v>
      </c>
      <c r="AG10" s="9"/>
      <c r="AH10" s="9">
        <f t="shared" si="2"/>
        <v>0.45928314337132564</v>
      </c>
      <c r="AI10" s="9">
        <f t="shared" si="3"/>
        <v>0.21094100578504565</v>
      </c>
      <c r="AJ10" s="9">
        <f t="shared" si="4"/>
        <v>0.14621278247575689</v>
      </c>
      <c r="AK10" s="9">
        <f t="shared" si="5"/>
        <v>2.1378177759303001E-2</v>
      </c>
      <c r="AL10" s="9">
        <f t="shared" si="6"/>
        <v>0</v>
      </c>
      <c r="AM10" s="9">
        <f t="shared" si="7"/>
        <v>0</v>
      </c>
      <c r="AN10" s="8" t="s">
        <v>5196</v>
      </c>
    </row>
    <row r="11" spans="8:40" ht="23">
      <c r="M11" s="8" t="s">
        <v>670</v>
      </c>
      <c r="N11" s="8" t="s">
        <v>150</v>
      </c>
      <c r="O11" s="8"/>
      <c r="P11" s="8" t="s">
        <v>4060</v>
      </c>
      <c r="Q11" s="8"/>
      <c r="R11" s="8"/>
      <c r="S11" s="8"/>
      <c r="T11" s="8"/>
      <c r="U11" s="8"/>
      <c r="V11" s="8"/>
      <c r="W11" s="8" t="s">
        <v>670</v>
      </c>
      <c r="X11" s="8">
        <v>2.83</v>
      </c>
      <c r="Y11" s="8">
        <v>5.88</v>
      </c>
      <c r="Z11" s="9">
        <v>1.57</v>
      </c>
      <c r="AA11" s="8">
        <v>15</v>
      </c>
      <c r="AB11" s="8">
        <v>29288</v>
      </c>
      <c r="AC11" s="21" t="s">
        <v>670</v>
      </c>
      <c r="AD11" s="8" t="s">
        <v>3726</v>
      </c>
      <c r="AE11" s="8"/>
      <c r="AF11" s="9">
        <f t="shared" si="0"/>
        <v>88.2</v>
      </c>
      <c r="AG11" s="9">
        <f>((((RIGHT(Z11,2))/60)+(LEFT(Z11,2)))*AA11)</f>
        <v>29.25</v>
      </c>
      <c r="AH11" s="9">
        <f t="shared" si="2"/>
        <v>0.28119376124775042</v>
      </c>
      <c r="AI11" s="9">
        <f t="shared" si="3"/>
        <v>7.906993136465687E-2</v>
      </c>
      <c r="AJ11" s="9">
        <f t="shared" si="4"/>
        <v>0.2371018094201463</v>
      </c>
      <c r="AK11" s="9">
        <f t="shared" si="5"/>
        <v>5.6217268030307375E-2</v>
      </c>
      <c r="AL11" s="9">
        <f t="shared" si="6"/>
        <v>9.4916615455862524E-2</v>
      </c>
      <c r="AM11" s="9">
        <f t="shared" si="7"/>
        <v>9.0091638895960814E-3</v>
      </c>
      <c r="AN11" s="8" t="s">
        <v>670</v>
      </c>
    </row>
    <row r="12" spans="8:40" ht="23">
      <c r="M12" s="8" t="s">
        <v>1444</v>
      </c>
      <c r="N12" s="8" t="s">
        <v>150</v>
      </c>
      <c r="O12" s="8"/>
      <c r="P12" s="8" t="s">
        <v>3692</v>
      </c>
      <c r="Q12" s="8"/>
      <c r="R12" s="8"/>
      <c r="S12" s="8"/>
      <c r="T12" s="8"/>
      <c r="U12" s="8"/>
      <c r="V12" s="8"/>
      <c r="W12" s="8" t="s">
        <v>1444</v>
      </c>
      <c r="X12" s="8">
        <v>12.45</v>
      </c>
      <c r="Y12" s="8">
        <v>8.6</v>
      </c>
      <c r="Z12" s="9">
        <v>4.12</v>
      </c>
      <c r="AA12" s="8">
        <v>6.3</v>
      </c>
      <c r="AB12" s="8">
        <v>15467</v>
      </c>
      <c r="AC12" s="21" t="s">
        <v>1444</v>
      </c>
      <c r="AD12" s="8" t="s">
        <v>3726</v>
      </c>
      <c r="AE12" s="8"/>
      <c r="AF12" s="9">
        <f t="shared" si="0"/>
        <v>54.18</v>
      </c>
      <c r="AG12" s="9">
        <f>((((RIGHT(Z12,2))/60)+(LEFT(Z12,2)))*AA12)</f>
        <v>26.46</v>
      </c>
      <c r="AH12" s="9">
        <f t="shared" si="2"/>
        <v>0.11810137972405517</v>
      </c>
      <c r="AI12" s="9">
        <f t="shared" si="3"/>
        <v>1.394793589272547E-2</v>
      </c>
      <c r="AJ12" s="9">
        <f t="shared" si="4"/>
        <v>0.14564825435808987</v>
      </c>
      <c r="AK12" s="9">
        <f t="shared" si="5"/>
        <v>2.1213413997558845E-2</v>
      </c>
      <c r="AL12" s="9">
        <f t="shared" si="6"/>
        <v>8.586303059699564E-2</v>
      </c>
      <c r="AM12" s="9">
        <f t="shared" si="7"/>
        <v>7.3724600233006097E-3</v>
      </c>
      <c r="AN12" s="8" t="s">
        <v>1444</v>
      </c>
    </row>
    <row r="13" spans="8:40" ht="23">
      <c r="M13" s="8" t="s">
        <v>593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593</v>
      </c>
      <c r="X13" s="8">
        <v>25.95</v>
      </c>
      <c r="Y13" s="8">
        <v>10.28</v>
      </c>
      <c r="Z13" s="9">
        <v>7.26</v>
      </c>
      <c r="AA13" s="8">
        <v>2.2999999999999998</v>
      </c>
      <c r="AB13" s="8">
        <v>22008</v>
      </c>
      <c r="AC13" s="21" t="s">
        <v>593</v>
      </c>
      <c r="AD13" s="8" t="s">
        <v>3726</v>
      </c>
      <c r="AE13" s="8"/>
      <c r="AF13" s="9">
        <f t="shared" si="0"/>
        <v>23.643999999999998</v>
      </c>
      <c r="AG13" s="9">
        <f>((((RIGHT(Z13,2))/60)+(LEFT(Z13,2)))*AA13)</f>
        <v>17.096666666666668</v>
      </c>
      <c r="AH13" s="9">
        <f t="shared" si="2"/>
        <v>4.3116376724655063E-2</v>
      </c>
      <c r="AI13" s="9">
        <f t="shared" si="3"/>
        <v>1.8590219418623769E-3</v>
      </c>
      <c r="AJ13" s="9">
        <f t="shared" si="4"/>
        <v>6.3560489591042393E-2</v>
      </c>
      <c r="AK13" s="9">
        <f t="shared" si="5"/>
        <v>4.0399358370530082E-3</v>
      </c>
      <c r="AL13" s="9">
        <f t="shared" si="6"/>
        <v>5.5478896942805569E-2</v>
      </c>
      <c r="AM13" s="9">
        <f t="shared" si="7"/>
        <v>3.0779080059904411E-3</v>
      </c>
      <c r="AN13" s="8" t="s">
        <v>593</v>
      </c>
    </row>
    <row r="14" spans="8:40" ht="23"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9"/>
      <c r="AA14" s="8">
        <f>SUBTOTAL(109,Table136171820[ترافیک کل])</f>
        <v>5334.4000000000005</v>
      </c>
      <c r="AB14" s="8"/>
      <c r="AC14" s="8"/>
      <c r="AD14" s="8"/>
      <c r="AE14" s="8"/>
      <c r="AF14" s="9">
        <f>SUBTOTAL(109,Table136171820[[مجموع صفحات  مشاهده شده   ]])</f>
        <v>37199.21</v>
      </c>
      <c r="AG14" s="9">
        <f>SUBTOTAL(109,Table136171820[[مجموع زمان حضور در سایت ]])</f>
        <v>30816.522333333342</v>
      </c>
      <c r="AH14" s="9">
        <f>SUBTOTAL(109,Table136171820[سهم سایت از کل ترافیک طبقه بندی])</f>
        <v>100</v>
      </c>
      <c r="AI14" s="9">
        <f>SUBTOTAL(109,Table136171820[شاخص هرفیندال هیرشمن (ترافیک)])</f>
        <v>3045.895650372775</v>
      </c>
      <c r="AJ14" s="9">
        <f>SUBTOTAL(109,Table136171820[سهم سایت از کل صفحات مشاهده شده در طبقه بندی])</f>
        <v>100</v>
      </c>
      <c r="AK14" s="9">
        <f>SUBTOTAL(109,Table136171820[شاخص هرفیندال -هیرشمن (صفحات مشاهده شده )])</f>
        <v>4156.7076650217068</v>
      </c>
      <c r="AL14" s="9">
        <f>SUBTOTAL(109,Table136171820[سهم سایت از کل زمان حضور در طبقه بندی])</f>
        <v>99.999999999999972</v>
      </c>
      <c r="AM14" s="9">
        <f>SUBTOTAL(109,Table136171820[شاخص هرفیندال هیرشمن (زمان حضور)])</f>
        <v>4083.4433770909391</v>
      </c>
      <c r="AN14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{960DDFCC-8830-47FB-A951-C40FA54F3371}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{523F8357-FC8E-4C86-AF3C-2644A14D685C}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{3775C5C0-E562-43C6-B20F-FE3B9E708A05}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{C2A04B4E-1116-4319-A160-6FAC32A46EAC}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{28B254AE-069F-4371-8D2B-EC45FAB0B42F}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{0DE11D9B-E64D-429A-B048-CA371AA20E3B}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60DDFCC-8830-47FB-A951-C40FA54F33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23F8357-FC8E-4C86-AF3C-2644A14D685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775C5C0-E562-43C6-B20F-FE3B9E708A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2A04B4E-1116-4319-A160-6FAC32A46E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8B254AE-069F-4371-8D2B-EC45FAB0B4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0DE11D9B-E64D-429A-B048-CA371AA20E3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6"/>
  <sheetViews>
    <sheetView showGridLines="0" rightToLeft="1" topLeftCell="AA1" zoomScale="70" zoomScaleNormal="70" workbookViewId="0">
      <selection activeCell="AB2" sqref="AB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0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325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325</v>
      </c>
      <c r="X2" s="8">
        <v>44.94</v>
      </c>
      <c r="Y2" s="8">
        <v>3.36</v>
      </c>
      <c r="Z2" s="9">
        <v>2.5499999999999998</v>
      </c>
      <c r="AA2" s="8">
        <v>2224.1</v>
      </c>
      <c r="AB2" s="8">
        <v>162</v>
      </c>
      <c r="AC2" s="21" t="s">
        <v>325</v>
      </c>
      <c r="AD2" s="8" t="s">
        <v>3993</v>
      </c>
      <c r="AE2" s="8"/>
      <c r="AF2" s="9">
        <f t="shared" ref="AF2:AF15" si="0">(AA2*Y2)</f>
        <v>7472.9759999999997</v>
      </c>
      <c r="AG2" s="9">
        <f t="shared" ref="AG2:AG15" si="1">((((RIGHT(Z2,2))/60)+(LEFT(Z2,2)))*AA2)</f>
        <v>6486.958333333333</v>
      </c>
      <c r="AH2" s="9">
        <f t="shared" ref="AH2:AH15" si="2">(AA2/$AA$16)*100</f>
        <v>30.907019079779332</v>
      </c>
      <c r="AI2" s="9">
        <f t="shared" ref="AI2:AI15" si="3">(AH2*AH2)</f>
        <v>955.24382839784369</v>
      </c>
      <c r="AJ2" s="9">
        <f t="shared" ref="AJ2:AJ15" si="4">(AF2/$AF$16)*100</f>
        <v>32.84249041717392</v>
      </c>
      <c r="AK2" s="9">
        <f t="shared" ref="AK2:AK15" si="5">(AJ2*AJ2)</f>
        <v>1078.6291768021608</v>
      </c>
      <c r="AL2" s="9">
        <f t="shared" ref="AL2:AL15" si="6">(AG2/$AG$16)*100</f>
        <v>37.174326188326305</v>
      </c>
      <c r="AM2" s="9">
        <f t="shared" ref="AM2:AM15" si="7">(AL2*AL2)</f>
        <v>1381.930527556083</v>
      </c>
      <c r="AN2" s="8" t="s">
        <v>325</v>
      </c>
    </row>
    <row r="3" spans="8:40" ht="23">
      <c r="M3" s="8" t="s">
        <v>1535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1535</v>
      </c>
      <c r="X3" s="8">
        <v>57.36</v>
      </c>
      <c r="Y3" s="8">
        <v>2.2599999999999998</v>
      </c>
      <c r="Z3" s="9">
        <v>1.58</v>
      </c>
      <c r="AA3" s="8">
        <v>1109.5999999999999</v>
      </c>
      <c r="AB3" s="8">
        <v>725</v>
      </c>
      <c r="AC3" s="21" t="s">
        <v>1535</v>
      </c>
      <c r="AD3" s="8" t="s">
        <v>5358</v>
      </c>
      <c r="AE3" s="8"/>
      <c r="AF3" s="9">
        <f t="shared" si="0"/>
        <v>2507.6959999999995</v>
      </c>
      <c r="AG3" s="9">
        <f t="shared" si="1"/>
        <v>2182.2133333333331</v>
      </c>
      <c r="AH3" s="9">
        <f t="shared" si="2"/>
        <v>15.419463320409669</v>
      </c>
      <c r="AI3" s="9">
        <f t="shared" si="3"/>
        <v>237.75984908945918</v>
      </c>
      <c r="AJ3" s="9">
        <f t="shared" si="4"/>
        <v>11.020908116015006</v>
      </c>
      <c r="AK3" s="9">
        <f t="shared" si="5"/>
        <v>121.46041570164543</v>
      </c>
      <c r="AL3" s="9">
        <f t="shared" si="6"/>
        <v>12.505446481596769</v>
      </c>
      <c r="AM3" s="9">
        <f t="shared" si="7"/>
        <v>156.386191704081</v>
      </c>
      <c r="AN3" s="8" t="s">
        <v>1535</v>
      </c>
    </row>
    <row r="4" spans="8:40" ht="23">
      <c r="M4" s="8" t="s">
        <v>352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352</v>
      </c>
      <c r="X4" s="8">
        <v>35.590000000000003</v>
      </c>
      <c r="Y4" s="8">
        <v>3.98</v>
      </c>
      <c r="Z4" s="9">
        <v>3.27</v>
      </c>
      <c r="AA4" s="8">
        <v>939.5</v>
      </c>
      <c r="AB4" s="8">
        <v>475</v>
      </c>
      <c r="AC4" s="21" t="s">
        <v>352</v>
      </c>
      <c r="AD4" s="8" t="s">
        <v>3993</v>
      </c>
      <c r="AE4" s="8"/>
      <c r="AF4" s="9">
        <f t="shared" si="0"/>
        <v>3739.21</v>
      </c>
      <c r="AG4" s="9">
        <f t="shared" si="1"/>
        <v>3241.2750000000001</v>
      </c>
      <c r="AH4" s="9">
        <f t="shared" si="2"/>
        <v>13.055682939369939</v>
      </c>
      <c r="AI4" s="9">
        <f t="shared" si="3"/>
        <v>170.45085701335529</v>
      </c>
      <c r="AJ4" s="9">
        <f t="shared" si="4"/>
        <v>16.433207947248981</v>
      </c>
      <c r="AK4" s="9">
        <f t="shared" si="5"/>
        <v>270.05032343752708</v>
      </c>
      <c r="AL4" s="9">
        <f t="shared" si="6"/>
        <v>18.574531841358731</v>
      </c>
      <c r="AM4" s="9">
        <f t="shared" si="7"/>
        <v>345.01323312564938</v>
      </c>
      <c r="AN4" s="8" t="s">
        <v>352</v>
      </c>
    </row>
    <row r="5" spans="8:40" ht="23">
      <c r="M5" s="8" t="s">
        <v>1502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1502</v>
      </c>
      <c r="X5" s="8">
        <v>40.64</v>
      </c>
      <c r="Y5" s="8">
        <v>3.31</v>
      </c>
      <c r="Z5" s="9">
        <v>2.08</v>
      </c>
      <c r="AA5" s="8">
        <v>800.9</v>
      </c>
      <c r="AB5" s="8">
        <v>379</v>
      </c>
      <c r="AC5" s="21" t="s">
        <v>1502</v>
      </c>
      <c r="AD5" s="8" t="s">
        <v>3993</v>
      </c>
      <c r="AE5" s="8"/>
      <c r="AF5" s="9">
        <f t="shared" si="0"/>
        <v>2650.9789999999998</v>
      </c>
      <c r="AG5" s="9">
        <f t="shared" si="1"/>
        <v>1708.5866666666666</v>
      </c>
      <c r="AH5" s="9">
        <f t="shared" si="2"/>
        <v>11.12963966593016</v>
      </c>
      <c r="AI5" s="9">
        <f t="shared" si="3"/>
        <v>123.868879093446</v>
      </c>
      <c r="AJ5" s="9">
        <f t="shared" si="4"/>
        <v>11.650613143094438</v>
      </c>
      <c r="AK5" s="9">
        <f t="shared" si="5"/>
        <v>135.73678661004485</v>
      </c>
      <c r="AL5" s="9">
        <f t="shared" si="6"/>
        <v>9.7912696218990884</v>
      </c>
      <c r="AM5" s="9">
        <f t="shared" si="7"/>
        <v>95.868960808723912</v>
      </c>
      <c r="AN5" s="8" t="s">
        <v>1502</v>
      </c>
    </row>
    <row r="6" spans="8:40" ht="25" customHeight="1">
      <c r="M6" s="8" t="s">
        <v>1491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1491</v>
      </c>
      <c r="X6" s="8">
        <v>35.65</v>
      </c>
      <c r="Y6" s="8">
        <v>2.7</v>
      </c>
      <c r="Z6" s="9">
        <v>1.32</v>
      </c>
      <c r="AA6" s="8">
        <v>585.4</v>
      </c>
      <c r="AB6" s="8">
        <v>814</v>
      </c>
      <c r="AC6" s="21" t="s">
        <v>1491</v>
      </c>
      <c r="AD6" s="8" t="s">
        <v>3993</v>
      </c>
      <c r="AE6" s="8"/>
      <c r="AF6" s="9">
        <f t="shared" si="0"/>
        <v>1580.5800000000002</v>
      </c>
      <c r="AG6" s="9">
        <f t="shared" si="1"/>
        <v>897.61333333333323</v>
      </c>
      <c r="AH6" s="9">
        <f t="shared" si="2"/>
        <v>8.1349619933019284</v>
      </c>
      <c r="AI6" s="9">
        <f t="shared" si="3"/>
        <v>66.17760663246689</v>
      </c>
      <c r="AJ6" s="9">
        <f t="shared" si="4"/>
        <v>6.9463870221952755</v>
      </c>
      <c r="AK6" s="9">
        <f t="shared" si="5"/>
        <v>48.252292662122947</v>
      </c>
      <c r="AL6" s="9">
        <f t="shared" si="6"/>
        <v>5.1438854898853519</v>
      </c>
      <c r="AM6" s="9">
        <f t="shared" si="7"/>
        <v>26.459557933053066</v>
      </c>
      <c r="AN6" s="8" t="s">
        <v>1491</v>
      </c>
    </row>
    <row r="7" spans="8:40" ht="23">
      <c r="M7" s="8" t="s">
        <v>279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279</v>
      </c>
      <c r="X7" s="8">
        <v>38.79</v>
      </c>
      <c r="Y7" s="8">
        <v>2.95</v>
      </c>
      <c r="Z7" s="9">
        <v>2.39</v>
      </c>
      <c r="AA7" s="8">
        <v>540.5</v>
      </c>
      <c r="AB7" s="8">
        <v>2334</v>
      </c>
      <c r="AC7" s="21" t="s">
        <v>279</v>
      </c>
      <c r="AD7" s="8" t="s">
        <v>3993</v>
      </c>
      <c r="AE7" s="8"/>
      <c r="AF7" s="9">
        <f t="shared" si="0"/>
        <v>1594.4750000000001</v>
      </c>
      <c r="AG7" s="9">
        <f t="shared" si="1"/>
        <v>1432.325</v>
      </c>
      <c r="AH7" s="9">
        <f t="shared" si="2"/>
        <v>7.5110129097705718</v>
      </c>
      <c r="AI7" s="9">
        <f t="shared" si="3"/>
        <v>56.415314930740195</v>
      </c>
      <c r="AJ7" s="9">
        <f t="shared" si="4"/>
        <v>7.0074532432491941</v>
      </c>
      <c r="AK7" s="9">
        <f t="shared" si="5"/>
        <v>49.104400956323651</v>
      </c>
      <c r="AL7" s="9">
        <f t="shared" si="6"/>
        <v>8.2081175832578666</v>
      </c>
      <c r="AM7" s="9">
        <f t="shared" si="7"/>
        <v>67.373194260586956</v>
      </c>
      <c r="AN7" s="8" t="s">
        <v>279</v>
      </c>
    </row>
    <row r="8" spans="8:40" ht="26" customHeight="1">
      <c r="M8" s="8" t="s">
        <v>3980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3980</v>
      </c>
      <c r="X8" s="8">
        <v>34.47</v>
      </c>
      <c r="Y8" s="8">
        <v>2.16</v>
      </c>
      <c r="Z8" s="9">
        <v>1.27</v>
      </c>
      <c r="AA8" s="8">
        <v>287.2</v>
      </c>
      <c r="AB8" s="8">
        <v>1114</v>
      </c>
      <c r="AC8" s="21" t="s">
        <v>3980</v>
      </c>
      <c r="AD8" s="8" t="s">
        <v>3993</v>
      </c>
      <c r="AE8" s="8"/>
      <c r="AF8" s="9">
        <f t="shared" si="0"/>
        <v>620.35199999999998</v>
      </c>
      <c r="AG8" s="9">
        <f t="shared" si="1"/>
        <v>416.44</v>
      </c>
      <c r="AH8" s="9">
        <f t="shared" si="2"/>
        <v>3.991050708022402</v>
      </c>
      <c r="AI8" s="9">
        <f t="shared" si="3"/>
        <v>15.928485754006116</v>
      </c>
      <c r="AJ8" s="9">
        <f t="shared" si="4"/>
        <v>2.7263441787147014</v>
      </c>
      <c r="AK8" s="9">
        <f t="shared" si="5"/>
        <v>7.4329525808115395</v>
      </c>
      <c r="AL8" s="9">
        <f t="shared" si="6"/>
        <v>2.3864615128353592</v>
      </c>
      <c r="AM8" s="9">
        <f t="shared" si="7"/>
        <v>5.6951985522444311</v>
      </c>
      <c r="AN8" s="8" t="s">
        <v>3980</v>
      </c>
    </row>
    <row r="9" spans="8:40" ht="23.5" customHeight="1">
      <c r="M9" s="8" t="s">
        <v>1040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1040</v>
      </c>
      <c r="X9" s="8">
        <v>25.91</v>
      </c>
      <c r="Y9" s="8">
        <v>7.13</v>
      </c>
      <c r="Z9" s="9">
        <v>2.34</v>
      </c>
      <c r="AA9" s="8">
        <v>203.6</v>
      </c>
      <c r="AB9" s="8">
        <v>1945</v>
      </c>
      <c r="AC9" s="21" t="s">
        <v>1040</v>
      </c>
      <c r="AD9" s="8" t="s">
        <v>3993</v>
      </c>
      <c r="AE9" s="8"/>
      <c r="AF9" s="9">
        <f t="shared" si="0"/>
        <v>1451.6679999999999</v>
      </c>
      <c r="AG9" s="9">
        <f t="shared" si="1"/>
        <v>522.57333333333327</v>
      </c>
      <c r="AH9" s="9">
        <f t="shared" si="2"/>
        <v>2.8293103208682484</v>
      </c>
      <c r="AI9" s="9">
        <f t="shared" si="3"/>
        <v>8.0049968917715901</v>
      </c>
      <c r="AJ9" s="9">
        <f t="shared" si="4"/>
        <v>6.3798401572436507</v>
      </c>
      <c r="AK9" s="9">
        <f t="shared" si="5"/>
        <v>40.70236043197869</v>
      </c>
      <c r="AL9" s="9">
        <f t="shared" si="6"/>
        <v>2.9946718558113603</v>
      </c>
      <c r="AM9" s="9">
        <f t="shared" si="7"/>
        <v>8.9680595239886571</v>
      </c>
      <c r="AN9" s="8" t="s">
        <v>1040</v>
      </c>
    </row>
    <row r="10" spans="8:40" ht="23">
      <c r="M10" s="8" t="s">
        <v>1760</v>
      </c>
      <c r="N10" s="8" t="s">
        <v>1717</v>
      </c>
      <c r="O10" s="8"/>
      <c r="P10" s="8" t="s">
        <v>3691</v>
      </c>
      <c r="Q10" s="8"/>
      <c r="R10" s="8"/>
      <c r="S10" s="8"/>
      <c r="T10" s="8"/>
      <c r="U10" s="8"/>
      <c r="V10" s="8"/>
      <c r="W10" s="8" t="s">
        <v>1760</v>
      </c>
      <c r="X10" s="8">
        <v>34.58</v>
      </c>
      <c r="Y10" s="8">
        <v>2.2799999999999998</v>
      </c>
      <c r="Z10" s="9">
        <v>1.25</v>
      </c>
      <c r="AA10" s="8">
        <v>158</v>
      </c>
      <c r="AB10" s="8">
        <v>2578</v>
      </c>
      <c r="AC10" s="21" t="s">
        <v>1760</v>
      </c>
      <c r="AD10" s="8" t="s">
        <v>5358</v>
      </c>
      <c r="AE10" s="8"/>
      <c r="AF10" s="9">
        <f t="shared" si="0"/>
        <v>360.23999999999995</v>
      </c>
      <c r="AG10" s="9">
        <f t="shared" si="1"/>
        <v>223.83333333333334</v>
      </c>
      <c r="AH10" s="9">
        <f t="shared" si="2"/>
        <v>2.1956337460568922</v>
      </c>
      <c r="AI10" s="9">
        <f t="shared" si="3"/>
        <v>4.8208075468238212</v>
      </c>
      <c r="AJ10" s="9">
        <f t="shared" si="4"/>
        <v>1.5831950681873903</v>
      </c>
      <c r="AK10" s="9">
        <f t="shared" si="5"/>
        <v>2.5065066239328755</v>
      </c>
      <c r="AL10" s="9">
        <f t="shared" si="6"/>
        <v>1.2827049161695514</v>
      </c>
      <c r="AM10" s="9">
        <f t="shared" si="7"/>
        <v>1.6453319019655359</v>
      </c>
      <c r="AN10" s="8" t="s">
        <v>1760</v>
      </c>
    </row>
    <row r="11" spans="8:40" ht="23">
      <c r="M11" s="8" t="s">
        <v>4415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4415</v>
      </c>
      <c r="X11" s="8">
        <v>27.32</v>
      </c>
      <c r="Y11" s="8">
        <v>1.66</v>
      </c>
      <c r="Z11" s="9">
        <v>0.49</v>
      </c>
      <c r="AA11" s="8">
        <v>111.6</v>
      </c>
      <c r="AB11" s="8">
        <v>4877</v>
      </c>
      <c r="AC11" s="21" t="s">
        <v>4415</v>
      </c>
      <c r="AD11" s="8" t="s">
        <v>3993</v>
      </c>
      <c r="AE11" s="8"/>
      <c r="AF11" s="9">
        <f t="shared" si="0"/>
        <v>185.25599999999997</v>
      </c>
      <c r="AG11" s="9">
        <f t="shared" si="1"/>
        <v>91.14</v>
      </c>
      <c r="AH11" s="9">
        <f t="shared" si="2"/>
        <v>1.5508400383541086</v>
      </c>
      <c r="AI11" s="9">
        <f t="shared" si="3"/>
        <v>2.4051048245621729</v>
      </c>
      <c r="AJ11" s="9">
        <f t="shared" si="4"/>
        <v>0.81416940248757264</v>
      </c>
      <c r="AK11" s="9">
        <f t="shared" si="5"/>
        <v>0.66287181594697109</v>
      </c>
      <c r="AL11" s="9">
        <f t="shared" si="6"/>
        <v>0.52228917078045978</v>
      </c>
      <c r="AM11" s="9">
        <f t="shared" si="7"/>
        <v>0.27278597791454029</v>
      </c>
      <c r="AN11" s="8" t="s">
        <v>4415</v>
      </c>
    </row>
    <row r="12" spans="8:40" ht="23">
      <c r="M12" s="8" t="s">
        <v>5006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5006</v>
      </c>
      <c r="X12" s="8">
        <v>20.36</v>
      </c>
      <c r="Y12" s="8">
        <v>3.19</v>
      </c>
      <c r="Z12" s="9">
        <v>1.51</v>
      </c>
      <c r="AA12" s="8">
        <v>108</v>
      </c>
      <c r="AB12" s="8">
        <v>2131</v>
      </c>
      <c r="AC12" s="21" t="s">
        <v>5006</v>
      </c>
      <c r="AD12" s="8" t="s">
        <v>3993</v>
      </c>
      <c r="AE12" s="8"/>
      <c r="AF12" s="9">
        <f t="shared" si="0"/>
        <v>344.52</v>
      </c>
      <c r="AG12" s="9">
        <f t="shared" si="1"/>
        <v>199.8</v>
      </c>
      <c r="AH12" s="9">
        <f t="shared" si="2"/>
        <v>1.500812940342686</v>
      </c>
      <c r="AI12" s="9">
        <f t="shared" si="3"/>
        <v>2.2524394819000588</v>
      </c>
      <c r="AJ12" s="9">
        <f t="shared" si="4"/>
        <v>1.5141082747388401</v>
      </c>
      <c r="AK12" s="9">
        <f t="shared" si="5"/>
        <v>2.2925238676326272</v>
      </c>
      <c r="AL12" s="9">
        <f t="shared" si="6"/>
        <v>1.1449788931526865</v>
      </c>
      <c r="AM12" s="9">
        <f t="shared" si="7"/>
        <v>1.3109766657651512</v>
      </c>
      <c r="AN12" s="8" t="s">
        <v>5006</v>
      </c>
    </row>
    <row r="13" spans="8:40" ht="23">
      <c r="M13" s="8" t="s">
        <v>4414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4414</v>
      </c>
      <c r="X13" s="8">
        <v>26.78</v>
      </c>
      <c r="Y13" s="8">
        <v>2.57</v>
      </c>
      <c r="Z13" s="9">
        <v>0.17</v>
      </c>
      <c r="AA13" s="8">
        <v>58.9</v>
      </c>
      <c r="AB13" s="8">
        <v>10989</v>
      </c>
      <c r="AC13" s="21" t="s">
        <v>4414</v>
      </c>
      <c r="AD13" s="8" t="s">
        <v>3993</v>
      </c>
      <c r="AE13" s="8"/>
      <c r="AF13" s="9">
        <f t="shared" si="0"/>
        <v>151.37299999999999</v>
      </c>
      <c r="AG13" s="9">
        <f t="shared" si="1"/>
        <v>16.688333333333333</v>
      </c>
      <c r="AH13" s="9">
        <f t="shared" si="2"/>
        <v>0.81849890913133516</v>
      </c>
      <c r="AI13" s="9">
        <f t="shared" si="3"/>
        <v>0.66994046424918563</v>
      </c>
      <c r="AJ13" s="9">
        <f t="shared" si="4"/>
        <v>0.66525923566713818</v>
      </c>
      <c r="AK13" s="9">
        <f t="shared" si="5"/>
        <v>0.44256985064042492</v>
      </c>
      <c r="AL13" s="9">
        <f t="shared" si="6"/>
        <v>9.5634581724539952E-2</v>
      </c>
      <c r="AM13" s="9">
        <f t="shared" si="7"/>
        <v>9.1459732216277109E-3</v>
      </c>
      <c r="AN13" s="8" t="s">
        <v>4414</v>
      </c>
    </row>
    <row r="14" spans="8:40" ht="23">
      <c r="M14" s="8" t="s">
        <v>1408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1408</v>
      </c>
      <c r="X14" s="8">
        <v>24.98</v>
      </c>
      <c r="Y14" s="8">
        <v>1.44</v>
      </c>
      <c r="Z14" s="9">
        <v>0.34</v>
      </c>
      <c r="AA14" s="8">
        <v>39.4</v>
      </c>
      <c r="AB14" s="8">
        <v>11313</v>
      </c>
      <c r="AC14" s="21" t="s">
        <v>1408</v>
      </c>
      <c r="AD14" s="8" t="s">
        <v>3993</v>
      </c>
      <c r="AE14" s="8"/>
      <c r="AF14" s="9">
        <f t="shared" si="0"/>
        <v>56.735999999999997</v>
      </c>
      <c r="AG14" s="9">
        <f t="shared" si="1"/>
        <v>22.326666666666664</v>
      </c>
      <c r="AH14" s="9">
        <f t="shared" si="2"/>
        <v>0.54751879490279465</v>
      </c>
      <c r="AI14" s="9">
        <f t="shared" si="3"/>
        <v>0.2997768307718085</v>
      </c>
      <c r="AJ14" s="9">
        <f t="shared" si="4"/>
        <v>0.2493453125379741</v>
      </c>
      <c r="AK14" s="9">
        <f t="shared" si="5"/>
        <v>6.2173084884659981E-2</v>
      </c>
      <c r="AL14" s="9">
        <f t="shared" si="6"/>
        <v>0.12794575619514004</v>
      </c>
      <c r="AM14" s="9">
        <f t="shared" si="7"/>
        <v>1.6370116528346215E-2</v>
      </c>
      <c r="AN14" s="8" t="s">
        <v>1408</v>
      </c>
    </row>
    <row r="15" spans="8:40" ht="23">
      <c r="M15" s="8" t="s">
        <v>5309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5309</v>
      </c>
      <c r="X15" s="8">
        <v>21.99</v>
      </c>
      <c r="Y15" s="8">
        <v>1.29</v>
      </c>
      <c r="Z15" s="9">
        <v>0.17</v>
      </c>
      <c r="AA15" s="8">
        <v>29.4</v>
      </c>
      <c r="AB15" s="8">
        <v>21639</v>
      </c>
      <c r="AC15" s="21" t="s">
        <v>5309</v>
      </c>
      <c r="AD15" s="8" t="s">
        <v>3993</v>
      </c>
      <c r="AE15" s="8"/>
      <c r="AF15" s="9">
        <f t="shared" si="0"/>
        <v>37.926000000000002</v>
      </c>
      <c r="AG15" s="9">
        <f t="shared" si="1"/>
        <v>8.33</v>
      </c>
      <c r="AH15" s="9">
        <f t="shared" si="2"/>
        <v>0.40855463375995338</v>
      </c>
      <c r="AI15" s="9">
        <f t="shared" si="3"/>
        <v>0.16691688876672964</v>
      </c>
      <c r="AJ15" s="9">
        <f t="shared" si="4"/>
        <v>0.16667848144591099</v>
      </c>
      <c r="AK15" s="9">
        <f t="shared" si="5"/>
        <v>2.7781716177114894E-2</v>
      </c>
      <c r="AL15" s="9">
        <f t="shared" si="6"/>
        <v>4.7736107006816207E-2</v>
      </c>
      <c r="AM15" s="9">
        <f t="shared" si="7"/>
        <v>2.2787359121662072E-3</v>
      </c>
      <c r="AN15" s="9" t="s">
        <v>5309</v>
      </c>
    </row>
    <row r="16" spans="8:40" ht="23"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9"/>
      <c r="AA16" s="8">
        <f>SUBTOTAL(109,Table13651[ترافیک کل])</f>
        <v>7196.0999999999985</v>
      </c>
      <c r="AB16" s="8"/>
      <c r="AC16" s="8"/>
      <c r="AD16" s="8"/>
      <c r="AE16" s="8"/>
      <c r="AF16" s="9">
        <f>SUBTOTAL(109,Table13651[[مجموع صفحات  مشاهده شده   ]])</f>
        <v>22753.987000000001</v>
      </c>
      <c r="AG16" s="9">
        <f>SUBTOTAL(109,Table13651[[مجموع زمان حضور در سایت ]])</f>
        <v>17450.103333333329</v>
      </c>
      <c r="AH16" s="9">
        <f>SUBTOTAL(109,Table13651[سهم سایت از کل ترافیک طبقه بندی])</f>
        <v>100.00000000000001</v>
      </c>
      <c r="AI16" s="9">
        <f>SUBTOTAL(109,Table13651[شاخص هرفیندال هیرشمن (ترافیک)])</f>
        <v>1644.4648038401624</v>
      </c>
      <c r="AJ16" s="9">
        <f>SUBTOTAL(109,Table13651[سهم سایت از کل صفحات مشاهده شده در طبقه بندی])</f>
        <v>100</v>
      </c>
      <c r="AK16" s="9">
        <f>SUBTOTAL(109,Table13651[شاخص هرفیندال -هیرشمن (صفحات مشاهده شده )])</f>
        <v>1757.3631361418297</v>
      </c>
      <c r="AL16" s="9">
        <f>SUBTOTAL(109,Table13651[سهم سایت از کل زمان حضور در طبقه بندی])</f>
        <v>100.00000000000001</v>
      </c>
      <c r="AM16" s="9">
        <f>SUBTOTAL(109,Table13651[شاخص هرفیندال هیرشمن (زمان حضور)])</f>
        <v>2090.9518128357186</v>
      </c>
      <c r="AN16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{D0E2D4D2-4848-42D9-A1A3-0A243A834279}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{B9E1E525-864A-46C3-9752-0C10DDE91142}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{A6D981D1-F2D7-4FEB-8BC5-46E9F4C727B4}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{FAB2731B-F3D6-46B8-BFF2-A54F1AF768B7}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{3C3159AA-BC4F-4D7C-A899-FFF616EFEF3E}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{6E74B294-BE6C-4270-A298-E65EC8E5AF12}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E2D4D2-4848-42D9-A1A3-0A243A83427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9E1E525-864A-46C3-9752-0C10DDE9114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6D981D1-F2D7-4FEB-8BC5-46E9F4C727B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AB2731B-F3D6-46B8-BFF2-A54F1AF768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C3159AA-BC4F-4D7C-A899-FFF616EFEF3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6E74B294-BE6C-4270-A298-E65EC8E5AF1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41"/>
  <sheetViews>
    <sheetView showGridLines="0" rightToLeft="1" topLeftCell="Z1" zoomScale="85" zoomScaleNormal="85" workbookViewId="0">
      <selection activeCell="Z2" sqref="Z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1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3740</v>
      </c>
      <c r="N2" s="8" t="s">
        <v>150</v>
      </c>
      <c r="O2" s="8"/>
      <c r="P2" s="8" t="s">
        <v>3704</v>
      </c>
      <c r="Q2" s="8"/>
      <c r="R2" s="8"/>
      <c r="S2" s="8"/>
      <c r="T2" s="8"/>
      <c r="U2" s="8"/>
      <c r="V2" s="8"/>
      <c r="W2" s="8" t="s">
        <v>3740</v>
      </c>
      <c r="X2" s="8">
        <v>28.51</v>
      </c>
      <c r="Y2" s="8">
        <v>5</v>
      </c>
      <c r="Z2" s="9">
        <v>6.03</v>
      </c>
      <c r="AA2" s="8">
        <v>5932.6</v>
      </c>
      <c r="AB2" s="8">
        <v>16</v>
      </c>
      <c r="AC2" s="21" t="s">
        <v>3740</v>
      </c>
      <c r="AD2" s="8" t="s">
        <v>4040</v>
      </c>
      <c r="AE2" s="8" t="s">
        <v>4287</v>
      </c>
      <c r="AF2" s="9">
        <f t="shared" ref="AF2:AF40" si="0">(AA2*Y2)</f>
        <v>29663</v>
      </c>
      <c r="AG2" s="9">
        <f t="shared" ref="AG2:AG40" si="1">((((RIGHT(Z2,2))/60)+(LEFT(Z2,2)))*AA2)</f>
        <v>35892.230000000003</v>
      </c>
      <c r="AH2" s="9">
        <f t="shared" ref="AH2:AH40" si="2">(AA2/$AA$41)*100</f>
        <v>17.084668838031725</v>
      </c>
      <c r="AI2" s="9">
        <f t="shared" ref="AI2:AI40" si="3">(AH2*AH2)</f>
        <v>291.88590930521229</v>
      </c>
      <c r="AJ2" s="9">
        <f t="shared" ref="AJ2:AJ40" si="4">(AF2/$AF$41)*100</f>
        <v>15.480255607968269</v>
      </c>
      <c r="AK2" s="9">
        <f t="shared" ref="AK2:AK40" si="5">(AJ2*AJ2)</f>
        <v>239.63831368803304</v>
      </c>
      <c r="AL2" s="9">
        <f t="shared" ref="AL2:AL40" si="6">(AG2/$AG$41)*100</f>
        <v>20.239230357654051</v>
      </c>
      <c r="AM2" s="9">
        <f t="shared" ref="AM2:AM40" si="7">(AL2*AL2)</f>
        <v>409.62644547018533</v>
      </c>
      <c r="AN2" s="8" t="s">
        <v>3740</v>
      </c>
    </row>
    <row r="3" spans="8:40" ht="23">
      <c r="M3" s="8" t="s">
        <v>3731</v>
      </c>
      <c r="N3" s="8" t="s">
        <v>150</v>
      </c>
      <c r="O3" s="8"/>
      <c r="P3" s="8" t="s">
        <v>3691</v>
      </c>
      <c r="Q3" s="8"/>
      <c r="R3" s="8"/>
      <c r="S3" s="8"/>
      <c r="T3" s="8"/>
      <c r="U3" s="8"/>
      <c r="V3" s="8"/>
      <c r="W3" s="8" t="s">
        <v>3731</v>
      </c>
      <c r="X3" s="8">
        <v>18.71</v>
      </c>
      <c r="Y3" s="8">
        <v>8.35</v>
      </c>
      <c r="Z3" s="9">
        <v>8.17</v>
      </c>
      <c r="AA3" s="8">
        <v>5671.6</v>
      </c>
      <c r="AB3" s="8">
        <v>13</v>
      </c>
      <c r="AC3" s="21" t="s">
        <v>3731</v>
      </c>
      <c r="AD3" s="8" t="s">
        <v>4040</v>
      </c>
      <c r="AE3" s="8" t="s">
        <v>4287</v>
      </c>
      <c r="AF3" s="9">
        <f t="shared" si="0"/>
        <v>47357.86</v>
      </c>
      <c r="AG3" s="9">
        <f t="shared" si="1"/>
        <v>46979.753333333334</v>
      </c>
      <c r="AH3" s="9">
        <f t="shared" si="2"/>
        <v>16.333042474089055</v>
      </c>
      <c r="AI3" s="9">
        <f t="shared" si="3"/>
        <v>266.76827646039709</v>
      </c>
      <c r="AJ3" s="9">
        <f t="shared" si="4"/>
        <v>24.714687585422112</v>
      </c>
      <c r="AK3" s="9">
        <f t="shared" si="5"/>
        <v>610.81578244501793</v>
      </c>
      <c r="AL3" s="9">
        <f t="shared" si="6"/>
        <v>26.491361775490098</v>
      </c>
      <c r="AM3" s="9">
        <f t="shared" si="7"/>
        <v>701.79224871989788</v>
      </c>
      <c r="AN3" s="8" t="s">
        <v>3731</v>
      </c>
    </row>
    <row r="4" spans="8:40" ht="23">
      <c r="M4" s="8" t="s">
        <v>3813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3813</v>
      </c>
      <c r="X4" s="8">
        <v>25.58</v>
      </c>
      <c r="Y4" s="8">
        <v>4.99</v>
      </c>
      <c r="Z4" s="9">
        <v>4.4800000000000004</v>
      </c>
      <c r="AA4" s="8">
        <v>1982.3</v>
      </c>
      <c r="AB4" s="8">
        <v>111</v>
      </c>
      <c r="AC4" s="21" t="s">
        <v>3813</v>
      </c>
      <c r="AD4" s="8" t="s">
        <v>4040</v>
      </c>
      <c r="AE4" s="8" t="s">
        <v>4287</v>
      </c>
      <c r="AF4" s="9">
        <f t="shared" si="0"/>
        <v>9891.6769999999997</v>
      </c>
      <c r="AG4" s="9">
        <f t="shared" si="1"/>
        <v>9515.0399999999991</v>
      </c>
      <c r="AH4" s="9">
        <f t="shared" si="2"/>
        <v>5.7086166331170629</v>
      </c>
      <c r="AI4" s="9">
        <f t="shared" si="3"/>
        <v>32.588303863900791</v>
      </c>
      <c r="AJ4" s="9">
        <f t="shared" si="4"/>
        <v>5.16217807880055</v>
      </c>
      <c r="AK4" s="9">
        <f t="shared" si="5"/>
        <v>26.648082517248938</v>
      </c>
      <c r="AL4" s="9">
        <f t="shared" si="6"/>
        <v>5.3654255091503806</v>
      </c>
      <c r="AM4" s="9">
        <f t="shared" si="7"/>
        <v>28.787790894241621</v>
      </c>
      <c r="AN4" s="8" t="s">
        <v>3813</v>
      </c>
    </row>
    <row r="5" spans="8:40" ht="23">
      <c r="M5" s="8" t="s">
        <v>3775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3775</v>
      </c>
      <c r="X5" s="8">
        <v>33.880000000000003</v>
      </c>
      <c r="Y5" s="8">
        <v>5.89</v>
      </c>
      <c r="Z5" s="9">
        <v>4.1900000000000004</v>
      </c>
      <c r="AA5" s="8">
        <v>1966.7</v>
      </c>
      <c r="AB5" s="8">
        <v>91</v>
      </c>
      <c r="AC5" s="21" t="s">
        <v>3775</v>
      </c>
      <c r="AD5" s="8" t="s">
        <v>4040</v>
      </c>
      <c r="AE5" s="8" t="s">
        <v>4287</v>
      </c>
      <c r="AF5" s="9">
        <f t="shared" si="0"/>
        <v>11583.862999999999</v>
      </c>
      <c r="AG5" s="9">
        <f t="shared" si="1"/>
        <v>8489.5883333333331</v>
      </c>
      <c r="AH5" s="9">
        <f t="shared" si="2"/>
        <v>5.6636918389503741</v>
      </c>
      <c r="AI5" s="9">
        <f t="shared" si="3"/>
        <v>32.077405246593074</v>
      </c>
      <c r="AJ5" s="9">
        <f t="shared" si="4"/>
        <v>6.0452806583179752</v>
      </c>
      <c r="AK5" s="9">
        <f t="shared" si="5"/>
        <v>36.54541823783341</v>
      </c>
      <c r="AL5" s="9">
        <f t="shared" si="6"/>
        <v>4.7871846892763594</v>
      </c>
      <c r="AM5" s="9">
        <f t="shared" si="7"/>
        <v>22.917137249241993</v>
      </c>
      <c r="AN5" s="8" t="s">
        <v>3775</v>
      </c>
    </row>
    <row r="6" spans="8:40" ht="23">
      <c r="M6" s="8" t="s">
        <v>3833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3833</v>
      </c>
      <c r="X6" s="8">
        <v>25.51</v>
      </c>
      <c r="Y6" s="8">
        <v>5.03</v>
      </c>
      <c r="Z6" s="9">
        <v>4.46</v>
      </c>
      <c r="AA6" s="8">
        <v>1941.8</v>
      </c>
      <c r="AB6" s="8">
        <v>157</v>
      </c>
      <c r="AC6" s="21" t="s">
        <v>3833</v>
      </c>
      <c r="AD6" s="8" t="s">
        <v>4040</v>
      </c>
      <c r="AE6" s="8" t="s">
        <v>4287</v>
      </c>
      <c r="AF6" s="9">
        <f t="shared" si="0"/>
        <v>9767.2540000000008</v>
      </c>
      <c r="AG6" s="9">
        <f t="shared" si="1"/>
        <v>9255.9133333333339</v>
      </c>
      <c r="AH6" s="9">
        <f t="shared" si="2"/>
        <v>5.5919849559535448</v>
      </c>
      <c r="AI6" s="9">
        <f t="shared" si="3"/>
        <v>31.270295747610767</v>
      </c>
      <c r="AJ6" s="9">
        <f t="shared" si="4"/>
        <v>5.0972453395796276</v>
      </c>
      <c r="AK6" s="9">
        <f t="shared" si="5"/>
        <v>25.981910051866233</v>
      </c>
      <c r="AL6" s="9">
        <f t="shared" si="6"/>
        <v>5.2193068562141409</v>
      </c>
      <c r="AM6" s="9">
        <f t="shared" si="7"/>
        <v>27.241164059323939</v>
      </c>
      <c r="AN6" s="8" t="s">
        <v>3833</v>
      </c>
    </row>
    <row r="7" spans="8:40" ht="23">
      <c r="M7" s="8" t="s">
        <v>3818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3818</v>
      </c>
      <c r="X7" s="8">
        <v>42.91</v>
      </c>
      <c r="Y7" s="8">
        <v>2.98</v>
      </c>
      <c r="Z7" s="9">
        <v>3.34</v>
      </c>
      <c r="AA7" s="8">
        <v>1850.1</v>
      </c>
      <c r="AB7" s="8">
        <v>215</v>
      </c>
      <c r="AC7" s="21" t="s">
        <v>3818</v>
      </c>
      <c r="AD7" s="8" t="s">
        <v>4040</v>
      </c>
      <c r="AE7" s="8" t="s">
        <v>4287</v>
      </c>
      <c r="AF7" s="9">
        <f t="shared" si="0"/>
        <v>5513.2979999999998</v>
      </c>
      <c r="AG7" s="9">
        <f t="shared" si="1"/>
        <v>6598.69</v>
      </c>
      <c r="AH7" s="9">
        <f t="shared" si="2"/>
        <v>5.3279078004993572</v>
      </c>
      <c r="AI7" s="9">
        <f t="shared" si="3"/>
        <v>28.386601530621899</v>
      </c>
      <c r="AJ7" s="9">
        <f t="shared" si="4"/>
        <v>2.877229622185896</v>
      </c>
      <c r="AK7" s="9">
        <f t="shared" si="5"/>
        <v>8.2784502987839943</v>
      </c>
      <c r="AL7" s="9">
        <f t="shared" si="6"/>
        <v>3.7209280941515246</v>
      </c>
      <c r="AM7" s="9">
        <f t="shared" si="7"/>
        <v>13.845305881846096</v>
      </c>
      <c r="AN7" s="8" t="s">
        <v>3818</v>
      </c>
    </row>
    <row r="8" spans="8:40" ht="23">
      <c r="M8" s="8" t="s">
        <v>3820</v>
      </c>
      <c r="N8" s="8" t="s">
        <v>150</v>
      </c>
      <c r="O8" s="8"/>
      <c r="P8" s="8" t="s">
        <v>4667</v>
      </c>
      <c r="Q8" s="8"/>
      <c r="R8" s="8"/>
      <c r="S8" s="8"/>
      <c r="T8" s="8"/>
      <c r="U8" s="8"/>
      <c r="V8" s="8"/>
      <c r="W8" s="8" t="s">
        <v>3820</v>
      </c>
      <c r="X8" s="8">
        <v>21.95</v>
      </c>
      <c r="Y8" s="8">
        <v>3.71</v>
      </c>
      <c r="Z8" s="9">
        <v>6.14</v>
      </c>
      <c r="AA8" s="8">
        <v>1741.3</v>
      </c>
      <c r="AB8" s="8">
        <v>170</v>
      </c>
      <c r="AC8" s="21" t="s">
        <v>3820</v>
      </c>
      <c r="AD8" s="8" t="s">
        <v>4040</v>
      </c>
      <c r="AE8" s="8" t="s">
        <v>4287</v>
      </c>
      <c r="AF8" s="9">
        <f t="shared" si="0"/>
        <v>6460.223</v>
      </c>
      <c r="AG8" s="9">
        <f t="shared" si="1"/>
        <v>10854.103333333333</v>
      </c>
      <c r="AH8" s="9">
        <f t="shared" si="2"/>
        <v>5.014586159131686</v>
      </c>
      <c r="AI8" s="9">
        <f t="shared" si="3"/>
        <v>25.146074347355075</v>
      </c>
      <c r="AJ8" s="9">
        <f t="shared" si="4"/>
        <v>3.3714021954783937</v>
      </c>
      <c r="AK8" s="9">
        <f t="shared" si="5"/>
        <v>11.366352763676533</v>
      </c>
      <c r="AL8" s="9">
        <f t="shared" si="6"/>
        <v>6.1205084690785156</v>
      </c>
      <c r="AM8" s="9">
        <f t="shared" si="7"/>
        <v>37.460623920061835</v>
      </c>
      <c r="AN8" s="8" t="s">
        <v>3820</v>
      </c>
    </row>
    <row r="9" spans="8:40" ht="23">
      <c r="M9" s="8" t="s">
        <v>3801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3801</v>
      </c>
      <c r="X9" s="8">
        <v>16.79</v>
      </c>
      <c r="Y9" s="8">
        <v>4.66</v>
      </c>
      <c r="Z9" s="9">
        <v>4.24</v>
      </c>
      <c r="AA9" s="8">
        <v>1362.5</v>
      </c>
      <c r="AB9" s="8">
        <v>136</v>
      </c>
      <c r="AC9" s="21" t="s">
        <v>3801</v>
      </c>
      <c r="AD9" s="8" t="s">
        <v>4040</v>
      </c>
      <c r="AE9" s="8" t="s">
        <v>4287</v>
      </c>
      <c r="AF9" s="9">
        <f t="shared" si="0"/>
        <v>6349.25</v>
      </c>
      <c r="AG9" s="9">
        <f t="shared" si="1"/>
        <v>5995.0000000000009</v>
      </c>
      <c r="AH9" s="9">
        <f t="shared" si="2"/>
        <v>3.9237200033405624</v>
      </c>
      <c r="AI9" s="9">
        <f t="shared" si="3"/>
        <v>15.395578664614863</v>
      </c>
      <c r="AJ9" s="9">
        <f t="shared" si="4"/>
        <v>3.3134886194549615</v>
      </c>
      <c r="AK9" s="9">
        <f t="shared" si="5"/>
        <v>10.979206831257548</v>
      </c>
      <c r="AL9" s="9">
        <f t="shared" si="6"/>
        <v>3.3805139996633269</v>
      </c>
      <c r="AM9" s="9">
        <f t="shared" si="7"/>
        <v>11.427874901919743</v>
      </c>
      <c r="AN9" s="8" t="s">
        <v>3801</v>
      </c>
    </row>
    <row r="10" spans="8:40" ht="23">
      <c r="M10" s="8" t="s">
        <v>3949</v>
      </c>
      <c r="N10" s="8" t="s">
        <v>150</v>
      </c>
      <c r="O10" s="8"/>
      <c r="P10" s="8" t="s">
        <v>3698</v>
      </c>
      <c r="Q10" s="8"/>
      <c r="R10" s="8"/>
      <c r="S10" s="8"/>
      <c r="T10" s="8"/>
      <c r="U10" s="8"/>
      <c r="V10" s="8"/>
      <c r="W10" s="8" t="s">
        <v>3949</v>
      </c>
      <c r="X10" s="8">
        <v>30.71</v>
      </c>
      <c r="Y10" s="8">
        <v>5.31</v>
      </c>
      <c r="Z10" s="9">
        <v>3.55</v>
      </c>
      <c r="AA10" s="8">
        <v>1359.1</v>
      </c>
      <c r="AB10" s="8">
        <v>287</v>
      </c>
      <c r="AC10" s="21" t="s">
        <v>3949</v>
      </c>
      <c r="AD10" s="8" t="s">
        <v>4040</v>
      </c>
      <c r="AE10" s="8" t="s">
        <v>4287</v>
      </c>
      <c r="AF10" s="9">
        <f t="shared" si="0"/>
        <v>7216.820999999999</v>
      </c>
      <c r="AG10" s="9">
        <f t="shared" si="1"/>
        <v>5323.1416666666664</v>
      </c>
      <c r="AH10" s="9">
        <f t="shared" si="2"/>
        <v>3.9139287020478224</v>
      </c>
      <c r="AI10" s="9">
        <f t="shared" si="3"/>
        <v>15.318837884713751</v>
      </c>
      <c r="AJ10" s="9">
        <f t="shared" si="4"/>
        <v>3.7662486517531319</v>
      </c>
      <c r="AK10" s="9">
        <f t="shared" si="5"/>
        <v>14.184628906832284</v>
      </c>
      <c r="AL10" s="9">
        <f t="shared" si="6"/>
        <v>3.001660538174785</v>
      </c>
      <c r="AM10" s="9">
        <f t="shared" si="7"/>
        <v>9.0099659864357395</v>
      </c>
      <c r="AN10" s="8" t="s">
        <v>3949</v>
      </c>
    </row>
    <row r="11" spans="8:40" ht="23">
      <c r="M11" s="8" t="s">
        <v>3897</v>
      </c>
      <c r="N11" s="8" t="s">
        <v>150</v>
      </c>
      <c r="O11" s="8"/>
      <c r="P11" s="8" t="s">
        <v>4626</v>
      </c>
      <c r="Q11" s="8"/>
      <c r="R11" s="8"/>
      <c r="S11" s="8"/>
      <c r="T11" s="8"/>
      <c r="U11" s="8"/>
      <c r="V11" s="8"/>
      <c r="W11" s="8" t="s">
        <v>3897</v>
      </c>
      <c r="X11" s="8">
        <v>33.99</v>
      </c>
      <c r="Y11" s="8">
        <v>3.22</v>
      </c>
      <c r="Z11" s="9">
        <v>4.1500000000000004</v>
      </c>
      <c r="AA11" s="8">
        <v>1206.2</v>
      </c>
      <c r="AB11" s="8">
        <v>347</v>
      </c>
      <c r="AC11" s="21" t="s">
        <v>3897</v>
      </c>
      <c r="AD11" s="8" t="s">
        <v>4040</v>
      </c>
      <c r="AE11" s="8" t="s">
        <v>4287</v>
      </c>
      <c r="AF11" s="9">
        <f t="shared" si="0"/>
        <v>3883.9640000000004</v>
      </c>
      <c r="AG11" s="9">
        <f t="shared" si="1"/>
        <v>5126.3500000000004</v>
      </c>
      <c r="AH11" s="9">
        <f t="shared" si="2"/>
        <v>3.4736081233243206</v>
      </c>
      <c r="AI11" s="9">
        <f t="shared" si="3"/>
        <v>12.065953394424708</v>
      </c>
      <c r="AJ11" s="9">
        <f t="shared" si="4"/>
        <v>2.0269276705709762</v>
      </c>
      <c r="AK11" s="9">
        <f t="shared" si="5"/>
        <v>4.1084357817262838</v>
      </c>
      <c r="AL11" s="9">
        <f t="shared" si="6"/>
        <v>2.8906919002792479</v>
      </c>
      <c r="AM11" s="9">
        <f t="shared" si="7"/>
        <v>8.3560996623400499</v>
      </c>
      <c r="AN11" s="8" t="s">
        <v>3897</v>
      </c>
    </row>
    <row r="12" spans="8:40" ht="23">
      <c r="M12" s="8" t="s">
        <v>3978</v>
      </c>
      <c r="N12" s="8" t="s">
        <v>150</v>
      </c>
      <c r="O12" s="8"/>
      <c r="P12" s="8" t="s">
        <v>3692</v>
      </c>
      <c r="Q12" s="8"/>
      <c r="R12" s="8"/>
      <c r="S12" s="8"/>
      <c r="T12" s="8"/>
      <c r="U12" s="8"/>
      <c r="V12" s="8"/>
      <c r="W12" s="8" t="s">
        <v>3978</v>
      </c>
      <c r="X12" s="8">
        <v>14.41</v>
      </c>
      <c r="Y12" s="8">
        <v>4.0999999999999996</v>
      </c>
      <c r="Z12" s="9">
        <v>4.01</v>
      </c>
      <c r="AA12" s="8">
        <v>1090.8</v>
      </c>
      <c r="AB12" s="8">
        <v>261</v>
      </c>
      <c r="AC12" s="21" t="s">
        <v>3978</v>
      </c>
      <c r="AD12" s="8" t="s">
        <v>4040</v>
      </c>
      <c r="AE12" s="8" t="s">
        <v>4287</v>
      </c>
      <c r="AF12" s="9">
        <f t="shared" si="0"/>
        <v>4472.28</v>
      </c>
      <c r="AG12" s="9">
        <f t="shared" si="1"/>
        <v>4381.38</v>
      </c>
      <c r="AH12" s="9">
        <f t="shared" si="2"/>
        <v>3.1412798382707421</v>
      </c>
      <c r="AI12" s="9">
        <f t="shared" si="3"/>
        <v>9.8676390223262604</v>
      </c>
      <c r="AJ12" s="9">
        <f t="shared" si="4"/>
        <v>2.333952653150535</v>
      </c>
      <c r="AK12" s="9">
        <f t="shared" si="5"/>
        <v>5.4473349871484213</v>
      </c>
      <c r="AL12" s="9">
        <f t="shared" si="6"/>
        <v>2.4706115809582827</v>
      </c>
      <c r="AM12" s="9">
        <f t="shared" si="7"/>
        <v>6.1039215839651852</v>
      </c>
      <c r="AN12" s="8" t="s">
        <v>3978</v>
      </c>
    </row>
    <row r="13" spans="8:40" ht="23">
      <c r="M13" s="8" t="s">
        <v>3902</v>
      </c>
      <c r="N13" s="8" t="s">
        <v>150</v>
      </c>
      <c r="O13" s="8"/>
      <c r="P13" s="8" t="s">
        <v>4682</v>
      </c>
      <c r="Q13" s="8"/>
      <c r="R13" s="8"/>
      <c r="S13" s="8"/>
      <c r="T13" s="8"/>
      <c r="U13" s="8"/>
      <c r="V13" s="8"/>
      <c r="W13" s="8" t="s">
        <v>3902</v>
      </c>
      <c r="X13" s="8">
        <v>37.409999999999997</v>
      </c>
      <c r="Y13" s="8">
        <v>5.25</v>
      </c>
      <c r="Z13" s="9">
        <v>4.01</v>
      </c>
      <c r="AA13" s="8">
        <v>1024.2</v>
      </c>
      <c r="AB13" s="8">
        <v>235</v>
      </c>
      <c r="AC13" s="21" t="s">
        <v>3902</v>
      </c>
      <c r="AD13" s="8" t="s">
        <v>4040</v>
      </c>
      <c r="AE13" s="8" t="s">
        <v>4287</v>
      </c>
      <c r="AF13" s="9">
        <f t="shared" si="0"/>
        <v>5377.05</v>
      </c>
      <c r="AG13" s="9">
        <f t="shared" si="1"/>
        <v>4113.87</v>
      </c>
      <c r="AH13" s="9">
        <f t="shared" si="2"/>
        <v>2.9494855247129572</v>
      </c>
      <c r="AI13" s="9">
        <f t="shared" si="3"/>
        <v>8.6994648604912683</v>
      </c>
      <c r="AJ13" s="9">
        <f t="shared" si="4"/>
        <v>2.8061257599307479</v>
      </c>
      <c r="AK13" s="9">
        <f t="shared" si="5"/>
        <v>7.8743417805469171</v>
      </c>
      <c r="AL13" s="9">
        <f t="shared" si="6"/>
        <v>2.3197656593486182</v>
      </c>
      <c r="AM13" s="9">
        <f t="shared" si="7"/>
        <v>5.3813127142931299</v>
      </c>
      <c r="AN13" s="8" t="s">
        <v>3902</v>
      </c>
    </row>
    <row r="14" spans="8:40" ht="23">
      <c r="M14" s="8" t="s">
        <v>3933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3933</v>
      </c>
      <c r="X14" s="8">
        <v>18.850000000000001</v>
      </c>
      <c r="Y14" s="8">
        <v>8.8800000000000008</v>
      </c>
      <c r="Z14" s="9">
        <v>5.27</v>
      </c>
      <c r="AA14" s="8">
        <v>891.3</v>
      </c>
      <c r="AB14" s="8">
        <v>216</v>
      </c>
      <c r="AC14" s="21" t="s">
        <v>3933</v>
      </c>
      <c r="AD14" s="8" t="s">
        <v>4040</v>
      </c>
      <c r="AE14" s="8" t="s">
        <v>4287</v>
      </c>
      <c r="AF14" s="9">
        <f t="shared" si="0"/>
        <v>7914.7440000000006</v>
      </c>
      <c r="AG14" s="9">
        <f t="shared" si="1"/>
        <v>4857.585</v>
      </c>
      <c r="AH14" s="9">
        <f t="shared" si="2"/>
        <v>2.5667608359467473</v>
      </c>
      <c r="AI14" s="9">
        <f t="shared" si="3"/>
        <v>6.5882611889500451</v>
      </c>
      <c r="AJ14" s="9">
        <f t="shared" si="4"/>
        <v>4.1304743347481105</v>
      </c>
      <c r="AK14" s="9">
        <f t="shared" si="5"/>
        <v>17.060818230012845</v>
      </c>
      <c r="AL14" s="9">
        <f t="shared" si="6"/>
        <v>2.7391382980908383</v>
      </c>
      <c r="AM14" s="9">
        <f t="shared" si="7"/>
        <v>7.5028786160679743</v>
      </c>
      <c r="AN14" s="8" t="s">
        <v>3933</v>
      </c>
    </row>
    <row r="15" spans="8:40" ht="23">
      <c r="M15" s="8" t="s">
        <v>3992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3992</v>
      </c>
      <c r="X15" s="8">
        <v>16.27</v>
      </c>
      <c r="Y15" s="8">
        <v>8.15</v>
      </c>
      <c r="Z15" s="9">
        <v>3.1</v>
      </c>
      <c r="AA15" s="8">
        <v>613.29999999999995</v>
      </c>
      <c r="AB15" s="8">
        <v>387</v>
      </c>
      <c r="AC15" s="21" t="s">
        <v>3992</v>
      </c>
      <c r="AD15" s="8" t="s">
        <v>4040</v>
      </c>
      <c r="AE15" s="8" t="s">
        <v>4287</v>
      </c>
      <c r="AF15" s="9">
        <f t="shared" si="0"/>
        <v>4998.3949999999995</v>
      </c>
      <c r="AG15" s="9">
        <f t="shared" si="1"/>
        <v>1840.9221666666665</v>
      </c>
      <c r="AH15" s="9">
        <f t="shared" si="2"/>
        <v>1.7661779655403793</v>
      </c>
      <c r="AI15" s="9">
        <f t="shared" si="3"/>
        <v>3.1193846059603532</v>
      </c>
      <c r="AJ15" s="9">
        <f t="shared" si="4"/>
        <v>2.6085167457637644</v>
      </c>
      <c r="AK15" s="9">
        <f t="shared" si="5"/>
        <v>6.8043596129299795</v>
      </c>
      <c r="AL15" s="9">
        <f t="shared" si="6"/>
        <v>1.0380755891087921</v>
      </c>
      <c r="AM15" s="9">
        <f t="shared" si="7"/>
        <v>1.0776009287035657</v>
      </c>
      <c r="AN15" s="8" t="s">
        <v>3992</v>
      </c>
    </row>
    <row r="16" spans="8:40" ht="23">
      <c r="M16" s="8" t="s">
        <v>4852</v>
      </c>
      <c r="N16" s="8"/>
      <c r="O16" s="8"/>
      <c r="P16" s="8"/>
      <c r="Q16" s="8"/>
      <c r="R16" s="8"/>
      <c r="S16" s="8"/>
      <c r="T16" s="8"/>
      <c r="U16" s="8"/>
      <c r="V16" s="8"/>
      <c r="W16" s="8" t="s">
        <v>4852</v>
      </c>
      <c r="X16" s="8">
        <v>40.659999999999997</v>
      </c>
      <c r="Y16" s="8">
        <v>2.2200000000000002</v>
      </c>
      <c r="Z16" s="9">
        <v>2.52</v>
      </c>
      <c r="AA16" s="8">
        <v>555.5</v>
      </c>
      <c r="AB16" s="8">
        <v>1108</v>
      </c>
      <c r="AC16" s="21" t="s">
        <v>4852</v>
      </c>
      <c r="AD16" s="8" t="s">
        <v>4040</v>
      </c>
      <c r="AE16" s="8" t="s">
        <v>4287</v>
      </c>
      <c r="AF16" s="9">
        <f t="shared" si="0"/>
        <v>1233.21</v>
      </c>
      <c r="AG16" s="9">
        <f t="shared" si="1"/>
        <v>1592.4333333333334</v>
      </c>
      <c r="AH16" s="9">
        <f t="shared" si="2"/>
        <v>1.5997258435638035</v>
      </c>
      <c r="AI16" s="9">
        <f t="shared" si="3"/>
        <v>2.5591227745659229</v>
      </c>
      <c r="AJ16" s="9">
        <f t="shared" si="4"/>
        <v>0.64357637522511368</v>
      </c>
      <c r="AK16" s="9">
        <f t="shared" si="5"/>
        <v>0.41419055074789635</v>
      </c>
      <c r="AL16" s="9">
        <f t="shared" si="6"/>
        <v>0.89795549238763461</v>
      </c>
      <c r="AM16" s="9">
        <f t="shared" si="7"/>
        <v>0.80632406630911935</v>
      </c>
      <c r="AN16" s="8" t="s">
        <v>4852</v>
      </c>
    </row>
    <row r="17" spans="13:40" ht="23">
      <c r="M17" s="8" t="s">
        <v>3850</v>
      </c>
      <c r="N17" s="8" t="s">
        <v>150</v>
      </c>
      <c r="O17" s="8"/>
      <c r="P17" s="8" t="s">
        <v>4676</v>
      </c>
      <c r="Q17" s="8"/>
      <c r="R17" s="8"/>
      <c r="S17" s="8"/>
      <c r="T17" s="8"/>
      <c r="U17" s="8"/>
      <c r="V17" s="8"/>
      <c r="W17" s="8" t="s">
        <v>3850</v>
      </c>
      <c r="X17" s="8">
        <v>52.34</v>
      </c>
      <c r="Y17" s="8">
        <v>3</v>
      </c>
      <c r="Z17" s="9">
        <v>1.17</v>
      </c>
      <c r="AA17" s="8">
        <v>443</v>
      </c>
      <c r="AB17" s="8">
        <v>830</v>
      </c>
      <c r="AC17" s="21" t="s">
        <v>3850</v>
      </c>
      <c r="AD17" s="8" t="s">
        <v>4040</v>
      </c>
      <c r="AE17" s="8" t="s">
        <v>4287</v>
      </c>
      <c r="AF17" s="9">
        <f t="shared" si="0"/>
        <v>1329</v>
      </c>
      <c r="AG17" s="9">
        <f t="shared" si="1"/>
        <v>568.51666666666665</v>
      </c>
      <c r="AH17" s="9">
        <f t="shared" si="2"/>
        <v>1.2757489625540326</v>
      </c>
      <c r="AI17" s="9">
        <f t="shared" si="3"/>
        <v>1.6275354154576904</v>
      </c>
      <c r="AJ17" s="9">
        <f t="shared" si="4"/>
        <v>0.69356638583386132</v>
      </c>
      <c r="AK17" s="9">
        <f t="shared" si="5"/>
        <v>0.48103433155864461</v>
      </c>
      <c r="AL17" s="9">
        <f t="shared" si="6"/>
        <v>0.32058024198642121</v>
      </c>
      <c r="AM17" s="9">
        <f t="shared" si="7"/>
        <v>0.10277169155207239</v>
      </c>
      <c r="AN17" s="8" t="s">
        <v>3850</v>
      </c>
    </row>
    <row r="18" spans="13:40" ht="23.5" customHeight="1">
      <c r="M18" s="8" t="s">
        <v>4845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4845</v>
      </c>
      <c r="X18" s="8">
        <v>1.76</v>
      </c>
      <c r="Y18" s="8">
        <v>3.87</v>
      </c>
      <c r="Z18" s="9">
        <v>1.1499999999999999</v>
      </c>
      <c r="AA18" s="8">
        <v>414.2</v>
      </c>
      <c r="AB18" s="8">
        <v>1251</v>
      </c>
      <c r="AC18" s="21" t="s">
        <v>4845</v>
      </c>
      <c r="AD18" s="8" t="s">
        <v>4040</v>
      </c>
      <c r="AE18" s="8" t="s">
        <v>4287</v>
      </c>
      <c r="AF18" s="9">
        <f t="shared" si="0"/>
        <v>1602.954</v>
      </c>
      <c r="AG18" s="9">
        <f t="shared" si="1"/>
        <v>517.75</v>
      </c>
      <c r="AH18" s="9">
        <f t="shared" si="2"/>
        <v>1.1928108810155311</v>
      </c>
      <c r="AI18" s="9">
        <f t="shared" si="3"/>
        <v>1.4227977978690476</v>
      </c>
      <c r="AJ18" s="9">
        <f t="shared" si="4"/>
        <v>0.8365349980721829</v>
      </c>
      <c r="AK18" s="9">
        <f t="shared" si="5"/>
        <v>0.69979080299962704</v>
      </c>
      <c r="AL18" s="9">
        <f t="shared" si="6"/>
        <v>0.29195348178910541</v>
      </c>
      <c r="AM18" s="9">
        <f t="shared" si="7"/>
        <v>8.5236835528781502E-2</v>
      </c>
      <c r="AN18" s="8" t="s">
        <v>4845</v>
      </c>
    </row>
    <row r="19" spans="13:40" ht="23">
      <c r="M19" s="8" t="s">
        <v>4851</v>
      </c>
      <c r="N19" s="8"/>
      <c r="O19" s="8"/>
      <c r="P19" s="8"/>
      <c r="Q19" s="8"/>
      <c r="R19" s="8"/>
      <c r="S19" s="8"/>
      <c r="T19" s="8"/>
      <c r="U19" s="8"/>
      <c r="V19" s="8"/>
      <c r="W19" s="8" t="s">
        <v>4851</v>
      </c>
      <c r="X19" s="8">
        <v>21.34</v>
      </c>
      <c r="Y19" s="8">
        <v>5.86</v>
      </c>
      <c r="Z19" s="9">
        <v>2.59</v>
      </c>
      <c r="AA19" s="8">
        <v>411.2</v>
      </c>
      <c r="AB19" s="8">
        <v>851</v>
      </c>
      <c r="AC19" s="21" t="s">
        <v>4851</v>
      </c>
      <c r="AD19" s="8" t="s">
        <v>4040</v>
      </c>
      <c r="AE19" s="8" t="s">
        <v>4287</v>
      </c>
      <c r="AF19" s="9">
        <f t="shared" si="0"/>
        <v>2409.6320000000001</v>
      </c>
      <c r="AG19" s="9">
        <f t="shared" si="1"/>
        <v>1226.7466666666667</v>
      </c>
      <c r="AH19" s="9">
        <f t="shared" si="2"/>
        <v>1.1841714975219373</v>
      </c>
      <c r="AI19" s="9">
        <f t="shared" si="3"/>
        <v>1.4022621355433476</v>
      </c>
      <c r="AJ19" s="9">
        <f t="shared" si="4"/>
        <v>1.2575167475015943</v>
      </c>
      <c r="AK19" s="9">
        <f t="shared" si="5"/>
        <v>1.5813483702469884</v>
      </c>
      <c r="AL19" s="9">
        <f t="shared" si="6"/>
        <v>0.69174883748239968</v>
      </c>
      <c r="AM19" s="9">
        <f t="shared" si="7"/>
        <v>0.47851645415825139</v>
      </c>
      <c r="AN19" s="8" t="s">
        <v>4851</v>
      </c>
    </row>
    <row r="20" spans="13:40" ht="23">
      <c r="M20" s="8" t="s">
        <v>3874</v>
      </c>
      <c r="N20" s="8" t="s">
        <v>150</v>
      </c>
      <c r="O20" s="8"/>
      <c r="P20" s="8" t="s">
        <v>3693</v>
      </c>
      <c r="Q20" s="8"/>
      <c r="R20" s="8"/>
      <c r="S20" s="8"/>
      <c r="T20" s="8"/>
      <c r="U20" s="8"/>
      <c r="V20" s="8"/>
      <c r="W20" s="8" t="s">
        <v>3874</v>
      </c>
      <c r="X20" s="8">
        <v>12.75</v>
      </c>
      <c r="Y20" s="8">
        <v>8.82</v>
      </c>
      <c r="Z20" s="9">
        <v>4.1399999999999997</v>
      </c>
      <c r="AA20" s="8">
        <v>387.5</v>
      </c>
      <c r="AB20" s="8">
        <v>385</v>
      </c>
      <c r="AC20" s="21" t="s">
        <v>3874</v>
      </c>
      <c r="AD20" s="8" t="s">
        <v>4040</v>
      </c>
      <c r="AE20" s="8" t="s">
        <v>4287</v>
      </c>
      <c r="AF20" s="9">
        <f t="shared" si="0"/>
        <v>3417.75</v>
      </c>
      <c r="AG20" s="9">
        <f t="shared" si="1"/>
        <v>1640.4166666666667</v>
      </c>
      <c r="AH20" s="9">
        <f t="shared" si="2"/>
        <v>1.1159203679225453</v>
      </c>
      <c r="AI20" s="9">
        <f t="shared" si="3"/>
        <v>1.245278267544389</v>
      </c>
      <c r="AJ20" s="9">
        <f t="shared" si="4"/>
        <v>1.7836241649237619</v>
      </c>
      <c r="AK20" s="9">
        <f t="shared" si="5"/>
        <v>3.1813151616999868</v>
      </c>
      <c r="AL20" s="9">
        <f t="shared" si="6"/>
        <v>0.9250127617927798</v>
      </c>
      <c r="AM20" s="9">
        <f t="shared" si="7"/>
        <v>0.85564860947950594</v>
      </c>
      <c r="AN20" s="8" t="s">
        <v>3874</v>
      </c>
    </row>
    <row r="21" spans="13:40" ht="19.5" customHeight="1">
      <c r="M21" s="8" t="s">
        <v>3912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3912</v>
      </c>
      <c r="X21" s="8">
        <v>13.42</v>
      </c>
      <c r="Y21" s="8">
        <v>6.97</v>
      </c>
      <c r="Z21" s="9">
        <v>5.19</v>
      </c>
      <c r="AA21" s="8">
        <v>359.2</v>
      </c>
      <c r="AB21" s="8">
        <v>392</v>
      </c>
      <c r="AC21" s="21" t="s">
        <v>3912</v>
      </c>
      <c r="AD21" s="8" t="s">
        <v>4040</v>
      </c>
      <c r="AE21" s="8" t="s">
        <v>4287</v>
      </c>
      <c r="AF21" s="9">
        <f t="shared" si="0"/>
        <v>2503.6239999999998</v>
      </c>
      <c r="AG21" s="9">
        <f t="shared" si="1"/>
        <v>1909.7466666666664</v>
      </c>
      <c r="AH21" s="9">
        <f t="shared" si="2"/>
        <v>1.0344221836329763</v>
      </c>
      <c r="AI21" s="9">
        <f t="shared" si="3"/>
        <v>1.0700292539920151</v>
      </c>
      <c r="AJ21" s="9">
        <f t="shared" si="4"/>
        <v>1.3065684342866177</v>
      </c>
      <c r="AK21" s="9">
        <f t="shared" si="5"/>
        <v>1.7071210734741837</v>
      </c>
      <c r="AL21" s="9">
        <f t="shared" si="6"/>
        <v>1.0768849612138511</v>
      </c>
      <c r="AM21" s="9">
        <f t="shared" si="7"/>
        <v>1.1596812196885578</v>
      </c>
      <c r="AN21" s="8" t="s">
        <v>3912</v>
      </c>
    </row>
    <row r="22" spans="13:40" ht="20.5" customHeight="1">
      <c r="M22" s="8" t="s">
        <v>4842</v>
      </c>
      <c r="N22" s="8"/>
      <c r="O22" s="8"/>
      <c r="P22" s="8"/>
      <c r="Q22" s="8"/>
      <c r="R22" s="8"/>
      <c r="S22" s="8"/>
      <c r="T22" s="8"/>
      <c r="U22" s="8"/>
      <c r="V22" s="8"/>
      <c r="W22" s="8" t="s">
        <v>4842</v>
      </c>
      <c r="X22" s="8">
        <v>32.159999999999997</v>
      </c>
      <c r="Y22" s="8">
        <v>1.61</v>
      </c>
      <c r="Z22" s="9">
        <v>0.4</v>
      </c>
      <c r="AA22" s="8">
        <v>323.7</v>
      </c>
      <c r="AB22" s="8">
        <v>2648</v>
      </c>
      <c r="AC22" s="21" t="s">
        <v>4842</v>
      </c>
      <c r="AD22" s="8" t="s">
        <v>4040</v>
      </c>
      <c r="AE22" s="8" t="s">
        <v>4287</v>
      </c>
      <c r="AF22" s="9">
        <f t="shared" si="0"/>
        <v>521.15700000000004</v>
      </c>
      <c r="AG22" s="9">
        <f t="shared" si="1"/>
        <v>2.1579999999999999</v>
      </c>
      <c r="AH22" s="9">
        <f t="shared" si="2"/>
        <v>0.93218947895878179</v>
      </c>
      <c r="AI22" s="9">
        <f t="shared" si="3"/>
        <v>0.86897722468144512</v>
      </c>
      <c r="AJ22" s="9">
        <f t="shared" si="4"/>
        <v>0.27197665684124733</v>
      </c>
      <c r="AK22" s="9">
        <f t="shared" si="5"/>
        <v>7.3971301866541606E-2</v>
      </c>
      <c r="AL22" s="9">
        <f t="shared" si="6"/>
        <v>1.216872262097324E-3</v>
      </c>
      <c r="AM22" s="9">
        <f t="shared" si="7"/>
        <v>1.4807781022618584E-6</v>
      </c>
      <c r="AN22" s="8" t="s">
        <v>4842</v>
      </c>
    </row>
    <row r="23" spans="13:40" ht="23">
      <c r="M23" s="8" t="s">
        <v>4850</v>
      </c>
      <c r="N23" s="8"/>
      <c r="O23" s="8"/>
      <c r="P23" s="8"/>
      <c r="Q23" s="8"/>
      <c r="R23" s="8"/>
      <c r="S23" s="8"/>
      <c r="T23" s="8"/>
      <c r="U23" s="8"/>
      <c r="V23" s="8"/>
      <c r="W23" s="8" t="s">
        <v>4850</v>
      </c>
      <c r="X23" s="8">
        <v>6.33</v>
      </c>
      <c r="Y23" s="8">
        <v>7.19</v>
      </c>
      <c r="Z23" s="9">
        <v>6.29</v>
      </c>
      <c r="AA23" s="8">
        <v>311.7</v>
      </c>
      <c r="AB23" s="8">
        <v>503</v>
      </c>
      <c r="AC23" s="21" t="s">
        <v>4850</v>
      </c>
      <c r="AD23" s="8" t="s">
        <v>4040</v>
      </c>
      <c r="AE23" s="8" t="s">
        <v>4287</v>
      </c>
      <c r="AF23" s="9">
        <f t="shared" si="0"/>
        <v>2241.123</v>
      </c>
      <c r="AG23" s="9">
        <f t="shared" si="1"/>
        <v>2020.855</v>
      </c>
      <c r="AH23" s="9">
        <f t="shared" si="2"/>
        <v>0.89763194498440613</v>
      </c>
      <c r="AI23" s="9">
        <f t="shared" si="3"/>
        <v>0.80574310865648791</v>
      </c>
      <c r="AJ23" s="9">
        <f t="shared" si="4"/>
        <v>1.1695768091189922</v>
      </c>
      <c r="AK23" s="9">
        <f t="shared" si="5"/>
        <v>1.3679099124289635</v>
      </c>
      <c r="AL23" s="9">
        <f t="shared" si="6"/>
        <v>1.1395377178965189</v>
      </c>
      <c r="AM23" s="9">
        <f t="shared" si="7"/>
        <v>1.2985462105088064</v>
      </c>
      <c r="AN23" s="8" t="s">
        <v>4850</v>
      </c>
    </row>
    <row r="24" spans="13:40" ht="23">
      <c r="M24" s="8" t="s">
        <v>4625</v>
      </c>
      <c r="N24" s="8"/>
      <c r="O24" s="8"/>
      <c r="P24" s="8" t="s">
        <v>4626</v>
      </c>
      <c r="Q24" s="8"/>
      <c r="R24" s="8"/>
      <c r="S24" s="8"/>
      <c r="T24" s="8"/>
      <c r="U24" s="8"/>
      <c r="V24" s="8"/>
      <c r="W24" s="8" t="s">
        <v>4625</v>
      </c>
      <c r="X24" s="8">
        <v>2.23</v>
      </c>
      <c r="Y24" s="8">
        <v>11.86</v>
      </c>
      <c r="Z24" s="9">
        <v>2.5499999999999998</v>
      </c>
      <c r="AA24" s="8">
        <v>310.3</v>
      </c>
      <c r="AB24" s="8">
        <v>963</v>
      </c>
      <c r="AC24" s="21" t="s">
        <v>4625</v>
      </c>
      <c r="AD24" s="8" t="s">
        <v>4040</v>
      </c>
      <c r="AE24" s="8" t="s">
        <v>4287</v>
      </c>
      <c r="AF24" s="9">
        <f t="shared" si="0"/>
        <v>3680.1579999999999</v>
      </c>
      <c r="AG24" s="9">
        <f t="shared" si="1"/>
        <v>905.04166666666663</v>
      </c>
      <c r="AH24" s="9">
        <f t="shared" si="2"/>
        <v>0.89360023268739575</v>
      </c>
      <c r="AI24" s="9">
        <f t="shared" si="3"/>
        <v>0.79852137585896787</v>
      </c>
      <c r="AJ24" s="9">
        <f t="shared" si="4"/>
        <v>1.9205672561005052</v>
      </c>
      <c r="AK24" s="9">
        <f t="shared" si="5"/>
        <v>3.6885785852054234</v>
      </c>
      <c r="AL24" s="9">
        <f t="shared" si="6"/>
        <v>0.51034295653799755</v>
      </c>
      <c r="AM24" s="9">
        <f t="shared" si="7"/>
        <v>0.26044993328794447</v>
      </c>
      <c r="AN24" s="8" t="s">
        <v>4625</v>
      </c>
    </row>
    <row r="25" spans="13:40" ht="23">
      <c r="M25" s="8" t="s">
        <v>4840</v>
      </c>
      <c r="N25" s="8" t="s">
        <v>150</v>
      </c>
      <c r="O25" s="8"/>
      <c r="P25" s="8" t="s">
        <v>3692</v>
      </c>
      <c r="Q25" s="8"/>
      <c r="R25" s="8"/>
      <c r="S25" s="8"/>
      <c r="T25" s="8"/>
      <c r="U25" s="8"/>
      <c r="V25" s="8"/>
      <c r="W25" s="8" t="s">
        <v>4840</v>
      </c>
      <c r="X25" s="8">
        <v>33.11</v>
      </c>
      <c r="Y25" s="8">
        <v>2.94</v>
      </c>
      <c r="Z25" s="9">
        <v>3.12</v>
      </c>
      <c r="AA25" s="8">
        <v>300.7</v>
      </c>
      <c r="AB25" s="8">
        <v>1061</v>
      </c>
      <c r="AC25" s="21" t="s">
        <v>4840</v>
      </c>
      <c r="AD25" s="8" t="s">
        <v>4040</v>
      </c>
      <c r="AE25" s="8" t="s">
        <v>4287</v>
      </c>
      <c r="AF25" s="9">
        <f t="shared" si="0"/>
        <v>884.05799999999999</v>
      </c>
      <c r="AG25" s="9">
        <f t="shared" si="1"/>
        <v>962.24</v>
      </c>
      <c r="AH25" s="9">
        <f t="shared" si="2"/>
        <v>0.86595420550789515</v>
      </c>
      <c r="AI25" s="9">
        <f t="shared" si="3"/>
        <v>0.7498766860368099</v>
      </c>
      <c r="AJ25" s="9">
        <f t="shared" si="4"/>
        <v>0.46136411732694638</v>
      </c>
      <c r="AK25" s="9">
        <f t="shared" si="5"/>
        <v>0.21285684875687233</v>
      </c>
      <c r="AL25" s="9">
        <f t="shared" si="6"/>
        <v>0.54259646222452695</v>
      </c>
      <c r="AM25" s="9">
        <f t="shared" si="7"/>
        <v>0.29441092081857251</v>
      </c>
      <c r="AN25" s="8" t="s">
        <v>4840</v>
      </c>
    </row>
    <row r="26" spans="13:40" ht="23">
      <c r="M26" s="8" t="s">
        <v>4846</v>
      </c>
      <c r="N26" s="8"/>
      <c r="O26" s="8"/>
      <c r="P26" s="8" t="s">
        <v>3692</v>
      </c>
      <c r="Q26" s="8"/>
      <c r="R26" s="8"/>
      <c r="S26" s="8"/>
      <c r="T26" s="8"/>
      <c r="U26" s="8"/>
      <c r="V26" s="8"/>
      <c r="W26" s="8" t="s">
        <v>4846</v>
      </c>
      <c r="X26" s="8">
        <v>29.91</v>
      </c>
      <c r="Y26" s="8">
        <v>3.22</v>
      </c>
      <c r="Z26" s="9">
        <v>1.57</v>
      </c>
      <c r="AA26" s="8">
        <v>288.89999999999998</v>
      </c>
      <c r="AB26" s="8">
        <v>1526</v>
      </c>
      <c r="AC26" s="21" t="s">
        <v>4846</v>
      </c>
      <c r="AD26" s="8" t="s">
        <v>4040</v>
      </c>
      <c r="AE26" s="8" t="s">
        <v>4287</v>
      </c>
      <c r="AF26" s="9">
        <f t="shared" si="0"/>
        <v>930.25800000000004</v>
      </c>
      <c r="AG26" s="9">
        <f t="shared" si="1"/>
        <v>563.3549999999999</v>
      </c>
      <c r="AH26" s="9">
        <f t="shared" si="2"/>
        <v>0.83197263043309244</v>
      </c>
      <c r="AI26" s="9">
        <f t="shared" si="3"/>
        <v>0.69217845778975906</v>
      </c>
      <c r="AJ26" s="9">
        <f t="shared" si="4"/>
        <v>0.48547455150717539</v>
      </c>
      <c r="AK26" s="9">
        <f t="shared" si="5"/>
        <v>0.23568554016109308</v>
      </c>
      <c r="AL26" s="9">
        <f t="shared" si="6"/>
        <v>0.31766963540956339</v>
      </c>
      <c r="AM26" s="9">
        <f t="shared" si="7"/>
        <v>0.10091399726124493</v>
      </c>
      <c r="AN26" s="8" t="s">
        <v>4846</v>
      </c>
    </row>
    <row r="27" spans="13:40" ht="23">
      <c r="M27" s="8" t="s">
        <v>4307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4307</v>
      </c>
      <c r="X27" s="8">
        <v>7.25</v>
      </c>
      <c r="Y27" s="8">
        <v>11.48</v>
      </c>
      <c r="Z27" s="9">
        <v>4.59</v>
      </c>
      <c r="AA27" s="8">
        <v>268.5</v>
      </c>
      <c r="AB27" s="8">
        <v>576</v>
      </c>
      <c r="AC27" s="21" t="s">
        <v>4307</v>
      </c>
      <c r="AD27" s="8" t="s">
        <v>4040</v>
      </c>
      <c r="AE27" s="8" t="s">
        <v>4287</v>
      </c>
      <c r="AF27" s="9">
        <f t="shared" si="0"/>
        <v>3082.38</v>
      </c>
      <c r="AG27" s="9">
        <f t="shared" si="1"/>
        <v>1338.0250000000001</v>
      </c>
      <c r="AH27" s="9">
        <f t="shared" si="2"/>
        <v>0.77322482267665404</v>
      </c>
      <c r="AI27" s="9">
        <f t="shared" si="3"/>
        <v>0.59787662640334305</v>
      </c>
      <c r="AJ27" s="9">
        <f t="shared" si="4"/>
        <v>1.6086043313518266</v>
      </c>
      <c r="AK27" s="9">
        <f t="shared" si="5"/>
        <v>2.587607894843857</v>
      </c>
      <c r="AL27" s="9">
        <f t="shared" si="6"/>
        <v>0.75449745527931977</v>
      </c>
      <c r="AM27" s="9">
        <f t="shared" si="7"/>
        <v>0.56926641002296918</v>
      </c>
      <c r="AN27" s="8" t="s">
        <v>4307</v>
      </c>
    </row>
    <row r="28" spans="13:40" ht="23">
      <c r="M28" s="8" t="s">
        <v>4843</v>
      </c>
      <c r="N28" s="8"/>
      <c r="O28" s="8"/>
      <c r="P28" s="8"/>
      <c r="Q28" s="8"/>
      <c r="R28" s="8"/>
      <c r="S28" s="8"/>
      <c r="T28" s="8"/>
      <c r="U28" s="8"/>
      <c r="V28" s="8"/>
      <c r="W28" s="8" t="s">
        <v>4843</v>
      </c>
      <c r="X28" s="8">
        <v>27.79</v>
      </c>
      <c r="Y28" s="8">
        <v>2.0499999999999998</v>
      </c>
      <c r="Z28" s="9">
        <v>1.32</v>
      </c>
      <c r="AA28" s="8">
        <v>239.7</v>
      </c>
      <c r="AB28" s="8">
        <v>1856</v>
      </c>
      <c r="AC28" s="21" t="s">
        <v>4843</v>
      </c>
      <c r="AD28" s="8" t="s">
        <v>4040</v>
      </c>
      <c r="AE28" s="8" t="s">
        <v>4287</v>
      </c>
      <c r="AF28" s="9">
        <f t="shared" si="0"/>
        <v>491.38499999999993</v>
      </c>
      <c r="AG28" s="9">
        <f t="shared" si="1"/>
        <v>367.53999999999996</v>
      </c>
      <c r="AH28" s="9">
        <f t="shared" si="2"/>
        <v>0.69028674113815247</v>
      </c>
      <c r="AI28" s="9">
        <f t="shared" si="3"/>
        <v>0.47649578499113071</v>
      </c>
      <c r="AJ28" s="9">
        <f t="shared" si="4"/>
        <v>0.25643951730848147</v>
      </c>
      <c r="AK28" s="9">
        <f t="shared" si="5"/>
        <v>6.5761226037406972E-2</v>
      </c>
      <c r="AL28" s="9">
        <f t="shared" si="6"/>
        <v>0.2072517290135544</v>
      </c>
      <c r="AM28" s="9">
        <f t="shared" si="7"/>
        <v>4.2953279179107788E-2</v>
      </c>
      <c r="AN28" s="8" t="s">
        <v>4843</v>
      </c>
    </row>
    <row r="29" spans="13:40" ht="23">
      <c r="M29" s="8" t="s">
        <v>4352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4352</v>
      </c>
      <c r="X29" s="8">
        <v>14.07</v>
      </c>
      <c r="Y29" s="8">
        <v>6.93</v>
      </c>
      <c r="Z29" s="9">
        <v>7.01</v>
      </c>
      <c r="AA29" s="8">
        <v>218.6</v>
      </c>
      <c r="AB29" s="8">
        <v>771</v>
      </c>
      <c r="AC29" s="21" t="s">
        <v>4352</v>
      </c>
      <c r="AD29" s="8" t="s">
        <v>4040</v>
      </c>
      <c r="AE29" s="8" t="s">
        <v>4287</v>
      </c>
      <c r="AF29" s="9">
        <f t="shared" si="0"/>
        <v>1514.8979999999999</v>
      </c>
      <c r="AG29" s="9">
        <f t="shared" si="1"/>
        <v>1533.8433333333332</v>
      </c>
      <c r="AH29" s="9">
        <f t="shared" si="2"/>
        <v>0.62952307723320877</v>
      </c>
      <c r="AI29" s="9">
        <f t="shared" si="3"/>
        <v>0.39629930476916853</v>
      </c>
      <c r="AJ29" s="9">
        <f t="shared" si="4"/>
        <v>0.79058113676971009</v>
      </c>
      <c r="AK29" s="9">
        <f t="shared" si="5"/>
        <v>0.62501853381608707</v>
      </c>
      <c r="AL29" s="9">
        <f t="shared" si="6"/>
        <v>0.86491724130502001</v>
      </c>
      <c r="AM29" s="9">
        <f t="shared" si="7"/>
        <v>0.74808183430668618</v>
      </c>
      <c r="AN29" s="8" t="s">
        <v>4352</v>
      </c>
    </row>
    <row r="30" spans="13:40" ht="23">
      <c r="M30" s="8" t="s">
        <v>4855</v>
      </c>
      <c r="N30" s="8"/>
      <c r="O30" s="8"/>
      <c r="P30" s="8"/>
      <c r="Q30" s="8"/>
      <c r="R30" s="8"/>
      <c r="S30" s="8"/>
      <c r="T30" s="8"/>
      <c r="U30" s="8"/>
      <c r="V30" s="8"/>
      <c r="W30" s="8" t="s">
        <v>4855</v>
      </c>
      <c r="X30" s="8">
        <v>13.8</v>
      </c>
      <c r="Y30" s="8">
        <v>7.31</v>
      </c>
      <c r="Z30" s="9">
        <v>3.58</v>
      </c>
      <c r="AA30" s="8">
        <v>213.2</v>
      </c>
      <c r="AB30" s="8">
        <v>995</v>
      </c>
      <c r="AC30" s="21" t="s">
        <v>4855</v>
      </c>
      <c r="AD30" s="8" t="s">
        <v>4040</v>
      </c>
      <c r="AE30" s="8" t="s">
        <v>4287</v>
      </c>
      <c r="AF30" s="9">
        <f t="shared" si="0"/>
        <v>1558.4919999999997</v>
      </c>
      <c r="AG30" s="9">
        <f t="shared" si="1"/>
        <v>845.69333333333327</v>
      </c>
      <c r="AH30" s="9">
        <f t="shared" si="2"/>
        <v>0.61397218694473976</v>
      </c>
      <c r="AI30" s="9">
        <f t="shared" si="3"/>
        <v>0.37696184634170649</v>
      </c>
      <c r="AJ30" s="9">
        <f t="shared" si="4"/>
        <v>0.81333157546349588</v>
      </c>
      <c r="AK30" s="9">
        <f t="shared" si="5"/>
        <v>0.6615082516459323</v>
      </c>
      <c r="AL30" s="9">
        <f t="shared" si="6"/>
        <v>0.47687708970063003</v>
      </c>
      <c r="AM30" s="9">
        <f t="shared" si="7"/>
        <v>0.22741175868134275</v>
      </c>
      <c r="AN30" s="8" t="s">
        <v>4855</v>
      </c>
    </row>
    <row r="31" spans="13:40" ht="23">
      <c r="M31" s="8" t="s">
        <v>4848</v>
      </c>
      <c r="N31" s="8"/>
      <c r="O31" s="8"/>
      <c r="P31" s="8"/>
      <c r="Q31" s="8"/>
      <c r="R31" s="8"/>
      <c r="S31" s="8"/>
      <c r="T31" s="8"/>
      <c r="U31" s="8"/>
      <c r="V31" s="8"/>
      <c r="W31" s="8" t="s">
        <v>4848</v>
      </c>
      <c r="X31" s="8">
        <v>17.18</v>
      </c>
      <c r="Y31" s="8">
        <v>5.16</v>
      </c>
      <c r="Z31" s="9">
        <v>3.31</v>
      </c>
      <c r="AA31" s="8">
        <v>174.8</v>
      </c>
      <c r="AB31" s="8">
        <v>1087</v>
      </c>
      <c r="AC31" s="21" t="s">
        <v>4848</v>
      </c>
      <c r="AD31" s="8" t="s">
        <v>4040</v>
      </c>
      <c r="AE31" s="8" t="s">
        <v>4287</v>
      </c>
      <c r="AF31" s="9">
        <f t="shared" si="0"/>
        <v>901.96800000000007</v>
      </c>
      <c r="AG31" s="9">
        <f t="shared" si="1"/>
        <v>614.71333333333337</v>
      </c>
      <c r="AH31" s="9">
        <f t="shared" si="2"/>
        <v>0.50338807822673792</v>
      </c>
      <c r="AI31" s="9">
        <f t="shared" si="3"/>
        <v>0.25339955730080843</v>
      </c>
      <c r="AJ31" s="9">
        <f t="shared" si="4"/>
        <v>0.47071082460330793</v>
      </c>
      <c r="AK31" s="9">
        <f t="shared" si="5"/>
        <v>0.22156868039872613</v>
      </c>
      <c r="AL31" s="9">
        <f t="shared" si="6"/>
        <v>0.34663002987707126</v>
      </c>
      <c r="AM31" s="9">
        <f t="shared" si="7"/>
        <v>0.12015237761257931</v>
      </c>
      <c r="AN31" s="8" t="s">
        <v>4848</v>
      </c>
    </row>
    <row r="32" spans="13:40" ht="23">
      <c r="M32" s="8" t="s">
        <v>4847</v>
      </c>
      <c r="N32" s="8"/>
      <c r="O32" s="8"/>
      <c r="P32" s="8" t="s">
        <v>4004</v>
      </c>
      <c r="Q32" s="8"/>
      <c r="R32" s="8"/>
      <c r="S32" s="8"/>
      <c r="T32" s="8"/>
      <c r="U32" s="8"/>
      <c r="V32" s="8"/>
      <c r="W32" s="8" t="s">
        <v>4847</v>
      </c>
      <c r="X32" s="8">
        <v>21.03</v>
      </c>
      <c r="Y32" s="8">
        <v>5.0599999999999996</v>
      </c>
      <c r="Z32" s="9">
        <v>3.09</v>
      </c>
      <c r="AA32" s="8">
        <v>163.19999999999999</v>
      </c>
      <c r="AB32" s="8">
        <v>1098</v>
      </c>
      <c r="AC32" s="21" t="s">
        <v>4847</v>
      </c>
      <c r="AD32" s="8" t="s">
        <v>4040</v>
      </c>
      <c r="AE32" s="8" t="s">
        <v>4287</v>
      </c>
      <c r="AF32" s="9">
        <f t="shared" si="0"/>
        <v>825.79199999999992</v>
      </c>
      <c r="AG32" s="9">
        <f t="shared" si="1"/>
        <v>514.07999999999993</v>
      </c>
      <c r="AH32" s="9">
        <f t="shared" si="2"/>
        <v>0.46998246205150812</v>
      </c>
      <c r="AI32" s="9">
        <f t="shared" si="3"/>
        <v>0.22088351463599726</v>
      </c>
      <c r="AJ32" s="9">
        <f t="shared" si="4"/>
        <v>0.43095678923289382</v>
      </c>
      <c r="AK32" s="9">
        <f t="shared" si="5"/>
        <v>0.18572375418592488</v>
      </c>
      <c r="AL32" s="9">
        <f t="shared" si="6"/>
        <v>0.28988400949906962</v>
      </c>
      <c r="AM32" s="9">
        <f t="shared" si="7"/>
        <v>8.4032738963256678E-2</v>
      </c>
      <c r="AN32" s="8" t="s">
        <v>4847</v>
      </c>
    </row>
    <row r="33" spans="13:40" ht="23">
      <c r="M33" s="8" t="s">
        <v>3913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8" t="s">
        <v>3913</v>
      </c>
      <c r="X33" s="8">
        <v>22.67</v>
      </c>
      <c r="Y33" s="8">
        <v>2.33</v>
      </c>
      <c r="Z33" s="9">
        <v>1.1000000000000001</v>
      </c>
      <c r="AA33" s="8">
        <v>143.19999999999999</v>
      </c>
      <c r="AB33" s="8">
        <v>2327</v>
      </c>
      <c r="AC33" s="21" t="s">
        <v>3913</v>
      </c>
      <c r="AD33" s="8" t="s">
        <v>4040</v>
      </c>
      <c r="AE33" s="8" t="s">
        <v>4287</v>
      </c>
      <c r="AF33" s="9">
        <f t="shared" si="0"/>
        <v>333.65600000000001</v>
      </c>
      <c r="AG33" s="9">
        <f t="shared" si="1"/>
        <v>143.43866666666665</v>
      </c>
      <c r="AH33" s="9">
        <f t="shared" si="2"/>
        <v>0.41238657209421542</v>
      </c>
      <c r="AI33" s="9">
        <f t="shared" si="3"/>
        <v>0.17006268484361753</v>
      </c>
      <c r="AJ33" s="9">
        <f t="shared" si="4"/>
        <v>0.17412534690126624</v>
      </c>
      <c r="AK33" s="9">
        <f t="shared" si="5"/>
        <v>3.031963643348631E-2</v>
      </c>
      <c r="AL33" s="9">
        <f t="shared" si="6"/>
        <v>8.0883473020801969E-2</v>
      </c>
      <c r="AM33" s="9">
        <f t="shared" si="7"/>
        <v>6.5421362079067999E-3</v>
      </c>
      <c r="AN33" s="8" t="s">
        <v>3913</v>
      </c>
    </row>
    <row r="34" spans="13:40" ht="23">
      <c r="M34" s="8" t="s">
        <v>4856</v>
      </c>
      <c r="N34" s="8"/>
      <c r="O34" s="8"/>
      <c r="P34" s="8"/>
      <c r="Q34" s="8"/>
      <c r="R34" s="8"/>
      <c r="S34" s="8"/>
      <c r="T34" s="8"/>
      <c r="U34" s="8"/>
      <c r="V34" s="8"/>
      <c r="W34" s="8" t="s">
        <v>4856</v>
      </c>
      <c r="X34" s="8">
        <v>32.130000000000003</v>
      </c>
      <c r="Y34" s="8">
        <v>1.35</v>
      </c>
      <c r="Z34" s="9">
        <v>0.19</v>
      </c>
      <c r="AA34" s="8">
        <v>131.80000000000001</v>
      </c>
      <c r="AB34" s="8">
        <v>7760</v>
      </c>
      <c r="AC34" s="21" t="s">
        <v>4856</v>
      </c>
      <c r="AD34" s="8" t="s">
        <v>4040</v>
      </c>
      <c r="AE34" s="8" t="s">
        <v>4287</v>
      </c>
      <c r="AF34" s="9">
        <f t="shared" si="0"/>
        <v>177.93000000000004</v>
      </c>
      <c r="AG34" s="9">
        <f t="shared" si="1"/>
        <v>41.736666666666672</v>
      </c>
      <c r="AH34" s="9">
        <f t="shared" si="2"/>
        <v>0.37955691481855869</v>
      </c>
      <c r="AI34" s="9">
        <f t="shared" si="3"/>
        <v>0.14406345158658262</v>
      </c>
      <c r="AJ34" s="9">
        <f t="shared" si="4"/>
        <v>9.2856483846063931E-2</v>
      </c>
      <c r="AK34" s="9">
        <f t="shared" si="5"/>
        <v>8.622326592254332E-3</v>
      </c>
      <c r="AL34" s="9">
        <f t="shared" si="6"/>
        <v>2.3534843363794557E-2</v>
      </c>
      <c r="AM34" s="9">
        <f t="shared" si="7"/>
        <v>5.5388885215834464E-4</v>
      </c>
      <c r="AN34" s="8" t="s">
        <v>4856</v>
      </c>
    </row>
    <row r="35" spans="13:40" ht="23">
      <c r="M35" s="8" t="s">
        <v>4849</v>
      </c>
      <c r="N35" s="8"/>
      <c r="O35" s="8"/>
      <c r="P35" s="8"/>
      <c r="Q35" s="8"/>
      <c r="R35" s="8"/>
      <c r="S35" s="8"/>
      <c r="T35" s="8"/>
      <c r="U35" s="8"/>
      <c r="V35" s="8"/>
      <c r="W35" s="8" t="s">
        <v>4849</v>
      </c>
      <c r="X35" s="8">
        <v>29.67</v>
      </c>
      <c r="Y35" s="8">
        <v>1.24</v>
      </c>
      <c r="Z35" s="9">
        <v>0.14000000000000001</v>
      </c>
      <c r="AA35" s="8">
        <v>129.4</v>
      </c>
      <c r="AB35" s="8">
        <v>11604</v>
      </c>
      <c r="AC35" s="21" t="s">
        <v>4849</v>
      </c>
      <c r="AD35" s="8" t="s">
        <v>4040</v>
      </c>
      <c r="AE35" s="8" t="s">
        <v>4287</v>
      </c>
      <c r="AF35" s="9">
        <f t="shared" si="0"/>
        <v>160.45600000000002</v>
      </c>
      <c r="AG35" s="9">
        <f t="shared" si="1"/>
        <v>30.193333333333335</v>
      </c>
      <c r="AH35" s="9">
        <f t="shared" si="2"/>
        <v>0.37264540802368357</v>
      </c>
      <c r="AI35" s="9">
        <f t="shared" si="3"/>
        <v>0.1388646001211376</v>
      </c>
      <c r="AJ35" s="9">
        <f t="shared" si="4"/>
        <v>8.3737312268892444E-2</v>
      </c>
      <c r="AK35" s="9">
        <f t="shared" si="5"/>
        <v>7.0119374660180048E-3</v>
      </c>
      <c r="AL35" s="9">
        <f t="shared" si="6"/>
        <v>1.7025685743091691E-2</v>
      </c>
      <c r="AM35" s="9">
        <f t="shared" si="7"/>
        <v>2.898739750225157E-4</v>
      </c>
      <c r="AN35" s="8" t="s">
        <v>4849</v>
      </c>
    </row>
    <row r="36" spans="13:40" ht="23">
      <c r="M36" s="8" t="s">
        <v>4854</v>
      </c>
      <c r="N36" s="8"/>
      <c r="O36" s="8"/>
      <c r="P36" s="8"/>
      <c r="Q36" s="8"/>
      <c r="R36" s="8"/>
      <c r="S36" s="8"/>
      <c r="T36" s="8"/>
      <c r="U36" s="8"/>
      <c r="V36" s="8"/>
      <c r="W36" s="8" t="s">
        <v>4854</v>
      </c>
      <c r="X36" s="8">
        <v>8.9499999999999993</v>
      </c>
      <c r="Y36" s="8">
        <v>6.5</v>
      </c>
      <c r="Z36" s="9">
        <v>2.5299999999999998</v>
      </c>
      <c r="AA36" s="8">
        <v>104.7</v>
      </c>
      <c r="AB36" s="8">
        <v>2096</v>
      </c>
      <c r="AC36" s="21" t="s">
        <v>4854</v>
      </c>
      <c r="AD36" s="8" t="s">
        <v>4040</v>
      </c>
      <c r="AE36" s="8" t="s">
        <v>4287</v>
      </c>
      <c r="AF36" s="9">
        <f t="shared" si="0"/>
        <v>680.55000000000007</v>
      </c>
      <c r="AG36" s="9">
        <f t="shared" si="1"/>
        <v>301.88499999999999</v>
      </c>
      <c r="AH36" s="9">
        <f t="shared" si="2"/>
        <v>0.3015144839264271</v>
      </c>
      <c r="AI36" s="9">
        <f t="shared" si="3"/>
        <v>9.0910984017419663E-2</v>
      </c>
      <c r="AJ36" s="9">
        <f t="shared" si="4"/>
        <v>0.35515922037564662</v>
      </c>
      <c r="AK36" s="9">
        <f t="shared" si="5"/>
        <v>0.12613807181783712</v>
      </c>
      <c r="AL36" s="9">
        <f t="shared" si="6"/>
        <v>0.17022960280039418</v>
      </c>
      <c r="AM36" s="9">
        <f t="shared" si="7"/>
        <v>2.8978117669579969E-2</v>
      </c>
      <c r="AN36" s="8" t="s">
        <v>4854</v>
      </c>
    </row>
    <row r="37" spans="13:40" ht="23">
      <c r="M37" s="8" t="s">
        <v>4853</v>
      </c>
      <c r="N37" s="8"/>
      <c r="O37" s="8"/>
      <c r="P37" s="8"/>
      <c r="Q37" s="8"/>
      <c r="R37" s="8"/>
      <c r="S37" s="8"/>
      <c r="T37" s="8"/>
      <c r="U37" s="8"/>
      <c r="V37" s="8"/>
      <c r="W37" s="8" t="s">
        <v>4853</v>
      </c>
      <c r="X37" s="8">
        <v>1.79</v>
      </c>
      <c r="Y37" s="8">
        <v>2.84</v>
      </c>
      <c r="Z37" s="9">
        <v>3.1</v>
      </c>
      <c r="AA37" s="8">
        <v>75.099999999999994</v>
      </c>
      <c r="AB37" s="8">
        <v>6572</v>
      </c>
      <c r="AC37" s="21" t="s">
        <v>4853</v>
      </c>
      <c r="AD37" s="8" t="s">
        <v>4040</v>
      </c>
      <c r="AE37" s="8" t="s">
        <v>4287</v>
      </c>
      <c r="AF37" s="9">
        <f t="shared" si="0"/>
        <v>213.28399999999996</v>
      </c>
      <c r="AG37" s="9">
        <f t="shared" si="1"/>
        <v>225.42516666666663</v>
      </c>
      <c r="AH37" s="9">
        <f t="shared" si="2"/>
        <v>0.21627256678963391</v>
      </c>
      <c r="AI37" s="9">
        <f t="shared" si="3"/>
        <v>4.6773823145776661E-2</v>
      </c>
      <c r="AJ37" s="9">
        <f t="shared" si="4"/>
        <v>0.11130670657350583</v>
      </c>
      <c r="AK37" s="9">
        <f t="shared" si="5"/>
        <v>1.2389182928240526E-2</v>
      </c>
      <c r="AL37" s="9">
        <f t="shared" si="6"/>
        <v>0.12711475092462135</v>
      </c>
      <c r="AM37" s="9">
        <f t="shared" si="7"/>
        <v>1.6158159902628526E-2</v>
      </c>
      <c r="AN37" s="8" t="s">
        <v>4853</v>
      </c>
    </row>
    <row r="38" spans="13:40" ht="23">
      <c r="M38" s="8" t="s">
        <v>1185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8" t="s">
        <v>1185</v>
      </c>
      <c r="X38" s="8">
        <v>12.23</v>
      </c>
      <c r="Y38" s="8">
        <v>2.2400000000000002</v>
      </c>
      <c r="Z38" s="9">
        <v>0.34</v>
      </c>
      <c r="AA38" s="8">
        <v>74.7</v>
      </c>
      <c r="AB38" s="8">
        <v>5909</v>
      </c>
      <c r="AC38" s="21" t="s">
        <v>1185</v>
      </c>
      <c r="AD38" s="8" t="s">
        <v>4040</v>
      </c>
      <c r="AE38" s="8" t="s">
        <v>4287</v>
      </c>
      <c r="AF38" s="9">
        <f t="shared" si="0"/>
        <v>167.32800000000003</v>
      </c>
      <c r="AG38" s="9">
        <f t="shared" si="1"/>
        <v>42.33</v>
      </c>
      <c r="AH38" s="9">
        <f t="shared" si="2"/>
        <v>0.21512064899048811</v>
      </c>
      <c r="AI38" s="9">
        <f t="shared" si="3"/>
        <v>4.627689362208879E-2</v>
      </c>
      <c r="AJ38" s="9">
        <f t="shared" si="4"/>
        <v>8.7323608885484086E-2</v>
      </c>
      <c r="AK38" s="9">
        <f t="shared" si="5"/>
        <v>7.6254126687849951E-3</v>
      </c>
      <c r="AL38" s="9">
        <f t="shared" si="6"/>
        <v>2.3869417448832125E-2</v>
      </c>
      <c r="AM38" s="9">
        <f t="shared" si="7"/>
        <v>5.6974908934661153E-4</v>
      </c>
      <c r="AN38" s="8" t="s">
        <v>1185</v>
      </c>
    </row>
    <row r="39" spans="13:40" ht="23">
      <c r="M39" s="8" t="s">
        <v>4844</v>
      </c>
      <c r="N39" s="8"/>
      <c r="O39" s="8"/>
      <c r="P39" s="8"/>
      <c r="Q39" s="8"/>
      <c r="R39" s="8"/>
      <c r="S39" s="8"/>
      <c r="T39" s="8"/>
      <c r="U39" s="8"/>
      <c r="V39" s="8"/>
      <c r="W39" s="8" t="s">
        <v>4844</v>
      </c>
      <c r="X39" s="8">
        <v>17.559999999999999</v>
      </c>
      <c r="Y39" s="8">
        <v>6.01</v>
      </c>
      <c r="Z39" s="9">
        <v>4.2699999999999996</v>
      </c>
      <c r="AA39" s="8">
        <v>31.3</v>
      </c>
      <c r="AB39" s="8">
        <v>3626</v>
      </c>
      <c r="AC39" s="21" t="s">
        <v>4844</v>
      </c>
      <c r="AD39" s="8" t="s">
        <v>4040</v>
      </c>
      <c r="AE39" s="8" t="s">
        <v>4287</v>
      </c>
      <c r="AF39" s="9">
        <f t="shared" si="0"/>
        <v>188.113</v>
      </c>
      <c r="AG39" s="9">
        <f t="shared" si="1"/>
        <v>139.285</v>
      </c>
      <c r="AH39" s="9">
        <f t="shared" si="2"/>
        <v>9.0137567783163022E-2</v>
      </c>
      <c r="AI39" s="9">
        <f t="shared" si="3"/>
        <v>8.1247811258643079E-3</v>
      </c>
      <c r="AJ39" s="9">
        <f t="shared" si="4"/>
        <v>9.8170694912238635E-2</v>
      </c>
      <c r="AK39" s="9">
        <f t="shared" si="5"/>
        <v>9.6374853395518358E-3</v>
      </c>
      <c r="AL39" s="9">
        <f t="shared" si="6"/>
        <v>7.854126646256987E-2</v>
      </c>
      <c r="AM39" s="9">
        <f t="shared" si="7"/>
        <v>6.168730537544403E-3</v>
      </c>
      <c r="AN39" s="8" t="s">
        <v>4844</v>
      </c>
    </row>
    <row r="40" spans="13:40" ht="23">
      <c r="M40" s="8" t="s">
        <v>4841</v>
      </c>
      <c r="N40" s="8"/>
      <c r="O40" s="8"/>
      <c r="P40" s="8"/>
      <c r="Q40" s="8"/>
      <c r="R40" s="8"/>
      <c r="S40" s="8"/>
      <c r="T40" s="8"/>
      <c r="U40" s="8"/>
      <c r="V40" s="8"/>
      <c r="W40" s="8" t="s">
        <v>4841</v>
      </c>
      <c r="X40" s="8">
        <v>15.65</v>
      </c>
      <c r="Y40" s="8">
        <v>7.11</v>
      </c>
      <c r="Z40" s="9">
        <v>4.0599999999999996</v>
      </c>
      <c r="AA40" s="8">
        <v>16.8</v>
      </c>
      <c r="AB40" s="8">
        <v>4695</v>
      </c>
      <c r="AC40" s="21" t="s">
        <v>4841</v>
      </c>
      <c r="AD40" s="8" t="s">
        <v>4040</v>
      </c>
      <c r="AE40" s="8" t="s">
        <v>4287</v>
      </c>
      <c r="AF40" s="9">
        <f t="shared" si="0"/>
        <v>119.44800000000001</v>
      </c>
      <c r="AG40" s="9">
        <f t="shared" si="1"/>
        <v>68.88</v>
      </c>
      <c r="AH40" s="9">
        <f t="shared" si="2"/>
        <v>4.8380547564125839E-2</v>
      </c>
      <c r="AI40" s="9">
        <f t="shared" si="3"/>
        <v>2.3406773826046426E-3</v>
      </c>
      <c r="AJ40" s="9">
        <f t="shared" si="4"/>
        <v>6.233643164415581E-2</v>
      </c>
      <c r="AK40" s="9">
        <f t="shared" si="5"/>
        <v>3.88583071012651E-3</v>
      </c>
      <c r="AL40" s="9">
        <f t="shared" si="6"/>
        <v>3.8840667939417831E-2</v>
      </c>
      <c r="AM40" s="9">
        <f t="shared" si="7"/>
        <v>1.5085974859801201E-3</v>
      </c>
      <c r="AN40" s="8" t="s">
        <v>4841</v>
      </c>
    </row>
    <row r="41" spans="13:40" ht="23"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9"/>
      <c r="AA41" s="8">
        <f>SUBTOTAL(109,Table13632343637[ترافیک کل])</f>
        <v>34724.69999999999</v>
      </c>
      <c r="AB41" s="8"/>
      <c r="AC41" s="21"/>
      <c r="AD41" s="8"/>
      <c r="AE41" s="8"/>
      <c r="AF41" s="9">
        <f>SUBTOTAL(109,Table13632343637[[مجموع صفحات  مشاهده شده   ]])</f>
        <v>191618.28299999997</v>
      </c>
      <c r="AG41" s="9">
        <f>SUBTOTAL(109,Table13632343637[[مجموع زمان حضور در سایت ]])</f>
        <v>177339.89566666659</v>
      </c>
      <c r="AH41" s="9">
        <f>SUBTOTAL(109,Table13632343637[سهم سایت از کل ترافیک طبقه بندی])</f>
        <v>100</v>
      </c>
      <c r="AI41" s="9">
        <f>SUBTOTAL(109,Table13632343637[شاخص هرفیندال هیرشمن (ترافیک)])</f>
        <v>795.3896431514554</v>
      </c>
      <c r="AJ41" s="9">
        <f>SUBTOTAL(109,Table13632343637[سهم سایت از کل صفحات مشاهده شده در طبقه بندی])</f>
        <v>100.00000000000003</v>
      </c>
      <c r="AK41" s="9">
        <f>SUBTOTAL(109,Table13632343637[شاخص هرفیندال -هیرشمن (صفحات مشاهده شده )])</f>
        <v>1043.9300568369451</v>
      </c>
      <c r="AL41" s="9">
        <f>SUBTOTAL(109,Table13632343637[سهم سایت از کل زمان حضور در طبقه بندی])</f>
        <v>100.00000000000001</v>
      </c>
      <c r="AM41" s="9">
        <f>SUBTOTAL(109,Table13632343637[شاخص هرفیندال هیرشمن (زمان حضور)])</f>
        <v>1297.8255396603813</v>
      </c>
      <c r="AN41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{8A2DEAB1-1961-491A-B21F-80C362A67D41}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{6A534592-3431-454B-A2AE-34E8835A66E1}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{2631E9D8-3529-402B-AE80-7E96DD53CFD0}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{5380D20B-3C8F-4B7D-8F23-6B3D69286179}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{66460BDD-4E1E-4824-9E3D-B9F2780906DA}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{AFF38C13-37B2-40CC-A264-3DE6902872E4}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2DEAB1-1961-491A-B21F-80C362A67D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A534592-3431-454B-A2AE-34E8835A66E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631E9D8-3529-402B-AE80-7E96DD53CFD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380D20B-3C8F-4B7D-8F23-6B3D6928617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6460BDD-4E1E-4824-9E3D-B9F2780906D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AFF38C13-37B2-40CC-A264-3DE6902872E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0"/>
  <sheetViews>
    <sheetView showGridLines="0" rightToLeft="1" topLeftCell="AA1" zoomScale="85" zoomScaleNormal="85" workbookViewId="0">
      <selection activeCell="AB20" sqref="AB20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.9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2" customHeight="1">
      <c r="M2" s="8" t="s">
        <v>3781</v>
      </c>
      <c r="N2" s="8"/>
      <c r="O2" s="8"/>
      <c r="P2" s="8"/>
      <c r="Q2" s="8"/>
      <c r="R2" s="8"/>
      <c r="S2" s="8"/>
      <c r="T2" s="8"/>
      <c r="U2" s="8"/>
      <c r="V2" s="8"/>
      <c r="W2" s="8" t="s">
        <v>3781</v>
      </c>
      <c r="X2" s="8">
        <v>60.21</v>
      </c>
      <c r="Y2" s="8">
        <v>2.59</v>
      </c>
      <c r="Z2" s="9">
        <v>1.19</v>
      </c>
      <c r="AA2" s="8">
        <v>6625.1</v>
      </c>
      <c r="AB2" s="8">
        <v>73</v>
      </c>
      <c r="AC2" s="21" t="s">
        <v>3781</v>
      </c>
      <c r="AD2" s="8" t="s">
        <v>4295</v>
      </c>
      <c r="AE2" s="8" t="s">
        <v>4287</v>
      </c>
      <c r="AF2" s="9">
        <f t="shared" ref="AF2:AF19" si="0">(AA2*Y2)</f>
        <v>17159.008999999998</v>
      </c>
      <c r="AG2" s="9">
        <f t="shared" ref="AG2:AG19" si="1">((((RIGHT(Z2,2))/60)+(LEFT(Z2,2)))*AA2)</f>
        <v>8723.0483333333341</v>
      </c>
      <c r="AH2" s="9">
        <f t="shared" ref="AH2:AH19" si="2">(AA2/$AA$20)*100</f>
        <v>25.86747463073517</v>
      </c>
      <c r="AI2" s="9">
        <f t="shared" ref="AI2:AI19" si="3">(AH2*AH2)</f>
        <v>669.12624377172767</v>
      </c>
      <c r="AJ2" s="9">
        <f t="shared" ref="AJ2:AJ19" si="4">(AF2/$AF$20)*100</f>
        <v>22.752184408777794</v>
      </c>
      <c r="AK2" s="9">
        <f t="shared" ref="AK2:AK19" si="5">(AJ2*AJ2)</f>
        <v>517.66189537103128</v>
      </c>
      <c r="AL2" s="9">
        <f t="shared" ref="AL2:AL19" si="6">(AG2/$AG$20)*100</f>
        <v>18.368643026665033</v>
      </c>
      <c r="AM2" s="9">
        <f t="shared" ref="AM2:AM19" si="7">(AL2*AL2)</f>
        <v>337.40704664104993</v>
      </c>
      <c r="AN2" s="8" t="s">
        <v>3781</v>
      </c>
    </row>
    <row r="3" spans="8:40" ht="25" customHeight="1">
      <c r="M3" s="8" t="s">
        <v>3809</v>
      </c>
      <c r="N3" s="8"/>
      <c r="O3" s="8"/>
      <c r="P3" s="8"/>
      <c r="Q3" s="8"/>
      <c r="R3" s="8"/>
      <c r="S3" s="8"/>
      <c r="T3" s="8"/>
      <c r="U3" s="8"/>
      <c r="V3" s="8"/>
      <c r="W3" s="8" t="s">
        <v>3809</v>
      </c>
      <c r="X3" s="8">
        <v>60.48</v>
      </c>
      <c r="Y3" s="8">
        <v>1.85</v>
      </c>
      <c r="Z3" s="9">
        <v>2.09</v>
      </c>
      <c r="AA3" s="8">
        <v>4752</v>
      </c>
      <c r="AB3" s="8">
        <v>140</v>
      </c>
      <c r="AC3" s="21" t="s">
        <v>3809</v>
      </c>
      <c r="AD3" s="8" t="s">
        <v>4295</v>
      </c>
      <c r="AE3" s="8" t="s">
        <v>4287</v>
      </c>
      <c r="AF3" s="9">
        <f t="shared" si="0"/>
        <v>8791.2000000000007</v>
      </c>
      <c r="AG3" s="9">
        <f t="shared" si="1"/>
        <v>10216.799999999999</v>
      </c>
      <c r="AH3" s="9">
        <f t="shared" si="2"/>
        <v>18.554020232940413</v>
      </c>
      <c r="AI3" s="9">
        <f t="shared" si="3"/>
        <v>344.25166680436223</v>
      </c>
      <c r="AJ3" s="9">
        <f t="shared" si="4"/>
        <v>11.656792275966948</v>
      </c>
      <c r="AK3" s="9">
        <f t="shared" si="5"/>
        <v>135.88080616504271</v>
      </c>
      <c r="AL3" s="9">
        <f t="shared" si="6"/>
        <v>21.514124982856483</v>
      </c>
      <c r="AM3" s="9">
        <f t="shared" si="7"/>
        <v>462.85757377796949</v>
      </c>
      <c r="AN3" s="8" t="s">
        <v>3809</v>
      </c>
    </row>
    <row r="4" spans="8:40" ht="23">
      <c r="M4" s="8" t="s">
        <v>275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275</v>
      </c>
      <c r="X4" s="8">
        <v>21.58</v>
      </c>
      <c r="Y4" s="8">
        <v>3</v>
      </c>
      <c r="Z4" s="9">
        <v>0.46</v>
      </c>
      <c r="AA4" s="8">
        <v>3098.1</v>
      </c>
      <c r="AB4" s="8">
        <v>146</v>
      </c>
      <c r="AC4" s="21" t="s">
        <v>275</v>
      </c>
      <c r="AD4" s="8" t="s">
        <v>4295</v>
      </c>
      <c r="AE4" s="8" t="s">
        <v>4287</v>
      </c>
      <c r="AF4" s="9">
        <f t="shared" si="0"/>
        <v>9294.2999999999993</v>
      </c>
      <c r="AG4" s="9">
        <f t="shared" si="1"/>
        <v>2375.21</v>
      </c>
      <c r="AH4" s="9">
        <f t="shared" si="2"/>
        <v>12.096424680907553</v>
      </c>
      <c r="AI4" s="9">
        <f t="shared" si="3"/>
        <v>146.3234900608694</v>
      </c>
      <c r="AJ4" s="9">
        <f t="shared" si="4"/>
        <v>12.323883480130084</v>
      </c>
      <c r="AK4" s="9">
        <f t="shared" si="5"/>
        <v>151.87810403182317</v>
      </c>
      <c r="AL4" s="9">
        <f t="shared" si="6"/>
        <v>5.0016213296267473</v>
      </c>
      <c r="AM4" s="9">
        <f t="shared" si="7"/>
        <v>25.016215924977232</v>
      </c>
      <c r="AN4" s="8" t="s">
        <v>275</v>
      </c>
    </row>
    <row r="5" spans="8:40" ht="25" customHeight="1">
      <c r="M5" s="8" t="s">
        <v>3831</v>
      </c>
      <c r="N5" s="8"/>
      <c r="O5" s="8"/>
      <c r="P5" s="8"/>
      <c r="Q5" s="8"/>
      <c r="R5" s="8"/>
      <c r="S5" s="8"/>
      <c r="T5" s="8"/>
      <c r="U5" s="8"/>
      <c r="V5" s="8"/>
      <c r="W5" s="8" t="s">
        <v>3831</v>
      </c>
      <c r="X5" s="8">
        <v>16.68</v>
      </c>
      <c r="Y5" s="8">
        <v>8.77</v>
      </c>
      <c r="Z5" s="9">
        <v>1.51</v>
      </c>
      <c r="AA5" s="8">
        <v>3067.2</v>
      </c>
      <c r="AB5" s="8">
        <v>76</v>
      </c>
      <c r="AC5" s="21" t="s">
        <v>3831</v>
      </c>
      <c r="AD5" s="8" t="s">
        <v>4295</v>
      </c>
      <c r="AE5" s="8" t="s">
        <v>4287</v>
      </c>
      <c r="AF5" s="9">
        <f t="shared" si="0"/>
        <v>26899.343999999997</v>
      </c>
      <c r="AG5" s="9">
        <f t="shared" si="1"/>
        <v>5674.32</v>
      </c>
      <c r="AH5" s="9">
        <f t="shared" si="2"/>
        <v>11.975776695806992</v>
      </c>
      <c r="AI5" s="9">
        <f t="shared" si="3"/>
        <v>143.41922746783385</v>
      </c>
      <c r="AJ5" s="9">
        <f t="shared" si="4"/>
        <v>35.667493103077831</v>
      </c>
      <c r="AK5" s="9">
        <f t="shared" si="5"/>
        <v>1272.1700642581047</v>
      </c>
      <c r="AL5" s="9">
        <f t="shared" si="6"/>
        <v>11.9487539809649</v>
      </c>
      <c r="AM5" s="9">
        <f t="shared" si="7"/>
        <v>142.77272169762455</v>
      </c>
      <c r="AN5" s="8" t="s">
        <v>3831</v>
      </c>
    </row>
    <row r="6" spans="8:40" ht="23">
      <c r="M6" s="8" t="s">
        <v>4606</v>
      </c>
      <c r="N6" s="8"/>
      <c r="O6" s="8"/>
      <c r="P6" s="8"/>
      <c r="Q6" s="8"/>
      <c r="R6" s="8"/>
      <c r="S6" s="8"/>
      <c r="T6" s="8"/>
      <c r="U6" s="8"/>
      <c r="V6" s="8"/>
      <c r="W6" s="8" t="s">
        <v>4606</v>
      </c>
      <c r="X6" s="8">
        <v>82.47</v>
      </c>
      <c r="Y6" s="8">
        <v>1.28</v>
      </c>
      <c r="Z6" s="9">
        <v>2</v>
      </c>
      <c r="AA6" s="8">
        <v>2003.3</v>
      </c>
      <c r="AB6" s="8">
        <v>603</v>
      </c>
      <c r="AC6" s="21" t="s">
        <v>4606</v>
      </c>
      <c r="AD6" s="8" t="s">
        <v>4295</v>
      </c>
      <c r="AE6" s="8" t="s">
        <v>4287</v>
      </c>
      <c r="AF6" s="9">
        <f t="shared" si="0"/>
        <v>2564.2240000000002</v>
      </c>
      <c r="AG6" s="9">
        <f t="shared" si="1"/>
        <v>4073.3766666666666</v>
      </c>
      <c r="AH6" s="9">
        <f t="shared" si="2"/>
        <v>7.8218158107427467</v>
      </c>
      <c r="AI6" s="9">
        <f t="shared" si="3"/>
        <v>61.180802577185212</v>
      </c>
      <c r="AJ6" s="9">
        <f t="shared" si="4"/>
        <v>3.4000621663764981</v>
      </c>
      <c r="AK6" s="9">
        <f t="shared" si="5"/>
        <v>11.560422735224845</v>
      </c>
      <c r="AL6" s="9">
        <f t="shared" si="6"/>
        <v>8.5775521404860626</v>
      </c>
      <c r="AM6" s="9">
        <f t="shared" si="7"/>
        <v>73.574400722757034</v>
      </c>
      <c r="AN6" s="8" t="s">
        <v>4606</v>
      </c>
    </row>
    <row r="7" spans="8:40" ht="21.5" customHeight="1">
      <c r="M7" s="8" t="s">
        <v>4614</v>
      </c>
      <c r="N7" s="8"/>
      <c r="O7" s="8"/>
      <c r="P7" s="8"/>
      <c r="Q7" s="8"/>
      <c r="R7" s="8"/>
      <c r="S7" s="8"/>
      <c r="T7" s="8"/>
      <c r="U7" s="8"/>
      <c r="V7" s="8"/>
      <c r="W7" s="8" t="s">
        <v>4614</v>
      </c>
      <c r="X7" s="8">
        <v>71.94</v>
      </c>
      <c r="Y7" s="8">
        <v>1.79</v>
      </c>
      <c r="Z7" s="9">
        <v>3.21</v>
      </c>
      <c r="AA7" s="8">
        <v>1154.5999999999999</v>
      </c>
      <c r="AB7" s="8">
        <v>884</v>
      </c>
      <c r="AC7" s="21" t="s">
        <v>4614</v>
      </c>
      <c r="AD7" s="8" t="s">
        <v>4295</v>
      </c>
      <c r="AE7" s="8" t="s">
        <v>4287</v>
      </c>
      <c r="AF7" s="9">
        <f t="shared" si="0"/>
        <v>2066.7339999999999</v>
      </c>
      <c r="AG7" s="9">
        <f t="shared" si="1"/>
        <v>3867.91</v>
      </c>
      <c r="AH7" s="9">
        <f t="shared" si="2"/>
        <v>4.5080959092914563</v>
      </c>
      <c r="AI7" s="9">
        <f t="shared" si="3"/>
        <v>20.322928727370364</v>
      </c>
      <c r="AJ7" s="9">
        <f t="shared" si="4"/>
        <v>2.7404096059330096</v>
      </c>
      <c r="AK7" s="9">
        <f t="shared" si="5"/>
        <v>7.5098448082899134</v>
      </c>
      <c r="AL7" s="9">
        <f t="shared" si="6"/>
        <v>8.1448887286078246</v>
      </c>
      <c r="AM7" s="9">
        <f t="shared" si="7"/>
        <v>66.33921240140279</v>
      </c>
      <c r="AN7" s="8" t="s">
        <v>4614</v>
      </c>
    </row>
    <row r="8" spans="8:40" ht="23">
      <c r="M8" s="8" t="s">
        <v>4607</v>
      </c>
      <c r="N8" s="8"/>
      <c r="O8" s="8"/>
      <c r="P8" s="8"/>
      <c r="Q8" s="8"/>
      <c r="R8" s="8"/>
      <c r="S8" s="8"/>
      <c r="T8" s="8"/>
      <c r="U8" s="8"/>
      <c r="V8" s="8"/>
      <c r="W8" s="8" t="s">
        <v>4607</v>
      </c>
      <c r="X8" s="8">
        <v>75.760000000000005</v>
      </c>
      <c r="Y8" s="8">
        <v>1.27</v>
      </c>
      <c r="Z8" s="9">
        <v>1.02</v>
      </c>
      <c r="AA8" s="8">
        <v>1060.0999999999999</v>
      </c>
      <c r="AB8" s="8">
        <v>1571</v>
      </c>
      <c r="AC8" s="21" t="s">
        <v>4607</v>
      </c>
      <c r="AD8" s="8" t="s">
        <v>4295</v>
      </c>
      <c r="AE8" s="8" t="s">
        <v>4287</v>
      </c>
      <c r="AF8" s="9">
        <f t="shared" si="0"/>
        <v>1346.327</v>
      </c>
      <c r="AG8" s="9">
        <f t="shared" si="1"/>
        <v>1095.4366666666667</v>
      </c>
      <c r="AH8" s="9">
        <f t="shared" si="2"/>
        <v>4.1391239160227551</v>
      </c>
      <c r="AI8" s="9">
        <f t="shared" si="3"/>
        <v>17.132346792191548</v>
      </c>
      <c r="AJ8" s="9">
        <f t="shared" si="4"/>
        <v>1.7851776975300022</v>
      </c>
      <c r="AK8" s="9">
        <f t="shared" si="5"/>
        <v>3.1868594117585203</v>
      </c>
      <c r="AL8" s="9">
        <f t="shared" si="6"/>
        <v>2.3067263093601094</v>
      </c>
      <c r="AM8" s="9">
        <f t="shared" si="7"/>
        <v>5.3209862662941108</v>
      </c>
      <c r="AN8" s="8" t="s">
        <v>4607</v>
      </c>
    </row>
    <row r="9" spans="8:40" ht="23">
      <c r="M9" s="8" t="s">
        <v>472</v>
      </c>
      <c r="N9" s="8"/>
      <c r="O9" s="8"/>
      <c r="P9" s="8"/>
      <c r="Q9" s="8"/>
      <c r="R9" s="8"/>
      <c r="S9" s="8"/>
      <c r="T9" s="8"/>
      <c r="U9" s="8"/>
      <c r="V9" s="8"/>
      <c r="W9" s="8" t="s">
        <v>472</v>
      </c>
      <c r="X9" s="8">
        <v>76.760000000000005</v>
      </c>
      <c r="Y9" s="8">
        <v>1.29</v>
      </c>
      <c r="Z9" s="9">
        <v>0.39</v>
      </c>
      <c r="AA9" s="8">
        <v>643.20000000000005</v>
      </c>
      <c r="AB9" s="8">
        <v>2240</v>
      </c>
      <c r="AC9" s="21" t="s">
        <v>472</v>
      </c>
      <c r="AD9" s="8" t="s">
        <v>4295</v>
      </c>
      <c r="AE9" s="8" t="s">
        <v>4287</v>
      </c>
      <c r="AF9" s="9">
        <f t="shared" si="0"/>
        <v>829.72800000000007</v>
      </c>
      <c r="AG9" s="9">
        <f t="shared" si="1"/>
        <v>418.08000000000004</v>
      </c>
      <c r="AH9" s="9">
        <f t="shared" si="2"/>
        <v>2.5113522335495109</v>
      </c>
      <c r="AI9" s="9">
        <f t="shared" si="3"/>
        <v>6.3068900409541166</v>
      </c>
      <c r="AJ9" s="9">
        <f t="shared" si="4"/>
        <v>1.1001873397890509</v>
      </c>
      <c r="AK9" s="9">
        <f t="shared" si="5"/>
        <v>1.2104121826321086</v>
      </c>
      <c r="AL9" s="9">
        <f t="shared" si="6"/>
        <v>0.88037598590876198</v>
      </c>
      <c r="AM9" s="9">
        <f t="shared" si="7"/>
        <v>0.77506187656482473</v>
      </c>
      <c r="AN9" s="8" t="s">
        <v>472</v>
      </c>
    </row>
    <row r="10" spans="8:40" ht="23">
      <c r="M10" s="8" t="s">
        <v>4613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4613</v>
      </c>
      <c r="X10" s="8">
        <v>23.28</v>
      </c>
      <c r="Y10" s="8">
        <v>2.12</v>
      </c>
      <c r="Z10" s="9">
        <v>0.33</v>
      </c>
      <c r="AA10" s="8">
        <v>631.6</v>
      </c>
      <c r="AB10" s="8">
        <v>4721</v>
      </c>
      <c r="AC10" s="21" t="s">
        <v>4613</v>
      </c>
      <c r="AD10" s="8" t="s">
        <v>4295</v>
      </c>
      <c r="AE10" s="8" t="s">
        <v>4287</v>
      </c>
      <c r="AF10" s="9">
        <f t="shared" si="0"/>
        <v>1338.9920000000002</v>
      </c>
      <c r="AG10" s="9">
        <f t="shared" si="1"/>
        <v>347.38000000000005</v>
      </c>
      <c r="AH10" s="9">
        <f t="shared" si="2"/>
        <v>2.4660604333175855</v>
      </c>
      <c r="AI10" s="9">
        <f t="shared" si="3"/>
        <v>6.0814540607745178</v>
      </c>
      <c r="AJ10" s="9">
        <f t="shared" si="4"/>
        <v>1.7754517703136703</v>
      </c>
      <c r="AK10" s="9">
        <f t="shared" si="5"/>
        <v>3.1522289887099459</v>
      </c>
      <c r="AL10" s="9">
        <f t="shared" si="6"/>
        <v>0.73149878010186031</v>
      </c>
      <c r="AM10" s="9">
        <f t="shared" si="7"/>
        <v>0.53509046529050974</v>
      </c>
      <c r="AN10" s="8" t="s">
        <v>4613</v>
      </c>
    </row>
    <row r="11" spans="8:40" ht="23">
      <c r="M11" s="8" t="s">
        <v>4609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4609</v>
      </c>
      <c r="X11" s="8">
        <v>73.319999999999993</v>
      </c>
      <c r="Y11" s="8">
        <v>2.48</v>
      </c>
      <c r="Z11" s="9">
        <v>10.28</v>
      </c>
      <c r="AA11" s="8">
        <v>601.4</v>
      </c>
      <c r="AB11" s="8">
        <v>1527</v>
      </c>
      <c r="AC11" s="21" t="s">
        <v>4609</v>
      </c>
      <c r="AD11" s="8" t="s">
        <v>4295</v>
      </c>
      <c r="AE11" s="8" t="s">
        <v>4287</v>
      </c>
      <c r="AF11" s="9">
        <f t="shared" si="0"/>
        <v>1491.472</v>
      </c>
      <c r="AG11" s="9">
        <f t="shared" si="1"/>
        <v>6294.6533333333327</v>
      </c>
      <c r="AH11" s="9">
        <f t="shared" si="2"/>
        <v>2.3481455740930901</v>
      </c>
      <c r="AI11" s="9">
        <f t="shared" si="3"/>
        <v>5.5137876371329675</v>
      </c>
      <c r="AJ11" s="9">
        <f t="shared" si="4"/>
        <v>1.9776343718060079</v>
      </c>
      <c r="AK11" s="9">
        <f t="shared" si="5"/>
        <v>3.9110377085485433</v>
      </c>
      <c r="AL11" s="9">
        <f t="shared" si="6"/>
        <v>13.255026871142384</v>
      </c>
      <c r="AM11" s="9">
        <f t="shared" si="7"/>
        <v>175.69573735470667</v>
      </c>
      <c r="AN11" s="8" t="s">
        <v>4609</v>
      </c>
    </row>
    <row r="12" spans="8:40" ht="23">
      <c r="M12" s="8" t="s">
        <v>368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368</v>
      </c>
      <c r="X12" s="8">
        <v>20.78</v>
      </c>
      <c r="Y12" s="8">
        <v>2.63</v>
      </c>
      <c r="Z12" s="9">
        <v>0.31</v>
      </c>
      <c r="AA12" s="8">
        <v>574.1</v>
      </c>
      <c r="AB12" s="8">
        <v>856</v>
      </c>
      <c r="AC12" s="21" t="s">
        <v>368</v>
      </c>
      <c r="AD12" s="8" t="s">
        <v>4295</v>
      </c>
      <c r="AE12" s="8" t="s">
        <v>4287</v>
      </c>
      <c r="AF12" s="9">
        <f t="shared" si="0"/>
        <v>1509.883</v>
      </c>
      <c r="AG12" s="9">
        <f t="shared" si="1"/>
        <v>296.6183333333334</v>
      </c>
      <c r="AH12" s="9">
        <f t="shared" si="2"/>
        <v>2.2415536649265766</v>
      </c>
      <c r="AI12" s="9">
        <f t="shared" si="3"/>
        <v>5.024562832745767</v>
      </c>
      <c r="AJ12" s="9">
        <f t="shared" si="4"/>
        <v>2.0020466480132182</v>
      </c>
      <c r="AK12" s="9">
        <f t="shared" si="5"/>
        <v>4.0081907808209625</v>
      </c>
      <c r="AL12" s="9">
        <f t="shared" si="6"/>
        <v>0.62460691170815918</v>
      </c>
      <c r="AM12" s="9">
        <f t="shared" si="7"/>
        <v>0.39013379415360416</v>
      </c>
      <c r="AN12" s="8" t="s">
        <v>368</v>
      </c>
    </row>
    <row r="13" spans="8:40" ht="23">
      <c r="M13" s="8" t="s">
        <v>4612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4612</v>
      </c>
      <c r="X13" s="8">
        <v>61.26</v>
      </c>
      <c r="Y13" s="8">
        <v>1.48</v>
      </c>
      <c r="Z13" s="9">
        <v>4.29</v>
      </c>
      <c r="AA13" s="8">
        <v>465.1</v>
      </c>
      <c r="AB13" s="8">
        <v>2231</v>
      </c>
      <c r="AC13" s="21" t="s">
        <v>4612</v>
      </c>
      <c r="AD13" s="8" t="s">
        <v>4295</v>
      </c>
      <c r="AE13" s="8" t="s">
        <v>4287</v>
      </c>
      <c r="AF13" s="9">
        <f t="shared" si="0"/>
        <v>688.34800000000007</v>
      </c>
      <c r="AG13" s="9">
        <f t="shared" si="1"/>
        <v>2085.1983333333333</v>
      </c>
      <c r="AH13" s="9">
        <f t="shared" si="2"/>
        <v>1.8159669213679686</v>
      </c>
      <c r="AI13" s="9">
        <f t="shared" si="3"/>
        <v>3.2977358595026578</v>
      </c>
      <c r="AJ13" s="9">
        <f t="shared" si="4"/>
        <v>0.91272291036232789</v>
      </c>
      <c r="AK13" s="9">
        <f t="shared" si="5"/>
        <v>0.83306311110027798</v>
      </c>
      <c r="AL13" s="9">
        <f t="shared" si="6"/>
        <v>4.3909264698709354</v>
      </c>
      <c r="AM13" s="9">
        <f t="shared" si="7"/>
        <v>19.280235263813235</v>
      </c>
      <c r="AN13" s="8" t="s">
        <v>4612</v>
      </c>
    </row>
    <row r="14" spans="8:40" ht="23">
      <c r="M14" s="8" t="s">
        <v>4611</v>
      </c>
      <c r="N14" s="8"/>
      <c r="O14" s="8"/>
      <c r="P14" s="8"/>
      <c r="Q14" s="8"/>
      <c r="R14" s="8"/>
      <c r="S14" s="8"/>
      <c r="T14" s="8"/>
      <c r="U14" s="8"/>
      <c r="V14" s="8"/>
      <c r="W14" s="8" t="s">
        <v>4611</v>
      </c>
      <c r="X14" s="8">
        <v>55.17</v>
      </c>
      <c r="Y14" s="8">
        <v>2.14</v>
      </c>
      <c r="Z14" s="9">
        <v>5.22</v>
      </c>
      <c r="AA14" s="8">
        <v>311.39999999999998</v>
      </c>
      <c r="AB14" s="8">
        <v>3009</v>
      </c>
      <c r="AC14" s="21" t="s">
        <v>4611</v>
      </c>
      <c r="AD14" s="8" t="s">
        <v>4295</v>
      </c>
      <c r="AE14" s="8" t="s">
        <v>4287</v>
      </c>
      <c r="AF14" s="9">
        <f t="shared" si="0"/>
        <v>666.39599999999996</v>
      </c>
      <c r="AG14" s="9">
        <f t="shared" si="1"/>
        <v>1671.1799999999998</v>
      </c>
      <c r="AH14" s="9">
        <f t="shared" si="2"/>
        <v>1.2158505682949587</v>
      </c>
      <c r="AI14" s="9">
        <f t="shared" si="3"/>
        <v>1.4782926044231741</v>
      </c>
      <c r="AJ14" s="9">
        <f t="shared" si="4"/>
        <v>0.88361540467004163</v>
      </c>
      <c r="AK14" s="9">
        <f t="shared" si="5"/>
        <v>0.78077618337020138</v>
      </c>
      <c r="AL14" s="9">
        <f t="shared" si="6"/>
        <v>3.5191033776573977</v>
      </c>
      <c r="AM14" s="9">
        <f t="shared" si="7"/>
        <v>12.384088582639706</v>
      </c>
      <c r="AN14" s="8" t="s">
        <v>4611</v>
      </c>
    </row>
    <row r="15" spans="8:40" ht="23">
      <c r="M15" s="8" t="s">
        <v>4610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4610</v>
      </c>
      <c r="X15" s="8">
        <v>68.260000000000005</v>
      </c>
      <c r="Y15" s="8">
        <v>1.1399999999999999</v>
      </c>
      <c r="Z15" s="9">
        <v>0.22</v>
      </c>
      <c r="AA15" s="8">
        <v>213.2</v>
      </c>
      <c r="AB15" s="8">
        <v>7983</v>
      </c>
      <c r="AC15" s="21" t="s">
        <v>4610</v>
      </c>
      <c r="AD15" s="8" t="s">
        <v>4295</v>
      </c>
      <c r="AE15" s="8" t="s">
        <v>4287</v>
      </c>
      <c r="AF15" s="9">
        <f t="shared" si="0"/>
        <v>243.04799999999997</v>
      </c>
      <c r="AG15" s="9">
        <f t="shared" si="1"/>
        <v>78.173333333333318</v>
      </c>
      <c r="AH15" s="9">
        <f t="shared" si="2"/>
        <v>0.83243205253848829</v>
      </c>
      <c r="AI15" s="9">
        <f t="shared" si="3"/>
        <v>0.69294312209344056</v>
      </c>
      <c r="AJ15" s="9">
        <f t="shared" si="4"/>
        <v>0.32227227785617601</v>
      </c>
      <c r="AK15" s="9">
        <f t="shared" si="5"/>
        <v>0.10385942107460831</v>
      </c>
      <c r="AL15" s="9">
        <f t="shared" si="6"/>
        <v>0.164614249438164</v>
      </c>
      <c r="AM15" s="9">
        <f t="shared" si="7"/>
        <v>2.7097851118090075E-2</v>
      </c>
      <c r="AN15" s="8" t="s">
        <v>4610</v>
      </c>
    </row>
    <row r="16" spans="8:40" ht="23">
      <c r="M16" s="8" t="s">
        <v>2110</v>
      </c>
      <c r="N16" s="8" t="s">
        <v>2107</v>
      </c>
      <c r="O16" s="8"/>
      <c r="P16" s="8"/>
      <c r="Q16" s="8"/>
      <c r="R16" s="8"/>
      <c r="S16" s="8"/>
      <c r="T16" s="8"/>
      <c r="U16" s="8"/>
      <c r="V16" s="8"/>
      <c r="W16" s="8" t="s">
        <v>2110</v>
      </c>
      <c r="X16" s="8">
        <v>57.13</v>
      </c>
      <c r="Y16" s="8">
        <v>1.19</v>
      </c>
      <c r="Z16" s="9">
        <v>0.4</v>
      </c>
      <c r="AA16" s="8">
        <v>203.9</v>
      </c>
      <c r="AB16" s="8">
        <v>2693</v>
      </c>
      <c r="AC16" s="21" t="s">
        <v>2110</v>
      </c>
      <c r="AD16" s="8" t="s">
        <v>4295</v>
      </c>
      <c r="AE16" s="8" t="s">
        <v>4287</v>
      </c>
      <c r="AF16" s="9">
        <f t="shared" si="0"/>
        <v>242.64099999999999</v>
      </c>
      <c r="AG16" s="9">
        <f t="shared" si="1"/>
        <v>1.3593333333333335</v>
      </c>
      <c r="AH16" s="9">
        <f t="shared" si="2"/>
        <v>0.79612052304220327</v>
      </c>
      <c r="AI16" s="9">
        <f t="shared" si="3"/>
        <v>0.63380788720899128</v>
      </c>
      <c r="AJ16" s="9">
        <f t="shared" si="4"/>
        <v>0.32173261154710353</v>
      </c>
      <c r="AK16" s="9">
        <f t="shared" si="5"/>
        <v>0.10351187333291942</v>
      </c>
      <c r="AL16" s="9">
        <f t="shared" si="6"/>
        <v>2.8624292563910669E-3</v>
      </c>
      <c r="AM16" s="9">
        <f t="shared" si="7"/>
        <v>8.1935012478435156E-6</v>
      </c>
      <c r="AN16" s="8" t="s">
        <v>2110</v>
      </c>
    </row>
    <row r="17" spans="13:40" ht="23">
      <c r="M17" s="8" t="s">
        <v>769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769</v>
      </c>
      <c r="X17" s="8">
        <v>66.16</v>
      </c>
      <c r="Y17" s="8">
        <v>1.3</v>
      </c>
      <c r="Z17" s="9">
        <v>1.04</v>
      </c>
      <c r="AA17" s="8">
        <v>155.19999999999999</v>
      </c>
      <c r="AB17" s="8">
        <v>3038</v>
      </c>
      <c r="AC17" s="21" t="s">
        <v>769</v>
      </c>
      <c r="AD17" s="8" t="s">
        <v>4295</v>
      </c>
      <c r="AE17" s="8" t="s">
        <v>4287</v>
      </c>
      <c r="AF17" s="9">
        <f t="shared" si="0"/>
        <v>201.76</v>
      </c>
      <c r="AG17" s="9">
        <f t="shared" si="1"/>
        <v>165.54666666666665</v>
      </c>
      <c r="AH17" s="9">
        <f t="shared" si="2"/>
        <v>0.60597305137886193</v>
      </c>
      <c r="AI17" s="9">
        <f t="shared" si="3"/>
        <v>0.36720333899740881</v>
      </c>
      <c r="AJ17" s="9">
        <f t="shared" si="4"/>
        <v>0.26752598161787827</v>
      </c>
      <c r="AK17" s="9">
        <f t="shared" si="5"/>
        <v>7.1570150840609345E-2</v>
      </c>
      <c r="AL17" s="9">
        <f t="shared" si="6"/>
        <v>0.34860148746789094</v>
      </c>
      <c r="AM17" s="9">
        <f t="shared" si="7"/>
        <v>0.12152299706482612</v>
      </c>
      <c r="AN17" s="8" t="s">
        <v>769</v>
      </c>
    </row>
    <row r="18" spans="13:40" ht="23">
      <c r="M18" s="8" t="s">
        <v>4608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4608</v>
      </c>
      <c r="X18" s="8">
        <v>78.959999999999994</v>
      </c>
      <c r="Y18" s="8">
        <v>1.19</v>
      </c>
      <c r="Z18" s="9">
        <v>1.41</v>
      </c>
      <c r="AA18" s="8">
        <v>44.4</v>
      </c>
      <c r="AB18" s="8">
        <v>6807</v>
      </c>
      <c r="AC18" s="21" t="s">
        <v>4608</v>
      </c>
      <c r="AD18" s="8" t="s">
        <v>4295</v>
      </c>
      <c r="AE18" s="8" t="s">
        <v>4287</v>
      </c>
      <c r="AF18" s="9">
        <f t="shared" si="0"/>
        <v>52.835999999999999</v>
      </c>
      <c r="AG18" s="9">
        <f t="shared" si="1"/>
        <v>74.739999999999995</v>
      </c>
      <c r="AH18" s="9">
        <f t="shared" si="2"/>
        <v>0.17335826985323113</v>
      </c>
      <c r="AI18" s="9">
        <f t="shared" si="3"/>
        <v>3.0053089726505708E-2</v>
      </c>
      <c r="AJ18" s="9">
        <f t="shared" si="4"/>
        <v>7.005849903232661E-2</v>
      </c>
      <c r="AK18" s="9">
        <f t="shared" si="5"/>
        <v>4.9081932866625088E-3</v>
      </c>
      <c r="AL18" s="9">
        <f t="shared" si="6"/>
        <v>0.15738447471015324</v>
      </c>
      <c r="AM18" s="9">
        <f t="shared" si="7"/>
        <v>2.4769872879790863E-2</v>
      </c>
      <c r="AN18" s="8" t="s">
        <v>4608</v>
      </c>
    </row>
    <row r="19" spans="13:40" ht="23">
      <c r="M19" s="8" t="s">
        <v>442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442</v>
      </c>
      <c r="X19" s="8">
        <v>20.09</v>
      </c>
      <c r="Y19" s="8">
        <v>3.94</v>
      </c>
      <c r="Z19" s="9">
        <v>3.49</v>
      </c>
      <c r="AA19" s="8">
        <v>7.8</v>
      </c>
      <c r="AB19" s="8">
        <v>12933</v>
      </c>
      <c r="AC19" s="21" t="s">
        <v>442</v>
      </c>
      <c r="AD19" s="8" t="s">
        <v>4295</v>
      </c>
      <c r="AE19" s="8" t="s">
        <v>4287</v>
      </c>
      <c r="AF19" s="9">
        <f t="shared" si="0"/>
        <v>30.731999999999999</v>
      </c>
      <c r="AG19" s="9">
        <f t="shared" si="1"/>
        <v>29.769999999999996</v>
      </c>
      <c r="AH19" s="9">
        <f t="shared" si="2"/>
        <v>3.0454831190432498E-2</v>
      </c>
      <c r="AI19" s="9">
        <f t="shared" si="3"/>
        <v>9.2749674283774009E-4</v>
      </c>
      <c r="AJ19" s="9">
        <f t="shared" si="4"/>
        <v>4.0749447200042803E-2</v>
      </c>
      <c r="AK19" s="9">
        <f t="shared" si="5"/>
        <v>1.6605174471090761E-3</v>
      </c>
      <c r="AL19" s="9">
        <f t="shared" si="6"/>
        <v>6.2688464170742059E-2</v>
      </c>
      <c r="AM19" s="9">
        <f t="shared" si="7"/>
        <v>3.9298435400864111E-3</v>
      </c>
      <c r="AN19" s="8" t="s">
        <v>442</v>
      </c>
    </row>
    <row r="20" spans="13:40" ht="23"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9"/>
      <c r="AA20" s="8">
        <f>SUBTOTAL(109,Table13689[ترافیک کل])</f>
        <v>25611.7</v>
      </c>
      <c r="AB20" s="8"/>
      <c r="AC20" s="21"/>
      <c r="AD20" s="8"/>
      <c r="AE20" s="8"/>
      <c r="AF20" s="9">
        <f>SUBTOTAL(109,Table13689[[مجموع صفحات  مشاهده شده   ]])</f>
        <v>75416.973999999987</v>
      </c>
      <c r="AG20" s="9">
        <f>SUBTOTAL(109,Table13689[[مجموع زمان حضور در سایت ]])</f>
        <v>47488.800999999999</v>
      </c>
      <c r="AH20" s="9">
        <f>SUBTOTAL(109,Table13689[سهم سایت از کل ترافیک طبقه بندی])</f>
        <v>100</v>
      </c>
      <c r="AI20" s="9">
        <f>SUBTOTAL(109,Table13689[شاخص هرفیندال هیرشمن (ترافیک)])</f>
        <v>1431.1843641718428</v>
      </c>
      <c r="AJ20" s="9">
        <f>SUBTOTAL(109,Table13689[سهم سایت از کل صفحات مشاهده شده در طبقه بندی])</f>
        <v>100</v>
      </c>
      <c r="AK20" s="9">
        <f>SUBTOTAL(109,Table13689[شاخص هرفیندال -هیرشمن (صفحات مشاهده شده )])</f>
        <v>2114.0292158924381</v>
      </c>
      <c r="AL20" s="9">
        <f>SUBTOTAL(109,Table13689[سهم سایت از کل زمان حضور در طبقه بندی])</f>
        <v>100</v>
      </c>
      <c r="AM20" s="9">
        <f>SUBTOTAL(109,Table13689[شاخص هرفیندال هیرشمن (زمان حضور)])</f>
        <v>1322.5258335273477</v>
      </c>
      <c r="AN20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{FDE81AE0-3EEA-43D9-B906-9FAC15F3916F}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{96F4B4FC-865E-4781-B58A-4402EC5C1A6E}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{C52B14A1-3B36-486E-B419-206DED39EF94}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{5E1678BE-B133-401E-9909-D63670AAEF2E}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{EB635567-3D47-4810-81A2-9DAE4CA9B8E7}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{A3309BAA-CEF1-42C2-BBF4-11AF2293CBC9}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E81AE0-3EEA-43D9-B906-9FAC15F3916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6F4B4FC-865E-4781-B58A-4402EC5C1A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52B14A1-3B36-486E-B419-206DED39EF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E1678BE-B133-401E-9909-D63670AAEF2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B635567-3D47-4810-81A2-9DAE4CA9B8E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A3309BAA-CEF1-42C2-BBF4-11AF2293CBC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"/>
  <sheetViews>
    <sheetView showGridLines="0" rightToLeft="1" topLeftCell="AD1" zoomScale="70" zoomScaleNormal="70" workbookViewId="0">
      <selection activeCell="AG2" sqref="AG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3730</v>
      </c>
      <c r="N2" s="8"/>
      <c r="O2" s="8"/>
      <c r="P2" s="8"/>
      <c r="Q2" s="8"/>
      <c r="R2" s="8"/>
      <c r="S2" s="8"/>
      <c r="T2" s="8"/>
      <c r="U2" s="8"/>
      <c r="V2" s="8"/>
      <c r="W2" s="8" t="s">
        <v>3730</v>
      </c>
      <c r="X2" s="8">
        <v>28.53</v>
      </c>
      <c r="Y2" s="8">
        <v>2.69</v>
      </c>
      <c r="Z2" s="9">
        <v>2.35</v>
      </c>
      <c r="AA2" s="8">
        <v>29024.799999999999</v>
      </c>
      <c r="AB2" s="8">
        <v>11</v>
      </c>
      <c r="AC2" s="21" t="s">
        <v>3730</v>
      </c>
      <c r="AD2" s="8" t="s">
        <v>4287</v>
      </c>
      <c r="AE2" s="8" t="s">
        <v>4287</v>
      </c>
      <c r="AF2" s="9">
        <f>(AA2*Y2)</f>
        <v>78076.712</v>
      </c>
      <c r="AG2" s="9">
        <f>((((RIGHT(Z2,2))/60)+(LEFT(Z2,2)))*AA2)</f>
        <v>74980.733333333337</v>
      </c>
      <c r="AN2" s="1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{28083C3B-F7F7-4772-B49F-08C2DC26C833}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{73CC98C4-9955-4F4A-8800-1187242845C2}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{6CC3FA64-1EE8-496C-8384-E2F85F6800E4}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{2B85C274-C5AB-4F2A-B5EB-2176046A5445}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{8F0FC08C-9E87-4889-951A-2E27E1F154D0}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{D0FE1164-ECD2-4146-8821-0E68E551D52B}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8083C3B-F7F7-4772-B49F-08C2DC26C8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3CC98C4-9955-4F4A-8800-1187242845C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CC3FA64-1EE8-496C-8384-E2F85F6800E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B85C274-C5AB-4F2A-B5EB-2176046A544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F0FC08C-9E87-4889-951A-2E27E1F154D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D0FE1164-ECD2-4146-8821-0E68E551D52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2"/>
  <sheetViews>
    <sheetView showGridLines="0" rightToLeft="1" topLeftCell="Z1" zoomScale="85" zoomScaleNormal="85" workbookViewId="0">
      <selection activeCell="AC19" sqref="AC19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11.16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1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5244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21" t="s">
        <v>5244</v>
      </c>
      <c r="X2" s="8">
        <v>79.25</v>
      </c>
      <c r="Y2" s="8">
        <v>1.43</v>
      </c>
      <c r="Z2" s="9">
        <v>0.4</v>
      </c>
      <c r="AA2" s="8">
        <v>982.1</v>
      </c>
      <c r="AB2" s="8">
        <v>3532</v>
      </c>
      <c r="AC2" s="21" t="s">
        <v>5244</v>
      </c>
      <c r="AD2" s="8" t="s">
        <v>5242</v>
      </c>
      <c r="AE2" s="8" t="s">
        <v>4287</v>
      </c>
      <c r="AF2" s="9">
        <f t="shared" ref="AF2:AF18" si="0">(AA2*Y2)</f>
        <v>1404.403</v>
      </c>
      <c r="AG2" s="9">
        <f t="shared" ref="AG2:AG18" si="1">((((RIGHT(Z2,2))/60)+(LEFT(Z2,2)))*AA2)</f>
        <v>6.5473333333333343</v>
      </c>
      <c r="AH2" s="9">
        <f t="shared" ref="AH2:AH18" si="2">(AA2/$AA$19)*100</f>
        <v>26.742729550157939</v>
      </c>
      <c r="AI2" s="9">
        <f t="shared" ref="AI2:AI18" si="3">(AH2*AH2)</f>
        <v>715.17358379289067</v>
      </c>
      <c r="AJ2" s="9">
        <f t="shared" ref="AJ2:AJ18" si="4">(AF2/$AF$19)*100</f>
        <v>12.432148490029208</v>
      </c>
      <c r="AK2" s="9">
        <f t="shared" ref="AK2:AK18" si="5">(AJ2*AJ2)</f>
        <v>154.5583160781355</v>
      </c>
      <c r="AL2" s="9">
        <f t="shared" ref="AL2:AL18" si="6">(AG2/$AG$19)*100</f>
        <v>7.6731292264812262E-2</v>
      </c>
      <c r="AM2" s="9">
        <f t="shared" ref="AM2:AM18" si="7">(AL2*AL2)</f>
        <v>5.887691212628038E-3</v>
      </c>
      <c r="AN2" s="8" t="s">
        <v>5244</v>
      </c>
    </row>
    <row r="3" spans="8:40" ht="23">
      <c r="M3" s="8" t="s">
        <v>5248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21" t="s">
        <v>5248</v>
      </c>
      <c r="X3" s="8">
        <v>62.78</v>
      </c>
      <c r="Y3" s="8">
        <v>1.54</v>
      </c>
      <c r="Z3" s="9">
        <v>2.5099999999999998</v>
      </c>
      <c r="AA3" s="8">
        <v>671.5</v>
      </c>
      <c r="AB3" s="8"/>
      <c r="AC3" s="21" t="s">
        <v>5248</v>
      </c>
      <c r="AD3" s="8" t="s">
        <v>5242</v>
      </c>
      <c r="AE3" s="8" t="s">
        <v>4287</v>
      </c>
      <c r="AF3" s="9">
        <f t="shared" si="0"/>
        <v>1034.1100000000001</v>
      </c>
      <c r="AG3" s="9">
        <f t="shared" si="1"/>
        <v>1913.7750000000001</v>
      </c>
      <c r="AH3" s="9">
        <f t="shared" si="2"/>
        <v>18.285045202047709</v>
      </c>
      <c r="AI3" s="9">
        <f t="shared" si="3"/>
        <v>334.34287804092793</v>
      </c>
      <c r="AJ3" s="9">
        <f t="shared" si="4"/>
        <v>9.154216471357655</v>
      </c>
      <c r="AK3" s="9">
        <f t="shared" si="5"/>
        <v>83.799679204475794</v>
      </c>
      <c r="AL3" s="9">
        <f t="shared" si="6"/>
        <v>22.428433283895387</v>
      </c>
      <c r="AM3" s="9">
        <f t="shared" si="7"/>
        <v>503.03461957014645</v>
      </c>
      <c r="AN3" s="8" t="s">
        <v>5248</v>
      </c>
    </row>
    <row r="4" spans="8:40" ht="23">
      <c r="M4" s="8" t="s">
        <v>5253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21" t="s">
        <v>5253</v>
      </c>
      <c r="X4" s="8">
        <v>10.71</v>
      </c>
      <c r="Y4" s="8">
        <v>6.84</v>
      </c>
      <c r="Z4" s="9">
        <v>5.05</v>
      </c>
      <c r="AA4" s="8">
        <v>536.79999999999995</v>
      </c>
      <c r="AB4" s="8">
        <v>846</v>
      </c>
      <c r="AC4" s="21" t="s">
        <v>5253</v>
      </c>
      <c r="AD4" s="8" t="s">
        <v>5242</v>
      </c>
      <c r="AE4" s="8" t="s">
        <v>4287</v>
      </c>
      <c r="AF4" s="9">
        <f t="shared" si="0"/>
        <v>3671.7119999999995</v>
      </c>
      <c r="AG4" s="9">
        <f t="shared" si="1"/>
        <v>2728.7333333333331</v>
      </c>
      <c r="AH4" s="9">
        <f t="shared" si="2"/>
        <v>14.617144101949679</v>
      </c>
      <c r="AI4" s="9">
        <f t="shared" si="3"/>
        <v>213.66090169716227</v>
      </c>
      <c r="AJ4" s="9">
        <f t="shared" si="4"/>
        <v>32.502970156445201</v>
      </c>
      <c r="AK4" s="9">
        <f t="shared" si="5"/>
        <v>1056.4430689907674</v>
      </c>
      <c r="AL4" s="9">
        <f t="shared" si="6"/>
        <v>31.979314974962126</v>
      </c>
      <c r="AM4" s="9">
        <f t="shared" si="7"/>
        <v>1022.6765862678369</v>
      </c>
      <c r="AN4" s="8" t="s">
        <v>5253</v>
      </c>
    </row>
    <row r="5" spans="8:40" ht="23">
      <c r="M5" s="8" t="s">
        <v>5246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21" t="s">
        <v>5246</v>
      </c>
      <c r="X5" s="8">
        <v>10.46</v>
      </c>
      <c r="Y5" s="8">
        <v>3.22</v>
      </c>
      <c r="Z5" s="9">
        <v>2.4300000000000002</v>
      </c>
      <c r="AA5" s="8">
        <v>444.6</v>
      </c>
      <c r="AB5" s="8">
        <v>55359</v>
      </c>
      <c r="AC5" s="21" t="s">
        <v>5246</v>
      </c>
      <c r="AD5" s="8" t="s">
        <v>5242</v>
      </c>
      <c r="AE5" s="8" t="s">
        <v>4287</v>
      </c>
      <c r="AF5" s="9">
        <f t="shared" si="0"/>
        <v>1431.6120000000001</v>
      </c>
      <c r="AG5" s="9">
        <f t="shared" si="1"/>
        <v>1207.8300000000002</v>
      </c>
      <c r="AH5" s="9">
        <f t="shared" si="2"/>
        <v>12.106524343753405</v>
      </c>
      <c r="AI5" s="9">
        <f t="shared" si="3"/>
        <v>146.5679316858938</v>
      </c>
      <c r="AJ5" s="9">
        <f t="shared" si="4"/>
        <v>12.67300978715347</v>
      </c>
      <c r="AK5" s="9">
        <f t="shared" si="5"/>
        <v>160.60517706528765</v>
      </c>
      <c r="AL5" s="9">
        <f t="shared" si="6"/>
        <v>14.155130343581334</v>
      </c>
      <c r="AM5" s="9">
        <f t="shared" si="7"/>
        <v>200.367715043777</v>
      </c>
      <c r="AN5" s="8" t="s">
        <v>5246</v>
      </c>
    </row>
    <row r="6" spans="8:40" ht="23">
      <c r="M6" s="8" t="s">
        <v>5249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21" t="s">
        <v>5249</v>
      </c>
      <c r="X6" s="8">
        <v>22.07</v>
      </c>
      <c r="Y6" s="8">
        <v>5.18</v>
      </c>
      <c r="Z6" s="9">
        <v>2.09</v>
      </c>
      <c r="AA6" s="8">
        <v>282.2</v>
      </c>
      <c r="AB6" s="8">
        <v>2673</v>
      </c>
      <c r="AC6" s="21" t="s">
        <v>5249</v>
      </c>
      <c r="AD6" s="8" t="s">
        <v>5242</v>
      </c>
      <c r="AE6" s="8" t="s">
        <v>4287</v>
      </c>
      <c r="AF6" s="9">
        <f t="shared" si="0"/>
        <v>1461.7959999999998</v>
      </c>
      <c r="AG6" s="9">
        <f t="shared" si="1"/>
        <v>606.7299999999999</v>
      </c>
      <c r="AH6" s="9">
        <f t="shared" si="2"/>
        <v>7.6843481102276439</v>
      </c>
      <c r="AI6" s="9">
        <f t="shared" si="3"/>
        <v>59.04920587915916</v>
      </c>
      <c r="AJ6" s="9">
        <f t="shared" si="4"/>
        <v>12.940206574701657</v>
      </c>
      <c r="AK6" s="9">
        <f t="shared" si="5"/>
        <v>167.44894619595198</v>
      </c>
      <c r="AL6" s="9">
        <f t="shared" si="6"/>
        <v>7.1105554865842882</v>
      </c>
      <c r="AM6" s="9">
        <f t="shared" si="7"/>
        <v>50.559999327793925</v>
      </c>
      <c r="AN6" s="8" t="s">
        <v>5249</v>
      </c>
    </row>
    <row r="7" spans="8:40" ht="23">
      <c r="M7" s="8" t="s">
        <v>5252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21" t="s">
        <v>5252</v>
      </c>
      <c r="X7" s="8">
        <v>25.59</v>
      </c>
      <c r="Y7" s="8">
        <v>2.4300000000000002</v>
      </c>
      <c r="Z7" s="9">
        <v>3.15</v>
      </c>
      <c r="AA7" s="8">
        <v>281.39999999999998</v>
      </c>
      <c r="AB7" s="8">
        <v>2165</v>
      </c>
      <c r="AC7" s="21" t="s">
        <v>5252</v>
      </c>
      <c r="AD7" s="8" t="s">
        <v>5242</v>
      </c>
      <c r="AE7" s="8" t="s">
        <v>4287</v>
      </c>
      <c r="AF7" s="9">
        <f t="shared" si="0"/>
        <v>683.80200000000002</v>
      </c>
      <c r="AG7" s="9">
        <f t="shared" si="1"/>
        <v>914.55</v>
      </c>
      <c r="AH7" s="9">
        <f t="shared" si="2"/>
        <v>7.6625639908506695</v>
      </c>
      <c r="AI7" s="9">
        <f t="shared" si="3"/>
        <v>58.714886913881337</v>
      </c>
      <c r="AJ7" s="9">
        <f t="shared" si="4"/>
        <v>6.0531969824750815</v>
      </c>
      <c r="AK7" s="9">
        <f t="shared" si="5"/>
        <v>36.641193708645432</v>
      </c>
      <c r="AL7" s="9">
        <f t="shared" si="6"/>
        <v>10.718043479398846</v>
      </c>
      <c r="AM7" s="9">
        <f t="shared" si="7"/>
        <v>114.87645602628412</v>
      </c>
      <c r="AN7" s="8" t="s">
        <v>5252</v>
      </c>
    </row>
    <row r="8" spans="8:40" ht="23">
      <c r="M8" s="8" t="s">
        <v>5255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21" t="s">
        <v>5255</v>
      </c>
      <c r="X8" s="8">
        <v>13.41</v>
      </c>
      <c r="Y8" s="8">
        <v>3.3</v>
      </c>
      <c r="Z8" s="9">
        <v>2.44</v>
      </c>
      <c r="AA8" s="8">
        <v>164.9</v>
      </c>
      <c r="AB8" s="8">
        <v>1649</v>
      </c>
      <c r="AC8" s="21" t="s">
        <v>5255</v>
      </c>
      <c r="AD8" s="8" t="s">
        <v>5242</v>
      </c>
      <c r="AE8" s="8" t="s">
        <v>4287</v>
      </c>
      <c r="AF8" s="9">
        <f t="shared" si="0"/>
        <v>544.16999999999996</v>
      </c>
      <c r="AG8" s="9">
        <f t="shared" si="1"/>
        <v>450.72666666666669</v>
      </c>
      <c r="AH8" s="9">
        <f t="shared" si="2"/>
        <v>4.4902516065788047</v>
      </c>
      <c r="AI8" s="9">
        <f t="shared" si="3"/>
        <v>20.162359490383537</v>
      </c>
      <c r="AJ8" s="9">
        <f t="shared" si="4"/>
        <v>4.8171374198283488</v>
      </c>
      <c r="AK8" s="9">
        <f t="shared" si="5"/>
        <v>23.20481292151052</v>
      </c>
      <c r="AL8" s="9">
        <f t="shared" si="6"/>
        <v>5.2822787279622156</v>
      </c>
      <c r="AM8" s="9">
        <f t="shared" si="7"/>
        <v>27.902468559882124</v>
      </c>
      <c r="AN8" s="8" t="s">
        <v>5255</v>
      </c>
    </row>
    <row r="9" spans="8:40" ht="23">
      <c r="M9" s="8" t="s">
        <v>5250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21" t="s">
        <v>5250</v>
      </c>
      <c r="X9" s="8">
        <v>14.68</v>
      </c>
      <c r="Y9" s="8">
        <v>3.38</v>
      </c>
      <c r="Z9" s="9">
        <v>1.31</v>
      </c>
      <c r="AA9" s="8">
        <v>127.2</v>
      </c>
      <c r="AB9" s="8">
        <v>2322</v>
      </c>
      <c r="AC9" s="21" t="s">
        <v>5250</v>
      </c>
      <c r="AD9" s="8" t="s">
        <v>5242</v>
      </c>
      <c r="AE9" s="8" t="s">
        <v>4287</v>
      </c>
      <c r="AF9" s="9">
        <f t="shared" si="0"/>
        <v>429.93599999999998</v>
      </c>
      <c r="AG9" s="9">
        <f t="shared" si="1"/>
        <v>192.92</v>
      </c>
      <c r="AH9" s="9">
        <f t="shared" si="2"/>
        <v>3.463674980938896</v>
      </c>
      <c r="AI9" s="9">
        <f t="shared" si="3"/>
        <v>11.997044373582062</v>
      </c>
      <c r="AJ9" s="9">
        <f t="shared" si="4"/>
        <v>3.8059077011436155</v>
      </c>
      <c r="AK9" s="9">
        <f t="shared" si="5"/>
        <v>14.484933429624281</v>
      </c>
      <c r="AL9" s="9">
        <f t="shared" si="6"/>
        <v>2.2609206145597565</v>
      </c>
      <c r="AM9" s="9">
        <f t="shared" si="7"/>
        <v>5.1117620253412666</v>
      </c>
      <c r="AN9" s="8" t="s">
        <v>5250</v>
      </c>
    </row>
    <row r="10" spans="8:40" ht="23">
      <c r="M10" s="8" t="s">
        <v>5254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21" t="s">
        <v>5254</v>
      </c>
      <c r="X10" s="8">
        <v>1.1000000000000001</v>
      </c>
      <c r="Y10" s="8">
        <v>3.53</v>
      </c>
      <c r="Z10" s="9">
        <v>2.5499999999999998</v>
      </c>
      <c r="AA10" s="8">
        <v>57.8</v>
      </c>
      <c r="AB10" s="8">
        <v>12924</v>
      </c>
      <c r="AC10" s="21" t="s">
        <v>5254</v>
      </c>
      <c r="AD10" s="8" t="s">
        <v>5242</v>
      </c>
      <c r="AE10" s="8" t="s">
        <v>4287</v>
      </c>
      <c r="AF10" s="9">
        <f t="shared" si="0"/>
        <v>204.03399999999999</v>
      </c>
      <c r="AG10" s="9">
        <f t="shared" si="1"/>
        <v>168.58333333333331</v>
      </c>
      <c r="AH10" s="9">
        <f t="shared" si="2"/>
        <v>1.5739026249863852</v>
      </c>
      <c r="AI10" s="9">
        <f t="shared" si="3"/>
        <v>2.4771694729390341</v>
      </c>
      <c r="AJ10" s="9">
        <f t="shared" si="4"/>
        <v>1.8061631775313916</v>
      </c>
      <c r="AK10" s="9">
        <f t="shared" si="5"/>
        <v>3.262225423870293</v>
      </c>
      <c r="AL10" s="9">
        <f t="shared" si="6"/>
        <v>1.9757077213587615</v>
      </c>
      <c r="AM10" s="9">
        <f t="shared" si="7"/>
        <v>3.9034210002366296</v>
      </c>
      <c r="AN10" s="8" t="s">
        <v>5254</v>
      </c>
    </row>
    <row r="11" spans="8:40" ht="23">
      <c r="M11" s="8" t="s">
        <v>5258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21" t="s">
        <v>5258</v>
      </c>
      <c r="X11" s="8">
        <v>17.649999999999999</v>
      </c>
      <c r="Y11" s="8">
        <v>3.64</v>
      </c>
      <c r="Z11" s="9">
        <v>3.44</v>
      </c>
      <c r="AA11" s="8">
        <v>36.700000000000003</v>
      </c>
      <c r="AB11" s="8">
        <v>3519</v>
      </c>
      <c r="AC11" s="21" t="s">
        <v>5258</v>
      </c>
      <c r="AD11" s="8" t="s">
        <v>5242</v>
      </c>
      <c r="AE11" s="8" t="s">
        <v>4287</v>
      </c>
      <c r="AF11" s="9">
        <f t="shared" si="0"/>
        <v>133.58800000000002</v>
      </c>
      <c r="AG11" s="9">
        <f t="shared" si="1"/>
        <v>137.01333333333335</v>
      </c>
      <c r="AH11" s="9">
        <f t="shared" si="2"/>
        <v>0.9993464764186909</v>
      </c>
      <c r="AI11" s="9">
        <f t="shared" si="3"/>
        <v>0.99869337993045315</v>
      </c>
      <c r="AJ11" s="9">
        <f t="shared" si="4"/>
        <v>1.1825564688241352</v>
      </c>
      <c r="AK11" s="9">
        <f t="shared" si="5"/>
        <v>1.3984398019578079</v>
      </c>
      <c r="AL11" s="9">
        <f t="shared" si="6"/>
        <v>1.6057239778295711</v>
      </c>
      <c r="AM11" s="9">
        <f t="shared" si="7"/>
        <v>2.5783494929768209</v>
      </c>
      <c r="AN11" s="8" t="s">
        <v>5258</v>
      </c>
    </row>
    <row r="12" spans="8:40" ht="23">
      <c r="M12" s="8" t="s">
        <v>5245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21" t="s">
        <v>5245</v>
      </c>
      <c r="X12" s="8">
        <v>21.58</v>
      </c>
      <c r="Y12" s="8">
        <v>1.55</v>
      </c>
      <c r="Z12" s="9">
        <v>0.12</v>
      </c>
      <c r="AA12" s="8">
        <v>27.2</v>
      </c>
      <c r="AB12" s="8">
        <v>20720</v>
      </c>
      <c r="AC12" s="21" t="s">
        <v>5245</v>
      </c>
      <c r="AD12" s="8" t="s">
        <v>5242</v>
      </c>
      <c r="AE12" s="8" t="s">
        <v>4287</v>
      </c>
      <c r="AF12" s="9">
        <f t="shared" si="0"/>
        <v>42.16</v>
      </c>
      <c r="AG12" s="9">
        <f t="shared" si="1"/>
        <v>5.44</v>
      </c>
      <c r="AH12" s="9">
        <f t="shared" si="2"/>
        <v>0.74066005881712238</v>
      </c>
      <c r="AI12" s="9">
        <f t="shared" si="3"/>
        <v>0.54857732272698323</v>
      </c>
      <c r="AJ12" s="9">
        <f t="shared" si="4"/>
        <v>0.37321152143624819</v>
      </c>
      <c r="AK12" s="9">
        <f t="shared" si="5"/>
        <v>0.13928683973275915</v>
      </c>
      <c r="AL12" s="9">
        <f t="shared" si="6"/>
        <v>6.3753929832081058E-2</v>
      </c>
      <c r="AM12" s="9">
        <f t="shared" si="7"/>
        <v>4.0645635690339148E-3</v>
      </c>
      <c r="AN12" s="8" t="s">
        <v>5245</v>
      </c>
    </row>
    <row r="13" spans="8:40" ht="23">
      <c r="M13" s="8" t="s">
        <v>5247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21" t="s">
        <v>5247</v>
      </c>
      <c r="X13" s="8">
        <v>7.97</v>
      </c>
      <c r="Y13" s="8">
        <v>2.82</v>
      </c>
      <c r="Z13" s="9">
        <v>0.47</v>
      </c>
      <c r="AA13" s="8">
        <v>26.9</v>
      </c>
      <c r="AB13" s="8">
        <v>12887</v>
      </c>
      <c r="AC13" s="21" t="s">
        <v>5247</v>
      </c>
      <c r="AD13" s="8" t="s">
        <v>5242</v>
      </c>
      <c r="AE13" s="8" t="s">
        <v>4287</v>
      </c>
      <c r="AF13" s="9">
        <f t="shared" si="0"/>
        <v>75.85799999999999</v>
      </c>
      <c r="AG13" s="9">
        <f t="shared" si="1"/>
        <v>21.071666666666665</v>
      </c>
      <c r="AH13" s="9">
        <f t="shared" si="2"/>
        <v>0.73249101405075701</v>
      </c>
      <c r="AI13" s="9">
        <f t="shared" si="3"/>
        <v>0.53654308566510633</v>
      </c>
      <c r="AJ13" s="9">
        <f t="shared" si="4"/>
        <v>0.67151517061458521</v>
      </c>
      <c r="AK13" s="9">
        <f t="shared" si="5"/>
        <v>0.45093262436553549</v>
      </c>
      <c r="AL13" s="9">
        <f t="shared" si="6"/>
        <v>0.24694881582935069</v>
      </c>
      <c r="AM13" s="9">
        <f t="shared" si="7"/>
        <v>6.0983717639518563E-2</v>
      </c>
      <c r="AN13" s="8" t="s">
        <v>5247</v>
      </c>
    </row>
    <row r="14" spans="8:40" ht="23">
      <c r="M14" s="8" t="s">
        <v>5251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21" t="s">
        <v>5251</v>
      </c>
      <c r="X14" s="8">
        <v>21.53</v>
      </c>
      <c r="Y14" s="8">
        <v>7.46</v>
      </c>
      <c r="Z14" s="9">
        <v>6.39</v>
      </c>
      <c r="AA14" s="8">
        <v>13.8</v>
      </c>
      <c r="AB14" s="8">
        <v>5263</v>
      </c>
      <c r="AC14" s="21" t="s">
        <v>5251</v>
      </c>
      <c r="AD14" s="8" t="s">
        <v>5242</v>
      </c>
      <c r="AE14" s="8" t="s">
        <v>4287</v>
      </c>
      <c r="AF14" s="9">
        <f t="shared" si="0"/>
        <v>102.94800000000001</v>
      </c>
      <c r="AG14" s="9">
        <f t="shared" si="1"/>
        <v>91.77000000000001</v>
      </c>
      <c r="AH14" s="9">
        <f t="shared" si="2"/>
        <v>0.37577605925280477</v>
      </c>
      <c r="AI14" s="9">
        <f t="shared" si="3"/>
        <v>0.14120764670756744</v>
      </c>
      <c r="AJ14" s="9">
        <f t="shared" si="4"/>
        <v>0.91132304812189013</v>
      </c>
      <c r="AK14" s="9">
        <f t="shared" si="5"/>
        <v>0.83050969803817287</v>
      </c>
      <c r="AL14" s="9">
        <f t="shared" si="6"/>
        <v>1.0754959817444998</v>
      </c>
      <c r="AM14" s="9">
        <f t="shared" si="7"/>
        <v>1.1566916067485653</v>
      </c>
      <c r="AN14" s="8" t="s">
        <v>5251</v>
      </c>
    </row>
    <row r="15" spans="8:40" ht="23">
      <c r="M15" s="8" t="s">
        <v>5257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21" t="s">
        <v>5257</v>
      </c>
      <c r="X15" s="8">
        <v>37.94</v>
      </c>
      <c r="Y15" s="8">
        <v>3.58</v>
      </c>
      <c r="Z15" s="9">
        <v>5.21</v>
      </c>
      <c r="AA15" s="8">
        <v>6.3</v>
      </c>
      <c r="AB15" s="8">
        <v>15811</v>
      </c>
      <c r="AC15" s="21" t="s">
        <v>5257</v>
      </c>
      <c r="AD15" s="8" t="s">
        <v>5242</v>
      </c>
      <c r="AE15" s="8" t="s">
        <v>4287</v>
      </c>
      <c r="AF15" s="9">
        <f t="shared" si="0"/>
        <v>22.553999999999998</v>
      </c>
      <c r="AG15" s="9">
        <f t="shared" si="1"/>
        <v>33.704999999999998</v>
      </c>
      <c r="AH15" s="9">
        <f t="shared" si="2"/>
        <v>0.17154994009367172</v>
      </c>
      <c r="AI15" s="9">
        <f t="shared" si="3"/>
        <v>2.9429381946142356E-2</v>
      </c>
      <c r="AJ15" s="9">
        <f t="shared" si="4"/>
        <v>0.19965400034329087</v>
      </c>
      <c r="AK15" s="9">
        <f t="shared" si="5"/>
        <v>3.9861719853078792E-2</v>
      </c>
      <c r="AL15" s="9">
        <f t="shared" si="6"/>
        <v>0.39500481709380364</v>
      </c>
      <c r="AM15" s="9">
        <f t="shared" si="7"/>
        <v>0.15602880552730927</v>
      </c>
      <c r="AN15" s="8" t="s">
        <v>5257</v>
      </c>
    </row>
    <row r="16" spans="8:40" ht="23">
      <c r="M16" s="8" t="s">
        <v>5259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21" t="s">
        <v>5259</v>
      </c>
      <c r="X16" s="8">
        <v>24.18</v>
      </c>
      <c r="Y16" s="8">
        <v>5.77</v>
      </c>
      <c r="Z16" s="9">
        <v>4.38</v>
      </c>
      <c r="AA16" s="8">
        <v>6.3</v>
      </c>
      <c r="AB16" s="8">
        <v>13879</v>
      </c>
      <c r="AC16" s="21" t="s">
        <v>5259</v>
      </c>
      <c r="AD16" s="8" t="s">
        <v>5242</v>
      </c>
      <c r="AE16" s="8" t="s">
        <v>4287</v>
      </c>
      <c r="AF16" s="9">
        <f t="shared" si="0"/>
        <v>36.350999999999999</v>
      </c>
      <c r="AG16" s="9">
        <f t="shared" si="1"/>
        <v>29.189999999999998</v>
      </c>
      <c r="AH16" s="9">
        <f t="shared" si="2"/>
        <v>0.17154994009367172</v>
      </c>
      <c r="AI16" s="9">
        <f t="shared" si="3"/>
        <v>2.9429381946142356E-2</v>
      </c>
      <c r="AJ16" s="9">
        <f t="shared" si="4"/>
        <v>0.32178871005049953</v>
      </c>
      <c r="AK16" s="9">
        <f t="shared" si="5"/>
        <v>0.10354797391596446</v>
      </c>
      <c r="AL16" s="9">
        <f t="shared" si="6"/>
        <v>0.34209139922765547</v>
      </c>
      <c r="AM16" s="9">
        <f t="shared" si="7"/>
        <v>0.11702652542553516</v>
      </c>
      <c r="AN16" s="8" t="s">
        <v>5259</v>
      </c>
    </row>
    <row r="17" spans="13:40" ht="23">
      <c r="M17" s="8" t="s">
        <v>5256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21" t="s">
        <v>5256</v>
      </c>
      <c r="X17" s="8">
        <v>37.64</v>
      </c>
      <c r="Y17" s="8">
        <v>2.4700000000000002</v>
      </c>
      <c r="Z17" s="9">
        <v>3.31</v>
      </c>
      <c r="AA17" s="8">
        <v>5.5</v>
      </c>
      <c r="AB17" s="8">
        <v>20817</v>
      </c>
      <c r="AC17" s="21" t="s">
        <v>5256</v>
      </c>
      <c r="AD17" s="8" t="s">
        <v>5242</v>
      </c>
      <c r="AE17" s="8" t="s">
        <v>4287</v>
      </c>
      <c r="AF17" s="9">
        <f t="shared" si="0"/>
        <v>13.585000000000001</v>
      </c>
      <c r="AG17" s="9">
        <f t="shared" si="1"/>
        <v>19.341666666666665</v>
      </c>
      <c r="AH17" s="9">
        <f t="shared" si="2"/>
        <v>0.14976582071669756</v>
      </c>
      <c r="AI17" s="9">
        <f t="shared" si="3"/>
        <v>2.2429801054945995E-2</v>
      </c>
      <c r="AJ17" s="9">
        <f t="shared" si="4"/>
        <v>0.12025802938120096</v>
      </c>
      <c r="AK17" s="9">
        <f t="shared" si="5"/>
        <v>1.4461993630649794E-2</v>
      </c>
      <c r="AL17" s="9">
        <f t="shared" si="6"/>
        <v>0.22667412858495728</v>
      </c>
      <c r="AM17" s="9">
        <f t="shared" si="7"/>
        <v>5.1381160569749749E-2</v>
      </c>
      <c r="AN17" s="8" t="s">
        <v>5256</v>
      </c>
    </row>
    <row r="18" spans="13:40" ht="23.5" customHeight="1">
      <c r="M18" s="8" t="s">
        <v>5243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21" t="s">
        <v>5243</v>
      </c>
      <c r="X18" s="8">
        <v>41.46</v>
      </c>
      <c r="Y18" s="8">
        <v>3.27</v>
      </c>
      <c r="Z18" s="9">
        <v>4.04</v>
      </c>
      <c r="AA18" s="8">
        <v>1.2</v>
      </c>
      <c r="AB18" s="8">
        <v>51046</v>
      </c>
      <c r="AC18" s="21" t="s">
        <v>5243</v>
      </c>
      <c r="AD18" s="8" t="s">
        <v>5242</v>
      </c>
      <c r="AE18" s="8" t="s">
        <v>4287</v>
      </c>
      <c r="AF18" s="9">
        <f t="shared" si="0"/>
        <v>3.9239999999999999</v>
      </c>
      <c r="AG18" s="9">
        <f t="shared" si="1"/>
        <v>4.88</v>
      </c>
      <c r="AH18" s="9">
        <f t="shared" si="2"/>
        <v>3.2676179065461282E-2</v>
      </c>
      <c r="AI18" s="9">
        <f t="shared" si="3"/>
        <v>1.0677326783180901E-3</v>
      </c>
      <c r="AJ18" s="9">
        <f t="shared" si="4"/>
        <v>3.4736290562519881E-2</v>
      </c>
      <c r="AK18" s="9">
        <f t="shared" si="5"/>
        <v>1.2066098820438078E-3</v>
      </c>
      <c r="AL18" s="9">
        <f t="shared" si="6"/>
        <v>5.7191025290543297E-2</v>
      </c>
      <c r="AM18" s="9">
        <f t="shared" si="7"/>
        <v>3.2708133737835631E-3</v>
      </c>
      <c r="AN18" s="8" t="s">
        <v>5243</v>
      </c>
    </row>
    <row r="19" spans="13:40" ht="18"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9"/>
      <c r="AA19" s="48">
        <f>SUBTOTAL(109,Table13632343637113[ترافیک کل])</f>
        <v>3672.3999999999996</v>
      </c>
      <c r="AB19" s="48"/>
      <c r="AC19" s="48"/>
      <c r="AD19" s="48"/>
      <c r="AE19" s="48"/>
      <c r="AF19" s="49">
        <f>SUBTOTAL(109,Table13632343637113[[مجموع صفحات  مشاهده شده   ]])</f>
        <v>11296.543</v>
      </c>
      <c r="AG19" s="49">
        <f>SUBTOTAL(109,Table13632343637113[[مجموع زمان حضور در سایت ]])</f>
        <v>8532.8073333333341</v>
      </c>
      <c r="AH19" s="49">
        <f>SUBTOTAL(109,Table13632343637113[سهم سایت از کل ترافیک طبقه بندی])</f>
        <v>100</v>
      </c>
      <c r="AI19" s="49" t="s">
        <v>5353</v>
      </c>
      <c r="AJ19" s="49">
        <f>SUBTOTAL(109,Table13632343637113[سهم سایت از کل صفحات مشاهده شده در طبقه بندی])</f>
        <v>99.999999999999986</v>
      </c>
      <c r="AK19" s="49" t="s">
        <v>5354</v>
      </c>
      <c r="AL19" s="49">
        <f>SUBTOTAL(109,Table13632343637113[سهم سایت از کل زمان حضور در طبقه بندی])</f>
        <v>99.999999999999986</v>
      </c>
      <c r="AM19" s="49" t="s">
        <v>5355</v>
      </c>
      <c r="AN19" s="49"/>
    </row>
    <row r="21" spans="13:40" ht="19.5" customHeight="1"/>
    <row r="22" spans="13:40" ht="20.5" customHeight="1"/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{53B38DCA-6AD8-4F86-AA0E-4A03B018209E}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{56637C7D-C5F7-40AE-AA76-0050A65E7BE4}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{4929FE53-45DE-44E2-A5DE-A5FA7982FB9C}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{FC2A9402-FD0F-4051-8AB3-9D0D650EDFB8}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{2900DDCD-8285-458E-AE64-D5DB7AEA32E0}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{AE5089C6-0A41-4D9E-AD63-88959DD5BE36}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B38DCA-6AD8-4F86-AA0E-4A03B018209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6637C7D-C5F7-40AE-AA76-0050A65E7BE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4929FE53-45DE-44E2-A5DE-A5FA7982FB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C2A9402-FD0F-4051-8AB3-9D0D650EDFB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900DDCD-8285-458E-AE64-D5DB7AEA32E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AE5089C6-0A41-4D9E-AD63-88959DD5BE3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9"/>
  <sheetViews>
    <sheetView showGridLines="0" rightToLeft="1" topLeftCell="Z1" zoomScale="85" zoomScaleNormal="85" workbookViewId="0">
      <selection activeCell="AC39" sqref="AC39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6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1" customHeight="1">
      <c r="M2" s="8" t="s">
        <v>3748</v>
      </c>
      <c r="N2" s="8" t="s">
        <v>150</v>
      </c>
      <c r="O2" s="8"/>
      <c r="P2" s="8" t="s">
        <v>3693</v>
      </c>
      <c r="Q2" s="8"/>
      <c r="R2" s="8"/>
      <c r="S2" s="8"/>
      <c r="T2" s="8"/>
      <c r="U2" s="8"/>
      <c r="V2" s="8"/>
      <c r="W2" s="8" t="s">
        <v>3748</v>
      </c>
      <c r="X2" s="8">
        <v>24.25</v>
      </c>
      <c r="Y2" s="8">
        <v>8.4</v>
      </c>
      <c r="Z2" s="9">
        <v>6.46</v>
      </c>
      <c r="AA2" s="8">
        <v>3304.1</v>
      </c>
      <c r="AB2" s="8">
        <v>24</v>
      </c>
      <c r="AC2" s="21" t="s">
        <v>3748</v>
      </c>
      <c r="AD2" s="8" t="s">
        <v>3707</v>
      </c>
      <c r="AE2" s="8" t="s">
        <v>4287</v>
      </c>
      <c r="AF2" s="9">
        <f t="shared" ref="AF2:AF38" si="0">(AA2*Y2)</f>
        <v>27754.44</v>
      </c>
      <c r="AG2" s="9">
        <f t="shared" ref="AG2:AG38" si="1">((((RIGHT(Z2,2))/60)+(LEFT(Z2,2)))*AA2)</f>
        <v>22357.743333333332</v>
      </c>
      <c r="AH2" s="9">
        <f t="shared" ref="AH2:AH38" si="2">(AA2/$AA$39)*100</f>
        <v>49.186453293636028</v>
      </c>
      <c r="AI2" s="9">
        <f t="shared" ref="AI2:AI38" si="3">(AH2*AH2)</f>
        <v>2419.3071876070385</v>
      </c>
      <c r="AJ2" s="9">
        <f t="shared" ref="AJ2:AJ38" si="4">(AF2/$AF$39)*100</f>
        <v>67.235299906011647</v>
      </c>
      <c r="AK2" s="9">
        <f t="shared" ref="AK2:AK38" si="5">(AJ2*AJ2)</f>
        <v>4520.5855534513303</v>
      </c>
      <c r="AL2" s="9">
        <f t="shared" ref="AL2:AL38" si="6">(AG2/$AG$39)*100</f>
        <v>73.176338606474545</v>
      </c>
      <c r="AM2" s="9">
        <f t="shared" ref="AM2:AM38" si="7">(AL2*AL2)</f>
        <v>5354.7765318494166</v>
      </c>
      <c r="AN2" s="8" t="s">
        <v>3748</v>
      </c>
    </row>
    <row r="3" spans="8:40" ht="21.5" customHeight="1">
      <c r="M3" s="8" t="s">
        <v>4381</v>
      </c>
      <c r="N3" s="8" t="s">
        <v>150</v>
      </c>
      <c r="O3" s="8"/>
      <c r="P3" s="8" t="s">
        <v>4683</v>
      </c>
      <c r="Q3" s="8"/>
      <c r="R3" s="8"/>
      <c r="S3" s="8"/>
      <c r="T3" s="8"/>
      <c r="U3" s="8"/>
      <c r="V3" s="8"/>
      <c r="W3" s="8" t="s">
        <v>4381</v>
      </c>
      <c r="X3" s="8">
        <v>19.16</v>
      </c>
      <c r="Y3" s="8">
        <v>8.92</v>
      </c>
      <c r="Z3" s="9">
        <v>4.57</v>
      </c>
      <c r="AA3" s="8">
        <v>405.4</v>
      </c>
      <c r="AB3" s="8">
        <v>363</v>
      </c>
      <c r="AC3" s="21" t="s">
        <v>4381</v>
      </c>
      <c r="AD3" s="8" t="s">
        <v>3707</v>
      </c>
      <c r="AE3" s="8" t="s">
        <v>4287</v>
      </c>
      <c r="AF3" s="9">
        <f t="shared" si="0"/>
        <v>3616.1679999999997</v>
      </c>
      <c r="AG3" s="9">
        <f t="shared" si="1"/>
        <v>2006.73</v>
      </c>
      <c r="AH3" s="9">
        <f t="shared" si="2"/>
        <v>6.0349832526981766</v>
      </c>
      <c r="AI3" s="9">
        <f t="shared" si="3"/>
        <v>36.421022860347463</v>
      </c>
      <c r="AJ3" s="9">
        <f t="shared" si="4"/>
        <v>8.7601890000490847</v>
      </c>
      <c r="AK3" s="9">
        <f t="shared" si="5"/>
        <v>76.740911316580977</v>
      </c>
      <c r="AL3" s="9">
        <f t="shared" si="6"/>
        <v>6.5679774466700351</v>
      </c>
      <c r="AM3" s="9">
        <f t="shared" si="7"/>
        <v>43.138327739966236</v>
      </c>
      <c r="AN3" s="8" t="s">
        <v>4381</v>
      </c>
    </row>
    <row r="4" spans="8:40" ht="23">
      <c r="M4" s="9" t="s">
        <v>4335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9" t="s">
        <v>4335</v>
      </c>
      <c r="X4" s="8">
        <v>53.31</v>
      </c>
      <c r="Y4" s="8">
        <v>2.5299999999999998</v>
      </c>
      <c r="Z4" s="9">
        <v>2.13</v>
      </c>
      <c r="AA4" s="8">
        <v>648.70000000000005</v>
      </c>
      <c r="AB4" s="8">
        <v>1409</v>
      </c>
      <c r="AC4" s="22" t="s">
        <v>4335</v>
      </c>
      <c r="AD4" s="8" t="s">
        <v>3707</v>
      </c>
      <c r="AE4" s="8" t="s">
        <v>4287</v>
      </c>
      <c r="AF4" s="9">
        <f t="shared" si="0"/>
        <v>1641.211</v>
      </c>
      <c r="AG4" s="9">
        <f t="shared" si="1"/>
        <v>1437.9516666666668</v>
      </c>
      <c r="AH4" s="9">
        <f t="shared" si="2"/>
        <v>9.6568663937476771</v>
      </c>
      <c r="AI4" s="9">
        <f t="shared" si="3"/>
        <v>93.255068546693266</v>
      </c>
      <c r="AJ4" s="9">
        <f t="shared" si="4"/>
        <v>3.9758436413793716</v>
      </c>
      <c r="AK4" s="9">
        <f t="shared" si="5"/>
        <v>15.807332660696781</v>
      </c>
      <c r="AL4" s="9">
        <f t="shared" si="6"/>
        <v>4.7063800890345275</v>
      </c>
      <c r="AM4" s="9">
        <f t="shared" si="7"/>
        <v>22.150013542460648</v>
      </c>
      <c r="AN4" s="9" t="s">
        <v>4335</v>
      </c>
    </row>
    <row r="5" spans="8:40" ht="23">
      <c r="M5" s="8" t="s">
        <v>4504</v>
      </c>
      <c r="N5" s="8"/>
      <c r="O5" s="8"/>
      <c r="P5" s="8"/>
      <c r="Q5" s="8"/>
      <c r="R5" s="8"/>
      <c r="S5" s="8"/>
      <c r="T5" s="8"/>
      <c r="U5" s="8"/>
      <c r="V5" s="8"/>
      <c r="W5" s="8" t="s">
        <v>4504</v>
      </c>
      <c r="X5" s="8">
        <v>12.79</v>
      </c>
      <c r="Y5" s="8">
        <v>7.29</v>
      </c>
      <c r="Z5" s="9">
        <v>13.33</v>
      </c>
      <c r="AA5" s="8">
        <v>62.6</v>
      </c>
      <c r="AB5" s="8">
        <v>2595</v>
      </c>
      <c r="AC5" s="21" t="s">
        <v>4504</v>
      </c>
      <c r="AD5" s="8" t="s">
        <v>3707</v>
      </c>
      <c r="AE5" s="8" t="s">
        <v>4287</v>
      </c>
      <c r="AF5" s="9">
        <f t="shared" si="0"/>
        <v>456.35399999999998</v>
      </c>
      <c r="AG5" s="9">
        <f t="shared" si="1"/>
        <v>848.23</v>
      </c>
      <c r="AH5" s="9">
        <f t="shared" si="2"/>
        <v>0.93189430591738009</v>
      </c>
      <c r="AI5" s="9">
        <f t="shared" si="3"/>
        <v>0.86842699740123563</v>
      </c>
      <c r="AJ5" s="9">
        <f t="shared" si="4"/>
        <v>1.1055203438912131</v>
      </c>
      <c r="AK5" s="9">
        <f t="shared" si="5"/>
        <v>1.2221752307573461</v>
      </c>
      <c r="AL5" s="9">
        <f t="shared" si="6"/>
        <v>2.7762357215913074</v>
      </c>
      <c r="AM5" s="9">
        <f t="shared" si="7"/>
        <v>7.7074847818396073</v>
      </c>
      <c r="AN5" s="8" t="s">
        <v>4504</v>
      </c>
    </row>
    <row r="6" spans="8:40" ht="23">
      <c r="M6" s="9" t="s">
        <v>2401</v>
      </c>
      <c r="N6" s="8" t="s">
        <v>150</v>
      </c>
      <c r="O6" s="8"/>
      <c r="P6" s="8" t="s">
        <v>3691</v>
      </c>
      <c r="Q6" s="8"/>
      <c r="R6" s="8"/>
      <c r="S6" s="8"/>
      <c r="T6" s="8"/>
      <c r="U6" s="8"/>
      <c r="V6" s="8"/>
      <c r="W6" s="9" t="s">
        <v>2401</v>
      </c>
      <c r="X6" s="8">
        <v>23.37</v>
      </c>
      <c r="Y6" s="8">
        <v>3.34</v>
      </c>
      <c r="Z6" s="9">
        <v>6.12</v>
      </c>
      <c r="AA6" s="8">
        <v>75.2</v>
      </c>
      <c r="AB6" s="8">
        <v>9847</v>
      </c>
      <c r="AC6" s="22" t="s">
        <v>2401</v>
      </c>
      <c r="AD6" s="8" t="s">
        <v>3707</v>
      </c>
      <c r="AE6" s="8" t="s">
        <v>4287</v>
      </c>
      <c r="AF6" s="9">
        <f t="shared" si="0"/>
        <v>251.16800000000001</v>
      </c>
      <c r="AG6" s="9">
        <f t="shared" si="1"/>
        <v>466.24</v>
      </c>
      <c r="AH6" s="9">
        <f t="shared" si="2"/>
        <v>1.1194640863416452</v>
      </c>
      <c r="AI6" s="9">
        <f t="shared" si="3"/>
        <v>1.2531998406087344</v>
      </c>
      <c r="AJ6" s="9">
        <f t="shared" si="4"/>
        <v>0.60845600944544853</v>
      </c>
      <c r="AK6" s="9">
        <f t="shared" si="5"/>
        <v>0.37021871543027973</v>
      </c>
      <c r="AL6" s="9">
        <f t="shared" si="6"/>
        <v>1.5259919394913304</v>
      </c>
      <c r="AM6" s="9">
        <f t="shared" si="7"/>
        <v>2.3286513993925122</v>
      </c>
      <c r="AN6" s="9" t="s">
        <v>2401</v>
      </c>
    </row>
    <row r="7" spans="8:40" ht="23">
      <c r="M7" s="8" t="s">
        <v>684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684</v>
      </c>
      <c r="X7" s="8">
        <v>50.27</v>
      </c>
      <c r="Y7" s="8">
        <v>1.63</v>
      </c>
      <c r="Z7" s="9">
        <v>1.1299999999999999</v>
      </c>
      <c r="AA7" s="8">
        <v>347.9</v>
      </c>
      <c r="AB7" s="8">
        <v>3410</v>
      </c>
      <c r="AC7" s="21" t="s">
        <v>684</v>
      </c>
      <c r="AD7" s="8" t="s">
        <v>3707</v>
      </c>
      <c r="AE7" s="8" t="s">
        <v>4287</v>
      </c>
      <c r="AF7" s="9">
        <f t="shared" si="0"/>
        <v>567.07699999999988</v>
      </c>
      <c r="AG7" s="9">
        <f t="shared" si="1"/>
        <v>423.27833333333336</v>
      </c>
      <c r="AH7" s="9">
        <f t="shared" si="2"/>
        <v>5.1790100483810946</v>
      </c>
      <c r="AI7" s="9">
        <f t="shared" si="3"/>
        <v>26.822145081232346</v>
      </c>
      <c r="AJ7" s="9">
        <f t="shared" si="4"/>
        <v>1.3737474856203677</v>
      </c>
      <c r="AK7" s="9">
        <f t="shared" si="5"/>
        <v>1.8871821542482825</v>
      </c>
      <c r="AL7" s="9">
        <f t="shared" si="6"/>
        <v>1.3853794715768515</v>
      </c>
      <c r="AM7" s="9">
        <f t="shared" si="7"/>
        <v>1.9192762802665562</v>
      </c>
      <c r="AN7" s="8" t="s">
        <v>684</v>
      </c>
    </row>
    <row r="8" spans="8:40" ht="23">
      <c r="M8" s="9" t="s">
        <v>2531</v>
      </c>
      <c r="N8" s="8" t="s">
        <v>150</v>
      </c>
      <c r="O8" s="8"/>
      <c r="P8" s="8" t="s">
        <v>3691</v>
      </c>
      <c r="Q8" s="8"/>
      <c r="R8" s="8"/>
      <c r="S8" s="8"/>
      <c r="T8" s="8"/>
      <c r="U8" s="8"/>
      <c r="V8" s="8"/>
      <c r="W8" s="9" t="s">
        <v>2531</v>
      </c>
      <c r="X8" s="8">
        <v>4.62</v>
      </c>
      <c r="Y8" s="8">
        <v>3.32</v>
      </c>
      <c r="Z8" s="9">
        <v>7.17</v>
      </c>
      <c r="AA8" s="8">
        <v>54.6</v>
      </c>
      <c r="AB8" s="8">
        <v>5956</v>
      </c>
      <c r="AC8" s="22" t="s">
        <v>2531</v>
      </c>
      <c r="AD8" s="8" t="s">
        <v>3707</v>
      </c>
      <c r="AE8" s="8" t="s">
        <v>4287</v>
      </c>
      <c r="AF8" s="9">
        <f t="shared" si="0"/>
        <v>181.27199999999999</v>
      </c>
      <c r="AG8" s="9">
        <f t="shared" si="1"/>
        <v>397.67</v>
      </c>
      <c r="AH8" s="9">
        <f t="shared" si="2"/>
        <v>0.81280238183848164</v>
      </c>
      <c r="AI8" s="9">
        <f t="shared" si="3"/>
        <v>0.66064771192230887</v>
      </c>
      <c r="AJ8" s="9">
        <f t="shared" si="4"/>
        <v>0.43913252382546875</v>
      </c>
      <c r="AK8" s="9">
        <f t="shared" si="5"/>
        <v>0.19283737348132587</v>
      </c>
      <c r="AL8" s="9">
        <f t="shared" si="6"/>
        <v>1.3015640326388069</v>
      </c>
      <c r="AM8" s="9">
        <f t="shared" si="7"/>
        <v>1.6940689310589934</v>
      </c>
      <c r="AN8" s="9" t="s">
        <v>2531</v>
      </c>
    </row>
    <row r="9" spans="8:40" ht="23">
      <c r="M9" s="8" t="s">
        <v>4502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4502</v>
      </c>
      <c r="X9" s="8">
        <v>21.99</v>
      </c>
      <c r="Y9" s="8">
        <v>8.7100000000000009</v>
      </c>
      <c r="Z9" s="9">
        <v>1.17</v>
      </c>
      <c r="AA9" s="8">
        <v>287.8</v>
      </c>
      <c r="AB9" s="8">
        <v>1198</v>
      </c>
      <c r="AC9" s="21" t="s">
        <v>4502</v>
      </c>
      <c r="AD9" s="8" t="s">
        <v>3707</v>
      </c>
      <c r="AE9" s="8" t="s">
        <v>4287</v>
      </c>
      <c r="AF9" s="9">
        <f t="shared" si="0"/>
        <v>2506.7380000000003</v>
      </c>
      <c r="AG9" s="9">
        <f t="shared" si="1"/>
        <v>369.34333333333331</v>
      </c>
      <c r="AH9" s="9">
        <f t="shared" si="2"/>
        <v>4.2843319687383712</v>
      </c>
      <c r="AI9" s="9">
        <f t="shared" si="3"/>
        <v>18.355500418353607</v>
      </c>
      <c r="AJ9" s="9">
        <f t="shared" si="4"/>
        <v>6.0725880693610046</v>
      </c>
      <c r="AK9" s="9">
        <f t="shared" si="5"/>
        <v>36.876325860145613</v>
      </c>
      <c r="AL9" s="9">
        <f t="shared" si="6"/>
        <v>1.2088515562189563</v>
      </c>
      <c r="AM9" s="9">
        <f t="shared" si="7"/>
        <v>1.4613220849729927</v>
      </c>
      <c r="AN9" s="8" t="s">
        <v>4502</v>
      </c>
    </row>
    <row r="10" spans="8:40" ht="23">
      <c r="M10" s="9" t="s">
        <v>2656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9" t="s">
        <v>2656</v>
      </c>
      <c r="X10" s="8">
        <v>12.4</v>
      </c>
      <c r="Y10" s="8">
        <v>18.420000000000002</v>
      </c>
      <c r="Z10" s="9">
        <v>17.39</v>
      </c>
      <c r="AA10" s="8">
        <v>20.7</v>
      </c>
      <c r="AB10" s="8">
        <v>2813</v>
      </c>
      <c r="AC10" s="22" t="s">
        <v>2656</v>
      </c>
      <c r="AD10" s="8" t="s">
        <v>3707</v>
      </c>
      <c r="AE10" s="8" t="s">
        <v>4287</v>
      </c>
      <c r="AF10" s="9">
        <f t="shared" si="0"/>
        <v>381.29400000000004</v>
      </c>
      <c r="AG10" s="9">
        <f t="shared" si="1"/>
        <v>365.35499999999996</v>
      </c>
      <c r="AH10" s="9">
        <f t="shared" si="2"/>
        <v>0.30815035355414966</v>
      </c>
      <c r="AI10" s="9">
        <f t="shared" si="3"/>
        <v>9.4956640395547437E-2</v>
      </c>
      <c r="AJ10" s="9">
        <f t="shared" si="4"/>
        <v>0.92368703682592068</v>
      </c>
      <c r="AK10" s="9">
        <f t="shared" si="5"/>
        <v>0.85319774200024978</v>
      </c>
      <c r="AL10" s="9">
        <f t="shared" si="6"/>
        <v>1.1957978402815179</v>
      </c>
      <c r="AM10" s="9">
        <f t="shared" si="7"/>
        <v>1.4299324748219426</v>
      </c>
      <c r="AN10" s="9" t="s">
        <v>2656</v>
      </c>
    </row>
    <row r="11" spans="8:40" ht="23">
      <c r="M11" s="8" t="s">
        <v>4918</v>
      </c>
      <c r="N11" s="8" t="s">
        <v>150</v>
      </c>
      <c r="O11" s="8"/>
      <c r="P11" s="8" t="s">
        <v>3691</v>
      </c>
      <c r="Q11" s="8"/>
      <c r="R11" s="8"/>
      <c r="S11" s="8"/>
      <c r="T11" s="8"/>
      <c r="U11" s="8"/>
      <c r="V11" s="8"/>
      <c r="W11" s="8" t="s">
        <v>4918</v>
      </c>
      <c r="X11" s="8">
        <v>14.98</v>
      </c>
      <c r="Y11" s="8">
        <v>2.9</v>
      </c>
      <c r="Z11" s="9">
        <v>1.41</v>
      </c>
      <c r="AA11" s="8">
        <v>156.9</v>
      </c>
      <c r="AB11" s="8">
        <v>3400</v>
      </c>
      <c r="AC11" s="21" t="s">
        <v>4918</v>
      </c>
      <c r="AD11" s="8" t="s">
        <v>3707</v>
      </c>
      <c r="AE11" s="8" t="s">
        <v>4287</v>
      </c>
      <c r="AF11" s="9">
        <f t="shared" si="0"/>
        <v>455.01</v>
      </c>
      <c r="AG11" s="9">
        <f t="shared" si="1"/>
        <v>264.11500000000001</v>
      </c>
      <c r="AH11" s="9">
        <f t="shared" si="2"/>
        <v>2.3356903609973951</v>
      </c>
      <c r="AI11" s="9">
        <f t="shared" si="3"/>
        <v>5.4554494624561416</v>
      </c>
      <c r="AJ11" s="9">
        <f t="shared" si="4"/>
        <v>1.1022644957071501</v>
      </c>
      <c r="AK11" s="9">
        <f t="shared" si="5"/>
        <v>1.2149870184965379</v>
      </c>
      <c r="AL11" s="9">
        <f t="shared" si="6"/>
        <v>0.86444183488922599</v>
      </c>
      <c r="AM11" s="9">
        <f t="shared" si="7"/>
        <v>0.74725968590665182</v>
      </c>
      <c r="AN11" s="8" t="s">
        <v>4918</v>
      </c>
    </row>
    <row r="12" spans="8:40" ht="23">
      <c r="M12" s="9" t="s">
        <v>2494</v>
      </c>
      <c r="N12" s="8" t="s">
        <v>150</v>
      </c>
      <c r="O12" s="8"/>
      <c r="P12" s="8" t="s">
        <v>3691</v>
      </c>
      <c r="Q12" s="8"/>
      <c r="R12" s="8"/>
      <c r="S12" s="8"/>
      <c r="T12" s="8"/>
      <c r="U12" s="8"/>
      <c r="V12" s="8"/>
      <c r="W12" s="9" t="s">
        <v>2494</v>
      </c>
      <c r="X12" s="8">
        <v>20.18</v>
      </c>
      <c r="Y12" s="8">
        <v>4.8600000000000003</v>
      </c>
      <c r="Z12" s="9">
        <v>2.29</v>
      </c>
      <c r="AA12" s="8">
        <v>105.4</v>
      </c>
      <c r="AB12" s="8">
        <v>1897</v>
      </c>
      <c r="AC12" s="22" t="s">
        <v>2494</v>
      </c>
      <c r="AD12" s="8" t="s">
        <v>3707</v>
      </c>
      <c r="AE12" s="8" t="s">
        <v>4287</v>
      </c>
      <c r="AF12" s="9">
        <f t="shared" si="0"/>
        <v>512.24400000000003</v>
      </c>
      <c r="AG12" s="9">
        <f t="shared" si="1"/>
        <v>261.74333333333334</v>
      </c>
      <c r="AH12" s="9">
        <f t="shared" si="2"/>
        <v>1.5690360997394868</v>
      </c>
      <c r="AI12" s="9">
        <f t="shared" si="3"/>
        <v>2.4618742822857005</v>
      </c>
      <c r="AJ12" s="9">
        <f t="shared" si="4"/>
        <v>1.2409142092240029</v>
      </c>
      <c r="AK12" s="9">
        <f t="shared" si="5"/>
        <v>1.5398680746540323</v>
      </c>
      <c r="AL12" s="9">
        <f t="shared" si="6"/>
        <v>0.85667942879688386</v>
      </c>
      <c r="AM12" s="9">
        <f t="shared" si="7"/>
        <v>0.73389964372375516</v>
      </c>
      <c r="AN12" s="9" t="s">
        <v>2494</v>
      </c>
    </row>
    <row r="13" spans="8:40" ht="23">
      <c r="M13" s="8" t="s">
        <v>1239</v>
      </c>
      <c r="N13" s="8" t="s">
        <v>150</v>
      </c>
      <c r="O13" s="8"/>
      <c r="P13" s="8" t="s">
        <v>3691</v>
      </c>
      <c r="Q13" s="8"/>
      <c r="R13" s="8"/>
      <c r="S13" s="8"/>
      <c r="T13" s="8"/>
      <c r="U13" s="8"/>
      <c r="V13" s="8"/>
      <c r="W13" s="8" t="s">
        <v>1239</v>
      </c>
      <c r="X13" s="8">
        <v>8.84</v>
      </c>
      <c r="Y13" s="8">
        <v>6.47</v>
      </c>
      <c r="Z13" s="9">
        <v>4.22</v>
      </c>
      <c r="AA13" s="8">
        <v>48.1</v>
      </c>
      <c r="AB13" s="8">
        <v>3448</v>
      </c>
      <c r="AC13" s="21" t="s">
        <v>1239</v>
      </c>
      <c r="AD13" s="8" t="s">
        <v>3707</v>
      </c>
      <c r="AE13" s="8" t="s">
        <v>4287</v>
      </c>
      <c r="AF13" s="9">
        <f t="shared" si="0"/>
        <v>311.20699999999999</v>
      </c>
      <c r="AG13" s="9">
        <f t="shared" si="1"/>
        <v>210.03666666666666</v>
      </c>
      <c r="AH13" s="9">
        <f t="shared" si="2"/>
        <v>0.71604019352437676</v>
      </c>
      <c r="AI13" s="9">
        <f t="shared" si="3"/>
        <v>0.51271355874242697</v>
      </c>
      <c r="AJ13" s="9">
        <f t="shared" si="4"/>
        <v>0.75390085254287831</v>
      </c>
      <c r="AK13" s="9">
        <f t="shared" si="5"/>
        <v>0.56836649546487872</v>
      </c>
      <c r="AL13" s="9">
        <f t="shared" si="6"/>
        <v>0.68744479309145656</v>
      </c>
      <c r="AM13" s="9">
        <f t="shared" si="7"/>
        <v>0.47258034354855555</v>
      </c>
      <c r="AN13" s="8" t="s">
        <v>1239</v>
      </c>
    </row>
    <row r="14" spans="8:40" ht="23">
      <c r="M14" s="8" t="s">
        <v>165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165</v>
      </c>
      <c r="X14" s="8">
        <v>48.1</v>
      </c>
      <c r="Y14" s="8">
        <v>1.5</v>
      </c>
      <c r="Z14" s="9">
        <v>0.56999999999999995</v>
      </c>
      <c r="AA14" s="8">
        <v>180.4</v>
      </c>
      <c r="AB14" s="8">
        <v>3453</v>
      </c>
      <c r="AC14" s="21" t="s">
        <v>165</v>
      </c>
      <c r="AD14" s="8" t="s">
        <v>3707</v>
      </c>
      <c r="AE14" s="8" t="s">
        <v>4287</v>
      </c>
      <c r="AF14" s="9">
        <f t="shared" si="0"/>
        <v>270.60000000000002</v>
      </c>
      <c r="AG14" s="9">
        <f t="shared" si="1"/>
        <v>171.38</v>
      </c>
      <c r="AH14" s="9">
        <f t="shared" si="2"/>
        <v>2.6855228879791593</v>
      </c>
      <c r="AI14" s="9">
        <f t="shared" si="3"/>
        <v>7.2120331818599244</v>
      </c>
      <c r="AJ14" s="9">
        <f t="shared" si="4"/>
        <v>0.65553014777335639</v>
      </c>
      <c r="AK14" s="9">
        <f t="shared" si="5"/>
        <v>0.42971977463975847</v>
      </c>
      <c r="AL14" s="9">
        <f t="shared" si="6"/>
        <v>0.56092248324902239</v>
      </c>
      <c r="AM14" s="9">
        <f t="shared" si="7"/>
        <v>0.31463403221424979</v>
      </c>
      <c r="AN14" s="8" t="s">
        <v>165</v>
      </c>
    </row>
    <row r="15" spans="8:40" ht="23">
      <c r="M15" s="8" t="s">
        <v>281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281</v>
      </c>
      <c r="X15" s="8">
        <v>2.31</v>
      </c>
      <c r="Y15" s="8">
        <v>3.42</v>
      </c>
      <c r="Z15" s="9">
        <v>1.07</v>
      </c>
      <c r="AA15" s="8">
        <v>130.5</v>
      </c>
      <c r="AB15" s="8">
        <v>4372</v>
      </c>
      <c r="AC15" s="21" t="s">
        <v>281</v>
      </c>
      <c r="AD15" s="8" t="s">
        <v>3707</v>
      </c>
      <c r="AE15" s="8" t="s">
        <v>4287</v>
      </c>
      <c r="AF15" s="9">
        <f t="shared" si="0"/>
        <v>446.31</v>
      </c>
      <c r="AG15" s="9">
        <f t="shared" si="1"/>
        <v>145.72499999999999</v>
      </c>
      <c r="AH15" s="9">
        <f t="shared" si="2"/>
        <v>1.9426870115370303</v>
      </c>
      <c r="AI15" s="9">
        <f t="shared" si="3"/>
        <v>3.7740328247946775</v>
      </c>
      <c r="AJ15" s="9">
        <f t="shared" si="4"/>
        <v>1.0811886927299581</v>
      </c>
      <c r="AK15" s="9">
        <f t="shared" si="5"/>
        <v>1.1689689892871158</v>
      </c>
      <c r="AL15" s="9">
        <f t="shared" si="6"/>
        <v>0.47695430547008866</v>
      </c>
      <c r="AM15" s="9">
        <f t="shared" si="7"/>
        <v>0.22748540950645466</v>
      </c>
      <c r="AN15" s="8" t="s">
        <v>281</v>
      </c>
    </row>
    <row r="16" spans="8:40" ht="23">
      <c r="M16" s="8" t="s">
        <v>4503</v>
      </c>
      <c r="N16" s="8" t="s">
        <v>150</v>
      </c>
      <c r="O16" s="8"/>
      <c r="P16" s="8" t="s">
        <v>3691</v>
      </c>
      <c r="Q16" s="8"/>
      <c r="R16" s="8"/>
      <c r="S16" s="8"/>
      <c r="T16" s="8"/>
      <c r="U16" s="8"/>
      <c r="V16" s="8"/>
      <c r="W16" s="8" t="s">
        <v>4503</v>
      </c>
      <c r="X16" s="8">
        <v>20.99</v>
      </c>
      <c r="Y16" s="8">
        <v>3.06</v>
      </c>
      <c r="Z16" s="8">
        <v>1.23</v>
      </c>
      <c r="AA16" s="8">
        <v>93.6</v>
      </c>
      <c r="AB16" s="8">
        <v>14598</v>
      </c>
      <c r="AC16" s="21" t="s">
        <v>4503</v>
      </c>
      <c r="AD16" s="8" t="s">
        <v>3707</v>
      </c>
      <c r="AE16" s="8" t="s">
        <v>4287</v>
      </c>
      <c r="AF16" s="9">
        <f t="shared" si="0"/>
        <v>286.416</v>
      </c>
      <c r="AG16" s="9">
        <f t="shared" si="1"/>
        <v>129.47999999999999</v>
      </c>
      <c r="AH16" s="9">
        <f t="shared" si="2"/>
        <v>1.3933755117231115</v>
      </c>
      <c r="AI16" s="9">
        <f t="shared" si="3"/>
        <v>1.9414953166696427</v>
      </c>
      <c r="AJ16" s="9">
        <f t="shared" si="4"/>
        <v>0.69384450408223808</v>
      </c>
      <c r="AK16" s="9">
        <f t="shared" si="5"/>
        <v>0.48142019584512691</v>
      </c>
      <c r="AL16" s="9">
        <f t="shared" si="6"/>
        <v>0.42378482396477657</v>
      </c>
      <c r="AM16" s="9">
        <f t="shared" si="7"/>
        <v>0.17959357702285667</v>
      </c>
      <c r="AN16" s="8" t="s">
        <v>4503</v>
      </c>
    </row>
    <row r="17" spans="13:40" ht="23">
      <c r="M17" s="8" t="s">
        <v>674</v>
      </c>
      <c r="N17" s="8" t="s">
        <v>150</v>
      </c>
      <c r="O17" s="8"/>
      <c r="P17" s="8" t="s">
        <v>3691</v>
      </c>
      <c r="Q17" s="8"/>
      <c r="R17" s="8"/>
      <c r="S17" s="8"/>
      <c r="T17" s="8"/>
      <c r="U17" s="8"/>
      <c r="V17" s="8"/>
      <c r="W17" s="8" t="s">
        <v>674</v>
      </c>
      <c r="X17" s="8">
        <v>14.3</v>
      </c>
      <c r="Y17" s="8">
        <v>3.75</v>
      </c>
      <c r="Z17" s="9">
        <v>1.31</v>
      </c>
      <c r="AA17" s="8">
        <v>79.099999999999994</v>
      </c>
      <c r="AB17" s="8">
        <v>5619</v>
      </c>
      <c r="AC17" s="21" t="s">
        <v>674</v>
      </c>
      <c r="AD17" s="8" t="s">
        <v>3707</v>
      </c>
      <c r="AE17" s="8" t="s">
        <v>4287</v>
      </c>
      <c r="AF17" s="9">
        <f t="shared" si="0"/>
        <v>296.625</v>
      </c>
      <c r="AG17" s="9">
        <f t="shared" si="1"/>
        <v>119.96833333333332</v>
      </c>
      <c r="AH17" s="9">
        <f t="shared" si="2"/>
        <v>1.1775213993301079</v>
      </c>
      <c r="AI17" s="9">
        <f t="shared" si="3"/>
        <v>1.3865566458803356</v>
      </c>
      <c r="AJ17" s="9">
        <f t="shared" si="4"/>
        <v>0.71857586874823287</v>
      </c>
      <c r="AK17" s="9">
        <f t="shared" si="5"/>
        <v>0.51635127914727763</v>
      </c>
      <c r="AL17" s="9">
        <f t="shared" si="6"/>
        <v>0.39265337521636007</v>
      </c>
      <c r="AM17" s="9">
        <f t="shared" si="7"/>
        <v>0.15417667306879965</v>
      </c>
      <c r="AN17" s="8" t="s">
        <v>674</v>
      </c>
    </row>
    <row r="18" spans="13:40" ht="23">
      <c r="M18" s="24" t="s">
        <v>4919</v>
      </c>
      <c r="N18" s="8" t="s">
        <v>150</v>
      </c>
      <c r="O18" s="24"/>
      <c r="P18" s="24"/>
      <c r="Q18" s="24"/>
      <c r="R18" s="24"/>
      <c r="S18" s="24"/>
      <c r="T18" s="24"/>
      <c r="U18" s="24"/>
      <c r="V18" s="24"/>
      <c r="W18" s="24" t="s">
        <v>4919</v>
      </c>
      <c r="X18" s="24">
        <v>16.809999999999999</v>
      </c>
      <c r="Y18" s="24">
        <v>1.91</v>
      </c>
      <c r="Z18" s="25">
        <v>2.0099999999999998</v>
      </c>
      <c r="AA18" s="24">
        <v>56.6</v>
      </c>
      <c r="AB18" s="24">
        <v>6054</v>
      </c>
      <c r="AC18" s="21" t="s">
        <v>4919</v>
      </c>
      <c r="AD18" s="8" t="s">
        <v>3707</v>
      </c>
      <c r="AE18" s="8" t="s">
        <v>4287</v>
      </c>
      <c r="AF18" s="25">
        <f t="shared" si="0"/>
        <v>108.10599999999999</v>
      </c>
      <c r="AG18" s="25">
        <f t="shared" si="1"/>
        <v>114.14333333333333</v>
      </c>
      <c r="AH18" s="9">
        <f t="shared" si="2"/>
        <v>0.84257536285820622</v>
      </c>
      <c r="AI18" s="25">
        <f t="shared" si="3"/>
        <v>0.70993324209563791</v>
      </c>
      <c r="AJ18" s="9">
        <f t="shared" si="4"/>
        <v>0.26188744329337194</v>
      </c>
      <c r="AK18" s="25">
        <f t="shared" si="5"/>
        <v>6.8585032954739097E-2</v>
      </c>
      <c r="AL18" s="9">
        <f t="shared" si="6"/>
        <v>0.37358829489820428</v>
      </c>
      <c r="AM18" s="25">
        <f t="shared" si="7"/>
        <v>0.13956821408494766</v>
      </c>
      <c r="AN18" s="24" t="s">
        <v>4919</v>
      </c>
    </row>
    <row r="19" spans="13:40" ht="23">
      <c r="M19" s="8" t="s">
        <v>1324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1324</v>
      </c>
      <c r="X19" s="8">
        <v>29.46</v>
      </c>
      <c r="Y19" s="8">
        <v>1.55</v>
      </c>
      <c r="Z19" s="9">
        <v>0.36</v>
      </c>
      <c r="AA19" s="8">
        <v>154.69999999999999</v>
      </c>
      <c r="AB19" s="8">
        <v>3616</v>
      </c>
      <c r="AC19" s="21" t="s">
        <v>1324</v>
      </c>
      <c r="AD19" s="8" t="s">
        <v>3707</v>
      </c>
      <c r="AE19" s="8" t="s">
        <v>4287</v>
      </c>
      <c r="AF19" s="9">
        <f t="shared" si="0"/>
        <v>239.785</v>
      </c>
      <c r="AG19" s="9">
        <f t="shared" si="1"/>
        <v>92.82</v>
      </c>
      <c r="AH19" s="9">
        <f t="shared" si="2"/>
        <v>2.3029400818756982</v>
      </c>
      <c r="AI19" s="9">
        <f t="shared" si="3"/>
        <v>5.3035330207096472</v>
      </c>
      <c r="AJ19" s="9">
        <f t="shared" si="4"/>
        <v>0.58088062263057738</v>
      </c>
      <c r="AK19" s="9">
        <f t="shared" si="5"/>
        <v>0.33742229774768723</v>
      </c>
      <c r="AL19" s="9">
        <f t="shared" si="6"/>
        <v>0.3037975545289664</v>
      </c>
      <c r="AM19" s="9">
        <f t="shared" si="7"/>
        <v>9.2292954137780311E-2</v>
      </c>
      <c r="AN19" s="8" t="s">
        <v>1324</v>
      </c>
    </row>
    <row r="20" spans="13:40" ht="23">
      <c r="M20" s="8" t="s">
        <v>650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650</v>
      </c>
      <c r="X20" s="8">
        <v>30.4</v>
      </c>
      <c r="Y20" s="8">
        <v>3.79</v>
      </c>
      <c r="Z20" s="9">
        <v>3.44</v>
      </c>
      <c r="AA20" s="8">
        <v>23.7</v>
      </c>
      <c r="AB20" s="8">
        <v>5451</v>
      </c>
      <c r="AC20" s="21" t="s">
        <v>650</v>
      </c>
      <c r="AD20" s="8" t="s">
        <v>3707</v>
      </c>
      <c r="AE20" s="8" t="s">
        <v>4287</v>
      </c>
      <c r="AF20" s="9">
        <f t="shared" si="0"/>
        <v>89.822999999999993</v>
      </c>
      <c r="AG20" s="9">
        <f t="shared" si="1"/>
        <v>88.48</v>
      </c>
      <c r="AH20" s="9">
        <f t="shared" si="2"/>
        <v>0.35280982508373654</v>
      </c>
      <c r="AI20" s="9">
        <f t="shared" si="3"/>
        <v>0.12447477267561677</v>
      </c>
      <c r="AJ20" s="9">
        <f t="shared" si="4"/>
        <v>0.2175967644621071</v>
      </c>
      <c r="AK20" s="9">
        <f t="shared" si="5"/>
        <v>4.7348351904377715E-2</v>
      </c>
      <c r="AL20" s="9">
        <f t="shared" si="6"/>
        <v>0.28959284232625454</v>
      </c>
      <c r="AM20" s="9">
        <f t="shared" si="7"/>
        <v>8.3864014326598929E-2</v>
      </c>
      <c r="AN20" s="8" t="s">
        <v>650</v>
      </c>
    </row>
    <row r="21" spans="13:40" ht="23">
      <c r="M21" s="8" t="s">
        <v>350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350</v>
      </c>
      <c r="X21" s="8">
        <v>31.89</v>
      </c>
      <c r="Y21" s="8">
        <v>1.75</v>
      </c>
      <c r="Z21" s="9">
        <v>0.47</v>
      </c>
      <c r="AA21" s="8">
        <v>91.9</v>
      </c>
      <c r="AB21" s="8">
        <v>4653</v>
      </c>
      <c r="AC21" s="21" t="s">
        <v>350</v>
      </c>
      <c r="AD21" s="8" t="s">
        <v>3707</v>
      </c>
      <c r="AE21" s="8" t="s">
        <v>4287</v>
      </c>
      <c r="AF21" s="9">
        <f t="shared" si="0"/>
        <v>160.82500000000002</v>
      </c>
      <c r="AG21" s="9">
        <f t="shared" si="1"/>
        <v>71.988333333333344</v>
      </c>
      <c r="AH21" s="9">
        <f t="shared" si="2"/>
        <v>1.3680684778563457</v>
      </c>
      <c r="AI21" s="9">
        <f t="shared" si="3"/>
        <v>1.8716113601041786</v>
      </c>
      <c r="AJ21" s="9">
        <f t="shared" si="4"/>
        <v>0.38959954181688855</v>
      </c>
      <c r="AK21" s="9">
        <f t="shared" si="5"/>
        <v>0.15178780298392949</v>
      </c>
      <c r="AL21" s="9">
        <f t="shared" si="6"/>
        <v>0.23561602694767017</v>
      </c>
      <c r="AM21" s="9">
        <f t="shared" si="7"/>
        <v>5.5514912154605238E-2</v>
      </c>
      <c r="AN21" s="8" t="s">
        <v>350</v>
      </c>
    </row>
    <row r="22" spans="13:40" ht="23">
      <c r="M22" s="8" t="s">
        <v>1091</v>
      </c>
      <c r="N22" s="8" t="s">
        <v>150</v>
      </c>
      <c r="O22" s="8"/>
      <c r="P22" s="8" t="s">
        <v>3693</v>
      </c>
      <c r="Q22" s="8"/>
      <c r="R22" s="8"/>
      <c r="S22" s="8"/>
      <c r="T22" s="8"/>
      <c r="U22" s="8"/>
      <c r="V22" s="8"/>
      <c r="W22" s="8" t="s">
        <v>1091</v>
      </c>
      <c r="X22" s="8">
        <v>3.47</v>
      </c>
      <c r="Y22" s="8">
        <v>3.2</v>
      </c>
      <c r="Z22" s="9">
        <v>0.35</v>
      </c>
      <c r="AA22" s="8">
        <v>73.2</v>
      </c>
      <c r="AB22" s="8">
        <v>9135</v>
      </c>
      <c r="AC22" s="21" t="s">
        <v>1091</v>
      </c>
      <c r="AD22" s="8" t="s">
        <v>3707</v>
      </c>
      <c r="AE22" s="8" t="s">
        <v>4287</v>
      </c>
      <c r="AF22" s="9">
        <f t="shared" si="0"/>
        <v>234.24</v>
      </c>
      <c r="AG22" s="9">
        <f t="shared" si="1"/>
        <v>42.7</v>
      </c>
      <c r="AH22" s="9">
        <f t="shared" si="2"/>
        <v>1.0896911053219205</v>
      </c>
      <c r="AI22" s="9">
        <f t="shared" si="3"/>
        <v>1.1874267050177088</v>
      </c>
      <c r="AJ22" s="9">
        <f t="shared" si="4"/>
        <v>0.56744782636522917</v>
      </c>
      <c r="AK22" s="9">
        <f t="shared" si="5"/>
        <v>0.3219970356466233</v>
      </c>
      <c r="AL22" s="9">
        <f t="shared" si="6"/>
        <v>0.1397560394137779</v>
      </c>
      <c r="AM22" s="9">
        <f t="shared" si="7"/>
        <v>1.9531750552625442E-2</v>
      </c>
      <c r="AN22" s="8" t="s">
        <v>1091</v>
      </c>
    </row>
    <row r="23" spans="13:40" ht="23">
      <c r="M23" s="8" t="s">
        <v>1278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1278</v>
      </c>
      <c r="X23" s="8">
        <v>23.4</v>
      </c>
      <c r="Y23" s="8">
        <v>2.96</v>
      </c>
      <c r="Z23" s="9">
        <v>3.08</v>
      </c>
      <c r="AA23" s="8">
        <v>11.5</v>
      </c>
      <c r="AB23" s="8">
        <v>8708</v>
      </c>
      <c r="AC23" s="21" t="s">
        <v>1278</v>
      </c>
      <c r="AD23" s="8" t="s">
        <v>3707</v>
      </c>
      <c r="AE23" s="8" t="s">
        <v>4287</v>
      </c>
      <c r="AF23" s="9">
        <f t="shared" si="0"/>
        <v>34.04</v>
      </c>
      <c r="AG23" s="9">
        <f t="shared" si="1"/>
        <v>36.033333333333331</v>
      </c>
      <c r="AH23" s="9">
        <f t="shared" si="2"/>
        <v>0.17119464086341646</v>
      </c>
      <c r="AI23" s="9">
        <f t="shared" si="3"/>
        <v>2.9307605060354139E-2</v>
      </c>
      <c r="AJ23" s="9">
        <f t="shared" si="4"/>
        <v>8.246210728087601E-2</v>
      </c>
      <c r="AK23" s="9">
        <f t="shared" si="5"/>
        <v>6.7999991372027042E-3</v>
      </c>
      <c r="AL23" s="9">
        <f t="shared" si="6"/>
        <v>0.11793620500101007</v>
      </c>
      <c r="AM23" s="9">
        <f t="shared" si="7"/>
        <v>1.3908948450040273E-2</v>
      </c>
      <c r="AN23" s="8" t="s">
        <v>1278</v>
      </c>
    </row>
    <row r="24" spans="13:40" ht="23">
      <c r="M24" s="8" t="s">
        <v>720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720</v>
      </c>
      <c r="X24" s="8">
        <v>21.75</v>
      </c>
      <c r="Y24" s="8">
        <v>3.55</v>
      </c>
      <c r="Z24" s="9">
        <v>4.08</v>
      </c>
      <c r="AA24" s="8">
        <v>6.5</v>
      </c>
      <c r="AB24" s="8">
        <v>23954</v>
      </c>
      <c r="AC24" s="21" t="s">
        <v>720</v>
      </c>
      <c r="AD24" s="8" t="s">
        <v>3707</v>
      </c>
      <c r="AE24" s="8" t="s">
        <v>4287</v>
      </c>
      <c r="AF24" s="9">
        <f t="shared" si="0"/>
        <v>23.074999999999999</v>
      </c>
      <c r="AG24" s="9">
        <f t="shared" si="1"/>
        <v>26.866666666666671</v>
      </c>
      <c r="AH24" s="9">
        <f t="shared" si="2"/>
        <v>9.6762188314104963E-2</v>
      </c>
      <c r="AI24" s="9">
        <f t="shared" si="3"/>
        <v>9.3629210873343114E-3</v>
      </c>
      <c r="AJ24" s="9">
        <f t="shared" si="4"/>
        <v>5.5899328011345881E-2</v>
      </c>
      <c r="AK24" s="9">
        <f t="shared" si="5"/>
        <v>3.1247348721200382E-3</v>
      </c>
      <c r="AL24" s="9">
        <f t="shared" si="6"/>
        <v>8.7933932683454327E-2</v>
      </c>
      <c r="AM24" s="9">
        <f t="shared" si="7"/>
        <v>7.7323765171782768E-3</v>
      </c>
      <c r="AN24" s="8" t="s">
        <v>720</v>
      </c>
    </row>
    <row r="25" spans="13:40" ht="23">
      <c r="M25" s="8" t="s">
        <v>4917</v>
      </c>
      <c r="N25" s="8" t="s">
        <v>150</v>
      </c>
      <c r="O25" s="8"/>
      <c r="P25" s="8" t="s">
        <v>4667</v>
      </c>
      <c r="Q25" s="8"/>
      <c r="R25" s="8"/>
      <c r="S25" s="8"/>
      <c r="T25" s="8"/>
      <c r="U25" s="8"/>
      <c r="V25" s="8"/>
      <c r="W25" s="8" t="s">
        <v>4917</v>
      </c>
      <c r="X25" s="8">
        <v>41.98</v>
      </c>
      <c r="Y25" s="8">
        <v>2.4500000000000002</v>
      </c>
      <c r="Z25" s="9">
        <v>1.35</v>
      </c>
      <c r="AA25" s="8">
        <v>13</v>
      </c>
      <c r="AB25" s="8">
        <v>14773</v>
      </c>
      <c r="AC25" s="21" t="s">
        <v>4917</v>
      </c>
      <c r="AD25" s="8" t="s">
        <v>3707</v>
      </c>
      <c r="AE25" s="8" t="s">
        <v>4287</v>
      </c>
      <c r="AF25" s="9">
        <f t="shared" si="0"/>
        <v>31.85</v>
      </c>
      <c r="AG25" s="9">
        <f t="shared" si="1"/>
        <v>20.583333333333336</v>
      </c>
      <c r="AH25" s="9">
        <f t="shared" si="2"/>
        <v>0.19352437662820993</v>
      </c>
      <c r="AI25" s="9">
        <f t="shared" si="3"/>
        <v>3.7451684349337246E-2</v>
      </c>
      <c r="AJ25" s="9">
        <f t="shared" si="4"/>
        <v>7.7156818945237987E-2</v>
      </c>
      <c r="AK25" s="9">
        <f t="shared" si="5"/>
        <v>5.9531747097482353E-3</v>
      </c>
      <c r="AL25" s="9">
        <f t="shared" si="6"/>
        <v>6.7368738749420662E-2</v>
      </c>
      <c r="AM25" s="9">
        <f t="shared" si="7"/>
        <v>4.5385469606876927E-3</v>
      </c>
      <c r="AN25" s="8" t="s">
        <v>4917</v>
      </c>
    </row>
    <row r="26" spans="13:40" ht="23">
      <c r="M26" s="9" t="s">
        <v>4382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9" t="s">
        <v>4382</v>
      </c>
      <c r="X26" s="8">
        <v>21.1</v>
      </c>
      <c r="Y26" s="8">
        <v>10.28</v>
      </c>
      <c r="Z26" s="9">
        <v>5.08</v>
      </c>
      <c r="AA26" s="8">
        <v>3.5</v>
      </c>
      <c r="AB26" s="8">
        <v>16293</v>
      </c>
      <c r="AC26" s="22" t="s">
        <v>4382</v>
      </c>
      <c r="AD26" s="8" t="s">
        <v>3707</v>
      </c>
      <c r="AE26" s="8" t="s">
        <v>4287</v>
      </c>
      <c r="AF26" s="9">
        <f t="shared" si="0"/>
        <v>35.979999999999997</v>
      </c>
      <c r="AG26" s="9">
        <f t="shared" si="1"/>
        <v>17.966666666666669</v>
      </c>
      <c r="AH26" s="9">
        <f t="shared" si="2"/>
        <v>5.2102716784518055E-2</v>
      </c>
      <c r="AI26" s="9">
        <f t="shared" si="3"/>
        <v>2.7146930963276995E-3</v>
      </c>
      <c r="AJ26" s="9">
        <f t="shared" si="4"/>
        <v>8.7161769094180927E-2</v>
      </c>
      <c r="AK26" s="9">
        <f t="shared" si="5"/>
        <v>7.5971739916273137E-3</v>
      </c>
      <c r="AL26" s="9">
        <f t="shared" si="6"/>
        <v>5.8804453742409286E-2</v>
      </c>
      <c r="AM26" s="9">
        <f t="shared" si="7"/>
        <v>3.4579637799431536E-3</v>
      </c>
      <c r="AN26" s="9" t="s">
        <v>4382</v>
      </c>
    </row>
    <row r="27" spans="13:40" ht="23">
      <c r="M27" s="8" t="s">
        <v>580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580</v>
      </c>
      <c r="X27" s="8">
        <v>26.83</v>
      </c>
      <c r="Y27" s="8">
        <v>2.92</v>
      </c>
      <c r="Z27" s="9">
        <v>2.5</v>
      </c>
      <c r="AA27" s="8">
        <v>8.3000000000000007</v>
      </c>
      <c r="AB27" s="8">
        <v>14317</v>
      </c>
      <c r="AC27" s="21" t="s">
        <v>580</v>
      </c>
      <c r="AD27" s="8" t="s">
        <v>3707</v>
      </c>
      <c r="AE27" s="8" t="s">
        <v>4287</v>
      </c>
      <c r="AF27" s="9">
        <f t="shared" si="0"/>
        <v>24.236000000000001</v>
      </c>
      <c r="AG27" s="9">
        <f t="shared" si="1"/>
        <v>16.669166666666669</v>
      </c>
      <c r="AH27" s="9">
        <f t="shared" si="2"/>
        <v>0.1235578712318571</v>
      </c>
      <c r="AI27" s="9">
        <f t="shared" si="3"/>
        <v>1.5266547543348181E-2</v>
      </c>
      <c r="AJ27" s="9">
        <f t="shared" si="4"/>
        <v>5.8711857581060845E-2</v>
      </c>
      <c r="AK27" s="9">
        <f t="shared" si="5"/>
        <v>3.4470822206187717E-3</v>
      </c>
      <c r="AL27" s="9">
        <f t="shared" si="6"/>
        <v>5.4557768469824353E-2</v>
      </c>
      <c r="AM27" s="9">
        <f t="shared" si="7"/>
        <v>2.9765501004069602E-3</v>
      </c>
      <c r="AN27" s="8" t="s">
        <v>580</v>
      </c>
    </row>
    <row r="28" spans="13:40" ht="23">
      <c r="M28" s="8" t="s">
        <v>4505</v>
      </c>
      <c r="N28" s="8"/>
      <c r="O28" s="8"/>
      <c r="P28" s="8" t="s">
        <v>3693</v>
      </c>
      <c r="Q28" s="8"/>
      <c r="R28" s="8"/>
      <c r="S28" s="8"/>
      <c r="T28" s="8"/>
      <c r="U28" s="8"/>
      <c r="V28" s="8"/>
      <c r="W28" s="8" t="s">
        <v>4505</v>
      </c>
      <c r="X28" s="8">
        <v>41.1</v>
      </c>
      <c r="Y28" s="8">
        <v>1.1000000000000001</v>
      </c>
      <c r="Z28" s="9">
        <v>0.08</v>
      </c>
      <c r="AA28" s="8">
        <v>84.9</v>
      </c>
      <c r="AB28" s="8">
        <v>15510</v>
      </c>
      <c r="AC28" s="21" t="s">
        <v>4505</v>
      </c>
      <c r="AD28" s="8" t="s">
        <v>3707</v>
      </c>
      <c r="AE28" s="8" t="s">
        <v>4287</v>
      </c>
      <c r="AF28" s="9">
        <f t="shared" si="0"/>
        <v>93.390000000000015</v>
      </c>
      <c r="AG28" s="9">
        <f t="shared" si="1"/>
        <v>11.32</v>
      </c>
      <c r="AH28" s="9">
        <f t="shared" si="2"/>
        <v>1.2638630442873096</v>
      </c>
      <c r="AI28" s="9">
        <f t="shared" si="3"/>
        <v>1.5973497947151858</v>
      </c>
      <c r="AJ28" s="9">
        <f t="shared" si="4"/>
        <v>0.2262378436827559</v>
      </c>
      <c r="AK28" s="9">
        <f t="shared" si="5"/>
        <v>5.1183561914223095E-2</v>
      </c>
      <c r="AL28" s="9">
        <f t="shared" si="6"/>
        <v>3.7050078832879758E-2</v>
      </c>
      <c r="AM28" s="9">
        <f t="shared" si="7"/>
        <v>1.3727083415226047E-3</v>
      </c>
      <c r="AN28" s="8" t="s">
        <v>4505</v>
      </c>
    </row>
    <row r="29" spans="13:40" ht="23">
      <c r="M29" s="8" t="s">
        <v>4384</v>
      </c>
      <c r="N29" s="8" t="s">
        <v>150</v>
      </c>
      <c r="O29" s="8"/>
      <c r="P29" s="8" t="s">
        <v>3691</v>
      </c>
      <c r="Q29" s="8"/>
      <c r="R29" s="8"/>
      <c r="S29" s="8"/>
      <c r="T29" s="8"/>
      <c r="U29" s="8"/>
      <c r="V29" s="8"/>
      <c r="W29" s="8" t="s">
        <v>4384</v>
      </c>
      <c r="X29" s="8">
        <v>35.21</v>
      </c>
      <c r="Y29" s="8">
        <v>2.92</v>
      </c>
      <c r="Z29" s="9">
        <v>1.3</v>
      </c>
      <c r="AA29" s="8">
        <v>10.7</v>
      </c>
      <c r="AB29" s="8">
        <v>9484</v>
      </c>
      <c r="AC29" s="21" t="s">
        <v>4384</v>
      </c>
      <c r="AD29" s="8" t="s">
        <v>3707</v>
      </c>
      <c r="AE29" s="8" t="s">
        <v>4287</v>
      </c>
      <c r="AF29" s="9">
        <f t="shared" si="0"/>
        <v>31.243999999999996</v>
      </c>
      <c r="AG29" s="9">
        <f t="shared" si="1"/>
        <v>10.753499999999999</v>
      </c>
      <c r="AH29" s="9">
        <f t="shared" si="2"/>
        <v>0.15928544845552661</v>
      </c>
      <c r="AI29" s="9">
        <f t="shared" si="3"/>
        <v>2.5371854089678226E-2</v>
      </c>
      <c r="AJ29" s="9">
        <f t="shared" si="4"/>
        <v>7.568878025510252E-2</v>
      </c>
      <c r="AK29" s="9">
        <f t="shared" si="5"/>
        <v>5.7287914565051969E-3</v>
      </c>
      <c r="AL29" s="9">
        <f t="shared" si="6"/>
        <v>3.5195938403654814E-2</v>
      </c>
      <c r="AM29" s="9">
        <f t="shared" si="7"/>
        <v>1.2387540801138638E-3</v>
      </c>
      <c r="AN29" s="8" t="s">
        <v>4384</v>
      </c>
    </row>
    <row r="30" spans="13:40" ht="23.5" customHeight="1">
      <c r="M30" s="8" t="s">
        <v>4385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4385</v>
      </c>
      <c r="X30" s="8">
        <v>17.47</v>
      </c>
      <c r="Y30" s="8">
        <v>5.18</v>
      </c>
      <c r="Z30" s="9">
        <v>6.46</v>
      </c>
      <c r="AA30" s="8">
        <v>1.5</v>
      </c>
      <c r="AB30" s="8">
        <v>36211</v>
      </c>
      <c r="AC30" s="21" t="s">
        <v>4385</v>
      </c>
      <c r="AD30" s="8" t="s">
        <v>3707</v>
      </c>
      <c r="AE30" s="8" t="s">
        <v>4287</v>
      </c>
      <c r="AF30" s="9">
        <f t="shared" si="0"/>
        <v>7.77</v>
      </c>
      <c r="AG30" s="9">
        <f t="shared" si="1"/>
        <v>10.15</v>
      </c>
      <c r="AH30" s="9">
        <f t="shared" si="2"/>
        <v>2.2329735764793454E-2</v>
      </c>
      <c r="AI30" s="9">
        <f t="shared" si="3"/>
        <v>4.9861709932549588E-4</v>
      </c>
      <c r="AJ30" s="9">
        <f t="shared" si="4"/>
        <v>1.8822872314113E-2</v>
      </c>
      <c r="AK30" s="9">
        <f t="shared" si="5"/>
        <v>3.5430052215340167E-4</v>
      </c>
      <c r="AL30" s="9">
        <f t="shared" si="6"/>
        <v>3.3220697893439011E-2</v>
      </c>
      <c r="AM30" s="9">
        <f t="shared" si="7"/>
        <v>1.1036147685271431E-3</v>
      </c>
      <c r="AN30" s="8" t="s">
        <v>4385</v>
      </c>
    </row>
    <row r="31" spans="13:40" ht="26.5" customHeight="1">
      <c r="M31" s="8" t="s">
        <v>156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8" t="s">
        <v>156</v>
      </c>
      <c r="X31" s="8">
        <v>15.23</v>
      </c>
      <c r="Y31" s="8">
        <v>1.19</v>
      </c>
      <c r="Z31" s="9">
        <v>0.06</v>
      </c>
      <c r="AA31" s="8">
        <v>81.2</v>
      </c>
      <c r="AB31" s="8">
        <v>19423</v>
      </c>
      <c r="AC31" s="21" t="s">
        <v>156</v>
      </c>
      <c r="AD31" s="8" t="s">
        <v>3707</v>
      </c>
      <c r="AE31" s="8" t="s">
        <v>4287</v>
      </c>
      <c r="AF31" s="9">
        <f t="shared" si="0"/>
        <v>96.628</v>
      </c>
      <c r="AG31" s="9">
        <f t="shared" si="1"/>
        <v>8.120000000000001</v>
      </c>
      <c r="AH31" s="9">
        <f t="shared" si="2"/>
        <v>1.2087830294008191</v>
      </c>
      <c r="AI31" s="9">
        <f t="shared" si="3"/>
        <v>1.4611564121674214</v>
      </c>
      <c r="AJ31" s="9">
        <f t="shared" si="4"/>
        <v>0.23408191840001433</v>
      </c>
      <c r="AK31" s="9">
        <f t="shared" si="5"/>
        <v>5.4794344521830969E-2</v>
      </c>
      <c r="AL31" s="9">
        <f t="shared" si="6"/>
        <v>2.6576558314751211E-2</v>
      </c>
      <c r="AM31" s="9">
        <f t="shared" si="7"/>
        <v>7.0631345185737169E-4</v>
      </c>
      <c r="AN31" s="8" t="s">
        <v>156</v>
      </c>
    </row>
    <row r="32" spans="13:40" ht="23">
      <c r="M32" s="8" t="s">
        <v>4383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4383</v>
      </c>
      <c r="X32" s="8">
        <v>53.83</v>
      </c>
      <c r="Y32" s="8">
        <v>2.5299999999999998</v>
      </c>
      <c r="Z32" s="9">
        <v>1.24</v>
      </c>
      <c r="AA32" s="8">
        <v>2.6</v>
      </c>
      <c r="AB32" s="8">
        <v>31764</v>
      </c>
      <c r="AC32" s="21" t="s">
        <v>4383</v>
      </c>
      <c r="AD32" s="8" t="s">
        <v>3707</v>
      </c>
      <c r="AE32" s="8" t="s">
        <v>4287</v>
      </c>
      <c r="AF32" s="9">
        <f t="shared" si="0"/>
        <v>6.5779999999999994</v>
      </c>
      <c r="AG32" s="9">
        <f t="shared" si="1"/>
        <v>3.6399999999999997</v>
      </c>
      <c r="AH32" s="9">
        <f t="shared" si="2"/>
        <v>3.8704875325641985E-2</v>
      </c>
      <c r="AI32" s="9">
        <f t="shared" si="3"/>
        <v>1.4980673739734898E-3</v>
      </c>
      <c r="AJ32" s="9">
        <f t="shared" si="4"/>
        <v>1.5935245055628742E-2</v>
      </c>
      <c r="AK32" s="9">
        <f t="shared" si="5"/>
        <v>2.5393203498294027E-4</v>
      </c>
      <c r="AL32" s="9">
        <f t="shared" si="6"/>
        <v>1.1913629589371229E-2</v>
      </c>
      <c r="AM32" s="9">
        <f t="shared" si="7"/>
        <v>1.4193456999274167E-4</v>
      </c>
      <c r="AN32" s="8" t="s">
        <v>4383</v>
      </c>
    </row>
    <row r="33" spans="13:40" ht="23">
      <c r="M33" s="9" t="s">
        <v>2608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9" t="s">
        <v>2608</v>
      </c>
      <c r="X33" s="8">
        <v>18.02</v>
      </c>
      <c r="Y33" s="8">
        <v>2.58</v>
      </c>
      <c r="Z33" s="9">
        <v>0.39</v>
      </c>
      <c r="AA33" s="8">
        <v>3.5</v>
      </c>
      <c r="AB33" s="8">
        <v>23952</v>
      </c>
      <c r="AC33" s="22" t="s">
        <v>2608</v>
      </c>
      <c r="AD33" s="8" t="s">
        <v>3707</v>
      </c>
      <c r="AE33" s="8" t="s">
        <v>4287</v>
      </c>
      <c r="AF33" s="9">
        <f t="shared" si="0"/>
        <v>9.0300000000000011</v>
      </c>
      <c r="AG33" s="9">
        <f t="shared" si="1"/>
        <v>2.2749999999999999</v>
      </c>
      <c r="AH33" s="9">
        <f t="shared" si="2"/>
        <v>5.2102716784518055E-2</v>
      </c>
      <c r="AI33" s="9">
        <f t="shared" si="3"/>
        <v>2.7146930963276995E-3</v>
      </c>
      <c r="AJ33" s="9">
        <f t="shared" si="4"/>
        <v>2.1875229986671872E-2</v>
      </c>
      <c r="AK33" s="9">
        <f t="shared" si="5"/>
        <v>4.7852568696978828E-4</v>
      </c>
      <c r="AL33" s="9">
        <f t="shared" si="6"/>
        <v>7.446018493357018E-3</v>
      </c>
      <c r="AM33" s="9">
        <f t="shared" si="7"/>
        <v>5.5443191403414715E-5</v>
      </c>
      <c r="AN33" s="9" t="s">
        <v>2608</v>
      </c>
    </row>
    <row r="34" spans="13:40" ht="23">
      <c r="M34" s="8" t="s">
        <v>1171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8" t="s">
        <v>1171</v>
      </c>
      <c r="X34" s="8">
        <v>28.83</v>
      </c>
      <c r="Y34" s="8">
        <v>2.13</v>
      </c>
      <c r="Z34" s="9">
        <v>0.59</v>
      </c>
      <c r="AA34" s="8">
        <v>2.1</v>
      </c>
      <c r="AB34" s="8">
        <v>39379</v>
      </c>
      <c r="AC34" s="21" t="s">
        <v>1171</v>
      </c>
      <c r="AD34" s="8" t="s">
        <v>3707</v>
      </c>
      <c r="AE34" s="8" t="s">
        <v>4287</v>
      </c>
      <c r="AF34" s="9">
        <f t="shared" si="0"/>
        <v>4.4729999999999999</v>
      </c>
      <c r="AG34" s="9">
        <f t="shared" si="1"/>
        <v>2.0649999999999999</v>
      </c>
      <c r="AH34" s="9">
        <f t="shared" si="2"/>
        <v>3.1261630070710832E-2</v>
      </c>
      <c r="AI34" s="9">
        <f t="shared" si="3"/>
        <v>9.7728951467797179E-4</v>
      </c>
      <c r="AJ34" s="9">
        <f t="shared" si="4"/>
        <v>1.0835869737583971E-2</v>
      </c>
      <c r="AK34" s="9">
        <f t="shared" si="5"/>
        <v>1.1741607296988812E-4</v>
      </c>
      <c r="AL34" s="9">
        <f t="shared" si="6"/>
        <v>6.7586937093548323E-3</v>
      </c>
      <c r="AM34" s="9">
        <f t="shared" si="7"/>
        <v>4.5679940656872586E-5</v>
      </c>
      <c r="AN34" s="8" t="s">
        <v>1171</v>
      </c>
    </row>
    <row r="35" spans="13:40" ht="23">
      <c r="M35" s="8" t="s">
        <v>1930</v>
      </c>
      <c r="N35" s="8" t="s">
        <v>1902</v>
      </c>
      <c r="O35" s="8"/>
      <c r="P35" s="8"/>
      <c r="Q35" s="8"/>
      <c r="R35" s="8"/>
      <c r="S35" s="8"/>
      <c r="T35" s="8"/>
      <c r="U35" s="8"/>
      <c r="V35" s="8"/>
      <c r="W35" s="8" t="s">
        <v>1930</v>
      </c>
      <c r="X35" s="8">
        <v>27.96</v>
      </c>
      <c r="Y35" s="8">
        <v>4.33</v>
      </c>
      <c r="Z35" s="9">
        <v>0.47</v>
      </c>
      <c r="AA35" s="8">
        <v>1.2</v>
      </c>
      <c r="AB35" s="8">
        <v>47724</v>
      </c>
      <c r="AC35" s="21" t="s">
        <v>1930</v>
      </c>
      <c r="AD35" s="8" t="s">
        <v>3707</v>
      </c>
      <c r="AE35" s="8" t="s">
        <v>4287</v>
      </c>
      <c r="AF35" s="9">
        <f t="shared" si="0"/>
        <v>5.1959999999999997</v>
      </c>
      <c r="AG35" s="9">
        <f t="shared" si="1"/>
        <v>0.94</v>
      </c>
      <c r="AH35" s="9">
        <f t="shared" si="2"/>
        <v>1.7863788611834762E-2</v>
      </c>
      <c r="AI35" s="9">
        <f t="shared" si="3"/>
        <v>3.1911494356831735E-4</v>
      </c>
      <c r="AJ35" s="9">
        <f t="shared" si="4"/>
        <v>1.2587341640171319E-2</v>
      </c>
      <c r="AK35" s="9">
        <f t="shared" si="5"/>
        <v>1.5844116956639079E-4</v>
      </c>
      <c r="AL35" s="9">
        <f t="shared" si="6"/>
        <v>3.0765966522002626E-3</v>
      </c>
      <c r="AM35" s="9">
        <f t="shared" si="7"/>
        <v>9.4654469603298636E-6</v>
      </c>
      <c r="AN35" s="8" t="s">
        <v>1930</v>
      </c>
    </row>
    <row r="36" spans="13:40" ht="23">
      <c r="M36" s="24" t="s">
        <v>4920</v>
      </c>
      <c r="N36" s="8" t="s">
        <v>150</v>
      </c>
      <c r="O36" s="24"/>
      <c r="P36" s="24"/>
      <c r="Q36" s="24"/>
      <c r="R36" s="24"/>
      <c r="S36" s="24"/>
      <c r="T36" s="24"/>
      <c r="U36" s="24"/>
      <c r="V36" s="24"/>
      <c r="W36" s="24" t="s">
        <v>4920</v>
      </c>
      <c r="X36" s="24">
        <v>50.2</v>
      </c>
      <c r="Y36" s="24">
        <v>1.58</v>
      </c>
      <c r="Z36" s="25">
        <v>0.15</v>
      </c>
      <c r="AA36" s="24">
        <v>2.2000000000000002</v>
      </c>
      <c r="AB36" s="24">
        <v>49544</v>
      </c>
      <c r="AC36" s="21" t="s">
        <v>4920</v>
      </c>
      <c r="AD36" s="8" t="s">
        <v>3707</v>
      </c>
      <c r="AE36" s="8" t="s">
        <v>4287</v>
      </c>
      <c r="AF36" s="25">
        <f t="shared" si="0"/>
        <v>3.4760000000000004</v>
      </c>
      <c r="AG36" s="25">
        <f t="shared" si="1"/>
        <v>0.55000000000000004</v>
      </c>
      <c r="AH36" s="9">
        <f t="shared" si="2"/>
        <v>3.2750279121697062E-2</v>
      </c>
      <c r="AI36" s="25">
        <f t="shared" si="3"/>
        <v>1.0725807825490664E-3</v>
      </c>
      <c r="AJ36" s="9">
        <f t="shared" si="4"/>
        <v>8.4206311665195373E-3</v>
      </c>
      <c r="AK36" s="25">
        <f t="shared" si="5"/>
        <v>7.0907029242560187E-5</v>
      </c>
      <c r="AL36" s="9">
        <f t="shared" si="6"/>
        <v>1.8001363390533454E-3</v>
      </c>
      <c r="AM36" s="25">
        <f t="shared" si="7"/>
        <v>3.2404908391803812E-6</v>
      </c>
      <c r="AN36" s="24" t="s">
        <v>4920</v>
      </c>
    </row>
    <row r="37" spans="13:40" ht="23">
      <c r="M37" s="9" t="s">
        <v>2378</v>
      </c>
      <c r="N37" s="8" t="s">
        <v>150</v>
      </c>
      <c r="O37" s="8"/>
      <c r="P37" s="8" t="s">
        <v>3691</v>
      </c>
      <c r="Q37" s="8"/>
      <c r="R37" s="8"/>
      <c r="S37" s="8"/>
      <c r="T37" s="8"/>
      <c r="U37" s="8"/>
      <c r="V37" s="8"/>
      <c r="W37" s="9" t="s">
        <v>2378</v>
      </c>
      <c r="X37" s="8">
        <v>38.29</v>
      </c>
      <c r="Y37" s="8">
        <v>1.26</v>
      </c>
      <c r="Z37" s="9">
        <v>0.1</v>
      </c>
      <c r="AA37" s="8">
        <v>82.2</v>
      </c>
      <c r="AB37" s="8">
        <v>14493</v>
      </c>
      <c r="AC37" s="22" t="s">
        <v>2378</v>
      </c>
      <c r="AD37" s="8" t="s">
        <v>3707</v>
      </c>
      <c r="AE37" s="8" t="s">
        <v>4287</v>
      </c>
      <c r="AF37" s="9">
        <f t="shared" si="0"/>
        <v>103.572</v>
      </c>
      <c r="AG37" s="9">
        <f t="shared" si="1"/>
        <v>0.13700000000000001</v>
      </c>
      <c r="AH37" s="9">
        <f t="shared" si="2"/>
        <v>1.2236695199106813</v>
      </c>
      <c r="AI37" s="9">
        <f t="shared" si="3"/>
        <v>1.4973670939584371</v>
      </c>
      <c r="AJ37" s="9">
        <f t="shared" si="4"/>
        <v>0.25090380068433871</v>
      </c>
      <c r="AK37" s="9">
        <f t="shared" si="5"/>
        <v>6.295271719784637E-2</v>
      </c>
      <c r="AL37" s="9">
        <f t="shared" si="6"/>
        <v>4.4839759718237875E-4</v>
      </c>
      <c r="AM37" s="9">
        <f t="shared" si="7"/>
        <v>2.0106040515893079E-7</v>
      </c>
      <c r="AN37" s="9" t="s">
        <v>2378</v>
      </c>
    </row>
    <row r="38" spans="13:40" ht="23">
      <c r="M38" s="9" t="s">
        <v>2790</v>
      </c>
      <c r="N38" s="8" t="s">
        <v>1614</v>
      </c>
      <c r="O38" s="8"/>
      <c r="P38" s="8"/>
      <c r="Q38" s="8"/>
      <c r="R38" s="8"/>
      <c r="S38" s="8"/>
      <c r="T38" s="8"/>
      <c r="U38" s="8"/>
      <c r="V38" s="8"/>
      <c r="W38" s="9" t="s">
        <v>2790</v>
      </c>
      <c r="X38" s="8">
        <v>67.86</v>
      </c>
      <c r="Y38" s="8">
        <v>1.41</v>
      </c>
      <c r="Z38" s="9">
        <v>0.02</v>
      </c>
      <c r="AA38" s="8">
        <v>1.5</v>
      </c>
      <c r="AB38" s="8">
        <v>64067</v>
      </c>
      <c r="AC38" s="22" t="s">
        <v>2790</v>
      </c>
      <c r="AD38" s="8" t="s">
        <v>3707</v>
      </c>
      <c r="AE38" s="8" t="s">
        <v>4287</v>
      </c>
      <c r="AF38" s="9">
        <f t="shared" si="0"/>
        <v>2.1149999999999998</v>
      </c>
      <c r="AG38" s="9">
        <f t="shared" si="1"/>
        <v>0.05</v>
      </c>
      <c r="AH38" s="9">
        <f t="shared" si="2"/>
        <v>2.2329735764793454E-2</v>
      </c>
      <c r="AI38" s="9">
        <f t="shared" si="3"/>
        <v>4.9861709932549588E-4</v>
      </c>
      <c r="AJ38" s="9">
        <f t="shared" si="4"/>
        <v>5.1236003789380952E-3</v>
      </c>
      <c r="AK38" s="9">
        <f t="shared" si="5"/>
        <v>2.6251280843054592E-5</v>
      </c>
      <c r="AL38" s="9">
        <f t="shared" si="6"/>
        <v>1.6364875809575866E-4</v>
      </c>
      <c r="AM38" s="9">
        <f t="shared" si="7"/>
        <v>2.6780916026284134E-8</v>
      </c>
      <c r="AN38" s="9" t="s">
        <v>2790</v>
      </c>
    </row>
    <row r="39" spans="13:40" ht="23"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9"/>
      <c r="AA39" s="8">
        <f>SUBTOTAL(109,Table136323435[ترافیک کل])</f>
        <v>6717.4999999999991</v>
      </c>
      <c r="AB39" s="8"/>
      <c r="AC39" s="21"/>
      <c r="AD39" s="8"/>
      <c r="AE39" s="8"/>
      <c r="AF39" s="9">
        <f>SUBTOTAL(109,Table136323435[[مجموع صفحات  مشاهده شده   ]])</f>
        <v>41279.565999999977</v>
      </c>
      <c r="AG39" s="9">
        <f>SUBTOTAL(109,Table136323435[[مجموع زمان حضور در سایت ]])</f>
        <v>30553.241333333324</v>
      </c>
      <c r="AH39" s="9">
        <f>SUBTOTAL(109,Table136323435[سهم سایت از کل ترافیک طبقه بندی])</f>
        <v>100.00000000000001</v>
      </c>
      <c r="AI39" s="9">
        <f>SUBTOTAL(109,Table136323435[شاخص هرفیندال هیرشمن (ترافیک)])</f>
        <v>2633.6622176632623</v>
      </c>
      <c r="AJ39" s="9">
        <f>SUBTOTAL(109,Table136323435[سهم سایت از کل صفحات مشاهده شده در طبقه بندی])</f>
        <v>100.00000000000006</v>
      </c>
      <c r="AK39" s="9">
        <f>SUBTOTAL(109,Table136323435[شاخص هرفیندال -هیرشمن (صفحات مشاهده شده )])</f>
        <v>4661.5855982072635</v>
      </c>
      <c r="AL39" s="9">
        <f>SUBTOTAL(109,Table136323435[سهم سایت از کل زمان حضور در طبقه بندی])</f>
        <v>100.00000000000003</v>
      </c>
      <c r="AM39" s="9">
        <f>SUBTOTAL(109,Table136323435[شاخص هرفیندال هیرشمن (زمان حضور)])</f>
        <v>5439.8633020623747</v>
      </c>
      <c r="AN39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{EB2C1F06-4F1C-43E1-B203-4925A54FE24B}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{5CC48A34-B8F2-4CE7-B36A-8AF88E5F4C89}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{C8DC00B1-BC88-4E7E-85EF-D1B7920585B7}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{F49007C9-0963-47C6-BA69-01F2004D8F09}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{F58D99A5-7EA2-4DC3-9591-BA897940E814}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{F8A0DD48-37A5-46C8-8FA8-8DA6AA42D506}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2C1F06-4F1C-43E1-B203-4925A54FE2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CC48A34-B8F2-4CE7-B36A-8AF88E5F4C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8DC00B1-BC88-4E7E-85EF-D1B7920585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49007C9-0963-47C6-BA69-01F2004D8F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58D99A5-7EA2-4DC3-9591-BA897940E81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F8A0DD48-37A5-46C8-8FA8-8DA6AA42D50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53"/>
  <sheetViews>
    <sheetView showGridLines="0" rightToLeft="1" topLeftCell="Z1" zoomScale="85" zoomScaleNormal="85" workbookViewId="0">
      <selection activeCell="AC53" sqref="AC53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3770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3770</v>
      </c>
      <c r="X2" s="8">
        <v>28.67</v>
      </c>
      <c r="Y2" s="8">
        <v>6.31</v>
      </c>
      <c r="Z2" s="9">
        <v>8.49</v>
      </c>
      <c r="AA2" s="8">
        <v>2365.5</v>
      </c>
      <c r="AB2" s="8">
        <v>71</v>
      </c>
      <c r="AC2" s="21" t="s">
        <v>3770</v>
      </c>
      <c r="AD2" s="8" t="s">
        <v>3994</v>
      </c>
      <c r="AE2" s="8" t="s">
        <v>4287</v>
      </c>
      <c r="AF2" s="9">
        <f t="shared" ref="AF2:AF33" si="0">(AA2*Y2)</f>
        <v>14926.304999999998</v>
      </c>
      <c r="AG2" s="9">
        <f t="shared" ref="AG2:AG33" si="1">((((RIGHT(Z2,2))/60)+(LEFT(Z2,2)))*AA2)</f>
        <v>20855.825000000001</v>
      </c>
      <c r="AH2" s="9">
        <f t="shared" ref="AH2:AH33" si="2">(AA2/$AA$53)*100</f>
        <v>36.17746918300552</v>
      </c>
      <c r="AI2" s="9">
        <f t="shared" ref="AI2:AI33" si="3">(AH2*AH2)</f>
        <v>1308.809276487314</v>
      </c>
      <c r="AJ2" s="9">
        <f t="shared" ref="AJ2:AJ33" si="4">(AF2/$AF$53)*100</f>
        <v>43.245855895386917</v>
      </c>
      <c r="AK2" s="9">
        <f t="shared" ref="AK2:AK33" si="5">(AJ2*AJ2)</f>
        <v>1870.2040521245715</v>
      </c>
      <c r="AL2" s="9">
        <f t="shared" ref="AL2:AL33" si="6">(AG2/$AG$53)*100</f>
        <v>47.907843518843151</v>
      </c>
      <c r="AM2" s="9">
        <f t="shared" ref="AM2:AM33" si="7">(AL2*AL2)</f>
        <v>2295.1614706259616</v>
      </c>
      <c r="AN2" s="8" t="s">
        <v>3770</v>
      </c>
    </row>
    <row r="3" spans="8:40" ht="23">
      <c r="M3" s="8" t="s">
        <v>588</v>
      </c>
      <c r="N3" s="8" t="s">
        <v>150</v>
      </c>
      <c r="O3" s="8"/>
      <c r="P3" s="8" t="s">
        <v>3693</v>
      </c>
      <c r="Q3" s="8"/>
      <c r="R3" s="8"/>
      <c r="S3" s="8"/>
      <c r="T3" s="8"/>
      <c r="U3" s="8"/>
      <c r="V3" s="8"/>
      <c r="W3" s="8" t="s">
        <v>588</v>
      </c>
      <c r="X3" s="8">
        <v>16.559999999999999</v>
      </c>
      <c r="Y3" s="8">
        <v>6.02</v>
      </c>
      <c r="Z3" s="9">
        <v>7.01</v>
      </c>
      <c r="AA3" s="8">
        <v>729.5</v>
      </c>
      <c r="AB3" s="8">
        <v>357</v>
      </c>
      <c r="AC3" s="21" t="s">
        <v>588</v>
      </c>
      <c r="AD3" s="8" t="s">
        <v>3994</v>
      </c>
      <c r="AE3" s="8" t="s">
        <v>4287</v>
      </c>
      <c r="AF3" s="9">
        <f t="shared" si="0"/>
        <v>4391.5899999999992</v>
      </c>
      <c r="AG3" s="9">
        <f t="shared" si="1"/>
        <v>5118.6583333333328</v>
      </c>
      <c r="AH3" s="9">
        <f t="shared" si="2"/>
        <v>11.156822561404576</v>
      </c>
      <c r="AI3" s="9">
        <f t="shared" si="3"/>
        <v>124.47468966666617</v>
      </c>
      <c r="AJ3" s="9">
        <f t="shared" si="4"/>
        <v>12.723716170319596</v>
      </c>
      <c r="AK3" s="9">
        <f t="shared" si="5"/>
        <v>161.89295318285238</v>
      </c>
      <c r="AL3" s="9">
        <f t="shared" si="6"/>
        <v>11.75805236473531</v>
      </c>
      <c r="AM3" s="9">
        <f t="shared" si="7"/>
        <v>138.25179541185761</v>
      </c>
      <c r="AN3" s="8" t="s">
        <v>588</v>
      </c>
    </row>
    <row r="4" spans="8:40" ht="22" customHeight="1">
      <c r="M4" s="8" t="s">
        <v>402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402</v>
      </c>
      <c r="X4" s="8">
        <v>39.03</v>
      </c>
      <c r="Y4" s="8">
        <v>2.66</v>
      </c>
      <c r="Z4" s="9">
        <v>4.53</v>
      </c>
      <c r="AA4" s="8">
        <v>933.1</v>
      </c>
      <c r="AB4" s="8">
        <v>351</v>
      </c>
      <c r="AC4" s="21" t="s">
        <v>402</v>
      </c>
      <c r="AD4" s="8" t="s">
        <v>3994</v>
      </c>
      <c r="AE4" s="8" t="s">
        <v>4287</v>
      </c>
      <c r="AF4" s="9">
        <f t="shared" si="0"/>
        <v>2482.0460000000003</v>
      </c>
      <c r="AG4" s="9">
        <f t="shared" si="1"/>
        <v>4556.6383333333333</v>
      </c>
      <c r="AH4" s="9">
        <f t="shared" si="2"/>
        <v>14.270638974704058</v>
      </c>
      <c r="AI4" s="9">
        <f t="shared" si="3"/>
        <v>203.65113674634247</v>
      </c>
      <c r="AJ4" s="9">
        <f t="shared" si="4"/>
        <v>7.1912106607577391</v>
      </c>
      <c r="AK4" s="9">
        <f t="shared" si="5"/>
        <v>51.713510767395761</v>
      </c>
      <c r="AL4" s="9">
        <f t="shared" si="6"/>
        <v>10.467038165370854</v>
      </c>
      <c r="AM4" s="9">
        <f t="shared" si="7"/>
        <v>109.55888795533005</v>
      </c>
      <c r="AN4" s="8" t="s">
        <v>402</v>
      </c>
    </row>
    <row r="5" spans="8:40" ht="24.5" customHeight="1">
      <c r="M5" s="9" t="s">
        <v>2616</v>
      </c>
      <c r="N5" s="8" t="s">
        <v>150</v>
      </c>
      <c r="O5" s="8"/>
      <c r="P5" s="8" t="s">
        <v>3695</v>
      </c>
      <c r="Q5" s="8"/>
      <c r="R5" s="8"/>
      <c r="S5" s="8"/>
      <c r="T5" s="8"/>
      <c r="U5" s="8"/>
      <c r="V5" s="8"/>
      <c r="W5" s="9" t="s">
        <v>2616</v>
      </c>
      <c r="X5" s="8">
        <v>17.059999999999999</v>
      </c>
      <c r="Y5" s="8">
        <v>4.51</v>
      </c>
      <c r="Z5" s="9">
        <v>7.38</v>
      </c>
      <c r="AA5" s="8">
        <v>488.4</v>
      </c>
      <c r="AB5" s="8">
        <v>330</v>
      </c>
      <c r="AC5" s="22" t="s">
        <v>2616</v>
      </c>
      <c r="AD5" s="8" t="s">
        <v>3994</v>
      </c>
      <c r="AE5" s="8" t="s">
        <v>4287</v>
      </c>
      <c r="AF5" s="9">
        <f t="shared" si="0"/>
        <v>2202.6839999999997</v>
      </c>
      <c r="AG5" s="9">
        <f t="shared" si="1"/>
        <v>3728.1199999999994</v>
      </c>
      <c r="AH5" s="9">
        <f t="shared" si="2"/>
        <v>7.4694888814119187</v>
      </c>
      <c r="AI5" s="9">
        <f t="shared" si="3"/>
        <v>55.793264149536277</v>
      </c>
      <c r="AJ5" s="9">
        <f t="shared" si="4"/>
        <v>6.3818175259767536</v>
      </c>
      <c r="AK5" s="9">
        <f t="shared" si="5"/>
        <v>40.727594934864051</v>
      </c>
      <c r="AL5" s="9">
        <f t="shared" si="6"/>
        <v>8.563851565664244</v>
      </c>
      <c r="AM5" s="9">
        <f t="shared" si="7"/>
        <v>73.339553638729925</v>
      </c>
      <c r="AN5" s="9" t="s">
        <v>2616</v>
      </c>
    </row>
    <row r="6" spans="8:40" ht="22" customHeight="1">
      <c r="M6" s="8" t="s">
        <v>3970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3970</v>
      </c>
      <c r="X6" s="8">
        <v>38.869999999999997</v>
      </c>
      <c r="Y6" s="8">
        <v>5.07</v>
      </c>
      <c r="Z6" s="9">
        <v>5.24</v>
      </c>
      <c r="AA6" s="8">
        <v>627.70000000000005</v>
      </c>
      <c r="AB6" s="8">
        <v>422</v>
      </c>
      <c r="AC6" s="21" t="s">
        <v>3970</v>
      </c>
      <c r="AD6" s="8" t="s">
        <v>3994</v>
      </c>
      <c r="AE6" s="8" t="s">
        <v>4287</v>
      </c>
      <c r="AF6" s="9">
        <f t="shared" si="0"/>
        <v>3182.4390000000003</v>
      </c>
      <c r="AG6" s="9">
        <f t="shared" si="1"/>
        <v>3389.5800000000004</v>
      </c>
      <c r="AH6" s="9">
        <f t="shared" si="2"/>
        <v>9.5999143547548371</v>
      </c>
      <c r="AI6" s="9">
        <f t="shared" si="3"/>
        <v>92.158355618627979</v>
      </c>
      <c r="AJ6" s="9">
        <f t="shared" si="4"/>
        <v>9.2204533131179662</v>
      </c>
      <c r="AK6" s="9">
        <f t="shared" si="5"/>
        <v>85.016759299388085</v>
      </c>
      <c r="AL6" s="9">
        <f t="shared" si="6"/>
        <v>7.7861925018358367</v>
      </c>
      <c r="AM6" s="9">
        <f t="shared" si="7"/>
        <v>60.624793675644604</v>
      </c>
      <c r="AN6" s="8" t="s">
        <v>3970</v>
      </c>
    </row>
    <row r="7" spans="8:40" ht="23">
      <c r="M7" s="8" t="s">
        <v>4507</v>
      </c>
      <c r="N7" s="8" t="s">
        <v>150</v>
      </c>
      <c r="O7" s="8"/>
      <c r="P7" s="8" t="s">
        <v>3693</v>
      </c>
      <c r="Q7" s="8"/>
      <c r="R7" s="8"/>
      <c r="S7" s="8"/>
      <c r="T7" s="8"/>
      <c r="U7" s="8"/>
      <c r="V7" s="8"/>
      <c r="W7" s="8" t="s">
        <v>4507</v>
      </c>
      <c r="X7" s="8">
        <v>16.940000000000001</v>
      </c>
      <c r="Y7" s="8">
        <v>4.2699999999999996</v>
      </c>
      <c r="Z7" s="9">
        <v>9.3699999999999992</v>
      </c>
      <c r="AA7" s="8">
        <v>172.9</v>
      </c>
      <c r="AB7" s="8">
        <v>812</v>
      </c>
      <c r="AC7" s="21" t="s">
        <v>4507</v>
      </c>
      <c r="AD7" s="8" t="s">
        <v>3994</v>
      </c>
      <c r="AE7" s="8" t="s">
        <v>4287</v>
      </c>
      <c r="AF7" s="9">
        <f t="shared" si="0"/>
        <v>738.2829999999999</v>
      </c>
      <c r="AG7" s="9">
        <f t="shared" si="1"/>
        <v>1662.7216666666668</v>
      </c>
      <c r="AH7" s="9">
        <f t="shared" si="2"/>
        <v>2.644296944300002</v>
      </c>
      <c r="AI7" s="9">
        <f t="shared" si="3"/>
        <v>6.992306329634328</v>
      </c>
      <c r="AJ7" s="9">
        <f t="shared" si="4"/>
        <v>2.1390210254992068</v>
      </c>
      <c r="AK7" s="9">
        <f t="shared" si="5"/>
        <v>4.5754109475276783</v>
      </c>
      <c r="AL7" s="9">
        <f t="shared" si="6"/>
        <v>3.8194321932628776</v>
      </c>
      <c r="AM7" s="9">
        <f t="shared" si="7"/>
        <v>14.588062278932876</v>
      </c>
      <c r="AN7" s="8" t="s">
        <v>4507</v>
      </c>
    </row>
    <row r="8" spans="8:40" ht="23">
      <c r="M8" s="9" t="s">
        <v>4015</v>
      </c>
      <c r="N8" s="8" t="s">
        <v>150</v>
      </c>
      <c r="O8" s="8"/>
      <c r="P8" s="8" t="s">
        <v>3693</v>
      </c>
      <c r="Q8" s="8"/>
      <c r="R8" s="8"/>
      <c r="S8" s="8"/>
      <c r="T8" s="8"/>
      <c r="U8" s="8"/>
      <c r="V8" s="8"/>
      <c r="W8" s="9" t="s">
        <v>4015</v>
      </c>
      <c r="X8" s="8">
        <v>7.35</v>
      </c>
      <c r="Y8" s="8">
        <v>4.84</v>
      </c>
      <c r="Z8" s="9">
        <v>5.14</v>
      </c>
      <c r="AA8" s="8">
        <v>151.4</v>
      </c>
      <c r="AB8" s="8">
        <v>1712</v>
      </c>
      <c r="AC8" s="22" t="s">
        <v>4015</v>
      </c>
      <c r="AD8" s="8" t="s">
        <v>3994</v>
      </c>
      <c r="AE8" s="8" t="s">
        <v>4287</v>
      </c>
      <c r="AF8" s="9">
        <f t="shared" si="0"/>
        <v>732.77599999999995</v>
      </c>
      <c r="AG8" s="9">
        <f t="shared" si="1"/>
        <v>792.32666666666671</v>
      </c>
      <c r="AH8" s="9">
        <f t="shared" si="2"/>
        <v>2.3154803780625812</v>
      </c>
      <c r="AI8" s="9">
        <f t="shared" si="3"/>
        <v>5.3614493811928341</v>
      </c>
      <c r="AJ8" s="9">
        <f t="shared" si="4"/>
        <v>2.123065641469744</v>
      </c>
      <c r="AK8" s="9">
        <f t="shared" si="5"/>
        <v>4.5074077179893353</v>
      </c>
      <c r="AL8" s="9">
        <f t="shared" si="6"/>
        <v>1.8200508473039674</v>
      </c>
      <c r="AM8" s="9">
        <f t="shared" si="7"/>
        <v>3.3125850867718896</v>
      </c>
      <c r="AN8" s="9" t="s">
        <v>4015</v>
      </c>
    </row>
    <row r="9" spans="8:40" ht="23">
      <c r="M9" s="8" t="s">
        <v>1093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1093</v>
      </c>
      <c r="X9" s="8">
        <v>21.63</v>
      </c>
      <c r="Y9" s="8">
        <v>6.76</v>
      </c>
      <c r="Z9" s="9">
        <v>2.5299999999999998</v>
      </c>
      <c r="AA9" s="8">
        <v>213.7</v>
      </c>
      <c r="AB9" s="8">
        <v>993</v>
      </c>
      <c r="AC9" s="21" t="s">
        <v>1093</v>
      </c>
      <c r="AD9" s="8" t="s">
        <v>3994</v>
      </c>
      <c r="AE9" s="8" t="s">
        <v>4287</v>
      </c>
      <c r="AF9" s="9">
        <f t="shared" si="0"/>
        <v>1444.6119999999999</v>
      </c>
      <c r="AG9" s="9">
        <f t="shared" si="1"/>
        <v>616.16833333333329</v>
      </c>
      <c r="AH9" s="9">
        <f t="shared" si="2"/>
        <v>3.2682837304621764</v>
      </c>
      <c r="AI9" s="9">
        <f t="shared" si="3"/>
        <v>10.681678542803759</v>
      </c>
      <c r="AJ9" s="9">
        <f t="shared" si="4"/>
        <v>4.1854619999220635</v>
      </c>
      <c r="AK9" s="9">
        <f t="shared" si="5"/>
        <v>17.518092152791599</v>
      </c>
      <c r="AL9" s="9">
        <f t="shared" si="6"/>
        <v>1.4153981486994505</v>
      </c>
      <c r="AM9" s="9">
        <f t="shared" si="7"/>
        <v>2.0033519193418319</v>
      </c>
      <c r="AN9" s="8" t="s">
        <v>1093</v>
      </c>
    </row>
    <row r="10" spans="8:40" ht="23">
      <c r="M10" s="8" t="s">
        <v>4506</v>
      </c>
      <c r="N10" s="8" t="s">
        <v>150</v>
      </c>
      <c r="O10" s="8"/>
      <c r="P10" s="8" t="s">
        <v>4684</v>
      </c>
      <c r="Q10" s="8"/>
      <c r="R10" s="8"/>
      <c r="S10" s="8"/>
      <c r="T10" s="8"/>
      <c r="U10" s="8"/>
      <c r="V10" s="8"/>
      <c r="W10" s="8" t="s">
        <v>4506</v>
      </c>
      <c r="X10" s="8">
        <v>13.2</v>
      </c>
      <c r="Y10" s="8">
        <v>9.59</v>
      </c>
      <c r="Z10" s="9">
        <v>2.4300000000000002</v>
      </c>
      <c r="AA10" s="8">
        <v>221</v>
      </c>
      <c r="AB10" s="8">
        <v>1694</v>
      </c>
      <c r="AC10" s="21" t="s">
        <v>4506</v>
      </c>
      <c r="AD10" s="8" t="s">
        <v>3994</v>
      </c>
      <c r="AE10" s="8" t="s">
        <v>4287</v>
      </c>
      <c r="AF10" s="9">
        <f t="shared" si="0"/>
        <v>2119.39</v>
      </c>
      <c r="AG10" s="9">
        <f t="shared" si="1"/>
        <v>600.38333333333333</v>
      </c>
      <c r="AH10" s="9">
        <f t="shared" si="2"/>
        <v>3.3799284250451151</v>
      </c>
      <c r="AI10" s="9">
        <f t="shared" si="3"/>
        <v>11.423916158427952</v>
      </c>
      <c r="AJ10" s="9">
        <f t="shared" si="4"/>
        <v>6.1404905317239651</v>
      </c>
      <c r="AK10" s="9">
        <f t="shared" si="5"/>
        <v>37.705623970191667</v>
      </c>
      <c r="AL10" s="9">
        <f t="shared" si="6"/>
        <v>1.3791384797606798</v>
      </c>
      <c r="AM10" s="9">
        <f t="shared" si="7"/>
        <v>1.902022946356599</v>
      </c>
      <c r="AN10" s="8" t="s">
        <v>4506</v>
      </c>
    </row>
    <row r="11" spans="8:40" ht="23">
      <c r="M11" s="9" t="s">
        <v>2159</v>
      </c>
      <c r="N11" s="8" t="s">
        <v>150</v>
      </c>
      <c r="O11" s="8"/>
      <c r="P11" s="8" t="s">
        <v>3694</v>
      </c>
      <c r="Q11" s="8"/>
      <c r="R11" s="8"/>
      <c r="S11" s="8"/>
      <c r="T11" s="8"/>
      <c r="U11" s="8"/>
      <c r="V11" s="8"/>
      <c r="W11" s="9" t="s">
        <v>2159</v>
      </c>
      <c r="X11" s="8">
        <v>23.09</v>
      </c>
      <c r="Y11" s="8">
        <v>3.24</v>
      </c>
      <c r="Z11" s="9">
        <v>2.5299999999999998</v>
      </c>
      <c r="AA11" s="8">
        <v>162.6</v>
      </c>
      <c r="AB11" s="8">
        <v>1811</v>
      </c>
      <c r="AC11" s="22" t="s">
        <v>2159</v>
      </c>
      <c r="AD11" s="8" t="s">
        <v>3994</v>
      </c>
      <c r="AE11" s="8" t="s">
        <v>4287</v>
      </c>
      <c r="AF11" s="9">
        <f t="shared" si="0"/>
        <v>526.82400000000007</v>
      </c>
      <c r="AG11" s="9">
        <f t="shared" si="1"/>
        <v>468.83</v>
      </c>
      <c r="AH11" s="9">
        <f t="shared" si="2"/>
        <v>2.4867708683816097</v>
      </c>
      <c r="AI11" s="9">
        <f t="shared" si="3"/>
        <v>6.1840293518314251</v>
      </c>
      <c r="AJ11" s="9">
        <f t="shared" si="4"/>
        <v>1.5263626722240584</v>
      </c>
      <c r="AK11" s="9">
        <f t="shared" si="5"/>
        <v>2.3297830071589685</v>
      </c>
      <c r="AL11" s="9">
        <f t="shared" si="6"/>
        <v>1.076947772477916</v>
      </c>
      <c r="AM11" s="9">
        <f t="shared" si="7"/>
        <v>1.159816504645145</v>
      </c>
      <c r="AN11" s="9" t="s">
        <v>2159</v>
      </c>
    </row>
    <row r="12" spans="8:40" ht="23">
      <c r="M12" s="8" t="s">
        <v>570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570</v>
      </c>
      <c r="X12" s="8">
        <v>17.22</v>
      </c>
      <c r="Y12" s="8">
        <v>5.58</v>
      </c>
      <c r="Z12" s="9">
        <v>5.0599999999999996</v>
      </c>
      <c r="AA12" s="8">
        <v>62.6</v>
      </c>
      <c r="AB12" s="8">
        <v>2721</v>
      </c>
      <c r="AC12" s="21" t="s">
        <v>570</v>
      </c>
      <c r="AD12" s="8" t="s">
        <v>3994</v>
      </c>
      <c r="AE12" s="8" t="s">
        <v>4287</v>
      </c>
      <c r="AF12" s="9">
        <f t="shared" si="0"/>
        <v>349.30799999999999</v>
      </c>
      <c r="AG12" s="9">
        <f t="shared" si="1"/>
        <v>319.26</v>
      </c>
      <c r="AH12" s="9">
        <f t="shared" si="2"/>
        <v>0.95739149053314121</v>
      </c>
      <c r="AI12" s="9">
        <f t="shared" si="3"/>
        <v>0.91659846614526985</v>
      </c>
      <c r="AJ12" s="9">
        <f t="shared" si="4"/>
        <v>1.0120470827244796</v>
      </c>
      <c r="AK12" s="9">
        <f t="shared" si="5"/>
        <v>1.0242392976511296</v>
      </c>
      <c r="AL12" s="9">
        <f t="shared" si="6"/>
        <v>0.73337104247019069</v>
      </c>
      <c r="AM12" s="9">
        <f t="shared" si="7"/>
        <v>0.53783308593381429</v>
      </c>
      <c r="AN12" s="8" t="s">
        <v>570</v>
      </c>
    </row>
    <row r="13" spans="8:40" ht="23">
      <c r="M13" s="8" t="s">
        <v>707</v>
      </c>
      <c r="N13" s="8" t="s">
        <v>150</v>
      </c>
      <c r="O13" s="8"/>
      <c r="P13" s="8" t="s">
        <v>3693</v>
      </c>
      <c r="Q13" s="8"/>
      <c r="R13" s="8"/>
      <c r="S13" s="8"/>
      <c r="T13" s="8"/>
      <c r="U13" s="8"/>
      <c r="V13" s="8"/>
      <c r="W13" s="8" t="s">
        <v>707</v>
      </c>
      <c r="X13" s="8">
        <v>13.94</v>
      </c>
      <c r="Y13" s="8">
        <v>13.65</v>
      </c>
      <c r="Z13" s="9">
        <v>17.53</v>
      </c>
      <c r="AA13" s="8">
        <v>17.100000000000001</v>
      </c>
      <c r="AB13" s="8">
        <v>3682</v>
      </c>
      <c r="AC13" s="21" t="s">
        <v>707</v>
      </c>
      <c r="AD13" s="8" t="s">
        <v>3994</v>
      </c>
      <c r="AE13" s="8" t="s">
        <v>4287</v>
      </c>
      <c r="AF13" s="9">
        <f t="shared" si="0"/>
        <v>233.41500000000002</v>
      </c>
      <c r="AG13" s="9">
        <f t="shared" si="1"/>
        <v>305.80500000000001</v>
      </c>
      <c r="AH13" s="9">
        <f t="shared" si="2"/>
        <v>0.26152387361208812</v>
      </c>
      <c r="AI13" s="9">
        <f t="shared" si="3"/>
        <v>6.8394736469071446E-2</v>
      </c>
      <c r="AJ13" s="9">
        <f t="shared" si="4"/>
        <v>0.67627128440841455</v>
      </c>
      <c r="AK13" s="9">
        <f t="shared" si="5"/>
        <v>0.45734285011540671</v>
      </c>
      <c r="AL13" s="9">
        <f t="shared" si="6"/>
        <v>0.70246360847771927</v>
      </c>
      <c r="AM13" s="9">
        <f t="shared" si="7"/>
        <v>0.49345512123553847</v>
      </c>
      <c r="AN13" s="8" t="s">
        <v>707</v>
      </c>
    </row>
    <row r="14" spans="8:40" ht="23">
      <c r="M14" s="8" t="s">
        <v>5220</v>
      </c>
      <c r="N14" s="8" t="s">
        <v>150</v>
      </c>
      <c r="O14" s="8"/>
      <c r="P14" s="8" t="s">
        <v>3692</v>
      </c>
      <c r="Q14" s="8"/>
      <c r="R14" s="8"/>
      <c r="S14" s="8"/>
      <c r="T14" s="8"/>
      <c r="U14" s="8"/>
      <c r="V14" s="8"/>
      <c r="W14" s="8" t="s">
        <v>5220</v>
      </c>
      <c r="X14" s="8">
        <v>15.84</v>
      </c>
      <c r="Y14" s="8">
        <v>11.6</v>
      </c>
      <c r="Z14" s="9">
        <v>13.35</v>
      </c>
      <c r="AA14" s="8">
        <v>9.6999999999999993</v>
      </c>
      <c r="AB14" s="8">
        <v>6115</v>
      </c>
      <c r="AC14" s="21" t="s">
        <v>5220</v>
      </c>
      <c r="AD14" s="8" t="s">
        <v>3994</v>
      </c>
      <c r="AE14" s="8" t="s">
        <v>4287</v>
      </c>
      <c r="AF14" s="9">
        <f t="shared" si="0"/>
        <v>112.51999999999998</v>
      </c>
      <c r="AG14" s="9">
        <f t="shared" si="1"/>
        <v>131.75833333333333</v>
      </c>
      <c r="AH14" s="9">
        <f t="shared" si="2"/>
        <v>0.14834979965130141</v>
      </c>
      <c r="AI14" s="9">
        <f t="shared" si="3"/>
        <v>2.2007663056581268E-2</v>
      </c>
      <c r="AJ14" s="9">
        <f t="shared" si="4"/>
        <v>0.3260032342464485</v>
      </c>
      <c r="AK14" s="9">
        <f t="shared" si="5"/>
        <v>0.10627810873914477</v>
      </c>
      <c r="AL14" s="9">
        <f t="shared" si="6"/>
        <v>0.3026616120741763</v>
      </c>
      <c r="AM14" s="9">
        <f t="shared" si="7"/>
        <v>9.1604051423339175E-2</v>
      </c>
      <c r="AN14" s="8" t="s">
        <v>5220</v>
      </c>
    </row>
    <row r="15" spans="8:40" ht="23">
      <c r="M15" s="8" t="s">
        <v>718</v>
      </c>
      <c r="N15" s="8" t="s">
        <v>150</v>
      </c>
      <c r="O15" s="8"/>
      <c r="P15" s="8" t="s">
        <v>3691</v>
      </c>
      <c r="Q15" s="8"/>
      <c r="R15" s="8"/>
      <c r="S15" s="8"/>
      <c r="T15" s="8"/>
      <c r="U15" s="8"/>
      <c r="V15" s="8"/>
      <c r="W15" s="8" t="s">
        <v>718</v>
      </c>
      <c r="X15" s="8">
        <v>11.96</v>
      </c>
      <c r="Y15" s="8">
        <v>6.11</v>
      </c>
      <c r="Z15" s="9">
        <v>6.15</v>
      </c>
      <c r="AA15" s="8">
        <v>18.3</v>
      </c>
      <c r="AB15" s="8">
        <v>4463</v>
      </c>
      <c r="AC15" s="21" t="s">
        <v>718</v>
      </c>
      <c r="AD15" s="8" t="s">
        <v>3994</v>
      </c>
      <c r="AE15" s="8" t="s">
        <v>4287</v>
      </c>
      <c r="AF15" s="9">
        <f t="shared" si="0"/>
        <v>111.81300000000002</v>
      </c>
      <c r="AG15" s="9">
        <f t="shared" si="1"/>
        <v>114.375</v>
      </c>
      <c r="AH15" s="9">
        <f t="shared" si="2"/>
        <v>0.27987642614626967</v>
      </c>
      <c r="AI15" s="9">
        <f t="shared" si="3"/>
        <v>7.8330813912408342E-2</v>
      </c>
      <c r="AJ15" s="9">
        <f t="shared" si="4"/>
        <v>0.32395484918946105</v>
      </c>
      <c r="AK15" s="9">
        <f t="shared" si="5"/>
        <v>0.10494674431336645</v>
      </c>
      <c r="AL15" s="9">
        <f t="shared" si="6"/>
        <v>0.26273041716008289</v>
      </c>
      <c r="AM15" s="9">
        <f t="shared" si="7"/>
        <v>6.9027272101111176E-2</v>
      </c>
      <c r="AN15" s="8" t="s">
        <v>718</v>
      </c>
    </row>
    <row r="16" spans="8:40" ht="23">
      <c r="M16" s="8" t="s">
        <v>572</v>
      </c>
      <c r="N16" s="8" t="s">
        <v>150</v>
      </c>
      <c r="O16" s="8"/>
      <c r="P16" s="8" t="s">
        <v>3705</v>
      </c>
      <c r="Q16" s="8"/>
      <c r="R16" s="8"/>
      <c r="S16" s="8"/>
      <c r="T16" s="8"/>
      <c r="U16" s="8"/>
      <c r="V16" s="8"/>
      <c r="W16" s="8" t="s">
        <v>572</v>
      </c>
      <c r="X16" s="8">
        <v>15.46</v>
      </c>
      <c r="Y16" s="8">
        <v>5.54</v>
      </c>
      <c r="Z16" s="9">
        <v>6.08</v>
      </c>
      <c r="AA16" s="8">
        <v>17</v>
      </c>
      <c r="AB16" s="8">
        <v>5328</v>
      </c>
      <c r="AC16" s="21" t="s">
        <v>572</v>
      </c>
      <c r="AD16" s="8" t="s">
        <v>3994</v>
      </c>
      <c r="AE16" s="8" t="s">
        <v>4287</v>
      </c>
      <c r="AF16" s="9">
        <f t="shared" si="0"/>
        <v>94.18</v>
      </c>
      <c r="AG16" s="9">
        <f t="shared" si="1"/>
        <v>104.26666666666668</v>
      </c>
      <c r="AH16" s="9">
        <f t="shared" si="2"/>
        <v>0.25999449423423965</v>
      </c>
      <c r="AI16" s="9">
        <f t="shared" si="3"/>
        <v>6.7597137032118074E-2</v>
      </c>
      <c r="AJ16" s="9">
        <f t="shared" si="4"/>
        <v>0.27286690900578142</v>
      </c>
      <c r="AK16" s="9">
        <f t="shared" si="5"/>
        <v>7.4456350030369392E-2</v>
      </c>
      <c r="AL16" s="9">
        <f t="shared" si="6"/>
        <v>0.23951059959977833</v>
      </c>
      <c r="AM16" s="9">
        <f t="shared" si="7"/>
        <v>5.7365327320645337E-2</v>
      </c>
      <c r="AN16" s="8" t="s">
        <v>572</v>
      </c>
    </row>
    <row r="17" spans="13:40" ht="23">
      <c r="M17" s="8" t="s">
        <v>1363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1363</v>
      </c>
      <c r="X17" s="8">
        <v>27.89</v>
      </c>
      <c r="Y17" s="8">
        <v>1.53</v>
      </c>
      <c r="Z17" s="9">
        <v>0.42</v>
      </c>
      <c r="AA17" s="8">
        <v>118.8</v>
      </c>
      <c r="AB17" s="8">
        <v>3843</v>
      </c>
      <c r="AC17" s="21" t="s">
        <v>1363</v>
      </c>
      <c r="AD17" s="8" t="s">
        <v>3994</v>
      </c>
      <c r="AE17" s="8" t="s">
        <v>4287</v>
      </c>
      <c r="AF17" s="9">
        <f t="shared" si="0"/>
        <v>181.76400000000001</v>
      </c>
      <c r="AG17" s="9">
        <f t="shared" si="1"/>
        <v>83.16</v>
      </c>
      <c r="AH17" s="9">
        <f t="shared" si="2"/>
        <v>1.8169027008839804</v>
      </c>
      <c r="AI17" s="9">
        <f t="shared" si="3"/>
        <v>3.301135424479503</v>
      </c>
      <c r="AJ17" s="9">
        <f t="shared" si="4"/>
        <v>0.52662328359021937</v>
      </c>
      <c r="AK17" s="9">
        <f t="shared" si="5"/>
        <v>0.27733208281934463</v>
      </c>
      <c r="AL17" s="9">
        <f t="shared" si="6"/>
        <v>0.19102654855547532</v>
      </c>
      <c r="AM17" s="9">
        <f t="shared" si="7"/>
        <v>3.6491142253017368E-2</v>
      </c>
      <c r="AN17" s="8" t="s">
        <v>1363</v>
      </c>
    </row>
    <row r="18" spans="13:40" ht="23">
      <c r="M18" s="8" t="s">
        <v>567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567</v>
      </c>
      <c r="X18" s="8">
        <v>26.12</v>
      </c>
      <c r="Y18" s="8">
        <v>7.61</v>
      </c>
      <c r="Z18" s="9">
        <v>11.46</v>
      </c>
      <c r="AA18" s="8">
        <v>6.8</v>
      </c>
      <c r="AB18" s="8">
        <v>10310</v>
      </c>
      <c r="AC18" s="21" t="s">
        <v>567</v>
      </c>
      <c r="AD18" s="8" t="s">
        <v>3994</v>
      </c>
      <c r="AE18" s="8" t="s">
        <v>4287</v>
      </c>
      <c r="AF18" s="9">
        <f t="shared" si="0"/>
        <v>51.747999999999998</v>
      </c>
      <c r="AG18" s="9">
        <f t="shared" si="1"/>
        <v>80.013333333333335</v>
      </c>
      <c r="AH18" s="9">
        <f t="shared" si="2"/>
        <v>0.10399779769369585</v>
      </c>
      <c r="AI18" s="9">
        <f t="shared" si="3"/>
        <v>1.0815541925138891E-2</v>
      </c>
      <c r="AJ18" s="9">
        <f t="shared" si="4"/>
        <v>0.14992903808909724</v>
      </c>
      <c r="AK18" s="9">
        <f t="shared" si="5"/>
        <v>2.2478716462321972E-2</v>
      </c>
      <c r="AL18" s="9">
        <f t="shared" si="6"/>
        <v>0.18379835143200379</v>
      </c>
      <c r="AM18" s="9">
        <f t="shared" si="7"/>
        <v>3.3781833989122372E-2</v>
      </c>
      <c r="AN18" s="8" t="s">
        <v>567</v>
      </c>
    </row>
    <row r="19" spans="13:40" ht="23">
      <c r="M19" s="8" t="s">
        <v>832</v>
      </c>
      <c r="N19" s="8" t="s">
        <v>150</v>
      </c>
      <c r="O19" s="8"/>
      <c r="P19" s="8" t="s">
        <v>3691</v>
      </c>
      <c r="Q19" s="8"/>
      <c r="R19" s="8"/>
      <c r="S19" s="8"/>
      <c r="T19" s="8"/>
      <c r="U19" s="8"/>
      <c r="V19" s="8"/>
      <c r="W19" s="8" t="s">
        <v>832</v>
      </c>
      <c r="X19" s="8">
        <v>31.96</v>
      </c>
      <c r="Y19" s="8">
        <v>4.57</v>
      </c>
      <c r="Z19" s="9">
        <v>7.47</v>
      </c>
      <c r="AA19" s="8">
        <v>9.4</v>
      </c>
      <c r="AB19" s="8">
        <v>9033</v>
      </c>
      <c r="AC19" s="21" t="s">
        <v>832</v>
      </c>
      <c r="AD19" s="8" t="s">
        <v>3994</v>
      </c>
      <c r="AE19" s="8" t="s">
        <v>4287</v>
      </c>
      <c r="AF19" s="9">
        <f t="shared" si="0"/>
        <v>42.958000000000006</v>
      </c>
      <c r="AG19" s="9">
        <f t="shared" si="1"/>
        <v>73.163333333333341</v>
      </c>
      <c r="AH19" s="9">
        <f t="shared" si="2"/>
        <v>0.14376166151775602</v>
      </c>
      <c r="AI19" s="9">
        <f t="shared" si="3"/>
        <v>2.0667415322345853E-2</v>
      </c>
      <c r="AJ19" s="9">
        <f t="shared" si="4"/>
        <v>0.12446184622075132</v>
      </c>
      <c r="AK19" s="9">
        <f t="shared" si="5"/>
        <v>1.5490751164677951E-2</v>
      </c>
      <c r="AL19" s="9">
        <f t="shared" si="6"/>
        <v>0.16806324010919224</v>
      </c>
      <c r="AM19" s="9">
        <f t="shared" si="7"/>
        <v>2.8245252676000004E-2</v>
      </c>
      <c r="AN19" s="8" t="s">
        <v>832</v>
      </c>
    </row>
    <row r="20" spans="13:40" ht="23">
      <c r="M20" s="8" t="s">
        <v>1291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1291</v>
      </c>
      <c r="X20" s="8">
        <v>36.159999999999997</v>
      </c>
      <c r="Y20" s="8">
        <v>3.07</v>
      </c>
      <c r="Z20" s="9">
        <v>4.03</v>
      </c>
      <c r="AA20" s="8">
        <v>13.3</v>
      </c>
      <c r="AB20" s="8">
        <v>10089</v>
      </c>
      <c r="AC20" s="21" t="s">
        <v>1291</v>
      </c>
      <c r="AD20" s="8" t="s">
        <v>3994</v>
      </c>
      <c r="AE20" s="8" t="s">
        <v>4287</v>
      </c>
      <c r="AF20" s="9">
        <f t="shared" si="0"/>
        <v>40.831000000000003</v>
      </c>
      <c r="AG20" s="9">
        <f t="shared" si="1"/>
        <v>53.865000000000002</v>
      </c>
      <c r="AH20" s="9">
        <f t="shared" si="2"/>
        <v>0.20340745725384632</v>
      </c>
      <c r="AI20" s="9">
        <f t="shared" si="3"/>
        <v>4.1374593666475321E-2</v>
      </c>
      <c r="AJ20" s="9">
        <f t="shared" si="4"/>
        <v>0.11829930730107308</v>
      </c>
      <c r="AK20" s="9">
        <f t="shared" si="5"/>
        <v>1.3994726107913722E-2</v>
      </c>
      <c r="AL20" s="9">
        <f t="shared" si="6"/>
        <v>0.12373310531434199</v>
      </c>
      <c r="AM20" s="9">
        <f t="shared" si="7"/>
        <v>1.5309881350730047E-2</v>
      </c>
      <c r="AN20" s="8" t="s">
        <v>1291</v>
      </c>
    </row>
    <row r="21" spans="13:40" ht="23">
      <c r="M21" s="8" t="s">
        <v>714</v>
      </c>
      <c r="N21" s="8" t="s">
        <v>150</v>
      </c>
      <c r="O21" s="8"/>
      <c r="P21" s="8" t="s">
        <v>3691</v>
      </c>
      <c r="Q21" s="8"/>
      <c r="R21" s="8"/>
      <c r="S21" s="8"/>
      <c r="T21" s="8"/>
      <c r="U21" s="8"/>
      <c r="V21" s="8"/>
      <c r="W21" s="8" t="s">
        <v>714</v>
      </c>
      <c r="X21" s="8">
        <v>5.33</v>
      </c>
      <c r="Y21" s="8">
        <v>3.47</v>
      </c>
      <c r="Z21" s="9">
        <v>2.17</v>
      </c>
      <c r="AA21" s="8">
        <v>19.100000000000001</v>
      </c>
      <c r="AB21" s="8">
        <v>9510</v>
      </c>
      <c r="AC21" s="21" t="s">
        <v>714</v>
      </c>
      <c r="AD21" s="8" t="s">
        <v>3994</v>
      </c>
      <c r="AE21" s="8" t="s">
        <v>4287</v>
      </c>
      <c r="AF21" s="9">
        <f t="shared" si="0"/>
        <v>66.277000000000015</v>
      </c>
      <c r="AG21" s="9">
        <f t="shared" si="1"/>
        <v>43.611666666666665</v>
      </c>
      <c r="AH21" s="9">
        <f t="shared" si="2"/>
        <v>0.29211146116905745</v>
      </c>
      <c r="AI21" s="9">
        <f t="shared" si="3"/>
        <v>8.5329105746321757E-2</v>
      </c>
      <c r="AJ21" s="9">
        <f t="shared" si="4"/>
        <v>0.19202378560390934</v>
      </c>
      <c r="AK21" s="9">
        <f t="shared" si="5"/>
        <v>3.687313423765614E-2</v>
      </c>
      <c r="AL21" s="9">
        <f t="shared" si="6"/>
        <v>0.10018020875523334</v>
      </c>
      <c r="AM21" s="9">
        <f t="shared" si="7"/>
        <v>1.0036074226242132E-2</v>
      </c>
      <c r="AN21" s="8" t="s">
        <v>714</v>
      </c>
    </row>
    <row r="22" spans="13:40" ht="23">
      <c r="M22" s="8" t="s">
        <v>364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8" t="s">
        <v>364</v>
      </c>
      <c r="X22" s="8">
        <v>36.479999999999997</v>
      </c>
      <c r="Y22" s="8">
        <v>3.88</v>
      </c>
      <c r="Z22" s="9">
        <v>5.51</v>
      </c>
      <c r="AA22" s="8">
        <v>6.7</v>
      </c>
      <c r="AB22" s="8">
        <v>15133</v>
      </c>
      <c r="AC22" s="21" t="s">
        <v>364</v>
      </c>
      <c r="AD22" s="8" t="s">
        <v>3994</v>
      </c>
      <c r="AE22" s="8" t="s">
        <v>4287</v>
      </c>
      <c r="AF22" s="9">
        <f t="shared" si="0"/>
        <v>25.995999999999999</v>
      </c>
      <c r="AG22" s="9">
        <f t="shared" si="1"/>
        <v>39.195</v>
      </c>
      <c r="AH22" s="9">
        <f t="shared" si="2"/>
        <v>0.10246841831584737</v>
      </c>
      <c r="AI22" s="9">
        <f t="shared" si="3"/>
        <v>1.0499776752151484E-2</v>
      </c>
      <c r="AJ22" s="9">
        <f t="shared" si="4"/>
        <v>7.5317988601765695E-2</v>
      </c>
      <c r="AK22" s="9">
        <f t="shared" si="5"/>
        <v>5.6727994070157068E-3</v>
      </c>
      <c r="AL22" s="9">
        <f t="shared" si="6"/>
        <v>9.0034699021547093E-2</v>
      </c>
      <c r="AM22" s="9">
        <f t="shared" si="7"/>
        <v>8.1062470279005729E-3</v>
      </c>
      <c r="AN22" s="8" t="s">
        <v>364</v>
      </c>
    </row>
    <row r="23" spans="13:40" ht="23">
      <c r="M23" s="9" t="s">
        <v>2610</v>
      </c>
      <c r="N23" s="8" t="s">
        <v>150</v>
      </c>
      <c r="O23" s="8"/>
      <c r="P23" s="8" t="s">
        <v>3693</v>
      </c>
      <c r="Q23" s="8"/>
      <c r="R23" s="8"/>
      <c r="S23" s="8"/>
      <c r="T23" s="8"/>
      <c r="U23" s="8"/>
      <c r="V23" s="8"/>
      <c r="W23" s="9" t="s">
        <v>2610</v>
      </c>
      <c r="X23" s="8">
        <v>24.07</v>
      </c>
      <c r="Y23" s="8">
        <v>4.32</v>
      </c>
      <c r="Z23" s="9">
        <v>5.38</v>
      </c>
      <c r="AA23" s="8">
        <v>6.5</v>
      </c>
      <c r="AB23" s="8">
        <v>15923</v>
      </c>
      <c r="AC23" s="22" t="s">
        <v>2610</v>
      </c>
      <c r="AD23" s="8" t="s">
        <v>3994</v>
      </c>
      <c r="AE23" s="8" t="s">
        <v>4287</v>
      </c>
      <c r="AF23" s="9">
        <f t="shared" si="0"/>
        <v>28.080000000000002</v>
      </c>
      <c r="AG23" s="9">
        <f t="shared" si="1"/>
        <v>36.61666666666666</v>
      </c>
      <c r="AH23" s="9">
        <f t="shared" si="2"/>
        <v>9.9409659560150437E-2</v>
      </c>
      <c r="AI23" s="9">
        <f t="shared" si="3"/>
        <v>9.8822804138650085E-3</v>
      </c>
      <c r="AJ23" s="9">
        <f t="shared" si="4"/>
        <v>8.1355943988982202E-2</v>
      </c>
      <c r="AK23" s="9">
        <f t="shared" si="5"/>
        <v>6.618789622338409E-3</v>
      </c>
      <c r="AL23" s="9">
        <f t="shared" si="6"/>
        <v>8.4112018433617777E-2</v>
      </c>
      <c r="AM23" s="9">
        <f t="shared" si="7"/>
        <v>7.0748316449772567E-3</v>
      </c>
      <c r="AN23" s="9" t="s">
        <v>2610</v>
      </c>
    </row>
    <row r="24" spans="13:40" ht="23">
      <c r="M24" s="8" t="s">
        <v>728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728</v>
      </c>
      <c r="X24" s="8">
        <v>38.49</v>
      </c>
      <c r="Y24" s="8">
        <v>1.94</v>
      </c>
      <c r="Z24" s="9">
        <v>1.2</v>
      </c>
      <c r="AA24" s="8">
        <v>30.1</v>
      </c>
      <c r="AB24" s="8">
        <v>12015</v>
      </c>
      <c r="AC24" s="21" t="s">
        <v>728</v>
      </c>
      <c r="AD24" s="8" t="s">
        <v>3994</v>
      </c>
      <c r="AE24" s="8" t="s">
        <v>4287</v>
      </c>
      <c r="AF24" s="9">
        <f t="shared" si="0"/>
        <v>58.393999999999998</v>
      </c>
      <c r="AG24" s="9">
        <f t="shared" si="1"/>
        <v>30.200333333333337</v>
      </c>
      <c r="AH24" s="9">
        <f t="shared" si="2"/>
        <v>0.46034319273238905</v>
      </c>
      <c r="AI24" s="9">
        <f t="shared" si="3"/>
        <v>0.21191585509504948</v>
      </c>
      <c r="AJ24" s="9">
        <f t="shared" si="4"/>
        <v>0.16918443708307071</v>
      </c>
      <c r="AK24" s="9">
        <f t="shared" si="5"/>
        <v>2.8623373751115511E-2</v>
      </c>
      <c r="AL24" s="9">
        <f t="shared" si="6"/>
        <v>6.9373081311827095E-2</v>
      </c>
      <c r="AM24" s="9">
        <f t="shared" si="7"/>
        <v>4.8126244106973734E-3</v>
      </c>
      <c r="AN24" s="8" t="s">
        <v>728</v>
      </c>
    </row>
    <row r="25" spans="13:40" ht="23">
      <c r="M25" s="8" t="s">
        <v>316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8" t="s">
        <v>316</v>
      </c>
      <c r="X25" s="8">
        <v>55.16</v>
      </c>
      <c r="Y25" s="8">
        <v>6.61</v>
      </c>
      <c r="Z25" s="9">
        <v>8.23</v>
      </c>
      <c r="AA25" s="8">
        <v>3.6</v>
      </c>
      <c r="AB25" s="8">
        <v>44798</v>
      </c>
      <c r="AC25" s="21" t="s">
        <v>316</v>
      </c>
      <c r="AD25" s="8" t="s">
        <v>3994</v>
      </c>
      <c r="AE25" s="8" t="s">
        <v>4287</v>
      </c>
      <c r="AF25" s="9">
        <f t="shared" si="0"/>
        <v>23.796000000000003</v>
      </c>
      <c r="AG25" s="9">
        <f t="shared" si="1"/>
        <v>30.18</v>
      </c>
      <c r="AH25" s="9">
        <f t="shared" si="2"/>
        <v>5.5057657602544857E-2</v>
      </c>
      <c r="AI25" s="9">
        <f t="shared" si="3"/>
        <v>3.0313456606790657E-3</v>
      </c>
      <c r="AJ25" s="9">
        <f t="shared" si="4"/>
        <v>6.8943947406047743E-2</v>
      </c>
      <c r="AK25" s="9">
        <f t="shared" si="5"/>
        <v>4.7532678839278773E-3</v>
      </c>
      <c r="AL25" s="9">
        <f t="shared" si="6"/>
        <v>6.932637368210974E-2</v>
      </c>
      <c r="AM25" s="9">
        <f t="shared" si="7"/>
        <v>4.8061460879115182E-3</v>
      </c>
      <c r="AN25" s="8" t="s">
        <v>316</v>
      </c>
    </row>
    <row r="26" spans="13:40" ht="23">
      <c r="M26" s="8" t="s">
        <v>597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8" t="s">
        <v>597</v>
      </c>
      <c r="X26" s="8">
        <v>13.47</v>
      </c>
      <c r="Y26" s="8">
        <v>4.6399999999999997</v>
      </c>
      <c r="Z26" s="9">
        <v>6.24</v>
      </c>
      <c r="AA26" s="8">
        <v>4.7</v>
      </c>
      <c r="AB26" s="8">
        <v>19299</v>
      </c>
      <c r="AC26" s="21" t="s">
        <v>597</v>
      </c>
      <c r="AD26" s="8" t="s">
        <v>3994</v>
      </c>
      <c r="AE26" s="8" t="s">
        <v>4287</v>
      </c>
      <c r="AF26" s="9">
        <f t="shared" si="0"/>
        <v>21.808</v>
      </c>
      <c r="AG26" s="9">
        <f t="shared" si="1"/>
        <v>30.080000000000002</v>
      </c>
      <c r="AH26" s="9">
        <f t="shared" si="2"/>
        <v>7.1880830758878009E-2</v>
      </c>
      <c r="AI26" s="9">
        <f t="shared" si="3"/>
        <v>5.1668538305864632E-3</v>
      </c>
      <c r="AJ26" s="9">
        <f t="shared" si="4"/>
        <v>6.3184131998280754E-2</v>
      </c>
      <c r="AK26" s="9">
        <f t="shared" si="5"/>
        <v>3.9922345363761656E-3</v>
      </c>
      <c r="AL26" s="9">
        <f t="shared" si="6"/>
        <v>6.9096664027762128E-2</v>
      </c>
      <c r="AM26" s="9">
        <f t="shared" si="7"/>
        <v>4.7743489797654366E-3</v>
      </c>
      <c r="AN26" s="8" t="s">
        <v>597</v>
      </c>
    </row>
    <row r="27" spans="13:40" ht="23">
      <c r="M27" s="8" t="s">
        <v>1429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1429</v>
      </c>
      <c r="X27" s="8">
        <v>17.53</v>
      </c>
      <c r="Y27" s="8">
        <v>10.29</v>
      </c>
      <c r="Z27" s="9">
        <v>22.07</v>
      </c>
      <c r="AA27" s="8">
        <v>1.1000000000000001</v>
      </c>
      <c r="AB27" s="8">
        <v>36507</v>
      </c>
      <c r="AC27" s="21" t="s">
        <v>1429</v>
      </c>
      <c r="AD27" s="8" t="s">
        <v>3994</v>
      </c>
      <c r="AE27" s="8" t="s">
        <v>4287</v>
      </c>
      <c r="AF27" s="9">
        <f t="shared" si="0"/>
        <v>11.319000000000001</v>
      </c>
      <c r="AG27" s="9">
        <f t="shared" si="1"/>
        <v>24.328333333333337</v>
      </c>
      <c r="AH27" s="9">
        <f t="shared" si="2"/>
        <v>1.6823173156333152E-2</v>
      </c>
      <c r="AI27" s="9">
        <f t="shared" si="3"/>
        <v>2.8301915504796836E-4</v>
      </c>
      <c r="AJ27" s="9">
        <f t="shared" si="4"/>
        <v>3.2794441951968997E-2</v>
      </c>
      <c r="AK27" s="9">
        <f t="shared" si="5"/>
        <v>1.0754754229410641E-3</v>
      </c>
      <c r="AL27" s="9">
        <f t="shared" si="6"/>
        <v>5.5884530408535228E-2</v>
      </c>
      <c r="AM27" s="9">
        <f t="shared" si="7"/>
        <v>3.1230807389824988E-3</v>
      </c>
      <c r="AN27" s="8" t="s">
        <v>1429</v>
      </c>
    </row>
    <row r="28" spans="13:40" ht="23">
      <c r="M28" s="8" t="s">
        <v>735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735</v>
      </c>
      <c r="X28" s="8">
        <v>28.02</v>
      </c>
      <c r="Y28" s="8">
        <v>4.1100000000000003</v>
      </c>
      <c r="Z28" s="9">
        <v>1.59</v>
      </c>
      <c r="AA28" s="8">
        <v>11.1</v>
      </c>
      <c r="AB28" s="8"/>
      <c r="AC28" s="21" t="s">
        <v>735</v>
      </c>
      <c r="AD28" s="8" t="s">
        <v>3994</v>
      </c>
      <c r="AE28" s="8" t="s">
        <v>4287</v>
      </c>
      <c r="AF28" s="9">
        <f t="shared" si="0"/>
        <v>45.621000000000002</v>
      </c>
      <c r="AG28" s="9">
        <f t="shared" si="1"/>
        <v>22.015000000000001</v>
      </c>
      <c r="AH28" s="9">
        <f t="shared" si="2"/>
        <v>0.16976111094117999</v>
      </c>
      <c r="AI28" s="9">
        <f t="shared" si="3"/>
        <v>2.8818834787983621E-2</v>
      </c>
      <c r="AJ28" s="9">
        <f t="shared" si="4"/>
        <v>0.13217733335902265</v>
      </c>
      <c r="AK28" s="9">
        <f t="shared" si="5"/>
        <v>1.7470847453902202E-2</v>
      </c>
      <c r="AL28" s="9">
        <f t="shared" si="6"/>
        <v>5.0570580404627107E-2</v>
      </c>
      <c r="AM28" s="9">
        <f t="shared" si="7"/>
        <v>2.557383602460855E-3</v>
      </c>
      <c r="AN28" s="8" t="s">
        <v>735</v>
      </c>
    </row>
    <row r="29" spans="13:40" ht="23">
      <c r="M29" s="8" t="s">
        <v>1097</v>
      </c>
      <c r="N29" s="8" t="s">
        <v>150</v>
      </c>
      <c r="O29" s="8"/>
      <c r="P29" s="8" t="s">
        <v>3693</v>
      </c>
      <c r="Q29" s="8"/>
      <c r="R29" s="8"/>
      <c r="S29" s="8"/>
      <c r="T29" s="8"/>
      <c r="U29" s="8"/>
      <c r="V29" s="8"/>
      <c r="W29" s="8" t="s">
        <v>1097</v>
      </c>
      <c r="X29" s="8">
        <v>10.43</v>
      </c>
      <c r="Y29" s="8">
        <v>6.55</v>
      </c>
      <c r="Z29" s="9">
        <v>5.13</v>
      </c>
      <c r="AA29" s="8">
        <v>4.0999999999999996</v>
      </c>
      <c r="AB29" s="8">
        <v>17949</v>
      </c>
      <c r="AC29" s="21" t="s">
        <v>1097</v>
      </c>
      <c r="AD29" s="8" t="s">
        <v>3994</v>
      </c>
      <c r="AE29" s="8" t="s">
        <v>4287</v>
      </c>
      <c r="AF29" s="9">
        <f t="shared" si="0"/>
        <v>26.854999999999997</v>
      </c>
      <c r="AG29" s="9">
        <f t="shared" si="1"/>
        <v>21.388333333333332</v>
      </c>
      <c r="AH29" s="9">
        <f t="shared" si="2"/>
        <v>6.2704554491787204E-2</v>
      </c>
      <c r="AI29" s="9">
        <f t="shared" si="3"/>
        <v>3.9318611540135112E-3</v>
      </c>
      <c r="AJ29" s="9">
        <f t="shared" si="4"/>
        <v>7.7806761959548318E-2</v>
      </c>
      <c r="AK29" s="9">
        <f t="shared" si="5"/>
        <v>6.0538922066298148E-3</v>
      </c>
      <c r="AL29" s="9">
        <f t="shared" si="6"/>
        <v>4.9131066570715379E-2</v>
      </c>
      <c r="AM29" s="9">
        <f t="shared" si="7"/>
        <v>2.4138617023760664E-3</v>
      </c>
      <c r="AN29" s="8" t="s">
        <v>1097</v>
      </c>
    </row>
    <row r="30" spans="13:40" ht="23">
      <c r="M30" s="8" t="s">
        <v>1321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1321</v>
      </c>
      <c r="X30" s="8">
        <v>55.57</v>
      </c>
      <c r="Y30" s="8">
        <v>1.84</v>
      </c>
      <c r="Z30" s="9">
        <v>2.08</v>
      </c>
      <c r="AA30" s="8">
        <v>9.3000000000000007</v>
      </c>
      <c r="AB30" s="8">
        <v>14762</v>
      </c>
      <c r="AC30" s="21" t="s">
        <v>1321</v>
      </c>
      <c r="AD30" s="8" t="s">
        <v>3994</v>
      </c>
      <c r="AE30" s="8" t="s">
        <v>4287</v>
      </c>
      <c r="AF30" s="9">
        <f t="shared" si="0"/>
        <v>17.112000000000002</v>
      </c>
      <c r="AG30" s="9">
        <f t="shared" si="1"/>
        <v>19.84</v>
      </c>
      <c r="AH30" s="9">
        <f t="shared" si="2"/>
        <v>0.14223228213990757</v>
      </c>
      <c r="AI30" s="9">
        <f t="shared" si="3"/>
        <v>2.0230022082726271E-2</v>
      </c>
      <c r="AJ30" s="9">
        <f t="shared" si="4"/>
        <v>4.9578451336875481E-2</v>
      </c>
      <c r="AK30" s="9">
        <f t="shared" si="5"/>
        <v>2.4580228369629302E-3</v>
      </c>
      <c r="AL30" s="9">
        <f t="shared" si="6"/>
        <v>4.5574395422566506E-2</v>
      </c>
      <c r="AM30" s="9">
        <f t="shared" si="7"/>
        <v>2.0770255181324507E-3</v>
      </c>
      <c r="AN30" s="8" t="s">
        <v>1321</v>
      </c>
    </row>
    <row r="31" spans="13:40" ht="23">
      <c r="M31" s="8" t="s">
        <v>751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8" t="s">
        <v>751</v>
      </c>
      <c r="X31" s="8">
        <v>31.76</v>
      </c>
      <c r="Y31" s="8">
        <v>2.98</v>
      </c>
      <c r="Z31" s="9">
        <v>3.21</v>
      </c>
      <c r="AA31" s="8">
        <v>5.6</v>
      </c>
      <c r="AB31" s="8">
        <v>18701</v>
      </c>
      <c r="AC31" s="21" t="s">
        <v>751</v>
      </c>
      <c r="AD31" s="8" t="s">
        <v>3994</v>
      </c>
      <c r="AE31" s="8" t="s">
        <v>4287</v>
      </c>
      <c r="AF31" s="9">
        <f t="shared" si="0"/>
        <v>16.687999999999999</v>
      </c>
      <c r="AG31" s="9">
        <f t="shared" si="1"/>
        <v>18.759999999999998</v>
      </c>
      <c r="AH31" s="9">
        <f t="shared" si="2"/>
        <v>8.5645245159514216E-2</v>
      </c>
      <c r="AI31" s="9">
        <f t="shared" si="3"/>
        <v>7.335108018433293E-3</v>
      </c>
      <c r="AJ31" s="9">
        <f t="shared" si="4"/>
        <v>4.8349999760973462E-2</v>
      </c>
      <c r="AK31" s="9">
        <f t="shared" si="5"/>
        <v>2.3377224768861339E-3</v>
      </c>
      <c r="AL31" s="9">
        <f t="shared" si="6"/>
        <v>4.3093531155612277E-2</v>
      </c>
      <c r="AM31" s="9">
        <f t="shared" si="7"/>
        <v>1.8570524274597261E-3</v>
      </c>
      <c r="AN31" s="8" t="s">
        <v>751</v>
      </c>
    </row>
    <row r="32" spans="13:40" ht="23">
      <c r="M32" s="8" t="s">
        <v>736</v>
      </c>
      <c r="N32" s="8" t="s">
        <v>150</v>
      </c>
      <c r="O32" s="8"/>
      <c r="P32" s="8" t="s">
        <v>3693</v>
      </c>
      <c r="Q32" s="8"/>
      <c r="R32" s="8"/>
      <c r="S32" s="8"/>
      <c r="T32" s="8"/>
      <c r="U32" s="8"/>
      <c r="V32" s="8"/>
      <c r="W32" s="8" t="s">
        <v>736</v>
      </c>
      <c r="X32" s="8">
        <v>68.69</v>
      </c>
      <c r="Y32" s="8">
        <v>1.45</v>
      </c>
      <c r="Z32" s="9">
        <v>1.33</v>
      </c>
      <c r="AA32" s="8">
        <v>11.6</v>
      </c>
      <c r="AB32" s="8">
        <v>15797</v>
      </c>
      <c r="AC32" s="21" t="s">
        <v>736</v>
      </c>
      <c r="AD32" s="8" t="s">
        <v>3994</v>
      </c>
      <c r="AE32" s="8" t="s">
        <v>4287</v>
      </c>
      <c r="AF32" s="9">
        <f t="shared" si="0"/>
        <v>16.82</v>
      </c>
      <c r="AG32" s="9">
        <f t="shared" si="1"/>
        <v>17.98</v>
      </c>
      <c r="AH32" s="9">
        <f t="shared" si="2"/>
        <v>0.17740800783042232</v>
      </c>
      <c r="AI32" s="9">
        <f t="shared" si="3"/>
        <v>3.1473601242359185E-2</v>
      </c>
      <c r="AJ32" s="9">
        <f t="shared" si="4"/>
        <v>4.8732442232716541E-2</v>
      </c>
      <c r="AK32" s="9">
        <f t="shared" si="5"/>
        <v>2.3748509259650546E-3</v>
      </c>
      <c r="AL32" s="9">
        <f t="shared" si="6"/>
        <v>4.13017958517009E-2</v>
      </c>
      <c r="AM32" s="9">
        <f t="shared" si="7"/>
        <v>1.7058383405755776E-3</v>
      </c>
      <c r="AN32" s="8" t="s">
        <v>736</v>
      </c>
    </row>
    <row r="33" spans="13:40" ht="23">
      <c r="M33" s="8" t="s">
        <v>966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8" t="s">
        <v>966</v>
      </c>
      <c r="X33" s="8">
        <v>23.33</v>
      </c>
      <c r="Y33" s="8">
        <v>3.17</v>
      </c>
      <c r="Z33" s="9">
        <v>3.15</v>
      </c>
      <c r="AA33" s="8">
        <v>5.4</v>
      </c>
      <c r="AB33" s="8">
        <v>22084</v>
      </c>
      <c r="AC33" s="21" t="s">
        <v>966</v>
      </c>
      <c r="AD33" s="8" t="s">
        <v>3994</v>
      </c>
      <c r="AE33" s="8" t="s">
        <v>4287</v>
      </c>
      <c r="AF33" s="9">
        <f t="shared" si="0"/>
        <v>17.118000000000002</v>
      </c>
      <c r="AG33" s="9">
        <f t="shared" si="1"/>
        <v>17.55</v>
      </c>
      <c r="AH33" s="9">
        <f t="shared" si="2"/>
        <v>8.25864864038173E-2</v>
      </c>
      <c r="AI33" s="9">
        <f t="shared" si="3"/>
        <v>6.8205277365278993E-3</v>
      </c>
      <c r="AJ33" s="9">
        <f t="shared" si="4"/>
        <v>4.9595835085591074E-2</v>
      </c>
      <c r="AK33" s="9">
        <f t="shared" si="5"/>
        <v>2.4597468578371464E-3</v>
      </c>
      <c r="AL33" s="9">
        <f t="shared" si="6"/>
        <v>4.0314044338006158E-2</v>
      </c>
      <c r="AM33" s="9">
        <f t="shared" si="7"/>
        <v>1.6252221708867264E-3</v>
      </c>
      <c r="AN33" s="8" t="s">
        <v>966</v>
      </c>
    </row>
    <row r="34" spans="13:40" ht="23">
      <c r="M34" s="8" t="s">
        <v>1165</v>
      </c>
      <c r="N34" s="8" t="s">
        <v>150</v>
      </c>
      <c r="O34" s="8"/>
      <c r="P34" s="8" t="s">
        <v>3691</v>
      </c>
      <c r="Q34" s="8"/>
      <c r="R34" s="8"/>
      <c r="S34" s="8"/>
      <c r="T34" s="8"/>
      <c r="U34" s="8"/>
      <c r="V34" s="8"/>
      <c r="W34" s="8" t="s">
        <v>1165</v>
      </c>
      <c r="X34" s="8">
        <v>28.3</v>
      </c>
      <c r="Y34" s="8">
        <v>4.04</v>
      </c>
      <c r="Z34" s="9">
        <v>3.39</v>
      </c>
      <c r="AA34" s="8">
        <v>4.5</v>
      </c>
      <c r="AB34" s="8">
        <v>17430</v>
      </c>
      <c r="AC34" s="21" t="s">
        <v>1165</v>
      </c>
      <c r="AD34" s="8" t="s">
        <v>3994</v>
      </c>
      <c r="AE34" s="8" t="s">
        <v>4287</v>
      </c>
      <c r="AF34" s="9">
        <f t="shared" ref="AF34:AF52" si="8">(AA34*Y34)</f>
        <v>18.18</v>
      </c>
      <c r="AG34" s="9">
        <f t="shared" ref="AG34:AG52" si="9">((((RIGHT(Z34,2))/60)+(LEFT(Z34,2)))*AA34)</f>
        <v>16.425000000000001</v>
      </c>
      <c r="AH34" s="9">
        <f t="shared" ref="AH34:AH52" si="10">(AA34/$AA$53)*100</f>
        <v>6.8822072003181078E-2</v>
      </c>
      <c r="AI34" s="9">
        <f t="shared" ref="AI34:AI52" si="11">(AH34*AH34)</f>
        <v>4.7364775948110409E-3</v>
      </c>
      <c r="AJ34" s="9">
        <f t="shared" ref="AJ34:AJ52" si="12">(AF34/$AF$53)*100</f>
        <v>5.267275860825129E-2</v>
      </c>
      <c r="AK34" s="9">
        <f t="shared" ref="AK34:AK52" si="13">(AJ34*AJ34)</f>
        <v>2.7744194994031102E-3</v>
      </c>
      <c r="AL34" s="9">
        <f t="shared" ref="AL34:AL52" si="14">(AG34/$AG$53)*100</f>
        <v>3.7729810726595508E-2</v>
      </c>
      <c r="AM34" s="9">
        <f t="shared" ref="AM34:AM52" si="15">(AL34*AL34)</f>
        <v>1.4235386174647215E-3</v>
      </c>
      <c r="AN34" s="8" t="s">
        <v>1165</v>
      </c>
    </row>
    <row r="35" spans="13:40" ht="23">
      <c r="M35" s="9" t="s">
        <v>2359</v>
      </c>
      <c r="N35" s="8" t="s">
        <v>150</v>
      </c>
      <c r="O35" s="8"/>
      <c r="P35" s="8" t="s">
        <v>3691</v>
      </c>
      <c r="Q35" s="8"/>
      <c r="R35" s="8"/>
      <c r="S35" s="8"/>
      <c r="T35" s="8"/>
      <c r="U35" s="8"/>
      <c r="V35" s="8"/>
      <c r="W35" s="9" t="s">
        <v>2359</v>
      </c>
      <c r="X35" s="8">
        <v>32.54</v>
      </c>
      <c r="Y35" s="8">
        <v>3.44</v>
      </c>
      <c r="Z35" s="9">
        <v>3.39</v>
      </c>
      <c r="AA35" s="8">
        <v>4.2</v>
      </c>
      <c r="AB35" s="8">
        <v>20594</v>
      </c>
      <c r="AC35" s="22" t="s">
        <v>2359</v>
      </c>
      <c r="AD35" s="8" t="s">
        <v>3994</v>
      </c>
      <c r="AE35" s="8" t="s">
        <v>4287</v>
      </c>
      <c r="AF35" s="9">
        <f t="shared" si="8"/>
        <v>14.448</v>
      </c>
      <c r="AG35" s="9">
        <f t="shared" si="9"/>
        <v>15.33</v>
      </c>
      <c r="AH35" s="9">
        <f t="shared" si="10"/>
        <v>6.4233933869635676E-2</v>
      </c>
      <c r="AI35" s="9">
        <f t="shared" si="11"/>
        <v>4.1259982603687288E-3</v>
      </c>
      <c r="AJ35" s="9">
        <f t="shared" si="12"/>
        <v>4.1860066907151522E-2</v>
      </c>
      <c r="AK35" s="9">
        <f t="shared" si="13"/>
        <v>1.7522652014712019E-3</v>
      </c>
      <c r="AL35" s="9">
        <f t="shared" si="14"/>
        <v>3.5214490011489137E-2</v>
      </c>
      <c r="AM35" s="9">
        <f t="shared" si="15"/>
        <v>1.2400603067692683E-3</v>
      </c>
      <c r="AN35" s="9" t="s">
        <v>2359</v>
      </c>
    </row>
    <row r="36" spans="13:40" ht="23">
      <c r="M36" s="8" t="s">
        <v>680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8" t="s">
        <v>680</v>
      </c>
      <c r="X36" s="8">
        <v>25.72</v>
      </c>
      <c r="Y36" s="8">
        <v>4.4000000000000004</v>
      </c>
      <c r="Z36" s="9">
        <v>7.26</v>
      </c>
      <c r="AA36" s="8">
        <v>1.8</v>
      </c>
      <c r="AB36" s="8">
        <v>36411</v>
      </c>
      <c r="AC36" s="21" t="s">
        <v>680</v>
      </c>
      <c r="AD36" s="8" t="s">
        <v>3994</v>
      </c>
      <c r="AE36" s="8" t="s">
        <v>4287</v>
      </c>
      <c r="AF36" s="9">
        <f t="shared" si="8"/>
        <v>7.9200000000000008</v>
      </c>
      <c r="AG36" s="9">
        <f t="shared" si="9"/>
        <v>13.38</v>
      </c>
      <c r="AH36" s="9">
        <f t="shared" si="10"/>
        <v>2.7528828801272429E-2</v>
      </c>
      <c r="AI36" s="9">
        <f t="shared" si="11"/>
        <v>7.5783641516976642E-4</v>
      </c>
      <c r="AJ36" s="9">
        <f t="shared" si="12"/>
        <v>2.2946548304584723E-2</v>
      </c>
      <c r="AK36" s="9">
        <f t="shared" si="13"/>
        <v>5.2654407909464001E-4</v>
      </c>
      <c r="AL36" s="9">
        <f t="shared" si="14"/>
        <v>3.0735151751710679E-2</v>
      </c>
      <c r="AM36" s="9">
        <f t="shared" si="15"/>
        <v>9.4464955320068403E-4</v>
      </c>
      <c r="AN36" s="8" t="s">
        <v>680</v>
      </c>
    </row>
    <row r="37" spans="13:40" ht="23">
      <c r="M37" s="8" t="s">
        <v>615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8" t="s">
        <v>615</v>
      </c>
      <c r="X37" s="8">
        <v>35.86</v>
      </c>
      <c r="Y37" s="8">
        <v>2.82</v>
      </c>
      <c r="Z37" s="9">
        <v>3.35</v>
      </c>
      <c r="AA37" s="8">
        <v>3.7</v>
      </c>
      <c r="AB37" s="8">
        <v>28455</v>
      </c>
      <c r="AC37" s="21" t="s">
        <v>615</v>
      </c>
      <c r="AD37" s="8" t="s">
        <v>3994</v>
      </c>
      <c r="AE37" s="8" t="s">
        <v>4287</v>
      </c>
      <c r="AF37" s="9">
        <f t="shared" si="8"/>
        <v>10.433999999999999</v>
      </c>
      <c r="AG37" s="9">
        <f t="shared" si="9"/>
        <v>13.258333333333335</v>
      </c>
      <c r="AH37" s="9">
        <f t="shared" si="10"/>
        <v>5.6587036980393336E-2</v>
      </c>
      <c r="AI37" s="9">
        <f t="shared" si="11"/>
        <v>3.2020927542204028E-3</v>
      </c>
      <c r="AJ37" s="9">
        <f t="shared" si="12"/>
        <v>3.0230339016418809E-2</v>
      </c>
      <c r="AK37" s="9">
        <f t="shared" si="13"/>
        <v>9.1387339704761337E-4</v>
      </c>
      <c r="AL37" s="9">
        <f t="shared" si="14"/>
        <v>3.0455671672254419E-2</v>
      </c>
      <c r="AM37" s="9">
        <f t="shared" si="15"/>
        <v>9.2754793700816033E-4</v>
      </c>
      <c r="AN37" s="8" t="s">
        <v>615</v>
      </c>
    </row>
    <row r="38" spans="13:40" ht="23">
      <c r="M38" s="8" t="s">
        <v>169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8" t="s">
        <v>169</v>
      </c>
      <c r="X38" s="8">
        <v>5.79</v>
      </c>
      <c r="Y38" s="8">
        <v>2.82</v>
      </c>
      <c r="Z38" s="9">
        <v>3.52</v>
      </c>
      <c r="AA38" s="8">
        <v>3</v>
      </c>
      <c r="AB38" s="8">
        <v>43648</v>
      </c>
      <c r="AC38" s="21" t="s">
        <v>169</v>
      </c>
      <c r="AD38" s="8" t="s">
        <v>3994</v>
      </c>
      <c r="AE38" s="8" t="s">
        <v>4287</v>
      </c>
      <c r="AF38" s="9">
        <f t="shared" si="8"/>
        <v>8.4599999999999991</v>
      </c>
      <c r="AG38" s="9">
        <f t="shared" si="9"/>
        <v>11.6</v>
      </c>
      <c r="AH38" s="9">
        <f t="shared" si="10"/>
        <v>4.5881381335454045E-2</v>
      </c>
      <c r="AI38" s="9">
        <f t="shared" si="11"/>
        <v>2.105101153249351E-3</v>
      </c>
      <c r="AJ38" s="9">
        <f t="shared" si="12"/>
        <v>2.4511085688988223E-2</v>
      </c>
      <c r="AK38" s="9">
        <f t="shared" si="13"/>
        <v>6.0079332165292323E-4</v>
      </c>
      <c r="AL38" s="9">
        <f t="shared" si="14"/>
        <v>2.664631990432316E-2</v>
      </c>
      <c r="AM38" s="9">
        <f t="shared" si="15"/>
        <v>7.1002636444352863E-4</v>
      </c>
      <c r="AN38" s="8" t="s">
        <v>169</v>
      </c>
    </row>
    <row r="39" spans="13:40" ht="23">
      <c r="M39" s="8" t="s">
        <v>698</v>
      </c>
      <c r="N39" s="8" t="s">
        <v>150</v>
      </c>
      <c r="O39" s="8"/>
      <c r="P39" s="8"/>
      <c r="Q39" s="8"/>
      <c r="R39" s="8"/>
      <c r="S39" s="8"/>
      <c r="T39" s="8"/>
      <c r="U39" s="8"/>
      <c r="V39" s="8"/>
      <c r="W39" s="8" t="s">
        <v>698</v>
      </c>
      <c r="X39" s="8">
        <v>50.22</v>
      </c>
      <c r="Y39" s="8">
        <v>2.2000000000000002</v>
      </c>
      <c r="Z39" s="9">
        <v>1.34</v>
      </c>
      <c r="AA39" s="8">
        <v>6</v>
      </c>
      <c r="AB39" s="8">
        <v>17893</v>
      </c>
      <c r="AC39" s="21" t="s">
        <v>698</v>
      </c>
      <c r="AD39" s="8" t="s">
        <v>3994</v>
      </c>
      <c r="AE39" s="8" t="s">
        <v>4287</v>
      </c>
      <c r="AF39" s="9">
        <f t="shared" si="8"/>
        <v>13.200000000000001</v>
      </c>
      <c r="AG39" s="9">
        <f t="shared" si="9"/>
        <v>9.4</v>
      </c>
      <c r="AH39" s="9">
        <f t="shared" si="10"/>
        <v>9.1762762670908091E-2</v>
      </c>
      <c r="AI39" s="9">
        <f t="shared" si="11"/>
        <v>8.420404612997404E-3</v>
      </c>
      <c r="AJ39" s="9">
        <f t="shared" si="12"/>
        <v>3.8244247174307869E-2</v>
      </c>
      <c r="AK39" s="9">
        <f t="shared" si="13"/>
        <v>1.4626224419295555E-3</v>
      </c>
      <c r="AL39" s="9">
        <f t="shared" si="14"/>
        <v>2.1592707508675663E-2</v>
      </c>
      <c r="AM39" s="9">
        <f t="shared" si="15"/>
        <v>4.6624501755521835E-4</v>
      </c>
      <c r="AN39" s="8" t="s">
        <v>698</v>
      </c>
    </row>
    <row r="40" spans="13:40" ht="23">
      <c r="M40" s="8" t="s">
        <v>1530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8" t="s">
        <v>1530</v>
      </c>
      <c r="X40" s="8">
        <v>8.52</v>
      </c>
      <c r="Y40" s="8">
        <v>1.75</v>
      </c>
      <c r="Z40" s="9">
        <v>1.32</v>
      </c>
      <c r="AA40" s="8">
        <v>5.5</v>
      </c>
      <c r="AB40" s="8">
        <v>47834</v>
      </c>
      <c r="AC40" s="21" t="s">
        <v>1530</v>
      </c>
      <c r="AD40" s="8" t="s">
        <v>3994</v>
      </c>
      <c r="AE40" s="8" t="s">
        <v>4287</v>
      </c>
      <c r="AF40" s="9">
        <f t="shared" si="8"/>
        <v>9.625</v>
      </c>
      <c r="AG40" s="9">
        <f t="shared" si="9"/>
        <v>8.4333333333333336</v>
      </c>
      <c r="AH40" s="9">
        <f t="shared" si="10"/>
        <v>8.4115865781665758E-2</v>
      </c>
      <c r="AI40" s="9">
        <f t="shared" si="11"/>
        <v>7.0754788761992083E-3</v>
      </c>
      <c r="AJ40" s="9">
        <f t="shared" si="12"/>
        <v>2.7886430231266152E-2</v>
      </c>
      <c r="AK40" s="9">
        <f t="shared" si="13"/>
        <v>7.7765299104327478E-4</v>
      </c>
      <c r="AL40" s="9">
        <f t="shared" si="14"/>
        <v>1.9372180849982067E-2</v>
      </c>
      <c r="AM40" s="9">
        <f t="shared" si="15"/>
        <v>3.752813908844119E-4</v>
      </c>
      <c r="AN40" s="8" t="s">
        <v>1530</v>
      </c>
    </row>
    <row r="41" spans="13:40" ht="23">
      <c r="M41" s="8" t="s">
        <v>1114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8" t="s">
        <v>1114</v>
      </c>
      <c r="X41" s="8">
        <v>21.66</v>
      </c>
      <c r="Y41" s="8">
        <v>3.43</v>
      </c>
      <c r="Z41" s="9">
        <v>4.2</v>
      </c>
      <c r="AA41" s="8">
        <v>1.9</v>
      </c>
      <c r="AB41" s="8"/>
      <c r="AC41" s="21" t="s">
        <v>1114</v>
      </c>
      <c r="AD41" s="8" t="s">
        <v>3994</v>
      </c>
      <c r="AE41" s="8" t="s">
        <v>4287</v>
      </c>
      <c r="AF41" s="9">
        <f t="shared" si="8"/>
        <v>6.5170000000000003</v>
      </c>
      <c r="AG41" s="9">
        <f t="shared" si="9"/>
        <v>7.6063333333333318</v>
      </c>
      <c r="AH41" s="9">
        <f t="shared" si="10"/>
        <v>2.9058208179120894E-2</v>
      </c>
      <c r="AI41" s="9">
        <f t="shared" si="11"/>
        <v>8.4437946258112838E-4</v>
      </c>
      <c r="AJ41" s="9">
        <f t="shared" si="12"/>
        <v>1.8881648396588211E-2</v>
      </c>
      <c r="AK41" s="9">
        <f t="shared" si="13"/>
        <v>3.5651664617238218E-4</v>
      </c>
      <c r="AL41" s="9">
        <f t="shared" si="14"/>
        <v>1.7472482008527301E-2</v>
      </c>
      <c r="AM41" s="9">
        <f t="shared" si="15"/>
        <v>3.0528762753831022E-4</v>
      </c>
      <c r="AN41" s="8" t="s">
        <v>1114</v>
      </c>
    </row>
    <row r="42" spans="13:40" ht="23">
      <c r="M42" s="8" t="s">
        <v>641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8" t="s">
        <v>641</v>
      </c>
      <c r="X42" s="8">
        <v>38.21</v>
      </c>
      <c r="Y42" s="8">
        <v>2.23</v>
      </c>
      <c r="Z42" s="9">
        <v>1.55</v>
      </c>
      <c r="AA42" s="8">
        <v>3.5</v>
      </c>
      <c r="AB42" s="8">
        <v>28182</v>
      </c>
      <c r="AC42" s="21" t="s">
        <v>641</v>
      </c>
      <c r="AD42" s="8" t="s">
        <v>3994</v>
      </c>
      <c r="AE42" s="8" t="s">
        <v>4287</v>
      </c>
      <c r="AF42" s="9">
        <f t="shared" si="8"/>
        <v>7.8049999999999997</v>
      </c>
      <c r="AG42" s="9">
        <f t="shared" si="9"/>
        <v>6.708333333333333</v>
      </c>
      <c r="AH42" s="9">
        <f t="shared" si="10"/>
        <v>5.3528278224696392E-2</v>
      </c>
      <c r="AI42" s="9">
        <f t="shared" si="11"/>
        <v>2.8652765697005059E-3</v>
      </c>
      <c r="AJ42" s="9">
        <f t="shared" si="12"/>
        <v>2.2613359787535824E-2</v>
      </c>
      <c r="AK42" s="9">
        <f t="shared" si="13"/>
        <v>5.1136404088054227E-4</v>
      </c>
      <c r="AL42" s="9">
        <f t="shared" si="14"/>
        <v>1.5409689312485736E-2</v>
      </c>
      <c r="AM42" s="9">
        <f t="shared" si="15"/>
        <v>2.3745852470733711E-4</v>
      </c>
      <c r="AN42" s="8" t="s">
        <v>641</v>
      </c>
    </row>
    <row r="43" spans="13:40" ht="23">
      <c r="M43" s="8" t="s">
        <v>659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8" t="s">
        <v>659</v>
      </c>
      <c r="X43" s="8">
        <v>32.21</v>
      </c>
      <c r="Y43" s="8">
        <v>3.46</v>
      </c>
      <c r="Z43" s="9">
        <v>3.47</v>
      </c>
      <c r="AA43" s="8">
        <v>1.6</v>
      </c>
      <c r="AB43" s="8">
        <v>46764</v>
      </c>
      <c r="AC43" s="21" t="s">
        <v>659</v>
      </c>
      <c r="AD43" s="8" t="s">
        <v>3994</v>
      </c>
      <c r="AE43" s="8" t="s">
        <v>4287</v>
      </c>
      <c r="AF43" s="9">
        <f t="shared" si="8"/>
        <v>5.5360000000000005</v>
      </c>
      <c r="AG43" s="9">
        <f t="shared" si="9"/>
        <v>6.0533333333333337</v>
      </c>
      <c r="AH43" s="9">
        <f t="shared" si="10"/>
        <v>2.4470070045575495E-2</v>
      </c>
      <c r="AI43" s="9">
        <f t="shared" si="11"/>
        <v>5.987843280353711E-4</v>
      </c>
      <c r="AJ43" s="9">
        <f t="shared" si="12"/>
        <v>1.6039405481588512E-2</v>
      </c>
      <c r="AK43" s="9">
        <f t="shared" si="13"/>
        <v>2.5726252820281159E-4</v>
      </c>
      <c r="AL43" s="9">
        <f t="shared" si="14"/>
        <v>1.3905091076508867E-2</v>
      </c>
      <c r="AM43" s="9">
        <f t="shared" si="15"/>
        <v>1.933515578460065E-4</v>
      </c>
      <c r="AN43" s="8" t="s">
        <v>659</v>
      </c>
    </row>
    <row r="44" spans="13:40" ht="23">
      <c r="M44" s="8" t="s">
        <v>1161</v>
      </c>
      <c r="N44" s="8" t="s">
        <v>150</v>
      </c>
      <c r="O44" s="8"/>
      <c r="P44" s="8" t="s">
        <v>3691</v>
      </c>
      <c r="Q44" s="8"/>
      <c r="R44" s="8"/>
      <c r="S44" s="8"/>
      <c r="T44" s="8"/>
      <c r="U44" s="8"/>
      <c r="V44" s="8"/>
      <c r="W44" s="8" t="s">
        <v>1161</v>
      </c>
      <c r="X44" s="8">
        <v>53.7</v>
      </c>
      <c r="Y44" s="8">
        <v>3.46</v>
      </c>
      <c r="Z44" s="9">
        <v>3.32</v>
      </c>
      <c r="AA44" s="8">
        <v>1.4</v>
      </c>
      <c r="AB44" s="8">
        <v>45191</v>
      </c>
      <c r="AC44" s="21" t="s">
        <v>1161</v>
      </c>
      <c r="AD44" s="8" t="s">
        <v>3994</v>
      </c>
      <c r="AE44" s="8" t="s">
        <v>4287</v>
      </c>
      <c r="AF44" s="9">
        <f t="shared" si="8"/>
        <v>4.8439999999999994</v>
      </c>
      <c r="AG44" s="9">
        <f t="shared" si="9"/>
        <v>4.9466666666666663</v>
      </c>
      <c r="AH44" s="9">
        <f t="shared" si="10"/>
        <v>2.1411311289878554E-2</v>
      </c>
      <c r="AI44" s="9">
        <f t="shared" si="11"/>
        <v>4.5844425115208081E-4</v>
      </c>
      <c r="AJ44" s="9">
        <f t="shared" si="12"/>
        <v>1.4034479796389944E-2</v>
      </c>
      <c r="AK44" s="9">
        <f t="shared" si="13"/>
        <v>1.9696662315527754E-4</v>
      </c>
      <c r="AL44" s="9">
        <f t="shared" si="14"/>
        <v>1.136297090172861E-2</v>
      </c>
      <c r="AM44" s="9">
        <f t="shared" si="15"/>
        <v>1.2911710771353109E-4</v>
      </c>
      <c r="AN44" s="8" t="s">
        <v>1161</v>
      </c>
    </row>
    <row r="45" spans="13:40" ht="23">
      <c r="M45" s="8" t="s">
        <v>203</v>
      </c>
      <c r="N45" s="8" t="s">
        <v>150</v>
      </c>
      <c r="O45" s="8"/>
      <c r="P45" s="8"/>
      <c r="Q45" s="8"/>
      <c r="R45" s="8"/>
      <c r="S45" s="8"/>
      <c r="T45" s="8"/>
      <c r="U45" s="8"/>
      <c r="V45" s="8"/>
      <c r="W45" s="8" t="s">
        <v>203</v>
      </c>
      <c r="X45" s="8">
        <v>64.98</v>
      </c>
      <c r="Y45" s="8">
        <v>1.82</v>
      </c>
      <c r="Z45" s="9">
        <v>1.08</v>
      </c>
      <c r="AA45" s="8">
        <v>3</v>
      </c>
      <c r="AB45" s="8">
        <v>33346</v>
      </c>
      <c r="AC45" s="21" t="s">
        <v>203</v>
      </c>
      <c r="AD45" s="8" t="s">
        <v>3994</v>
      </c>
      <c r="AE45" s="8" t="s">
        <v>4287</v>
      </c>
      <c r="AF45" s="9">
        <f t="shared" si="8"/>
        <v>5.46</v>
      </c>
      <c r="AG45" s="9">
        <f t="shared" si="9"/>
        <v>3.4</v>
      </c>
      <c r="AH45" s="9">
        <f t="shared" si="10"/>
        <v>4.5881381335454045E-2</v>
      </c>
      <c r="AI45" s="9">
        <f t="shared" si="11"/>
        <v>2.105101153249351E-3</v>
      </c>
      <c r="AJ45" s="9">
        <f t="shared" si="12"/>
        <v>1.5819211331190981E-2</v>
      </c>
      <c r="AK45" s="9">
        <f t="shared" si="13"/>
        <v>2.5024744714088112E-4</v>
      </c>
      <c r="AL45" s="9">
        <f t="shared" si="14"/>
        <v>7.8101282478188561E-3</v>
      </c>
      <c r="AM45" s="9">
        <f t="shared" si="15"/>
        <v>6.0998103247378035E-5</v>
      </c>
      <c r="AN45" s="8" t="s">
        <v>203</v>
      </c>
    </row>
    <row r="46" spans="13:40" ht="23">
      <c r="M46" s="8" t="s">
        <v>899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899</v>
      </c>
      <c r="X46" s="8">
        <v>24.06</v>
      </c>
      <c r="Y46" s="8">
        <v>2.19</v>
      </c>
      <c r="Z46" s="9">
        <v>1.02</v>
      </c>
      <c r="AA46" s="8">
        <v>2.8</v>
      </c>
      <c r="AB46" s="8"/>
      <c r="AC46" s="21" t="s">
        <v>899</v>
      </c>
      <c r="AD46" s="8" t="s">
        <v>3994</v>
      </c>
      <c r="AE46" s="8" t="s">
        <v>4287</v>
      </c>
      <c r="AF46" s="9">
        <f t="shared" si="8"/>
        <v>6.1319999999999997</v>
      </c>
      <c r="AG46" s="9">
        <f t="shared" si="9"/>
        <v>2.8933333333333335</v>
      </c>
      <c r="AH46" s="9">
        <f t="shared" si="10"/>
        <v>4.2822622579757108E-2</v>
      </c>
      <c r="AI46" s="9">
        <f t="shared" si="11"/>
        <v>1.8337770046083232E-3</v>
      </c>
      <c r="AJ46" s="9">
        <f t="shared" si="12"/>
        <v>1.7766191187337563E-2</v>
      </c>
      <c r="AK46" s="9">
        <f t="shared" si="13"/>
        <v>3.1563754930503089E-4</v>
      </c>
      <c r="AL46" s="9">
        <f t="shared" si="14"/>
        <v>6.6462659991242826E-3</v>
      </c>
      <c r="AM46" s="9">
        <f t="shared" si="15"/>
        <v>4.4172851731115497E-5</v>
      </c>
      <c r="AN46" s="8" t="s">
        <v>899</v>
      </c>
    </row>
    <row r="47" spans="13:40" ht="23">
      <c r="M47" s="8" t="s">
        <v>1563</v>
      </c>
      <c r="N47" s="8" t="s">
        <v>150</v>
      </c>
      <c r="O47" s="8"/>
      <c r="P47" s="8"/>
      <c r="Q47" s="8"/>
      <c r="R47" s="8"/>
      <c r="S47" s="8"/>
      <c r="T47" s="8"/>
      <c r="U47" s="8"/>
      <c r="V47" s="8"/>
      <c r="W47" s="8" t="s">
        <v>1563</v>
      </c>
      <c r="X47" s="8">
        <v>71.95</v>
      </c>
      <c r="Y47" s="8">
        <v>1.19</v>
      </c>
      <c r="Z47" s="9">
        <v>0.06</v>
      </c>
      <c r="AA47" s="8">
        <v>27.8</v>
      </c>
      <c r="AB47" s="8">
        <v>44039</v>
      </c>
      <c r="AC47" s="21" t="s">
        <v>1563</v>
      </c>
      <c r="AD47" s="8" t="s">
        <v>3994</v>
      </c>
      <c r="AE47" s="8" t="s">
        <v>4287</v>
      </c>
      <c r="AF47" s="9">
        <f t="shared" si="8"/>
        <v>33.082000000000001</v>
      </c>
      <c r="AG47" s="9">
        <f t="shared" si="9"/>
        <v>2.7800000000000002</v>
      </c>
      <c r="AH47" s="9">
        <f t="shared" si="10"/>
        <v>0.42516746704187419</v>
      </c>
      <c r="AI47" s="9">
        <f t="shared" si="11"/>
        <v>0.18076737503080317</v>
      </c>
      <c r="AJ47" s="9">
        <f t="shared" si="12"/>
        <v>9.5848195834882799E-2</v>
      </c>
      <c r="AK47" s="9">
        <f t="shared" si="13"/>
        <v>9.1868766448020452E-3</v>
      </c>
      <c r="AL47" s="9">
        <f t="shared" si="14"/>
        <v>6.3859283908636539E-3</v>
      </c>
      <c r="AM47" s="9">
        <f t="shared" si="15"/>
        <v>4.0780081413238455E-5</v>
      </c>
      <c r="AN47" s="8" t="s">
        <v>1563</v>
      </c>
    </row>
    <row r="48" spans="13:40" ht="23">
      <c r="M48" s="9" t="s">
        <v>2609</v>
      </c>
      <c r="N48" s="8" t="s">
        <v>150</v>
      </c>
      <c r="O48" s="8"/>
      <c r="P48" s="8"/>
      <c r="Q48" s="8"/>
      <c r="R48" s="8"/>
      <c r="S48" s="8"/>
      <c r="T48" s="8"/>
      <c r="U48" s="8"/>
      <c r="V48" s="8"/>
      <c r="W48" s="9" t="s">
        <v>2609</v>
      </c>
      <c r="X48" s="8">
        <v>16.760000000000002</v>
      </c>
      <c r="Y48" s="8">
        <v>3.3</v>
      </c>
      <c r="Z48" s="9">
        <v>1</v>
      </c>
      <c r="AA48" s="8">
        <v>1.6</v>
      </c>
      <c r="AB48" s="8">
        <v>46946</v>
      </c>
      <c r="AC48" s="22" t="s">
        <v>2609</v>
      </c>
      <c r="AD48" s="8" t="s">
        <v>3994</v>
      </c>
      <c r="AE48" s="8" t="s">
        <v>4287</v>
      </c>
      <c r="AF48" s="9">
        <f t="shared" si="8"/>
        <v>5.28</v>
      </c>
      <c r="AG48" s="9">
        <f t="shared" si="9"/>
        <v>1.6266666666666667</v>
      </c>
      <c r="AH48" s="9">
        <f t="shared" si="10"/>
        <v>2.4470070045575495E-2</v>
      </c>
      <c r="AI48" s="9">
        <f t="shared" si="11"/>
        <v>5.987843280353711E-4</v>
      </c>
      <c r="AJ48" s="9">
        <f t="shared" si="12"/>
        <v>1.529769886972315E-2</v>
      </c>
      <c r="AK48" s="9">
        <f t="shared" si="13"/>
        <v>2.3401959070872892E-4</v>
      </c>
      <c r="AL48" s="9">
        <f t="shared" si="14"/>
        <v>3.7366103773878454E-3</v>
      </c>
      <c r="AM48" s="9">
        <f t="shared" si="15"/>
        <v>1.3962257112402537E-5</v>
      </c>
      <c r="AN48" s="9" t="s">
        <v>2609</v>
      </c>
    </row>
    <row r="49" spans="13:40" ht="23">
      <c r="M49" s="8" t="s">
        <v>303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8" t="s">
        <v>303</v>
      </c>
      <c r="X49" s="8">
        <v>77.31</v>
      </c>
      <c r="Y49" s="8">
        <v>1.33</v>
      </c>
      <c r="Z49" s="9">
        <v>0.19</v>
      </c>
      <c r="AA49" s="8">
        <v>4</v>
      </c>
      <c r="AB49" s="8">
        <v>30935</v>
      </c>
      <c r="AC49" s="21" t="s">
        <v>303</v>
      </c>
      <c r="AD49" s="8" t="s">
        <v>3994</v>
      </c>
      <c r="AE49" s="8" t="s">
        <v>4287</v>
      </c>
      <c r="AF49" s="9">
        <f t="shared" si="8"/>
        <v>5.32</v>
      </c>
      <c r="AG49" s="9">
        <f t="shared" si="9"/>
        <v>1.2666666666666666</v>
      </c>
      <c r="AH49" s="9">
        <f t="shared" si="10"/>
        <v>6.1175175113938732E-2</v>
      </c>
      <c r="AI49" s="9">
        <f t="shared" si="11"/>
        <v>3.7424020502210688E-3</v>
      </c>
      <c r="AJ49" s="9">
        <f t="shared" si="12"/>
        <v>1.5413590527827111E-2</v>
      </c>
      <c r="AK49" s="9">
        <f t="shared" si="13"/>
        <v>2.3757877295952165E-4</v>
      </c>
      <c r="AL49" s="9">
        <f t="shared" si="14"/>
        <v>2.9096556217364368E-3</v>
      </c>
      <c r="AM49" s="9">
        <f t="shared" si="15"/>
        <v>8.4660958371024497E-6</v>
      </c>
      <c r="AN49" s="8" t="s">
        <v>303</v>
      </c>
    </row>
    <row r="50" spans="13:40" ht="23">
      <c r="M50" s="8" t="s">
        <v>663</v>
      </c>
      <c r="N50" s="8" t="s">
        <v>150</v>
      </c>
      <c r="O50" s="8"/>
      <c r="P50" s="8"/>
      <c r="Q50" s="8"/>
      <c r="R50" s="8"/>
      <c r="S50" s="8"/>
      <c r="T50" s="8"/>
      <c r="U50" s="8"/>
      <c r="V50" s="8"/>
      <c r="W50" s="8" t="s">
        <v>663</v>
      </c>
      <c r="X50" s="8">
        <v>41.86</v>
      </c>
      <c r="Y50" s="8">
        <v>2.4900000000000002</v>
      </c>
      <c r="Z50" s="9">
        <v>0.57999999999999996</v>
      </c>
      <c r="AA50" s="8">
        <v>1.2</v>
      </c>
      <c r="AB50" s="8">
        <v>54821</v>
      </c>
      <c r="AC50" s="21" t="s">
        <v>663</v>
      </c>
      <c r="AD50" s="8" t="s">
        <v>3994</v>
      </c>
      <c r="AE50" s="8" t="s">
        <v>4287</v>
      </c>
      <c r="AF50" s="9">
        <f t="shared" si="8"/>
        <v>2.988</v>
      </c>
      <c r="AG50" s="9">
        <f t="shared" si="9"/>
        <v>1.1599999999999999</v>
      </c>
      <c r="AH50" s="9">
        <f t="shared" si="10"/>
        <v>1.835255253418162E-2</v>
      </c>
      <c r="AI50" s="9">
        <f t="shared" si="11"/>
        <v>3.368161845198962E-4</v>
      </c>
      <c r="AJ50" s="9">
        <f t="shared" si="12"/>
        <v>8.6571068603660539E-3</v>
      </c>
      <c r="AK50" s="9">
        <f t="shared" si="13"/>
        <v>7.4945499191796997E-5</v>
      </c>
      <c r="AL50" s="9">
        <f t="shared" si="14"/>
        <v>2.6646319904323158E-3</v>
      </c>
      <c r="AM50" s="9">
        <f t="shared" si="15"/>
        <v>7.1002636444352854E-6</v>
      </c>
      <c r="AN50" s="8" t="s">
        <v>663</v>
      </c>
    </row>
    <row r="51" spans="13:40" ht="23">
      <c r="M51" s="8" t="s">
        <v>694</v>
      </c>
      <c r="N51" s="8" t="s">
        <v>150</v>
      </c>
      <c r="O51" s="8"/>
      <c r="P51" s="8"/>
      <c r="Q51" s="8"/>
      <c r="R51" s="8"/>
      <c r="S51" s="8"/>
      <c r="T51" s="8"/>
      <c r="U51" s="8"/>
      <c r="V51" s="8"/>
      <c r="W51" s="8" t="s">
        <v>694</v>
      </c>
      <c r="X51" s="8">
        <v>77.959999999999994</v>
      </c>
      <c r="Y51" s="8">
        <v>2.66</v>
      </c>
      <c r="Z51" s="9">
        <v>0.08</v>
      </c>
      <c r="AA51" s="8">
        <v>2.1</v>
      </c>
      <c r="AB51" s="8">
        <v>37358</v>
      </c>
      <c r="AC51" s="21" t="s">
        <v>694</v>
      </c>
      <c r="AD51" s="8" t="s">
        <v>3994</v>
      </c>
      <c r="AE51" s="8" t="s">
        <v>4287</v>
      </c>
      <c r="AF51" s="9">
        <f t="shared" si="8"/>
        <v>5.5860000000000003</v>
      </c>
      <c r="AG51" s="9">
        <f t="shared" si="9"/>
        <v>0.28000000000000003</v>
      </c>
      <c r="AH51" s="9">
        <f t="shared" si="10"/>
        <v>3.2116966934817838E-2</v>
      </c>
      <c r="AI51" s="9">
        <f t="shared" si="11"/>
        <v>1.0314995650921822E-3</v>
      </c>
      <c r="AJ51" s="9">
        <f t="shared" si="12"/>
        <v>1.6184270054218467E-2</v>
      </c>
      <c r="AK51" s="9">
        <f t="shared" si="13"/>
        <v>2.6193059718787262E-4</v>
      </c>
      <c r="AL51" s="9">
        <f t="shared" si="14"/>
        <v>6.4318703217331765E-4</v>
      </c>
      <c r="AM51" s="9">
        <f t="shared" si="15"/>
        <v>4.1368955835592036E-7</v>
      </c>
      <c r="AN51" s="8" t="s">
        <v>694</v>
      </c>
    </row>
    <row r="52" spans="13:40" ht="23">
      <c r="M52" s="8" t="s">
        <v>1102</v>
      </c>
      <c r="N52" s="8" t="s">
        <v>150</v>
      </c>
      <c r="O52" s="8"/>
      <c r="P52" s="8"/>
      <c r="Q52" s="8"/>
      <c r="R52" s="8"/>
      <c r="S52" s="8"/>
      <c r="T52" s="8"/>
      <c r="U52" s="8"/>
      <c r="V52" s="8"/>
      <c r="W52" s="8" t="s">
        <v>1102</v>
      </c>
      <c r="X52" s="8">
        <v>46.47</v>
      </c>
      <c r="Y52" s="8">
        <v>2.16</v>
      </c>
      <c r="Z52" s="9">
        <v>0.2</v>
      </c>
      <c r="AA52" s="8">
        <v>1.3</v>
      </c>
      <c r="AB52" s="8">
        <v>70618</v>
      </c>
      <c r="AC52" s="21" t="s">
        <v>1102</v>
      </c>
      <c r="AD52" s="8" t="s">
        <v>3994</v>
      </c>
      <c r="AE52" s="8" t="s">
        <v>4287</v>
      </c>
      <c r="AF52" s="9">
        <f t="shared" si="8"/>
        <v>2.8080000000000003</v>
      </c>
      <c r="AG52" s="9">
        <f t="shared" si="9"/>
        <v>4.333333333333334E-3</v>
      </c>
      <c r="AH52" s="9">
        <f t="shared" si="10"/>
        <v>1.9881931912030089E-2</v>
      </c>
      <c r="AI52" s="9">
        <f t="shared" si="11"/>
        <v>3.952912165546004E-4</v>
      </c>
      <c r="AJ52" s="9">
        <f t="shared" si="12"/>
        <v>8.1355943988982195E-3</v>
      </c>
      <c r="AK52" s="9">
        <f t="shared" si="13"/>
        <v>6.6187896223384075E-5</v>
      </c>
      <c r="AL52" s="9">
        <f t="shared" si="14"/>
        <v>9.9540850217299178E-6</v>
      </c>
      <c r="AM52" s="9">
        <f t="shared" si="15"/>
        <v>9.9083808619827897E-11</v>
      </c>
      <c r="AN52" s="8" t="s">
        <v>1102</v>
      </c>
    </row>
    <row r="53" spans="13:40" ht="23"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9"/>
      <c r="AA53" s="8">
        <f>SUBTOTAL(109,Table13633[ترافیک کل])</f>
        <v>6538.6000000000031</v>
      </c>
      <c r="AB53" s="8"/>
      <c r="AC53" s="21"/>
      <c r="AD53" s="8"/>
      <c r="AE53" s="8"/>
      <c r="AF53" s="9">
        <f>SUBTOTAL(109,Table13633[[مجموع صفحات  مشاهده شده   ]])</f>
        <v>34514.994999999995</v>
      </c>
      <c r="AG53" s="9">
        <f>SUBTOTAL(109,Table13633[[مجموع زمان حضور در سایت ]])</f>
        <v>43533.216000000022</v>
      </c>
      <c r="AH53" s="9">
        <f>SUBTOTAL(109,Table13633[سهم سایت از کل ترافیک طبقه بندی])</f>
        <v>99.999999999999943</v>
      </c>
      <c r="AI53" s="9">
        <f>SUBTOTAL(109,Table13633[شاخص هرفیندال هیرشمن (ترافیک)])</f>
        <v>1830.7077437368739</v>
      </c>
      <c r="AJ53" s="9">
        <f>SUBTOTAL(109,Table13633[سهم سایت از کل صفحات مشاهده شده در طبقه بندی])</f>
        <v>100.00000000000003</v>
      </c>
      <c r="AK53" s="9">
        <f>SUBTOTAL(109,Table13633[شاخص هرفیندال -هیرشمن (صفحات مشاهده شده )])</f>
        <v>2278.4292695945219</v>
      </c>
      <c r="AL53" s="9">
        <f>SUBTOTAL(109,Table13633[سهم سایت از کل زمان حضور در طبقه بندی])</f>
        <v>99.999999999999943</v>
      </c>
      <c r="AM53" s="9">
        <f>SUBTOTAL(109,Table13633[شاخص هرفیندال هیرشمن (زمان حضور)])</f>
        <v>2701.32755120618</v>
      </c>
      <c r="AN53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{598DD365-F111-4C49-9C20-ADC91D84333B}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{C715A8D4-481C-46C1-BBE4-CAF7E30CC834}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{3C1A3F92-2941-49EB-9EAA-399D24A533C4}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{AFD9D088-F386-4232-A18A-93F8B55D57F3}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{1256EA43-9A89-4BA9-AB09-29524A746DF6}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{B01136FF-E23F-465F-B24E-0A7D6C258001}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98DD365-F111-4C49-9C20-ADC91D84333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715A8D4-481C-46C1-BBE4-CAF7E30CC83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C1A3F92-2941-49EB-9EAA-399D24A533C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FD9D088-F386-4232-A18A-93F8B55D57F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256EA43-9A89-4BA9-AB09-29524A746D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B01136FF-E23F-465F-B24E-0A7D6C2580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6"/>
  <sheetViews>
    <sheetView showGridLines="0" rightToLeft="1" topLeftCell="Z1" zoomScale="85" zoomScaleNormal="85" workbookViewId="0">
      <selection activeCell="AC36" sqref="AC36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6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3765</v>
      </c>
      <c r="N2" s="8" t="s">
        <v>150</v>
      </c>
      <c r="O2" s="8"/>
      <c r="P2" s="8" t="s">
        <v>4685</v>
      </c>
      <c r="Q2" s="8"/>
      <c r="R2" s="8"/>
      <c r="S2" s="8"/>
      <c r="T2" s="8"/>
      <c r="U2" s="8"/>
      <c r="V2" s="8"/>
      <c r="W2" s="8" t="s">
        <v>3765</v>
      </c>
      <c r="X2" s="8">
        <v>33.01</v>
      </c>
      <c r="Y2" s="8">
        <v>2.57</v>
      </c>
      <c r="Z2" s="9">
        <v>2.4900000000000002</v>
      </c>
      <c r="AA2" s="8">
        <v>1627.5</v>
      </c>
      <c r="AB2" s="8">
        <v>321</v>
      </c>
      <c r="AC2" s="21" t="s">
        <v>3765</v>
      </c>
      <c r="AD2" s="8" t="s">
        <v>4331</v>
      </c>
      <c r="AE2" s="8" t="s">
        <v>4287</v>
      </c>
      <c r="AF2" s="9">
        <f t="shared" ref="AF2:AF35" si="0">(AA2*Y2)</f>
        <v>4182.6750000000002</v>
      </c>
      <c r="AG2" s="9">
        <f t="shared" ref="AG2:AG35" si="1">((((RIGHT(Z2,2))/60)+(LEFT(Z2,2)))*AA2)</f>
        <v>4584.125</v>
      </c>
      <c r="AH2" s="9">
        <f t="shared" ref="AH2:AH35" si="2">(AA2/$AA$36)*100</f>
        <v>29.872251385778792</v>
      </c>
      <c r="AI2" s="9">
        <f t="shared" ref="AI2:AI35" si="3">(AH2*AH2)</f>
        <v>892.35140285516297</v>
      </c>
      <c r="AJ2" s="9">
        <f t="shared" ref="AJ2:AJ35" si="4">(AF2/$AF$36)*100</f>
        <v>30.706600339759007</v>
      </c>
      <c r="AK2" s="9">
        <f t="shared" ref="AK2:AK35" si="5">(AJ2*AJ2)</f>
        <v>942.89530442568798</v>
      </c>
      <c r="AL2" s="9">
        <f t="shared" ref="AL2:AL35" si="6">(AG2/$AG$36)*100</f>
        <v>31.603218439892395</v>
      </c>
      <c r="AM2" s="9">
        <f t="shared" ref="AM2:AM35" si="7">(AL2*AL2)</f>
        <v>998.76341575955473</v>
      </c>
      <c r="AN2" s="8" t="s">
        <v>3765</v>
      </c>
    </row>
    <row r="3" spans="8:40" ht="23">
      <c r="M3" s="9" t="s">
        <v>4798</v>
      </c>
      <c r="N3" s="8"/>
      <c r="O3" s="8"/>
      <c r="P3" s="8" t="s">
        <v>4661</v>
      </c>
      <c r="Q3" s="8"/>
      <c r="R3" s="8"/>
      <c r="S3" s="8"/>
      <c r="T3" s="8"/>
      <c r="U3" s="8"/>
      <c r="V3" s="8"/>
      <c r="W3" s="9" t="s">
        <v>4798</v>
      </c>
      <c r="X3" s="8">
        <v>23.42</v>
      </c>
      <c r="Y3" s="8">
        <v>2.23</v>
      </c>
      <c r="Z3" s="9">
        <v>3.51</v>
      </c>
      <c r="AA3" s="8">
        <v>685.2</v>
      </c>
      <c r="AB3" s="8">
        <v>20222</v>
      </c>
      <c r="AC3" s="22" t="s">
        <v>4798</v>
      </c>
      <c r="AD3" s="8" t="s">
        <v>4331</v>
      </c>
      <c r="AE3" s="8" t="s">
        <v>4287</v>
      </c>
      <c r="AF3" s="9">
        <f t="shared" si="0"/>
        <v>1527.9960000000001</v>
      </c>
      <c r="AG3" s="9">
        <f t="shared" si="1"/>
        <v>2638.0200000000004</v>
      </c>
      <c r="AH3" s="9">
        <f t="shared" si="2"/>
        <v>12.576630813846776</v>
      </c>
      <c r="AI3" s="9">
        <f t="shared" si="3"/>
        <v>158.17164262780022</v>
      </c>
      <c r="AJ3" s="9">
        <f t="shared" si="4"/>
        <v>11.217596990622127</v>
      </c>
      <c r="AK3" s="9">
        <f t="shared" si="5"/>
        <v>125.83448224401459</v>
      </c>
      <c r="AL3" s="9">
        <f t="shared" si="6"/>
        <v>18.186659898847644</v>
      </c>
      <c r="AM3" s="9">
        <f t="shared" si="7"/>
        <v>330.75459827635302</v>
      </c>
      <c r="AN3" s="9" t="s">
        <v>4798</v>
      </c>
    </row>
    <row r="4" spans="8:40" ht="23" customHeight="1">
      <c r="M4" s="8" t="s">
        <v>4688</v>
      </c>
      <c r="N4" s="8"/>
      <c r="O4" s="8"/>
      <c r="P4" s="8" t="s">
        <v>3693</v>
      </c>
      <c r="Q4" s="8"/>
      <c r="R4" s="8"/>
      <c r="S4" s="8"/>
      <c r="T4" s="8"/>
      <c r="U4" s="8"/>
      <c r="V4" s="8"/>
      <c r="W4" s="8" t="s">
        <v>4688</v>
      </c>
      <c r="X4" s="8">
        <v>33.75</v>
      </c>
      <c r="Y4" s="8">
        <v>2.37</v>
      </c>
      <c r="Z4" s="9">
        <v>2.14</v>
      </c>
      <c r="AA4" s="8">
        <v>1115.5</v>
      </c>
      <c r="AB4" s="8">
        <v>291</v>
      </c>
      <c r="AC4" s="21" t="s">
        <v>4688</v>
      </c>
      <c r="AD4" s="8" t="s">
        <v>4331</v>
      </c>
      <c r="AE4" s="8" t="s">
        <v>4287</v>
      </c>
      <c r="AF4" s="9">
        <f t="shared" si="0"/>
        <v>2643.7350000000001</v>
      </c>
      <c r="AG4" s="9">
        <f t="shared" si="1"/>
        <v>2491.2833333333333</v>
      </c>
      <c r="AH4" s="9">
        <f t="shared" si="2"/>
        <v>20.474652178701223</v>
      </c>
      <c r="AI4" s="9">
        <f t="shared" si="3"/>
        <v>419.21138183879475</v>
      </c>
      <c r="AJ4" s="9">
        <f t="shared" si="4"/>
        <v>19.408659302774605</v>
      </c>
      <c r="AK4" s="9">
        <f t="shared" si="5"/>
        <v>376.69605593117922</v>
      </c>
      <c r="AL4" s="9">
        <f t="shared" si="6"/>
        <v>17.175048974230979</v>
      </c>
      <c r="AM4" s="9">
        <f t="shared" si="7"/>
        <v>294.98230726723261</v>
      </c>
      <c r="AN4" s="8" t="s">
        <v>4688</v>
      </c>
    </row>
    <row r="5" spans="8:40" ht="23">
      <c r="M5" s="8" t="s">
        <v>4804</v>
      </c>
      <c r="N5" s="8" t="s">
        <v>150</v>
      </c>
      <c r="O5" s="8"/>
      <c r="P5" s="8" t="s">
        <v>4805</v>
      </c>
      <c r="Q5" s="8"/>
      <c r="R5" s="8"/>
      <c r="S5" s="8"/>
      <c r="T5" s="8"/>
      <c r="U5" s="8"/>
      <c r="V5" s="8"/>
      <c r="W5" s="8" t="s">
        <v>4804</v>
      </c>
      <c r="X5" s="8">
        <v>41.3</v>
      </c>
      <c r="Y5" s="8">
        <v>2.41</v>
      </c>
      <c r="Z5" s="9">
        <v>3.24</v>
      </c>
      <c r="AA5" s="8">
        <v>598.1</v>
      </c>
      <c r="AB5" s="8">
        <v>1750</v>
      </c>
      <c r="AC5" s="21" t="s">
        <v>4804</v>
      </c>
      <c r="AD5" s="8" t="s">
        <v>4331</v>
      </c>
      <c r="AE5" s="8" t="s">
        <v>4287</v>
      </c>
      <c r="AF5" s="9">
        <f t="shared" si="0"/>
        <v>1441.421</v>
      </c>
      <c r="AG5" s="9">
        <f t="shared" si="1"/>
        <v>2033.54</v>
      </c>
      <c r="AH5" s="9">
        <f t="shared" si="2"/>
        <v>10.977937667486511</v>
      </c>
      <c r="AI5" s="9">
        <f t="shared" si="3"/>
        <v>120.51511543121919</v>
      </c>
      <c r="AJ5" s="9">
        <f t="shared" si="4"/>
        <v>10.58201714652364</v>
      </c>
      <c r="AK5" s="9">
        <f t="shared" si="5"/>
        <v>111.97908688932031</v>
      </c>
      <c r="AL5" s="9">
        <f t="shared" si="6"/>
        <v>14.019340403295894</v>
      </c>
      <c r="AM5" s="9">
        <f t="shared" si="7"/>
        <v>196.54190534348467</v>
      </c>
      <c r="AN5" s="8" t="s">
        <v>4804</v>
      </c>
    </row>
    <row r="6" spans="8:40" ht="23">
      <c r="M6" s="9" t="s">
        <v>4354</v>
      </c>
      <c r="N6" s="8"/>
      <c r="O6" s="8"/>
      <c r="P6" s="8" t="s">
        <v>4674</v>
      </c>
      <c r="Q6" s="8"/>
      <c r="R6" s="8"/>
      <c r="S6" s="8"/>
      <c r="T6" s="8"/>
      <c r="U6" s="8"/>
      <c r="V6" s="8"/>
      <c r="W6" s="9" t="s">
        <v>4354</v>
      </c>
      <c r="X6" s="8">
        <v>30.68</v>
      </c>
      <c r="Y6" s="8">
        <v>2.84</v>
      </c>
      <c r="Z6" s="9">
        <v>1.51</v>
      </c>
      <c r="AA6" s="8">
        <v>309.5</v>
      </c>
      <c r="AB6" s="8">
        <v>2208</v>
      </c>
      <c r="AC6" s="22" t="s">
        <v>4354</v>
      </c>
      <c r="AD6" s="8" t="s">
        <v>4331</v>
      </c>
      <c r="AE6" s="8" t="s">
        <v>4287</v>
      </c>
      <c r="AF6" s="9">
        <f t="shared" si="0"/>
        <v>878.9799999999999</v>
      </c>
      <c r="AG6" s="9">
        <f t="shared" si="1"/>
        <v>572.57500000000005</v>
      </c>
      <c r="AH6" s="9">
        <f t="shared" si="2"/>
        <v>5.6807753019345837</v>
      </c>
      <c r="AI6" s="9">
        <f t="shared" si="3"/>
        <v>32.27120803106996</v>
      </c>
      <c r="AJ6" s="9">
        <f t="shared" si="4"/>
        <v>6.4529248786103066</v>
      </c>
      <c r="AK6" s="9">
        <f t="shared" si="5"/>
        <v>41.640239488987838</v>
      </c>
      <c r="AL6" s="9">
        <f t="shared" si="6"/>
        <v>3.9473646111790996</v>
      </c>
      <c r="AM6" s="9">
        <f t="shared" si="7"/>
        <v>15.581687373589125</v>
      </c>
      <c r="AN6" s="9" t="s">
        <v>4354</v>
      </c>
    </row>
    <row r="7" spans="8:40" ht="22.5" customHeight="1">
      <c r="M7" s="8" t="s">
        <v>4329</v>
      </c>
      <c r="N7" s="8"/>
      <c r="O7" s="8"/>
      <c r="P7" s="8" t="s">
        <v>4687</v>
      </c>
      <c r="Q7" s="8"/>
      <c r="R7" s="8"/>
      <c r="S7" s="8"/>
      <c r="T7" s="8"/>
      <c r="U7" s="8"/>
      <c r="V7" s="8"/>
      <c r="W7" s="8" t="s">
        <v>4329</v>
      </c>
      <c r="X7" s="8">
        <v>19.350000000000001</v>
      </c>
      <c r="Y7" s="8">
        <v>2.66</v>
      </c>
      <c r="Z7" s="9">
        <v>2.34</v>
      </c>
      <c r="AA7" s="8">
        <v>210.2</v>
      </c>
      <c r="AB7" s="8">
        <v>2232</v>
      </c>
      <c r="AC7" s="21" t="s">
        <v>4329</v>
      </c>
      <c r="AD7" s="8" t="s">
        <v>4331</v>
      </c>
      <c r="AE7" s="8" t="s">
        <v>4287</v>
      </c>
      <c r="AF7" s="9">
        <f t="shared" si="0"/>
        <v>559.13199999999995</v>
      </c>
      <c r="AG7" s="9">
        <f t="shared" si="1"/>
        <v>539.51333333333321</v>
      </c>
      <c r="AH7" s="9">
        <f t="shared" si="2"/>
        <v>3.8581549869681728</v>
      </c>
      <c r="AI7" s="9">
        <f t="shared" si="3"/>
        <v>14.885359903467382</v>
      </c>
      <c r="AJ7" s="9">
        <f t="shared" si="4"/>
        <v>4.1047996464392122</v>
      </c>
      <c r="AK7" s="9">
        <f t="shared" si="5"/>
        <v>16.849380137407483</v>
      </c>
      <c r="AL7" s="9">
        <f t="shared" si="6"/>
        <v>3.7194356010291627</v>
      </c>
      <c r="AM7" s="9">
        <f t="shared" si="7"/>
        <v>13.834201190203169</v>
      </c>
      <c r="AN7" s="8" t="s">
        <v>4329</v>
      </c>
    </row>
    <row r="8" spans="8:40" ht="23">
      <c r="M8" s="8" t="s">
        <v>4796</v>
      </c>
      <c r="N8" s="8" t="s">
        <v>150</v>
      </c>
      <c r="O8" s="8"/>
      <c r="P8" s="8" t="s">
        <v>4667</v>
      </c>
      <c r="Q8" s="8"/>
      <c r="R8" s="8"/>
      <c r="S8" s="8"/>
      <c r="T8" s="8"/>
      <c r="U8" s="8"/>
      <c r="V8" s="8"/>
      <c r="W8" s="8" t="s">
        <v>4796</v>
      </c>
      <c r="X8" s="8">
        <v>2.8</v>
      </c>
      <c r="Y8" s="8">
        <v>5.65</v>
      </c>
      <c r="Z8" s="9">
        <v>7.34</v>
      </c>
      <c r="AA8" s="8">
        <v>59.8</v>
      </c>
      <c r="AB8" s="8">
        <v>24159</v>
      </c>
      <c r="AC8" s="21" t="s">
        <v>4796</v>
      </c>
      <c r="AD8" s="8" t="s">
        <v>4331</v>
      </c>
      <c r="AE8" s="8" t="s">
        <v>4287</v>
      </c>
      <c r="AF8" s="9">
        <f t="shared" si="0"/>
        <v>337.87</v>
      </c>
      <c r="AG8" s="9">
        <f t="shared" si="1"/>
        <v>452.48666666666662</v>
      </c>
      <c r="AH8" s="9">
        <f t="shared" si="2"/>
        <v>1.0976102198891378</v>
      </c>
      <c r="AI8" s="9">
        <f t="shared" si="3"/>
        <v>1.2047481948050813</v>
      </c>
      <c r="AJ8" s="9">
        <f t="shared" si="4"/>
        <v>2.4804315555940577</v>
      </c>
      <c r="AK8" s="9">
        <f t="shared" si="5"/>
        <v>6.1525407019867568</v>
      </c>
      <c r="AL8" s="9">
        <f t="shared" si="6"/>
        <v>3.119468811999115</v>
      </c>
      <c r="AM8" s="9">
        <f t="shared" si="7"/>
        <v>9.7310856690351688</v>
      </c>
      <c r="AN8" s="8" t="s">
        <v>4796</v>
      </c>
    </row>
    <row r="9" spans="8:40" ht="22" customHeight="1">
      <c r="M9" s="9" t="s">
        <v>4326</v>
      </c>
      <c r="N9" s="8"/>
      <c r="O9" s="8"/>
      <c r="P9" s="8" t="s">
        <v>4686</v>
      </c>
      <c r="Q9" s="8"/>
      <c r="R9" s="8"/>
      <c r="S9" s="8"/>
      <c r="T9" s="8"/>
      <c r="U9" s="8"/>
      <c r="V9" s="8"/>
      <c r="W9" s="9" t="s">
        <v>4326</v>
      </c>
      <c r="X9" s="8">
        <v>20.57</v>
      </c>
      <c r="Y9" s="8">
        <v>4.67</v>
      </c>
      <c r="Z9" s="9">
        <v>4.25</v>
      </c>
      <c r="AA9" s="8">
        <v>59.9</v>
      </c>
      <c r="AB9" s="8">
        <v>1913</v>
      </c>
      <c r="AC9" s="22" t="s">
        <v>4326</v>
      </c>
      <c r="AD9" s="8" t="s">
        <v>4331</v>
      </c>
      <c r="AE9" s="8" t="s">
        <v>4287</v>
      </c>
      <c r="AF9" s="9">
        <f t="shared" si="0"/>
        <v>279.733</v>
      </c>
      <c r="AG9" s="9">
        <f t="shared" si="1"/>
        <v>264.55833333333334</v>
      </c>
      <c r="AH9" s="9">
        <f t="shared" si="2"/>
        <v>1.09944568848427</v>
      </c>
      <c r="AI9" s="9">
        <f t="shared" si="3"/>
        <v>1.2087808219266505</v>
      </c>
      <c r="AJ9" s="9">
        <f t="shared" si="4"/>
        <v>2.0536258334299955</v>
      </c>
      <c r="AK9" s="9">
        <f t="shared" si="5"/>
        <v>4.2173790637310438</v>
      </c>
      <c r="AL9" s="9">
        <f t="shared" si="6"/>
        <v>1.8238801948959069</v>
      </c>
      <c r="AM9" s="9">
        <f t="shared" si="7"/>
        <v>3.3265389653335316</v>
      </c>
      <c r="AN9" s="9" t="s">
        <v>4326</v>
      </c>
    </row>
    <row r="10" spans="8:40" ht="23">
      <c r="M10" s="9" t="s">
        <v>4689</v>
      </c>
      <c r="N10" s="8"/>
      <c r="O10" s="8"/>
      <c r="P10" s="8" t="s">
        <v>4690</v>
      </c>
      <c r="Q10" s="8"/>
      <c r="R10" s="8"/>
      <c r="S10" s="8"/>
      <c r="T10" s="8"/>
      <c r="U10" s="8"/>
      <c r="V10" s="8"/>
      <c r="W10" s="9" t="s">
        <v>4689</v>
      </c>
      <c r="X10" s="8">
        <v>18.57</v>
      </c>
      <c r="Y10" s="8">
        <v>1.92</v>
      </c>
      <c r="Z10" s="9">
        <v>1.18</v>
      </c>
      <c r="AA10" s="8">
        <v>182.8</v>
      </c>
      <c r="AB10" s="8">
        <v>2806</v>
      </c>
      <c r="AC10" s="22" t="s">
        <v>4689</v>
      </c>
      <c r="AD10" s="8" t="s">
        <v>4331</v>
      </c>
      <c r="AE10" s="8" t="s">
        <v>4287</v>
      </c>
      <c r="AF10" s="9">
        <f t="shared" si="0"/>
        <v>350.976</v>
      </c>
      <c r="AG10" s="9">
        <f t="shared" si="1"/>
        <v>237.64000000000001</v>
      </c>
      <c r="AH10" s="9">
        <f t="shared" si="2"/>
        <v>3.3552365919019125</v>
      </c>
      <c r="AI10" s="9">
        <f t="shared" si="3"/>
        <v>11.257612587637562</v>
      </c>
      <c r="AJ10" s="9">
        <f t="shared" si="4"/>
        <v>2.5766476622848433</v>
      </c>
      <c r="AK10" s="9">
        <f t="shared" si="5"/>
        <v>6.6391131755579478</v>
      </c>
      <c r="AL10" s="9">
        <f t="shared" si="6"/>
        <v>1.6383036741048791</v>
      </c>
      <c r="AM10" s="9">
        <f t="shared" si="7"/>
        <v>2.6840389285855459</v>
      </c>
      <c r="AN10" s="9" t="s">
        <v>4689</v>
      </c>
    </row>
    <row r="11" spans="8:40" ht="23">
      <c r="M11" s="8" t="s">
        <v>4794</v>
      </c>
      <c r="N11" s="8"/>
      <c r="O11" s="8"/>
      <c r="P11" s="8" t="s">
        <v>3705</v>
      </c>
      <c r="Q11" s="8"/>
      <c r="R11" s="8"/>
      <c r="S11" s="8"/>
      <c r="T11" s="8"/>
      <c r="U11" s="8"/>
      <c r="V11" s="8"/>
      <c r="W11" s="8" t="s">
        <v>4794</v>
      </c>
      <c r="X11" s="8">
        <v>1.3</v>
      </c>
      <c r="Y11" s="8">
        <v>3.28</v>
      </c>
      <c r="Z11" s="9">
        <v>1.55</v>
      </c>
      <c r="AA11" s="8">
        <v>91.8</v>
      </c>
      <c r="AB11" s="8">
        <v>9748</v>
      </c>
      <c r="AC11" s="21" t="s">
        <v>4794</v>
      </c>
      <c r="AD11" s="8" t="s">
        <v>4331</v>
      </c>
      <c r="AE11" s="8" t="s">
        <v>4287</v>
      </c>
      <c r="AF11" s="9">
        <f t="shared" si="0"/>
        <v>301.10399999999998</v>
      </c>
      <c r="AG11" s="9">
        <f t="shared" si="1"/>
        <v>175.95</v>
      </c>
      <c r="AH11" s="9">
        <f t="shared" si="2"/>
        <v>1.6849601703314856</v>
      </c>
      <c r="AI11" s="9">
        <f t="shared" si="3"/>
        <v>2.8390907756035091</v>
      </c>
      <c r="AJ11" s="9">
        <f t="shared" si="4"/>
        <v>2.2105184334672892</v>
      </c>
      <c r="AK11" s="9">
        <f t="shared" si="5"/>
        <v>4.8863917446986784</v>
      </c>
      <c r="AL11" s="9">
        <f t="shared" si="6"/>
        <v>1.2130093059196829</v>
      </c>
      <c r="AM11" s="9">
        <f t="shared" si="7"/>
        <v>1.471391576247751</v>
      </c>
      <c r="AN11" s="8" t="s">
        <v>4794</v>
      </c>
    </row>
    <row r="12" spans="8:40" ht="23">
      <c r="M12" s="9" t="s">
        <v>3268</v>
      </c>
      <c r="N12" s="8" t="s">
        <v>1902</v>
      </c>
      <c r="O12" s="8"/>
      <c r="P12" s="8"/>
      <c r="Q12" s="8"/>
      <c r="R12" s="8"/>
      <c r="S12" s="8"/>
      <c r="T12" s="8"/>
      <c r="U12" s="8"/>
      <c r="V12" s="8"/>
      <c r="W12" s="9" t="s">
        <v>3268</v>
      </c>
      <c r="X12" s="8">
        <v>38.549999999999997</v>
      </c>
      <c r="Y12" s="8">
        <v>1.42</v>
      </c>
      <c r="Z12" s="9">
        <v>0.28999999999999998</v>
      </c>
      <c r="AA12" s="8">
        <v>222.4</v>
      </c>
      <c r="AB12" s="8">
        <v>4009</v>
      </c>
      <c r="AC12" s="22" t="s">
        <v>3268</v>
      </c>
      <c r="AD12" s="8" t="s">
        <v>4331</v>
      </c>
      <c r="AE12" s="8" t="s">
        <v>4287</v>
      </c>
      <c r="AF12" s="9">
        <f t="shared" si="0"/>
        <v>315.80799999999999</v>
      </c>
      <c r="AG12" s="9">
        <f t="shared" si="1"/>
        <v>107.49333333333334</v>
      </c>
      <c r="AH12" s="9">
        <f t="shared" si="2"/>
        <v>4.0820821555743176</v>
      </c>
      <c r="AI12" s="9">
        <f t="shared" si="3"/>
        <v>16.663394724858268</v>
      </c>
      <c r="AJ12" s="9">
        <f t="shared" si="4"/>
        <v>2.3184660630095841</v>
      </c>
      <c r="AK12" s="9">
        <f t="shared" si="5"/>
        <v>5.3752848853271606</v>
      </c>
      <c r="AL12" s="9">
        <f t="shared" si="6"/>
        <v>0.74106515292787611</v>
      </c>
      <c r="AM12" s="9">
        <f t="shared" si="7"/>
        <v>0.54917756088401637</v>
      </c>
      <c r="AN12" s="9" t="s">
        <v>3268</v>
      </c>
    </row>
    <row r="13" spans="8:40" ht="23.5" customHeight="1">
      <c r="M13" s="8" t="s">
        <v>4793</v>
      </c>
      <c r="N13" s="8"/>
      <c r="O13" s="8"/>
      <c r="P13" s="8" t="s">
        <v>4073</v>
      </c>
      <c r="Q13" s="8"/>
      <c r="R13" s="8"/>
      <c r="S13" s="8"/>
      <c r="T13" s="8"/>
      <c r="U13" s="8"/>
      <c r="V13" s="8"/>
      <c r="W13" s="8" t="s">
        <v>4793</v>
      </c>
      <c r="X13" s="8">
        <v>3.31</v>
      </c>
      <c r="Y13" s="8">
        <v>1.77</v>
      </c>
      <c r="Z13" s="9">
        <v>0.39</v>
      </c>
      <c r="AA13" s="8">
        <v>94.6</v>
      </c>
      <c r="AB13" s="8">
        <v>10136</v>
      </c>
      <c r="AC13" s="21" t="s">
        <v>4793</v>
      </c>
      <c r="AD13" s="8" t="s">
        <v>4331</v>
      </c>
      <c r="AE13" s="8" t="s">
        <v>4287</v>
      </c>
      <c r="AF13" s="9">
        <f t="shared" si="0"/>
        <v>167.44199999999998</v>
      </c>
      <c r="AG13" s="9">
        <f t="shared" si="1"/>
        <v>61.489999999999995</v>
      </c>
      <c r="AH13" s="9">
        <f t="shared" si="2"/>
        <v>1.7363532909951911</v>
      </c>
      <c r="AI13" s="9">
        <f t="shared" si="3"/>
        <v>3.0149227511498307</v>
      </c>
      <c r="AJ13" s="9">
        <f t="shared" si="4"/>
        <v>1.2292550996885789</v>
      </c>
      <c r="AK13" s="9">
        <f t="shared" si="5"/>
        <v>1.5110681001103781</v>
      </c>
      <c r="AL13" s="9">
        <f t="shared" si="6"/>
        <v>0.42391555681160165</v>
      </c>
      <c r="AM13" s="9">
        <f t="shared" si="7"/>
        <v>0.17970439930689025</v>
      </c>
      <c r="AN13" s="8" t="s">
        <v>4793</v>
      </c>
    </row>
    <row r="14" spans="8:40" ht="23">
      <c r="M14" s="9" t="s">
        <v>4330</v>
      </c>
      <c r="N14" s="8"/>
      <c r="O14" s="8"/>
      <c r="P14" s="8" t="s">
        <v>4667</v>
      </c>
      <c r="Q14" s="8"/>
      <c r="R14" s="8"/>
      <c r="S14" s="8"/>
      <c r="T14" s="8"/>
      <c r="U14" s="8"/>
      <c r="V14" s="8"/>
      <c r="W14" s="9" t="s">
        <v>4330</v>
      </c>
      <c r="X14" s="8">
        <v>14.87</v>
      </c>
      <c r="Y14" s="8">
        <v>2.98</v>
      </c>
      <c r="Z14" s="9">
        <v>8.0399999999999991</v>
      </c>
      <c r="AA14" s="8">
        <v>7.4</v>
      </c>
      <c r="AB14" s="8">
        <v>14692</v>
      </c>
      <c r="AC14" s="22" t="s">
        <v>4330</v>
      </c>
      <c r="AD14" s="8" t="s">
        <v>4331</v>
      </c>
      <c r="AE14" s="8" t="s">
        <v>4287</v>
      </c>
      <c r="AF14" s="9">
        <f t="shared" si="0"/>
        <v>22.052</v>
      </c>
      <c r="AG14" s="9">
        <f t="shared" si="1"/>
        <v>59.693333333333335</v>
      </c>
      <c r="AH14" s="9">
        <f t="shared" si="2"/>
        <v>0.13582467603979298</v>
      </c>
      <c r="AI14" s="9">
        <f t="shared" si="3"/>
        <v>1.8448342621314714E-2</v>
      </c>
      <c r="AJ14" s="9">
        <f t="shared" si="4"/>
        <v>0.16189207879942036</v>
      </c>
      <c r="AK14" s="9">
        <f t="shared" si="5"/>
        <v>2.6209045177997731E-2</v>
      </c>
      <c r="AL14" s="9">
        <f t="shared" si="6"/>
        <v>0.41152923463881191</v>
      </c>
      <c r="AM14" s="9">
        <f t="shared" si="7"/>
        <v>0.1693563109624063</v>
      </c>
      <c r="AN14" s="9" t="s">
        <v>4330</v>
      </c>
    </row>
    <row r="15" spans="8:40" ht="23">
      <c r="M15" s="9" t="s">
        <v>4355</v>
      </c>
      <c r="N15" s="8"/>
      <c r="O15" s="8"/>
      <c r="P15" s="8" t="s">
        <v>3693</v>
      </c>
      <c r="Q15" s="8"/>
      <c r="R15" s="8"/>
      <c r="S15" s="8"/>
      <c r="T15" s="8"/>
      <c r="U15" s="8"/>
      <c r="V15" s="8"/>
      <c r="W15" s="9" t="s">
        <v>4355</v>
      </c>
      <c r="X15" s="8">
        <v>39.49</v>
      </c>
      <c r="Y15" s="8">
        <v>4.8</v>
      </c>
      <c r="Z15" s="9">
        <v>9.4499999999999993</v>
      </c>
      <c r="AA15" s="8">
        <v>5.6</v>
      </c>
      <c r="AB15" s="8">
        <v>17913</v>
      </c>
      <c r="AC15" s="22" t="s">
        <v>4355</v>
      </c>
      <c r="AD15" s="8" t="s">
        <v>4331</v>
      </c>
      <c r="AE15" s="8" t="s">
        <v>4287</v>
      </c>
      <c r="AF15" s="9">
        <f t="shared" si="0"/>
        <v>26.88</v>
      </c>
      <c r="AG15" s="9">
        <f t="shared" si="1"/>
        <v>54.599999999999994</v>
      </c>
      <c r="AH15" s="9">
        <f t="shared" si="2"/>
        <v>0.10278624132741088</v>
      </c>
      <c r="AI15" s="9">
        <f t="shared" si="3"/>
        <v>1.0565011406216747E-2</v>
      </c>
      <c r="AJ15" s="9">
        <f t="shared" si="4"/>
        <v>0.19733625422312806</v>
      </c>
      <c r="AK15" s="9">
        <f t="shared" si="5"/>
        <v>3.8941597230815028E-2</v>
      </c>
      <c r="AL15" s="9">
        <f t="shared" si="6"/>
        <v>0.37641550499127419</v>
      </c>
      <c r="AM15" s="9">
        <f t="shared" si="7"/>
        <v>0.14168863239783597</v>
      </c>
      <c r="AN15" s="9" t="s">
        <v>4355</v>
      </c>
    </row>
    <row r="16" spans="8:40" ht="23">
      <c r="M16" s="8" t="s">
        <v>4807</v>
      </c>
      <c r="N16" s="8"/>
      <c r="O16" s="8"/>
      <c r="P16" s="8"/>
      <c r="Q16" s="8"/>
      <c r="R16" s="8"/>
      <c r="S16" s="8"/>
      <c r="T16" s="8"/>
      <c r="U16" s="8"/>
      <c r="V16" s="8"/>
      <c r="W16" s="8" t="s">
        <v>4807</v>
      </c>
      <c r="X16" s="8">
        <v>20.2</v>
      </c>
      <c r="Y16" s="8">
        <v>3.83</v>
      </c>
      <c r="Z16" s="9">
        <v>3.58</v>
      </c>
      <c r="AA16" s="8">
        <v>9.1</v>
      </c>
      <c r="AB16" s="8">
        <v>9958</v>
      </c>
      <c r="AC16" s="21" t="s">
        <v>4807</v>
      </c>
      <c r="AD16" s="8" t="s">
        <v>4331</v>
      </c>
      <c r="AE16" s="8" t="s">
        <v>4287</v>
      </c>
      <c r="AF16" s="9">
        <f t="shared" si="0"/>
        <v>34.853000000000002</v>
      </c>
      <c r="AG16" s="9">
        <f t="shared" si="1"/>
        <v>36.096666666666664</v>
      </c>
      <c r="AH16" s="9">
        <f t="shared" si="2"/>
        <v>0.16702764215704269</v>
      </c>
      <c r="AI16" s="9">
        <f t="shared" si="3"/>
        <v>2.7898233244541104E-2</v>
      </c>
      <c r="AJ16" s="9">
        <f t="shared" si="4"/>
        <v>0.25586906504608192</v>
      </c>
      <c r="AK16" s="9">
        <f t="shared" si="5"/>
        <v>6.54689784475561E-2</v>
      </c>
      <c r="AL16" s="9">
        <f t="shared" si="6"/>
        <v>0.24885247274423128</v>
      </c>
      <c r="AM16" s="9">
        <f t="shared" si="7"/>
        <v>6.1927553190918375E-2</v>
      </c>
      <c r="AN16" s="8" t="s">
        <v>4807</v>
      </c>
    </row>
    <row r="17" spans="13:40" ht="23">
      <c r="M17" s="9" t="s">
        <v>3594</v>
      </c>
      <c r="N17" s="8" t="s">
        <v>2084</v>
      </c>
      <c r="O17" s="8"/>
      <c r="P17" s="8"/>
      <c r="Q17" s="8"/>
      <c r="R17" s="8"/>
      <c r="S17" s="8"/>
      <c r="T17" s="8"/>
      <c r="U17" s="8"/>
      <c r="V17" s="8"/>
      <c r="W17" s="9" t="s">
        <v>3594</v>
      </c>
      <c r="X17" s="8">
        <v>25.84</v>
      </c>
      <c r="Y17" s="8">
        <v>3.76</v>
      </c>
      <c r="Z17" s="9">
        <v>4.41</v>
      </c>
      <c r="AA17" s="8">
        <v>6.4</v>
      </c>
      <c r="AB17" s="8">
        <v>19144</v>
      </c>
      <c r="AC17" s="22" t="s">
        <v>3594</v>
      </c>
      <c r="AD17" s="8" t="s">
        <v>4331</v>
      </c>
      <c r="AE17" s="8" t="s">
        <v>4287</v>
      </c>
      <c r="AF17" s="9">
        <f t="shared" si="0"/>
        <v>24.064</v>
      </c>
      <c r="AG17" s="9">
        <f t="shared" si="1"/>
        <v>29.973333333333336</v>
      </c>
      <c r="AH17" s="9">
        <f t="shared" si="2"/>
        <v>0.1174699900884696</v>
      </c>
      <c r="AI17" s="9">
        <f t="shared" si="3"/>
        <v>1.3799198571385146E-2</v>
      </c>
      <c r="AJ17" s="9">
        <f t="shared" si="4"/>
        <v>0.17666293235213368</v>
      </c>
      <c r="AK17" s="9">
        <f t="shared" si="5"/>
        <v>3.1209791667254561E-2</v>
      </c>
      <c r="AL17" s="9">
        <f t="shared" si="6"/>
        <v>0.2066378645226824</v>
      </c>
      <c r="AM17" s="9">
        <f t="shared" si="7"/>
        <v>4.2699207054494447E-2</v>
      </c>
      <c r="AN17" s="9" t="s">
        <v>3594</v>
      </c>
    </row>
    <row r="18" spans="13:40" ht="23.5" customHeight="1">
      <c r="M18" s="8" t="s">
        <v>4795</v>
      </c>
      <c r="N18" s="8"/>
      <c r="O18" s="8"/>
      <c r="P18" s="8" t="s">
        <v>3705</v>
      </c>
      <c r="Q18" s="8"/>
      <c r="R18" s="8"/>
      <c r="S18" s="8"/>
      <c r="T18" s="8"/>
      <c r="U18" s="8"/>
      <c r="V18" s="8"/>
      <c r="W18" s="8" t="s">
        <v>4795</v>
      </c>
      <c r="X18" s="8">
        <v>1.0900000000000001</v>
      </c>
      <c r="Y18" s="8">
        <v>2.12</v>
      </c>
      <c r="Z18" s="9">
        <v>1.1000000000000001</v>
      </c>
      <c r="AA18" s="8">
        <v>21.6</v>
      </c>
      <c r="AB18" s="8"/>
      <c r="AC18" s="21" t="s">
        <v>4795</v>
      </c>
      <c r="AD18" s="8" t="s">
        <v>4331</v>
      </c>
      <c r="AE18" s="8" t="s">
        <v>4287</v>
      </c>
      <c r="AF18" s="9">
        <f t="shared" si="0"/>
        <v>45.792000000000009</v>
      </c>
      <c r="AG18" s="9">
        <f t="shared" si="1"/>
        <v>21.636000000000003</v>
      </c>
      <c r="AH18" s="9">
        <f t="shared" si="2"/>
        <v>0.3964612165485849</v>
      </c>
      <c r="AI18" s="9">
        <f t="shared" si="3"/>
        <v>0.15718149622718394</v>
      </c>
      <c r="AJ18" s="9">
        <f t="shared" si="4"/>
        <v>0.33617640451582892</v>
      </c>
      <c r="AK18" s="9">
        <f t="shared" si="5"/>
        <v>0.11301457495319024</v>
      </c>
      <c r="AL18" s="9">
        <f t="shared" si="6"/>
        <v>0.1491598143954434</v>
      </c>
      <c r="AM18" s="9">
        <f t="shared" si="7"/>
        <v>2.2248650230483124E-2</v>
      </c>
      <c r="AN18" s="8" t="s">
        <v>4795</v>
      </c>
    </row>
    <row r="19" spans="13:40" ht="23">
      <c r="M19" s="8" t="s">
        <v>4802</v>
      </c>
      <c r="N19" s="8"/>
      <c r="O19" s="8"/>
      <c r="P19" s="8" t="s">
        <v>4803</v>
      </c>
      <c r="Q19" s="8"/>
      <c r="R19" s="8"/>
      <c r="S19" s="8"/>
      <c r="T19" s="8"/>
      <c r="U19" s="8"/>
      <c r="V19" s="8"/>
      <c r="W19" s="8" t="s">
        <v>4802</v>
      </c>
      <c r="X19" s="8">
        <v>21.72</v>
      </c>
      <c r="Y19" s="8">
        <v>2.81</v>
      </c>
      <c r="Z19" s="9">
        <v>4.0599999999999996</v>
      </c>
      <c r="AA19" s="8">
        <v>4.9000000000000004</v>
      </c>
      <c r="AB19" s="8">
        <v>27252</v>
      </c>
      <c r="AC19" s="21" t="s">
        <v>4802</v>
      </c>
      <c r="AD19" s="8" t="s">
        <v>4331</v>
      </c>
      <c r="AE19" s="8" t="s">
        <v>4287</v>
      </c>
      <c r="AF19" s="9">
        <f t="shared" si="0"/>
        <v>13.769000000000002</v>
      </c>
      <c r="AG19" s="9">
        <f t="shared" si="1"/>
        <v>20.09</v>
      </c>
      <c r="AH19" s="9">
        <f t="shared" si="2"/>
        <v>8.9937961161484531E-2</v>
      </c>
      <c r="AI19" s="9">
        <f t="shared" si="3"/>
        <v>8.0888368578846993E-3</v>
      </c>
      <c r="AJ19" s="9">
        <f t="shared" si="4"/>
        <v>0.10108344063981586</v>
      </c>
      <c r="AK19" s="9">
        <f t="shared" si="5"/>
        <v>1.0217861971583177E-2</v>
      </c>
      <c r="AL19" s="9">
        <f t="shared" si="6"/>
        <v>0.13850160247755858</v>
      </c>
      <c r="AM19" s="9">
        <f t="shared" si="7"/>
        <v>1.918269388885166E-2</v>
      </c>
      <c r="AN19" s="8" t="s">
        <v>4802</v>
      </c>
    </row>
    <row r="20" spans="13:40" ht="23">
      <c r="M20" s="8" t="s">
        <v>2008</v>
      </c>
      <c r="N20" s="8" t="s">
        <v>2003</v>
      </c>
      <c r="O20" s="8"/>
      <c r="P20" s="8"/>
      <c r="Q20" s="8"/>
      <c r="R20" s="8"/>
      <c r="S20" s="8"/>
      <c r="T20" s="8"/>
      <c r="U20" s="8"/>
      <c r="V20" s="8"/>
      <c r="W20" s="8" t="s">
        <v>2008</v>
      </c>
      <c r="X20" s="8">
        <v>35.44</v>
      </c>
      <c r="Y20" s="8">
        <v>11.96</v>
      </c>
      <c r="Z20" s="9">
        <v>15.09</v>
      </c>
      <c r="AA20" s="8">
        <v>1.3</v>
      </c>
      <c r="AB20" s="8">
        <v>47504</v>
      </c>
      <c r="AC20" s="21" t="s">
        <v>2008</v>
      </c>
      <c r="AD20" s="8" t="s">
        <v>4331</v>
      </c>
      <c r="AE20" s="8" t="s">
        <v>4287</v>
      </c>
      <c r="AF20" s="9">
        <f t="shared" si="0"/>
        <v>15.548000000000002</v>
      </c>
      <c r="AG20" s="9">
        <f t="shared" si="1"/>
        <v>19.695</v>
      </c>
      <c r="AH20" s="9">
        <f t="shared" si="2"/>
        <v>2.3861091736720387E-2</v>
      </c>
      <c r="AI20" s="9">
        <f t="shared" si="3"/>
        <v>5.6935169886818593E-4</v>
      </c>
      <c r="AJ20" s="9">
        <f t="shared" si="4"/>
        <v>0.11414375300078852</v>
      </c>
      <c r="AK20" s="9">
        <f t="shared" si="5"/>
        <v>1.302879634910502E-2</v>
      </c>
      <c r="AL20" s="9">
        <f t="shared" si="6"/>
        <v>0.13577845001470962</v>
      </c>
      <c r="AM20" s="9">
        <f t="shared" si="7"/>
        <v>1.8435787488396999E-2</v>
      </c>
      <c r="AN20" s="8" t="s">
        <v>2008</v>
      </c>
    </row>
    <row r="21" spans="13:40" ht="23">
      <c r="M21" s="8" t="s">
        <v>4806</v>
      </c>
      <c r="N21" s="8"/>
      <c r="O21" s="8"/>
      <c r="P21" s="8" t="s">
        <v>3693</v>
      </c>
      <c r="Q21" s="8"/>
      <c r="R21" s="8"/>
      <c r="S21" s="8"/>
      <c r="T21" s="8"/>
      <c r="U21" s="8"/>
      <c r="V21" s="8"/>
      <c r="W21" s="8" t="s">
        <v>4806</v>
      </c>
      <c r="X21" s="8">
        <v>48.25</v>
      </c>
      <c r="Y21" s="8">
        <v>3.64</v>
      </c>
      <c r="Z21" s="9">
        <v>9.1</v>
      </c>
      <c r="AA21" s="8">
        <v>2.1</v>
      </c>
      <c r="AB21" s="8">
        <v>47951</v>
      </c>
      <c r="AC21" s="21" t="s">
        <v>4806</v>
      </c>
      <c r="AD21" s="8" t="s">
        <v>4331</v>
      </c>
      <c r="AE21" s="8" t="s">
        <v>4287</v>
      </c>
      <c r="AF21" s="9">
        <f t="shared" si="0"/>
        <v>7.644000000000001</v>
      </c>
      <c r="AG21" s="9">
        <f t="shared" si="1"/>
        <v>18.903500000000001</v>
      </c>
      <c r="AH21" s="9">
        <f t="shared" si="2"/>
        <v>3.8544840497779086E-2</v>
      </c>
      <c r="AI21" s="9">
        <f t="shared" si="3"/>
        <v>1.4857047289992306E-3</v>
      </c>
      <c r="AJ21" s="9">
        <f t="shared" si="4"/>
        <v>5.611749729470205E-2</v>
      </c>
      <c r="AK21" s="9">
        <f t="shared" si="5"/>
        <v>3.1491735026208919E-3</v>
      </c>
      <c r="AL21" s="9">
        <f t="shared" si="6"/>
        <v>0.13032180400370974</v>
      </c>
      <c r="AM21" s="9">
        <f t="shared" si="7"/>
        <v>1.6983772598781335E-2</v>
      </c>
      <c r="AN21" s="8" t="s">
        <v>4806</v>
      </c>
    </row>
    <row r="22" spans="13:40" ht="23">
      <c r="M22" s="8" t="s">
        <v>4353</v>
      </c>
      <c r="N22" s="8"/>
      <c r="O22" s="8"/>
      <c r="P22" s="8" t="s">
        <v>3693</v>
      </c>
      <c r="Q22" s="8"/>
      <c r="R22" s="8"/>
      <c r="S22" s="8"/>
      <c r="T22" s="8"/>
      <c r="U22" s="8"/>
      <c r="V22" s="8"/>
      <c r="W22" s="8" t="s">
        <v>4353</v>
      </c>
      <c r="X22" s="8">
        <v>43.79</v>
      </c>
      <c r="Y22" s="8">
        <v>2.38</v>
      </c>
      <c r="Z22" s="9">
        <v>2.3199999999999998</v>
      </c>
      <c r="AA22" s="8">
        <v>6.7</v>
      </c>
      <c r="AB22" s="8">
        <v>22790</v>
      </c>
      <c r="AC22" s="21" t="s">
        <v>4353</v>
      </c>
      <c r="AD22" s="8" t="s">
        <v>4331</v>
      </c>
      <c r="AE22" s="8" t="s">
        <v>4287</v>
      </c>
      <c r="AF22" s="9">
        <f t="shared" si="0"/>
        <v>15.946</v>
      </c>
      <c r="AG22" s="9">
        <f t="shared" si="1"/>
        <v>16.973333333333333</v>
      </c>
      <c r="AH22" s="9">
        <f t="shared" si="2"/>
        <v>0.12297639587386659</v>
      </c>
      <c r="AI22" s="9">
        <f t="shared" si="3"/>
        <v>1.5123193942125952E-2</v>
      </c>
      <c r="AJ22" s="9">
        <f t="shared" si="4"/>
        <v>0.11706562164590772</v>
      </c>
      <c r="AK22" s="9">
        <f t="shared" si="5"/>
        <v>1.3704359771342819E-2</v>
      </c>
      <c r="AL22" s="9">
        <f t="shared" si="6"/>
        <v>0.11701512523904567</v>
      </c>
      <c r="AM22" s="9">
        <f t="shared" si="7"/>
        <v>1.3692539534709542E-2</v>
      </c>
      <c r="AN22" s="8" t="s">
        <v>4353</v>
      </c>
    </row>
    <row r="23" spans="13:40" ht="23">
      <c r="M23" s="8" t="s">
        <v>4810</v>
      </c>
      <c r="N23" s="8"/>
      <c r="O23" s="8"/>
      <c r="P23" s="8" t="s">
        <v>3692</v>
      </c>
      <c r="Q23" s="8"/>
      <c r="R23" s="8"/>
      <c r="S23" s="8"/>
      <c r="T23" s="8"/>
      <c r="U23" s="8"/>
      <c r="V23" s="8"/>
      <c r="W23" s="8" t="s">
        <v>4810</v>
      </c>
      <c r="X23" s="8">
        <v>14.05</v>
      </c>
      <c r="Y23" s="8">
        <v>7.67</v>
      </c>
      <c r="Z23" s="9">
        <v>4.05</v>
      </c>
      <c r="AA23" s="8">
        <v>3.6</v>
      </c>
      <c r="AB23" s="8">
        <v>18881</v>
      </c>
      <c r="AC23" s="21" t="s">
        <v>4810</v>
      </c>
      <c r="AD23" s="8" t="s">
        <v>4331</v>
      </c>
      <c r="AE23" s="8" t="s">
        <v>4287</v>
      </c>
      <c r="AF23" s="9">
        <f t="shared" si="0"/>
        <v>27.612000000000002</v>
      </c>
      <c r="AG23" s="9">
        <f t="shared" si="1"/>
        <v>14.7</v>
      </c>
      <c r="AH23" s="9">
        <f t="shared" si="2"/>
        <v>6.6076869424764137E-2</v>
      </c>
      <c r="AI23" s="9">
        <f t="shared" si="3"/>
        <v>4.36615267297733E-3</v>
      </c>
      <c r="AJ23" s="9">
        <f t="shared" si="4"/>
        <v>0.20271014328902573</v>
      </c>
      <c r="AK23" s="9">
        <f t="shared" si="5"/>
        <v>4.1091402192257341E-2</v>
      </c>
      <c r="AL23" s="9">
        <f t="shared" si="6"/>
        <v>0.1013426359591892</v>
      </c>
      <c r="AM23" s="9">
        <f t="shared" si="7"/>
        <v>1.0270329863156747E-2</v>
      </c>
      <c r="AN23" s="8" t="s">
        <v>4810</v>
      </c>
    </row>
    <row r="24" spans="13:40" ht="23">
      <c r="M24" s="8" t="s">
        <v>4811</v>
      </c>
      <c r="N24" s="8"/>
      <c r="O24" s="8"/>
      <c r="P24" s="8" t="s">
        <v>3691</v>
      </c>
      <c r="Q24" s="8"/>
      <c r="R24" s="8"/>
      <c r="S24" s="8"/>
      <c r="T24" s="8"/>
      <c r="U24" s="8"/>
      <c r="V24" s="8"/>
      <c r="W24" s="8" t="s">
        <v>4811</v>
      </c>
      <c r="X24" s="8">
        <v>18.350000000000001</v>
      </c>
      <c r="Y24" s="8">
        <v>2.83</v>
      </c>
      <c r="Z24" s="9">
        <v>7.41</v>
      </c>
      <c r="AA24" s="8">
        <v>1.4</v>
      </c>
      <c r="AB24" s="8">
        <v>51823</v>
      </c>
      <c r="AC24" s="21" t="s">
        <v>4811</v>
      </c>
      <c r="AD24" s="8" t="s">
        <v>4331</v>
      </c>
      <c r="AE24" s="8" t="s">
        <v>4287</v>
      </c>
      <c r="AF24" s="9">
        <f t="shared" si="0"/>
        <v>3.9619999999999997</v>
      </c>
      <c r="AG24" s="9">
        <f t="shared" si="1"/>
        <v>10.756666666666666</v>
      </c>
      <c r="AH24" s="9">
        <f t="shared" si="2"/>
        <v>2.5696560331852719E-2</v>
      </c>
      <c r="AI24" s="9">
        <f t="shared" si="3"/>
        <v>6.6031321288854668E-4</v>
      </c>
      <c r="AJ24" s="9">
        <f t="shared" si="4"/>
        <v>2.9086541638096475E-2</v>
      </c>
      <c r="AK24" s="9">
        <f t="shared" si="5"/>
        <v>8.4602690446471996E-4</v>
      </c>
      <c r="AL24" s="9">
        <f t="shared" si="6"/>
        <v>7.4157071709819403E-2</v>
      </c>
      <c r="AM24" s="9">
        <f t="shared" si="7"/>
        <v>5.4992712845752974E-3</v>
      </c>
      <c r="AN24" s="8" t="s">
        <v>4811</v>
      </c>
    </row>
    <row r="25" spans="13:40" ht="23">
      <c r="M25" s="8" t="s">
        <v>4800</v>
      </c>
      <c r="N25" s="8"/>
      <c r="O25" s="8"/>
      <c r="P25" s="8" t="s">
        <v>3691</v>
      </c>
      <c r="Q25" s="8"/>
      <c r="R25" s="8"/>
      <c r="S25" s="8"/>
      <c r="T25" s="8"/>
      <c r="U25" s="8"/>
      <c r="V25" s="8"/>
      <c r="W25" s="8" t="s">
        <v>4800</v>
      </c>
      <c r="X25" s="8">
        <v>68.7</v>
      </c>
      <c r="Y25" s="8">
        <v>2.5299999999999998</v>
      </c>
      <c r="Z25" s="9">
        <v>3.07</v>
      </c>
      <c r="AA25" s="8">
        <v>3</v>
      </c>
      <c r="AB25" s="8">
        <v>31798</v>
      </c>
      <c r="AC25" s="21" t="s">
        <v>4800</v>
      </c>
      <c r="AD25" s="8" t="s">
        <v>4331</v>
      </c>
      <c r="AE25" s="8" t="s">
        <v>4287</v>
      </c>
      <c r="AF25" s="9">
        <f t="shared" si="0"/>
        <v>7.59</v>
      </c>
      <c r="AG25" s="9">
        <f t="shared" si="1"/>
        <v>9.35</v>
      </c>
      <c r="AH25" s="9">
        <f t="shared" si="2"/>
        <v>5.5064057853970116E-2</v>
      </c>
      <c r="AI25" s="9">
        <f t="shared" si="3"/>
        <v>3.0320504673453682E-3</v>
      </c>
      <c r="AJ25" s="9">
        <f t="shared" si="4"/>
        <v>5.5721062855414498E-2</v>
      </c>
      <c r="AK25" s="9">
        <f t="shared" si="5"/>
        <v>3.1048368457370534E-3</v>
      </c>
      <c r="AL25" s="9">
        <f t="shared" si="6"/>
        <v>6.4459431715538709E-2</v>
      </c>
      <c r="AM25" s="9">
        <f t="shared" si="7"/>
        <v>4.1550183370901977E-3</v>
      </c>
      <c r="AN25" s="8" t="s">
        <v>4800</v>
      </c>
    </row>
    <row r="26" spans="13:40" ht="23">
      <c r="M26" s="8" t="s">
        <v>4333</v>
      </c>
      <c r="N26" s="8"/>
      <c r="O26" s="8"/>
      <c r="P26" s="8"/>
      <c r="Q26" s="8"/>
      <c r="R26" s="8"/>
      <c r="S26" s="8"/>
      <c r="T26" s="8"/>
      <c r="U26" s="8"/>
      <c r="V26" s="8"/>
      <c r="W26" s="8" t="s">
        <v>4333</v>
      </c>
      <c r="X26" s="8">
        <v>4.45</v>
      </c>
      <c r="Y26" s="8">
        <v>2.39</v>
      </c>
      <c r="Z26" s="9">
        <v>0.19</v>
      </c>
      <c r="AA26" s="8">
        <v>29.2</v>
      </c>
      <c r="AB26" s="8">
        <v>55559</v>
      </c>
      <c r="AC26" s="21" t="s">
        <v>4333</v>
      </c>
      <c r="AD26" s="8" t="s">
        <v>4331</v>
      </c>
      <c r="AE26" s="8" t="s">
        <v>4287</v>
      </c>
      <c r="AF26" s="9">
        <f t="shared" si="0"/>
        <v>69.787999999999997</v>
      </c>
      <c r="AG26" s="9">
        <f t="shared" si="1"/>
        <v>9.2466666666666661</v>
      </c>
      <c r="AH26" s="9">
        <f t="shared" si="2"/>
        <v>0.53595682977864256</v>
      </c>
      <c r="AI26" s="9">
        <f t="shared" si="3"/>
        <v>0.28724972338637283</v>
      </c>
      <c r="AJ26" s="9">
        <f t="shared" si="4"/>
        <v>0.51234012312960042</v>
      </c>
      <c r="AK26" s="9">
        <f t="shared" si="5"/>
        <v>0.26249240176845412</v>
      </c>
      <c r="AL26" s="9">
        <f t="shared" si="6"/>
        <v>6.3747045839181588E-2</v>
      </c>
      <c r="AM26" s="9">
        <f t="shared" si="7"/>
        <v>4.0636858532227182E-3</v>
      </c>
      <c r="AN26" s="8" t="s">
        <v>4333</v>
      </c>
    </row>
    <row r="27" spans="13:40" ht="23">
      <c r="M27" s="8" t="s">
        <v>4808</v>
      </c>
      <c r="N27" s="8"/>
      <c r="O27" s="8"/>
      <c r="P27" s="8"/>
      <c r="Q27" s="8"/>
      <c r="R27" s="8"/>
      <c r="S27" s="8"/>
      <c r="T27" s="8"/>
      <c r="U27" s="8"/>
      <c r="V27" s="8"/>
      <c r="W27" s="8" t="s">
        <v>4808</v>
      </c>
      <c r="X27" s="8">
        <v>0.99</v>
      </c>
      <c r="Y27" s="8">
        <v>6</v>
      </c>
      <c r="Z27" s="9">
        <v>0.12</v>
      </c>
      <c r="AA27" s="8">
        <v>34</v>
      </c>
      <c r="AB27" s="8">
        <v>47345</v>
      </c>
      <c r="AC27" s="21" t="s">
        <v>4808</v>
      </c>
      <c r="AD27" s="8" t="s">
        <v>4331</v>
      </c>
      <c r="AE27" s="8" t="s">
        <v>4287</v>
      </c>
      <c r="AF27" s="9">
        <f t="shared" si="0"/>
        <v>204</v>
      </c>
      <c r="AG27" s="9">
        <f t="shared" si="1"/>
        <v>6.8000000000000007</v>
      </c>
      <c r="AH27" s="9">
        <f t="shared" si="2"/>
        <v>0.62405932234499473</v>
      </c>
      <c r="AI27" s="9">
        <f t="shared" si="3"/>
        <v>0.38945003780569404</v>
      </c>
      <c r="AJ27" s="9">
        <f t="shared" si="4"/>
        <v>1.4976412150862395</v>
      </c>
      <c r="AK27" s="9">
        <f t="shared" si="5"/>
        <v>2.2429292091249877</v>
      </c>
      <c r="AL27" s="9">
        <f t="shared" si="6"/>
        <v>4.6879586702209979E-2</v>
      </c>
      <c r="AM27" s="9">
        <f t="shared" si="7"/>
        <v>2.1976956493700225E-3</v>
      </c>
      <c r="AN27" s="8" t="s">
        <v>4808</v>
      </c>
    </row>
    <row r="28" spans="13:40" ht="23">
      <c r="M28" s="8" t="s">
        <v>4797</v>
      </c>
      <c r="N28" s="8"/>
      <c r="O28" s="8"/>
      <c r="P28" s="8" t="s">
        <v>3705</v>
      </c>
      <c r="Q28" s="8"/>
      <c r="R28" s="8"/>
      <c r="S28" s="8"/>
      <c r="T28" s="8"/>
      <c r="U28" s="8"/>
      <c r="V28" s="8"/>
      <c r="W28" s="8" t="s">
        <v>4797</v>
      </c>
      <c r="X28" s="8">
        <v>0.1</v>
      </c>
      <c r="Y28" s="8">
        <v>2</v>
      </c>
      <c r="Z28" s="9">
        <v>0.26</v>
      </c>
      <c r="AA28" s="8">
        <v>12</v>
      </c>
      <c r="AB28" s="8">
        <v>340028</v>
      </c>
      <c r="AC28" s="21" t="s">
        <v>4797</v>
      </c>
      <c r="AD28" s="8" t="s">
        <v>4331</v>
      </c>
      <c r="AE28" s="8" t="s">
        <v>4287</v>
      </c>
      <c r="AF28" s="9">
        <f t="shared" si="0"/>
        <v>24</v>
      </c>
      <c r="AG28" s="9">
        <f t="shared" si="1"/>
        <v>5.2</v>
      </c>
      <c r="AH28" s="9">
        <f t="shared" si="2"/>
        <v>0.22025623141588047</v>
      </c>
      <c r="AI28" s="9">
        <f t="shared" si="3"/>
        <v>4.8512807477525892E-2</v>
      </c>
      <c r="AJ28" s="9">
        <f t="shared" si="4"/>
        <v>0.17619308412779289</v>
      </c>
      <c r="AK28" s="9">
        <f t="shared" si="5"/>
        <v>3.1044002894463501E-2</v>
      </c>
      <c r="AL28" s="9">
        <f t="shared" si="6"/>
        <v>3.5849095713454682E-2</v>
      </c>
      <c r="AM28" s="9">
        <f t="shared" si="7"/>
        <v>1.2851576634724349E-3</v>
      </c>
      <c r="AN28" s="8" t="s">
        <v>4797</v>
      </c>
    </row>
    <row r="29" spans="13:40" ht="23">
      <c r="M29" s="8" t="s">
        <v>4332</v>
      </c>
      <c r="N29" s="8"/>
      <c r="O29" s="8"/>
      <c r="P29" s="8" t="s">
        <v>3691</v>
      </c>
      <c r="Q29" s="8"/>
      <c r="R29" s="8"/>
      <c r="S29" s="8"/>
      <c r="T29" s="8"/>
      <c r="U29" s="8"/>
      <c r="V29" s="8"/>
      <c r="W29" s="8" t="s">
        <v>4332</v>
      </c>
      <c r="X29" s="8">
        <v>26.52</v>
      </c>
      <c r="Y29" s="8">
        <v>6.67</v>
      </c>
      <c r="Z29" s="9">
        <v>3.3</v>
      </c>
      <c r="AA29" s="8">
        <v>1.5</v>
      </c>
      <c r="AB29" s="8">
        <v>43799</v>
      </c>
      <c r="AC29" s="21" t="s">
        <v>4332</v>
      </c>
      <c r="AD29" s="8" t="s">
        <v>4331</v>
      </c>
      <c r="AE29" s="8" t="s">
        <v>4287</v>
      </c>
      <c r="AF29" s="9">
        <f t="shared" si="0"/>
        <v>10.004999999999999</v>
      </c>
      <c r="AG29" s="9">
        <f t="shared" si="1"/>
        <v>4.5075000000000003</v>
      </c>
      <c r="AH29" s="9">
        <f t="shared" si="2"/>
        <v>2.7532028926985058E-2</v>
      </c>
      <c r="AI29" s="9">
        <f t="shared" si="3"/>
        <v>7.5801261683634206E-4</v>
      </c>
      <c r="AJ29" s="9">
        <f t="shared" si="4"/>
        <v>7.3450491945773647E-2</v>
      </c>
      <c r="AK29" s="9">
        <f t="shared" si="5"/>
        <v>5.394974767076159E-3</v>
      </c>
      <c r="AL29" s="9">
        <f t="shared" si="6"/>
        <v>3.1074961332384042E-2</v>
      </c>
      <c r="AM29" s="9">
        <f t="shared" si="7"/>
        <v>9.656532218091634E-4</v>
      </c>
      <c r="AN29" s="8" t="s">
        <v>4332</v>
      </c>
    </row>
    <row r="30" spans="13:40" ht="23">
      <c r="M30" s="8" t="s">
        <v>4799</v>
      </c>
      <c r="N30" s="8"/>
      <c r="O30" s="8"/>
      <c r="P30" s="8" t="s">
        <v>3691</v>
      </c>
      <c r="Q30" s="8"/>
      <c r="R30" s="8"/>
      <c r="S30" s="8"/>
      <c r="T30" s="8"/>
      <c r="U30" s="8"/>
      <c r="V30" s="8"/>
      <c r="W30" s="8" t="s">
        <v>4799</v>
      </c>
      <c r="X30" s="8">
        <v>5.81</v>
      </c>
      <c r="Y30" s="8">
        <v>2.0499999999999998</v>
      </c>
      <c r="Z30" s="9">
        <v>0.05</v>
      </c>
      <c r="AA30" s="8">
        <v>32</v>
      </c>
      <c r="AB30" s="8">
        <v>31600</v>
      </c>
      <c r="AC30" s="21" t="s">
        <v>4799</v>
      </c>
      <c r="AD30" s="8" t="s">
        <v>4331</v>
      </c>
      <c r="AE30" s="8" t="s">
        <v>4287</v>
      </c>
      <c r="AF30" s="9">
        <f t="shared" si="0"/>
        <v>65.599999999999994</v>
      </c>
      <c r="AG30" s="9">
        <f t="shared" si="1"/>
        <v>2.6666666666666665</v>
      </c>
      <c r="AH30" s="9">
        <f t="shared" si="2"/>
        <v>0.58734995044234795</v>
      </c>
      <c r="AI30" s="9">
        <f t="shared" si="3"/>
        <v>0.34497996428462857</v>
      </c>
      <c r="AJ30" s="9">
        <f t="shared" si="4"/>
        <v>0.48159442994930052</v>
      </c>
      <c r="AK30" s="9">
        <f t="shared" si="5"/>
        <v>0.23193319495819173</v>
      </c>
      <c r="AL30" s="9">
        <f t="shared" si="6"/>
        <v>1.8384151647925479E-2</v>
      </c>
      <c r="AM30" s="9">
        <f t="shared" si="7"/>
        <v>3.3797703181392107E-4</v>
      </c>
      <c r="AN30" s="8" t="s">
        <v>4799</v>
      </c>
    </row>
    <row r="31" spans="13:40" ht="23">
      <c r="M31" s="9" t="s">
        <v>2985</v>
      </c>
      <c r="N31" s="8" t="s">
        <v>1717</v>
      </c>
      <c r="O31" s="8"/>
      <c r="P31" s="8" t="s">
        <v>3705</v>
      </c>
      <c r="Q31" s="8"/>
      <c r="R31" s="8"/>
      <c r="S31" s="8"/>
      <c r="T31" s="8"/>
      <c r="U31" s="8"/>
      <c r="V31" s="8"/>
      <c r="W31" s="9" t="s">
        <v>2985</v>
      </c>
      <c r="X31" s="8">
        <v>67.180000000000007</v>
      </c>
      <c r="Y31" s="8">
        <v>1.55</v>
      </c>
      <c r="Z31" s="9">
        <v>1.33</v>
      </c>
      <c r="AA31" s="8">
        <v>1.6</v>
      </c>
      <c r="AB31" s="8">
        <v>54986</v>
      </c>
      <c r="AC31" s="22" t="s">
        <v>2985</v>
      </c>
      <c r="AD31" s="8" t="s">
        <v>4331</v>
      </c>
      <c r="AE31" s="8" t="s">
        <v>4287</v>
      </c>
      <c r="AF31" s="9">
        <f t="shared" si="0"/>
        <v>2.4800000000000004</v>
      </c>
      <c r="AG31" s="9">
        <f t="shared" si="1"/>
        <v>2.4800000000000004</v>
      </c>
      <c r="AH31" s="9">
        <f t="shared" si="2"/>
        <v>2.9367497522117401E-2</v>
      </c>
      <c r="AI31" s="9">
        <f t="shared" si="3"/>
        <v>8.6244991071157164E-4</v>
      </c>
      <c r="AJ31" s="9">
        <f t="shared" si="4"/>
        <v>1.8206618693205268E-2</v>
      </c>
      <c r="AK31" s="9">
        <f t="shared" si="5"/>
        <v>3.3148096423977152E-4</v>
      </c>
      <c r="AL31" s="9">
        <f t="shared" si="6"/>
        <v>1.7097261032570699E-2</v>
      </c>
      <c r="AM31" s="9">
        <f t="shared" si="7"/>
        <v>2.9231633481586046E-4</v>
      </c>
      <c r="AN31" s="9" t="s">
        <v>2985</v>
      </c>
    </row>
    <row r="32" spans="13:40" ht="23">
      <c r="M32" s="8" t="s">
        <v>4327</v>
      </c>
      <c r="N32" s="8"/>
      <c r="O32" s="8"/>
      <c r="P32" s="8" t="s">
        <v>3692</v>
      </c>
      <c r="Q32" s="8"/>
      <c r="R32" s="8"/>
      <c r="S32" s="8"/>
      <c r="T32" s="8"/>
      <c r="U32" s="8"/>
      <c r="V32" s="8"/>
      <c r="W32" s="8" t="s">
        <v>4327</v>
      </c>
      <c r="X32" s="8">
        <v>44.09</v>
      </c>
      <c r="Y32" s="8">
        <v>2.35</v>
      </c>
      <c r="Z32" s="9">
        <v>0.55000000000000004</v>
      </c>
      <c r="AA32" s="8">
        <v>1.5</v>
      </c>
      <c r="AB32" s="8">
        <v>81270</v>
      </c>
      <c r="AC32" s="21" t="s">
        <v>4327</v>
      </c>
      <c r="AD32" s="8" t="s">
        <v>4331</v>
      </c>
      <c r="AE32" s="8" t="s">
        <v>4287</v>
      </c>
      <c r="AF32" s="9">
        <f t="shared" si="0"/>
        <v>3.5250000000000004</v>
      </c>
      <c r="AG32" s="9">
        <f t="shared" si="1"/>
        <v>1.375</v>
      </c>
      <c r="AH32" s="9">
        <f t="shared" si="2"/>
        <v>2.7532028926985058E-2</v>
      </c>
      <c r="AI32" s="9">
        <f t="shared" si="3"/>
        <v>7.5801261683634206E-4</v>
      </c>
      <c r="AJ32" s="9">
        <f t="shared" si="4"/>
        <v>2.5878359231269587E-2</v>
      </c>
      <c r="AK32" s="9">
        <f t="shared" si="5"/>
        <v>6.6968947650263586E-4</v>
      </c>
      <c r="AL32" s="9">
        <f t="shared" si="6"/>
        <v>9.4793281934615753E-3</v>
      </c>
      <c r="AM32" s="9">
        <f t="shared" si="7"/>
        <v>8.9857662999355493E-5</v>
      </c>
      <c r="AN32" s="8" t="s">
        <v>4327</v>
      </c>
    </row>
    <row r="33" spans="13:40" ht="23">
      <c r="M33" s="8" t="s">
        <v>4801</v>
      </c>
      <c r="N33" s="8"/>
      <c r="O33" s="8"/>
      <c r="P33" s="8" t="s">
        <v>3692</v>
      </c>
      <c r="Q33" s="8"/>
      <c r="R33" s="8"/>
      <c r="S33" s="8"/>
      <c r="T33" s="8"/>
      <c r="U33" s="8"/>
      <c r="V33" s="8"/>
      <c r="W33" s="8" t="s">
        <v>4801</v>
      </c>
      <c r="X33" s="8">
        <v>0.01</v>
      </c>
      <c r="Y33" s="8">
        <v>2.27</v>
      </c>
      <c r="Z33" s="9">
        <v>1.04</v>
      </c>
      <c r="AA33" s="8">
        <v>1.2</v>
      </c>
      <c r="AB33" s="8">
        <v>90295</v>
      </c>
      <c r="AC33" s="21" t="s">
        <v>4801</v>
      </c>
      <c r="AD33" s="8" t="s">
        <v>4331</v>
      </c>
      <c r="AE33" s="8" t="s">
        <v>4287</v>
      </c>
      <c r="AF33" s="9">
        <f t="shared" si="0"/>
        <v>2.7239999999999998</v>
      </c>
      <c r="AG33" s="9">
        <f t="shared" si="1"/>
        <v>1.28</v>
      </c>
      <c r="AH33" s="9">
        <f t="shared" si="2"/>
        <v>2.2025623141588048E-2</v>
      </c>
      <c r="AI33" s="9">
        <f t="shared" si="3"/>
        <v>4.8512807477525894E-4</v>
      </c>
      <c r="AJ33" s="9">
        <f t="shared" si="4"/>
        <v>1.9997915048504494E-2</v>
      </c>
      <c r="AK33" s="9">
        <f t="shared" si="5"/>
        <v>3.9991660628720246E-4</v>
      </c>
      <c r="AL33" s="9">
        <f t="shared" si="6"/>
        <v>8.8243927910042295E-3</v>
      </c>
      <c r="AM33" s="9">
        <f t="shared" si="7"/>
        <v>7.7869908129927414E-5</v>
      </c>
      <c r="AN33" s="8" t="s">
        <v>4801</v>
      </c>
    </row>
    <row r="34" spans="13:40" ht="23">
      <c r="M34" s="9" t="s">
        <v>4328</v>
      </c>
      <c r="N34" s="8"/>
      <c r="O34" s="8"/>
      <c r="P34" s="8" t="s">
        <v>3693</v>
      </c>
      <c r="Q34" s="8"/>
      <c r="R34" s="8"/>
      <c r="S34" s="8"/>
      <c r="T34" s="8"/>
      <c r="U34" s="8"/>
      <c r="V34" s="8"/>
      <c r="W34" s="9" t="s">
        <v>4328</v>
      </c>
      <c r="X34" s="8">
        <v>78.56</v>
      </c>
      <c r="Y34" s="8">
        <v>1.36</v>
      </c>
      <c r="Z34" s="9">
        <v>0.19</v>
      </c>
      <c r="AA34" s="8">
        <v>1.7</v>
      </c>
      <c r="AB34" s="8">
        <v>62899</v>
      </c>
      <c r="AC34" s="22" t="s">
        <v>4328</v>
      </c>
      <c r="AD34" s="8" t="s">
        <v>4331</v>
      </c>
      <c r="AE34" s="8" t="s">
        <v>4287</v>
      </c>
      <c r="AF34" s="9">
        <f t="shared" si="0"/>
        <v>2.3120000000000003</v>
      </c>
      <c r="AG34" s="9">
        <f t="shared" si="1"/>
        <v>0.53833333333333333</v>
      </c>
      <c r="AH34" s="9">
        <f t="shared" si="2"/>
        <v>3.1202966117249736E-2</v>
      </c>
      <c r="AI34" s="9">
        <f t="shared" si="3"/>
        <v>9.7362509451423508E-4</v>
      </c>
      <c r="AJ34" s="9">
        <f t="shared" si="4"/>
        <v>1.6973267104310717E-2</v>
      </c>
      <c r="AK34" s="9">
        <f t="shared" si="5"/>
        <v>2.8809179619427628E-4</v>
      </c>
      <c r="AL34" s="9">
        <f t="shared" si="6"/>
        <v>3.7113006139249567E-3</v>
      </c>
      <c r="AM34" s="9">
        <f t="shared" si="7"/>
        <v>1.3773752246919761E-5</v>
      </c>
      <c r="AN34" s="9" t="s">
        <v>4328</v>
      </c>
    </row>
    <row r="35" spans="13:40" ht="23">
      <c r="M35" s="8" t="s">
        <v>4809</v>
      </c>
      <c r="N35" s="8"/>
      <c r="O35" s="8"/>
      <c r="P35" s="8"/>
      <c r="Q35" s="8"/>
      <c r="R35" s="8"/>
      <c r="S35" s="8"/>
      <c r="T35" s="8"/>
      <c r="U35" s="8"/>
      <c r="V35" s="8"/>
      <c r="W35" s="8" t="s">
        <v>4809</v>
      </c>
      <c r="X35" s="8">
        <v>64.430000000000007</v>
      </c>
      <c r="Y35" s="8">
        <v>1.42</v>
      </c>
      <c r="Z35" s="9">
        <v>0.2</v>
      </c>
      <c r="AA35" s="8">
        <v>3.1</v>
      </c>
      <c r="AB35" s="8">
        <v>43848</v>
      </c>
      <c r="AC35" s="21" t="s">
        <v>4809</v>
      </c>
      <c r="AD35" s="8" t="s">
        <v>4331</v>
      </c>
      <c r="AE35" s="8" t="s">
        <v>4287</v>
      </c>
      <c r="AF35" s="9">
        <f t="shared" si="0"/>
        <v>4.4020000000000001</v>
      </c>
      <c r="AG35" s="9">
        <f t="shared" si="1"/>
        <v>1.0333333333333335E-2</v>
      </c>
      <c r="AH35" s="9">
        <f t="shared" si="2"/>
        <v>5.6899526449102455E-2</v>
      </c>
      <c r="AI35" s="9">
        <f t="shared" si="3"/>
        <v>3.23755611013211E-3</v>
      </c>
      <c r="AJ35" s="9">
        <f t="shared" si="4"/>
        <v>3.231674818043935E-2</v>
      </c>
      <c r="AK35" s="9">
        <f t="shared" si="5"/>
        <v>1.0443722129579302E-3</v>
      </c>
      <c r="AL35" s="9">
        <f t="shared" si="6"/>
        <v>7.1238587635711248E-5</v>
      </c>
      <c r="AM35" s="9">
        <f t="shared" si="7"/>
        <v>5.0749363683309117E-9</v>
      </c>
      <c r="AN35" s="8" t="s">
        <v>4809</v>
      </c>
    </row>
    <row r="36" spans="13:40" ht="23"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9"/>
      <c r="AA36" s="8">
        <f>SUBTOTAL(109,Table1363234[ترافیک کل])</f>
        <v>5448.2</v>
      </c>
      <c r="AB36" s="8"/>
      <c r="AC36" s="21"/>
      <c r="AD36" s="8"/>
      <c r="AE36" s="8"/>
      <c r="AF36" s="9">
        <f>SUBTOTAL(109,Table1363234[[مجموع صفحات  مشاهده شده   ]])</f>
        <v>13621.419999999996</v>
      </c>
      <c r="AG36" s="9">
        <f>SUBTOTAL(109,Table1363234[[مجموع زمان حضور در سایت ]])</f>
        <v>14505.247333333333</v>
      </c>
      <c r="AH36" s="9">
        <f>SUBTOTAL(109,Table1363234[سهم سایت از کل ترافیک طبقه بندی])</f>
        <v>99.999999999999957</v>
      </c>
      <c r="AI36" s="9">
        <f>SUBTOTAL(109,Table1363234[شاخص هرفیندال هیرشمن (ترافیک)])</f>
        <v>1674.9331457465255</v>
      </c>
      <c r="AJ36" s="9">
        <f>SUBTOTAL(109,Table1363234[سهم سایت از کل صفحات مشاهده شده در طبقه بندی])</f>
        <v>99.999999999999986</v>
      </c>
      <c r="AK36" s="9">
        <f>SUBTOTAL(109,Table1363234[شاخص هرفیندال -هیرشمن (صفحات مشاهده شده )])</f>
        <v>1647.812840567592</v>
      </c>
      <c r="AL36" s="9">
        <f>SUBTOTAL(109,Table1363234[سهم سایت از کل زمان حضور در طبقه بندی])</f>
        <v>99.999999999999986</v>
      </c>
      <c r="AM36" s="9">
        <f>SUBTOTAL(109,Table1363234[شاخص هرفیندال هیرشمن (زمان حضور)])</f>
        <v>1868.9355160687951</v>
      </c>
      <c r="AN36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{BD11F5B3-CDD6-4365-8BCB-BF7C12C7797E}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{AD0230EB-2B51-460E-907F-FA9E3561F8FD}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{08E6893D-7F49-41F1-BEE0-DD6FE957ECF9}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{A9F56BCB-9D42-4311-9860-AF2CF1C1FCF9}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{30D41323-D388-41A5-A009-E5C9507C2A06}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{A2B79F9E-7291-48DB-B134-2DE3A2ADAA2C}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11F5B3-CDD6-4365-8BCB-BF7C12C7797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D0230EB-2B51-460E-907F-FA9E3561F8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8E6893D-7F49-41F1-BEE0-DD6FE957EC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9F56BCB-9D42-4311-9860-AF2CF1C1FC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0D41323-D388-41A5-A009-E5C9507C2A0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A2B79F9E-7291-48DB-B134-2DE3A2ADAA2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0"/>
  <sheetViews>
    <sheetView showGridLines="0" rightToLeft="1" topLeftCell="AA1" zoomScale="85" zoomScaleNormal="85" workbookViewId="0">
      <selection activeCell="AC30" sqref="AC30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7.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9.83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4337</v>
      </c>
      <c r="N2" s="8"/>
      <c r="O2" s="8"/>
      <c r="P2" s="8" t="s">
        <v>4691</v>
      </c>
      <c r="Q2" s="8"/>
      <c r="R2" s="8"/>
      <c r="S2" s="8"/>
      <c r="T2" s="8"/>
      <c r="U2" s="8"/>
      <c r="V2" s="8"/>
      <c r="W2" s="8" t="s">
        <v>4337</v>
      </c>
      <c r="X2" s="8">
        <v>18.7</v>
      </c>
      <c r="Y2" s="8">
        <v>5.42</v>
      </c>
      <c r="Z2" s="9">
        <v>3.22</v>
      </c>
      <c r="AA2" s="8">
        <v>376</v>
      </c>
      <c r="AB2" s="8">
        <v>1985</v>
      </c>
      <c r="AC2" s="21" t="s">
        <v>4337</v>
      </c>
      <c r="AD2" s="8" t="s">
        <v>4074</v>
      </c>
      <c r="AE2" s="8" t="s">
        <v>4287</v>
      </c>
      <c r="AF2" s="9">
        <f t="shared" ref="AF2:AF29" si="0">(AA2*Y2)</f>
        <v>2037.92</v>
      </c>
      <c r="AG2" s="9">
        <f t="shared" ref="AG2:AG29" si="1">((((RIGHT(Z2,2))/60)+(LEFT(Z2,2)))*AA2)</f>
        <v>1265.8666666666668</v>
      </c>
      <c r="AH2" s="9">
        <f t="shared" ref="AH2:AH29" si="2">(AA2/$AA$30)*100</f>
        <v>24.694601339813481</v>
      </c>
      <c r="AI2" s="9">
        <f t="shared" ref="AI2:AI29" si="3">(AH2*AH2)</f>
        <v>609.82333533231781</v>
      </c>
      <c r="AJ2" s="9">
        <f t="shared" ref="AJ2:AJ29" si="4">(AF2/$AF$30)*100</f>
        <v>36.612739505762505</v>
      </c>
      <c r="AK2" s="9">
        <f t="shared" ref="AK2:AK29" si="5">(AJ2*AJ2)</f>
        <v>1340.4926941168223</v>
      </c>
      <c r="AL2" s="9">
        <f t="shared" ref="AL2:AL29" si="6">(AG2/$AG$30)*100</f>
        <v>29.835111045362556</v>
      </c>
      <c r="AM2" s="9">
        <f t="shared" ref="AM2:AM29" si="7">(AL2*AL2)</f>
        <v>890.13385108911473</v>
      </c>
      <c r="AN2" s="8" t="s">
        <v>4337</v>
      </c>
    </row>
    <row r="3" spans="8:40" ht="23">
      <c r="M3" s="8" t="s">
        <v>1473</v>
      </c>
      <c r="N3" s="8"/>
      <c r="O3" s="8"/>
      <c r="P3" s="8" t="s">
        <v>3691</v>
      </c>
      <c r="Q3" s="8"/>
      <c r="R3" s="8"/>
      <c r="S3" s="8"/>
      <c r="T3" s="8"/>
      <c r="U3" s="8"/>
      <c r="V3" s="8"/>
      <c r="W3" s="8" t="s">
        <v>1473</v>
      </c>
      <c r="X3" s="8">
        <v>54.03</v>
      </c>
      <c r="Y3" s="8">
        <v>1.1299999999999999</v>
      </c>
      <c r="Z3" s="9">
        <v>0.34</v>
      </c>
      <c r="AA3" s="8">
        <v>277.39999999999998</v>
      </c>
      <c r="AB3" s="8">
        <v>3765</v>
      </c>
      <c r="AC3" s="21" t="s">
        <v>1473</v>
      </c>
      <c r="AD3" s="8" t="s">
        <v>4074</v>
      </c>
      <c r="AE3" s="8" t="s">
        <v>4287</v>
      </c>
      <c r="AF3" s="9">
        <f t="shared" si="0"/>
        <v>313.46199999999993</v>
      </c>
      <c r="AG3" s="9">
        <f t="shared" si="1"/>
        <v>157.19333333333333</v>
      </c>
      <c r="AH3" s="9">
        <f t="shared" si="2"/>
        <v>18.21883620123473</v>
      </c>
      <c r="AI3" s="9">
        <f t="shared" si="3"/>
        <v>331.9259925274211</v>
      </c>
      <c r="AJ3" s="9">
        <f t="shared" si="4"/>
        <v>5.631576583455348</v>
      </c>
      <c r="AK3" s="9">
        <f t="shared" si="5"/>
        <v>31.714654815322611</v>
      </c>
      <c r="AL3" s="9">
        <f t="shared" si="6"/>
        <v>3.7048772031736017</v>
      </c>
      <c r="AM3" s="9">
        <f t="shared" si="7"/>
        <v>13.726115090595449</v>
      </c>
      <c r="AN3" s="8" t="s">
        <v>1473</v>
      </c>
    </row>
    <row r="4" spans="8:40" ht="23">
      <c r="M4" s="8" t="s">
        <v>4942</v>
      </c>
      <c r="N4" s="8"/>
      <c r="O4" s="8"/>
      <c r="P4" s="8"/>
      <c r="Q4" s="8"/>
      <c r="R4" s="8"/>
      <c r="S4" s="8"/>
      <c r="T4" s="8"/>
      <c r="U4" s="8"/>
      <c r="V4" s="8"/>
      <c r="W4" s="8" t="s">
        <v>4942</v>
      </c>
      <c r="X4" s="8">
        <v>7.76</v>
      </c>
      <c r="Y4" s="8">
        <v>3.47</v>
      </c>
      <c r="Z4" s="9">
        <v>3.13</v>
      </c>
      <c r="AA4" s="8">
        <v>237.5</v>
      </c>
      <c r="AB4" s="8">
        <v>9115</v>
      </c>
      <c r="AC4" s="21" t="s">
        <v>4942</v>
      </c>
      <c r="AD4" s="8" t="s">
        <v>4074</v>
      </c>
      <c r="AE4" s="8" t="s">
        <v>4287</v>
      </c>
      <c r="AF4" s="9">
        <f t="shared" si="0"/>
        <v>824.125</v>
      </c>
      <c r="AG4" s="9">
        <f t="shared" si="1"/>
        <v>763.95833333333337</v>
      </c>
      <c r="AH4" s="9">
        <f t="shared" si="2"/>
        <v>15.598318665440694</v>
      </c>
      <c r="AI4" s="9">
        <f t="shared" si="3"/>
        <v>243.30754518863554</v>
      </c>
      <c r="AJ4" s="9">
        <f t="shared" si="4"/>
        <v>14.806014929529384</v>
      </c>
      <c r="AK4" s="9">
        <f t="shared" si="5"/>
        <v>219.21807809344702</v>
      </c>
      <c r="AL4" s="9">
        <f t="shared" si="6"/>
        <v>18.005673353457528</v>
      </c>
      <c r="AM4" s="9">
        <f t="shared" si="7"/>
        <v>324.20427291141044</v>
      </c>
      <c r="AN4" s="8" t="s">
        <v>4942</v>
      </c>
    </row>
    <row r="5" spans="8:40" ht="23">
      <c r="M5" s="8" t="s">
        <v>295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295</v>
      </c>
      <c r="X5" s="8">
        <v>29.25</v>
      </c>
      <c r="Y5" s="8">
        <v>3.33</v>
      </c>
      <c r="Z5" s="9">
        <v>4.04</v>
      </c>
      <c r="AA5" s="8">
        <v>176.5</v>
      </c>
      <c r="AB5" s="8">
        <v>1388</v>
      </c>
      <c r="AC5" s="21" t="s">
        <v>295</v>
      </c>
      <c r="AD5" s="8" t="s">
        <v>4074</v>
      </c>
      <c r="AE5" s="8" t="s">
        <v>4287</v>
      </c>
      <c r="AF5" s="9">
        <f t="shared" si="0"/>
        <v>587.745</v>
      </c>
      <c r="AG5" s="9">
        <f t="shared" si="1"/>
        <v>717.76666666666665</v>
      </c>
      <c r="AH5" s="9">
        <f t="shared" si="2"/>
        <v>11.592013660843294</v>
      </c>
      <c r="AI5" s="9">
        <f t="shared" si="3"/>
        <v>134.37478071317756</v>
      </c>
      <c r="AJ5" s="9">
        <f t="shared" si="4"/>
        <v>10.559273465501287</v>
      </c>
      <c r="AK5" s="9">
        <f t="shared" si="5"/>
        <v>111.49825611923956</v>
      </c>
      <c r="AL5" s="9">
        <f t="shared" si="6"/>
        <v>16.916985626179475</v>
      </c>
      <c r="AM5" s="9">
        <f t="shared" si="7"/>
        <v>286.18440267636294</v>
      </c>
      <c r="AN5" s="8" t="s">
        <v>295</v>
      </c>
    </row>
    <row r="6" spans="8:40" ht="23">
      <c r="M6" s="9" t="s">
        <v>4346</v>
      </c>
      <c r="N6" s="8"/>
      <c r="O6" s="8"/>
      <c r="P6" s="8"/>
      <c r="Q6" s="8"/>
      <c r="R6" s="8"/>
      <c r="S6" s="8"/>
      <c r="T6" s="8"/>
      <c r="U6" s="8"/>
      <c r="V6" s="8"/>
      <c r="W6" s="9" t="s">
        <v>4346</v>
      </c>
      <c r="X6" s="8">
        <v>11.29</v>
      </c>
      <c r="Y6" s="8">
        <v>4.96</v>
      </c>
      <c r="Z6" s="9">
        <v>3.33</v>
      </c>
      <c r="AA6" s="8">
        <v>116.2</v>
      </c>
      <c r="AB6" s="8"/>
      <c r="AC6" s="22" t="s">
        <v>4346</v>
      </c>
      <c r="AD6" s="8" t="s">
        <v>4074</v>
      </c>
      <c r="AE6" s="8" t="s">
        <v>4287</v>
      </c>
      <c r="AF6" s="9">
        <f t="shared" si="0"/>
        <v>576.35199999999998</v>
      </c>
      <c r="AG6" s="9">
        <f t="shared" si="1"/>
        <v>412.51</v>
      </c>
      <c r="AH6" s="9">
        <f t="shared" si="2"/>
        <v>7.6316826481019309</v>
      </c>
      <c r="AI6" s="9">
        <f t="shared" si="3"/>
        <v>58.242580041340098</v>
      </c>
      <c r="AJ6" s="9">
        <f t="shared" si="4"/>
        <v>10.354589797256629</v>
      </c>
      <c r="AK6" s="9">
        <f t="shared" si="5"/>
        <v>107.21752986945108</v>
      </c>
      <c r="AL6" s="9">
        <f t="shared" si="6"/>
        <v>9.7224154655486412</v>
      </c>
      <c r="AM6" s="9">
        <f t="shared" si="7"/>
        <v>94.525362484739404</v>
      </c>
      <c r="AN6" s="9" t="s">
        <v>4346</v>
      </c>
    </row>
    <row r="7" spans="8:40" ht="23">
      <c r="M7" s="8" t="s">
        <v>3665</v>
      </c>
      <c r="N7" s="8"/>
      <c r="O7" s="8"/>
      <c r="P7" s="8" t="s">
        <v>3691</v>
      </c>
      <c r="Q7" s="8"/>
      <c r="R7" s="8"/>
      <c r="S7" s="8"/>
      <c r="T7" s="8"/>
      <c r="U7" s="8"/>
      <c r="V7" s="8"/>
      <c r="W7" s="8" t="s">
        <v>3665</v>
      </c>
      <c r="X7" s="8">
        <v>23.23</v>
      </c>
      <c r="Y7" s="8">
        <v>1.47</v>
      </c>
      <c r="Z7" s="9">
        <v>0.53</v>
      </c>
      <c r="AA7" s="8">
        <v>67.8</v>
      </c>
      <c r="AB7" s="8">
        <v>11344</v>
      </c>
      <c r="AC7" s="21" t="s">
        <v>3665</v>
      </c>
      <c r="AD7" s="8" t="s">
        <v>4074</v>
      </c>
      <c r="AE7" s="8" t="s">
        <v>4287</v>
      </c>
      <c r="AF7" s="9">
        <f t="shared" si="0"/>
        <v>99.665999999999997</v>
      </c>
      <c r="AG7" s="9">
        <f t="shared" si="1"/>
        <v>59.889999999999993</v>
      </c>
      <c r="AH7" s="9">
        <f t="shared" si="2"/>
        <v>4.4529094969131755</v>
      </c>
      <c r="AI7" s="9">
        <f t="shared" si="3"/>
        <v>19.828402987699551</v>
      </c>
      <c r="AJ7" s="9">
        <f t="shared" si="4"/>
        <v>1.7905733765708789</v>
      </c>
      <c r="AK7" s="9">
        <f t="shared" si="5"/>
        <v>3.2061530168844383</v>
      </c>
      <c r="AL7" s="9">
        <f t="shared" si="6"/>
        <v>1.4115426589215001</v>
      </c>
      <c r="AM7" s="9">
        <f t="shared" si="7"/>
        <v>1.9924526779551783</v>
      </c>
      <c r="AN7" s="8" t="s">
        <v>3665</v>
      </c>
    </row>
    <row r="8" spans="8:40" ht="23">
      <c r="M8" s="9" t="s">
        <v>4340</v>
      </c>
      <c r="N8" s="8"/>
      <c r="O8" s="8"/>
      <c r="P8" s="8" t="s">
        <v>3705</v>
      </c>
      <c r="Q8" s="8"/>
      <c r="R8" s="8"/>
      <c r="S8" s="8"/>
      <c r="T8" s="8"/>
      <c r="U8" s="8"/>
      <c r="V8" s="8"/>
      <c r="W8" s="9" t="s">
        <v>4340</v>
      </c>
      <c r="X8" s="8">
        <v>29.63</v>
      </c>
      <c r="Y8" s="8">
        <v>6.79</v>
      </c>
      <c r="Z8" s="9">
        <v>4.58</v>
      </c>
      <c r="AA8" s="8">
        <v>56.3</v>
      </c>
      <c r="AB8" s="8">
        <v>2045</v>
      </c>
      <c r="AC8" s="22" t="s">
        <v>4340</v>
      </c>
      <c r="AD8" s="8" t="s">
        <v>4074</v>
      </c>
      <c r="AE8" s="8" t="s">
        <v>4287</v>
      </c>
      <c r="AF8" s="9">
        <f t="shared" si="0"/>
        <v>382.27699999999999</v>
      </c>
      <c r="AG8" s="9">
        <f t="shared" si="1"/>
        <v>279.62333333333333</v>
      </c>
      <c r="AH8" s="9">
        <f t="shared" si="2"/>
        <v>3.6976224878497304</v>
      </c>
      <c r="AI8" s="9">
        <f t="shared" si="3"/>
        <v>13.672412062652029</v>
      </c>
      <c r="AJ8" s="9">
        <f t="shared" si="4"/>
        <v>6.8678889357994279</v>
      </c>
      <c r="AK8" s="9">
        <f t="shared" si="5"/>
        <v>47.1678984344762</v>
      </c>
      <c r="AL8" s="9">
        <f t="shared" si="6"/>
        <v>6.5904201607918909</v>
      </c>
      <c r="AM8" s="9">
        <f t="shared" si="7"/>
        <v>43.433637895772215</v>
      </c>
      <c r="AN8" s="9" t="s">
        <v>4340</v>
      </c>
    </row>
    <row r="9" spans="8:40" ht="23">
      <c r="M9" s="24" t="s">
        <v>5221</v>
      </c>
      <c r="N9" s="24"/>
      <c r="O9" s="24"/>
      <c r="P9" s="24" t="s">
        <v>4653</v>
      </c>
      <c r="Q9" s="24"/>
      <c r="R9" s="24"/>
      <c r="S9" s="24"/>
      <c r="T9" s="24"/>
      <c r="U9" s="24"/>
      <c r="V9" s="24"/>
      <c r="W9" s="24" t="s">
        <v>5221</v>
      </c>
      <c r="X9" s="24">
        <v>37.520000000000003</v>
      </c>
      <c r="Y9" s="24">
        <v>1.18</v>
      </c>
      <c r="Z9" s="25">
        <v>0.12</v>
      </c>
      <c r="AA9" s="24">
        <v>52.8</v>
      </c>
      <c r="AB9" s="24">
        <v>29548</v>
      </c>
      <c r="AC9" s="21" t="s">
        <v>5221</v>
      </c>
      <c r="AD9" s="8" t="s">
        <v>4074</v>
      </c>
      <c r="AE9" s="8" t="s">
        <v>4287</v>
      </c>
      <c r="AF9" s="25">
        <f t="shared" si="0"/>
        <v>62.303999999999995</v>
      </c>
      <c r="AG9" s="25">
        <f t="shared" si="1"/>
        <v>10.56</v>
      </c>
      <c r="AH9" s="9">
        <f t="shared" si="2"/>
        <v>3.4677525285695525</v>
      </c>
      <c r="AI9" s="25">
        <f t="shared" si="3"/>
        <v>12.025307599400525</v>
      </c>
      <c r="AJ9" s="9">
        <f t="shared" si="4"/>
        <v>1.1193374235333216</v>
      </c>
      <c r="AK9" s="25">
        <f t="shared" si="5"/>
        <v>1.2529162677222145</v>
      </c>
      <c r="AL9" s="9">
        <f t="shared" si="6"/>
        <v>0.2488878022743537</v>
      </c>
      <c r="AM9" s="25">
        <f t="shared" si="7"/>
        <v>6.1945138120957782E-2</v>
      </c>
      <c r="AN9" s="24" t="s">
        <v>5221</v>
      </c>
    </row>
    <row r="10" spans="8:40" ht="23">
      <c r="M10" s="8" t="s">
        <v>4944</v>
      </c>
      <c r="N10" s="8"/>
      <c r="O10" s="8"/>
      <c r="P10" s="8" t="s">
        <v>3705</v>
      </c>
      <c r="Q10" s="8"/>
      <c r="R10" s="8"/>
      <c r="S10" s="8"/>
      <c r="T10" s="8"/>
      <c r="U10" s="8"/>
      <c r="V10" s="8"/>
      <c r="W10" s="8" t="s">
        <v>4944</v>
      </c>
      <c r="X10" s="8">
        <v>9.59</v>
      </c>
      <c r="Y10" s="8">
        <v>3.9</v>
      </c>
      <c r="Z10" s="9">
        <v>4.1399999999999997</v>
      </c>
      <c r="AA10" s="8">
        <v>33.200000000000003</v>
      </c>
      <c r="AB10" s="8">
        <v>6764</v>
      </c>
      <c r="AC10" s="21" t="s">
        <v>4944</v>
      </c>
      <c r="AD10" s="8" t="s">
        <v>4074</v>
      </c>
      <c r="AE10" s="8" t="s">
        <v>4287</v>
      </c>
      <c r="AF10" s="9">
        <f t="shared" si="0"/>
        <v>129.48000000000002</v>
      </c>
      <c r="AG10" s="9">
        <f t="shared" si="1"/>
        <v>140.54666666666668</v>
      </c>
      <c r="AH10" s="9">
        <f t="shared" si="2"/>
        <v>2.1804807566005517</v>
      </c>
      <c r="AI10" s="9">
        <f t="shared" si="3"/>
        <v>4.7544963299053142</v>
      </c>
      <c r="AJ10" s="9">
        <f t="shared" si="4"/>
        <v>2.3262039291071921</v>
      </c>
      <c r="AK10" s="9">
        <f t="shared" si="5"/>
        <v>5.4112247197937382</v>
      </c>
      <c r="AL10" s="9">
        <f t="shared" si="6"/>
        <v>3.3125332370883367</v>
      </c>
      <c r="AM10" s="9">
        <f t="shared" si="7"/>
        <v>10.972876446814935</v>
      </c>
      <c r="AN10" s="8" t="s">
        <v>4944</v>
      </c>
    </row>
    <row r="11" spans="8:40" ht="23">
      <c r="M11" s="8" t="s">
        <v>1732</v>
      </c>
      <c r="N11" s="8" t="s">
        <v>1717</v>
      </c>
      <c r="O11" s="8"/>
      <c r="P11" s="8" t="s">
        <v>3691</v>
      </c>
      <c r="Q11" s="8"/>
      <c r="R11" s="8"/>
      <c r="S11" s="8"/>
      <c r="T11" s="8"/>
      <c r="U11" s="8"/>
      <c r="V11" s="8"/>
      <c r="W11" s="8" t="s">
        <v>1732</v>
      </c>
      <c r="X11" s="8">
        <v>28.13</v>
      </c>
      <c r="Y11" s="8">
        <v>1.93</v>
      </c>
      <c r="Z11" s="9">
        <v>1.35</v>
      </c>
      <c r="AA11" s="8">
        <v>23.4</v>
      </c>
      <c r="AB11" s="8">
        <v>17358</v>
      </c>
      <c r="AC11" s="21" t="s">
        <v>1732</v>
      </c>
      <c r="AD11" s="8" t="s">
        <v>4074</v>
      </c>
      <c r="AE11" s="8" t="s">
        <v>4287</v>
      </c>
      <c r="AF11" s="9">
        <f t="shared" si="0"/>
        <v>45.161999999999999</v>
      </c>
      <c r="AG11" s="9">
        <f t="shared" si="1"/>
        <v>37.050000000000004</v>
      </c>
      <c r="AH11" s="9">
        <f t="shared" si="2"/>
        <v>1.5368448706160516</v>
      </c>
      <c r="AI11" s="9">
        <f t="shared" si="3"/>
        <v>2.3618921563388682</v>
      </c>
      <c r="AJ11" s="9">
        <f t="shared" si="4"/>
        <v>0.81136871985124348</v>
      </c>
      <c r="AK11" s="9">
        <f t="shared" si="5"/>
        <v>0.65831919955304563</v>
      </c>
      <c r="AL11" s="9">
        <f t="shared" si="6"/>
        <v>0.87322851082053088</v>
      </c>
      <c r="AM11" s="9">
        <f t="shared" si="7"/>
        <v>0.76252803210984199</v>
      </c>
      <c r="AN11" s="8" t="s">
        <v>1732</v>
      </c>
    </row>
    <row r="12" spans="8:40" ht="23">
      <c r="M12" s="8" t="s">
        <v>4343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4343</v>
      </c>
      <c r="X12" s="8">
        <v>5.34</v>
      </c>
      <c r="Y12" s="8">
        <v>8.92</v>
      </c>
      <c r="Z12" s="9">
        <v>5.23</v>
      </c>
      <c r="AA12" s="8">
        <v>23.1</v>
      </c>
      <c r="AB12" s="8">
        <v>6264</v>
      </c>
      <c r="AC12" s="21" t="s">
        <v>4343</v>
      </c>
      <c r="AD12" s="8" t="s">
        <v>4074</v>
      </c>
      <c r="AE12" s="8" t="s">
        <v>4287</v>
      </c>
      <c r="AF12" s="9">
        <f t="shared" si="0"/>
        <v>206.05200000000002</v>
      </c>
      <c r="AG12" s="9">
        <f t="shared" si="1"/>
        <v>124.35500000000002</v>
      </c>
      <c r="AH12" s="9">
        <f t="shared" si="2"/>
        <v>1.5171417312491793</v>
      </c>
      <c r="AI12" s="9">
        <f t="shared" si="3"/>
        <v>2.3017190326977568</v>
      </c>
      <c r="AJ12" s="9">
        <f t="shared" si="4"/>
        <v>3.7018765214735496</v>
      </c>
      <c r="AK12" s="9">
        <f t="shared" si="5"/>
        <v>13.703889780237107</v>
      </c>
      <c r="AL12" s="9">
        <f t="shared" si="6"/>
        <v>2.9309131299078843</v>
      </c>
      <c r="AM12" s="9">
        <f t="shared" si="7"/>
        <v>8.5902517750664309</v>
      </c>
      <c r="AN12" s="8" t="s">
        <v>4343</v>
      </c>
    </row>
    <row r="13" spans="8:40" ht="23">
      <c r="M13" s="8" t="s">
        <v>4345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4345</v>
      </c>
      <c r="X13" s="8">
        <v>36.53</v>
      </c>
      <c r="Y13" s="8">
        <v>3.45</v>
      </c>
      <c r="Z13" s="9">
        <v>4.25</v>
      </c>
      <c r="AA13" s="8">
        <v>13.8</v>
      </c>
      <c r="AB13" s="8">
        <v>9368</v>
      </c>
      <c r="AC13" s="21" t="s">
        <v>4345</v>
      </c>
      <c r="AD13" s="8" t="s">
        <v>4074</v>
      </c>
      <c r="AE13" s="8" t="s">
        <v>4287</v>
      </c>
      <c r="AF13" s="9">
        <f t="shared" si="0"/>
        <v>47.610000000000007</v>
      </c>
      <c r="AG13" s="9">
        <f t="shared" si="1"/>
        <v>60.95000000000001</v>
      </c>
      <c r="AH13" s="9">
        <f t="shared" si="2"/>
        <v>0.90634441087613304</v>
      </c>
      <c r="AI13" s="9">
        <f t="shared" si="3"/>
        <v>0.82146019112640467</v>
      </c>
      <c r="AJ13" s="9">
        <f t="shared" si="4"/>
        <v>0.85534884974353897</v>
      </c>
      <c r="AK13" s="9">
        <f t="shared" si="5"/>
        <v>0.73162165475759522</v>
      </c>
      <c r="AL13" s="9">
        <f t="shared" si="6"/>
        <v>1.4365257148316155</v>
      </c>
      <c r="AM13" s="9">
        <f t="shared" si="7"/>
        <v>2.0636061293724839</v>
      </c>
      <c r="AN13" s="8" t="s">
        <v>4345</v>
      </c>
    </row>
    <row r="14" spans="8:40" ht="23">
      <c r="M14" s="8" t="s">
        <v>4350</v>
      </c>
      <c r="N14" s="8"/>
      <c r="O14" s="8"/>
      <c r="P14" s="8"/>
      <c r="Q14" s="8"/>
      <c r="R14" s="8"/>
      <c r="S14" s="8"/>
      <c r="T14" s="8"/>
      <c r="U14" s="8"/>
      <c r="V14" s="8"/>
      <c r="W14" s="8" t="s">
        <v>4350</v>
      </c>
      <c r="X14" s="8">
        <v>20.48</v>
      </c>
      <c r="Y14" s="8">
        <v>3.46</v>
      </c>
      <c r="Z14" s="9">
        <v>1.0900000000000001</v>
      </c>
      <c r="AA14" s="8">
        <v>11.6</v>
      </c>
      <c r="AB14" s="8">
        <v>20478</v>
      </c>
      <c r="AC14" s="21" t="s">
        <v>4350</v>
      </c>
      <c r="AD14" s="8" t="s">
        <v>4074</v>
      </c>
      <c r="AE14" s="8" t="s">
        <v>4287</v>
      </c>
      <c r="AF14" s="9">
        <f t="shared" si="0"/>
        <v>40.135999999999996</v>
      </c>
      <c r="AG14" s="9">
        <f t="shared" si="1"/>
        <v>13.339999999999998</v>
      </c>
      <c r="AH14" s="9">
        <f t="shared" si="2"/>
        <v>0.76185472218573491</v>
      </c>
      <c r="AI14" s="9">
        <f t="shared" si="3"/>
        <v>0.58042261771670334</v>
      </c>
      <c r="AJ14" s="9">
        <f t="shared" si="4"/>
        <v>0.72107291395309114</v>
      </c>
      <c r="AK14" s="9">
        <f t="shared" si="5"/>
        <v>0.51994614723680199</v>
      </c>
      <c r="AL14" s="9">
        <f t="shared" si="6"/>
        <v>0.31440940173673088</v>
      </c>
      <c r="AM14" s="9">
        <f t="shared" si="7"/>
        <v>9.8853271900449027E-2</v>
      </c>
      <c r="AN14" s="8" t="s">
        <v>4350</v>
      </c>
    </row>
    <row r="15" spans="8:40" ht="21.5" customHeight="1">
      <c r="M15" s="8" t="s">
        <v>4349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4349</v>
      </c>
      <c r="X15" s="8">
        <v>34.869999999999997</v>
      </c>
      <c r="Y15" s="8">
        <v>3.76</v>
      </c>
      <c r="Z15" s="9">
        <v>3.48</v>
      </c>
      <c r="AA15" s="8">
        <v>10.199999999999999</v>
      </c>
      <c r="AB15" s="8">
        <v>12051</v>
      </c>
      <c r="AC15" s="21" t="s">
        <v>4349</v>
      </c>
      <c r="AD15" s="8" t="s">
        <v>4074</v>
      </c>
      <c r="AE15" s="8" t="s">
        <v>4287</v>
      </c>
      <c r="AF15" s="9">
        <f t="shared" si="0"/>
        <v>38.351999999999997</v>
      </c>
      <c r="AG15" s="9">
        <f t="shared" si="1"/>
        <v>38.76</v>
      </c>
      <c r="AH15" s="9">
        <f t="shared" si="2"/>
        <v>0.66990673847366344</v>
      </c>
      <c r="AI15" s="9">
        <f t="shared" si="3"/>
        <v>0.44877503825242132</v>
      </c>
      <c r="AJ15" s="9">
        <f t="shared" si="4"/>
        <v>0.68902203497929426</v>
      </c>
      <c r="AK15" s="9">
        <f t="shared" si="5"/>
        <v>0.47475136468700779</v>
      </c>
      <c r="AL15" s="9">
        <f t="shared" si="6"/>
        <v>0.91353136516609357</v>
      </c>
      <c r="AM15" s="9">
        <f t="shared" si="7"/>
        <v>0.83453955514222655</v>
      </c>
      <c r="AN15" s="8" t="s">
        <v>4349</v>
      </c>
    </row>
    <row r="16" spans="8:40" ht="20" customHeight="1">
      <c r="M16" s="9" t="s">
        <v>4943</v>
      </c>
      <c r="N16" s="8"/>
      <c r="O16" s="8"/>
      <c r="P16" s="8" t="s">
        <v>3693</v>
      </c>
      <c r="Q16" s="8"/>
      <c r="R16" s="8"/>
      <c r="S16" s="8"/>
      <c r="T16" s="8"/>
      <c r="U16" s="8"/>
      <c r="V16" s="8"/>
      <c r="W16" s="9" t="s">
        <v>4943</v>
      </c>
      <c r="X16" s="8">
        <v>39.08</v>
      </c>
      <c r="Y16" s="8">
        <v>4.21</v>
      </c>
      <c r="Z16" s="9">
        <v>3.57</v>
      </c>
      <c r="AA16" s="8">
        <v>6.6</v>
      </c>
      <c r="AB16" s="8">
        <v>14713</v>
      </c>
      <c r="AC16" s="22" t="s">
        <v>4943</v>
      </c>
      <c r="AD16" s="8" t="s">
        <v>4074</v>
      </c>
      <c r="AE16" s="8" t="s">
        <v>4287</v>
      </c>
      <c r="AF16" s="9">
        <f t="shared" si="0"/>
        <v>27.785999999999998</v>
      </c>
      <c r="AG16" s="9">
        <f t="shared" si="1"/>
        <v>26.07</v>
      </c>
      <c r="AH16" s="9">
        <f t="shared" si="2"/>
        <v>0.43346906607119406</v>
      </c>
      <c r="AI16" s="9">
        <f t="shared" si="3"/>
        <v>0.18789543124063321</v>
      </c>
      <c r="AJ16" s="9">
        <f t="shared" si="4"/>
        <v>0.49919603316475464</v>
      </c>
      <c r="AK16" s="9">
        <f t="shared" si="5"/>
        <v>0.2491966795274268</v>
      </c>
      <c r="AL16" s="9">
        <f t="shared" si="6"/>
        <v>0.6144417618648107</v>
      </c>
      <c r="AM16" s="9">
        <f t="shared" si="7"/>
        <v>0.37753867872353275</v>
      </c>
      <c r="AN16" s="9" t="s">
        <v>4943</v>
      </c>
    </row>
    <row r="17" spans="13:40" ht="21" customHeight="1">
      <c r="M17" s="8" t="s">
        <v>4339</v>
      </c>
      <c r="N17" s="8"/>
      <c r="O17" s="8"/>
      <c r="P17" s="8"/>
      <c r="Q17" s="8"/>
      <c r="R17" s="8"/>
      <c r="S17" s="8"/>
      <c r="T17" s="8"/>
      <c r="U17" s="8"/>
      <c r="V17" s="8"/>
      <c r="W17" s="8" t="s">
        <v>4339</v>
      </c>
      <c r="X17" s="8">
        <v>31.01</v>
      </c>
      <c r="Y17" s="8">
        <v>2.78</v>
      </c>
      <c r="Z17" s="9">
        <v>3.29</v>
      </c>
      <c r="AA17" s="8">
        <v>5.9</v>
      </c>
      <c r="AB17" s="8">
        <v>22218</v>
      </c>
      <c r="AC17" s="21" t="s">
        <v>4339</v>
      </c>
      <c r="AD17" s="8" t="s">
        <v>4074</v>
      </c>
      <c r="AE17" s="8" t="s">
        <v>4287</v>
      </c>
      <c r="AF17" s="9">
        <f t="shared" si="0"/>
        <v>16.402000000000001</v>
      </c>
      <c r="AG17" s="9">
        <f t="shared" si="1"/>
        <v>20.551666666666669</v>
      </c>
      <c r="AH17" s="9">
        <f t="shared" si="2"/>
        <v>0.38749507421515833</v>
      </c>
      <c r="AI17" s="9">
        <f t="shared" si="3"/>
        <v>0.15015243254101107</v>
      </c>
      <c r="AJ17" s="9">
        <f t="shared" si="4"/>
        <v>0.29467405657411311</v>
      </c>
      <c r="AK17" s="9">
        <f t="shared" si="5"/>
        <v>8.6832799617843612E-2</v>
      </c>
      <c r="AL17" s="9">
        <f t="shared" si="6"/>
        <v>0.484380601301303</v>
      </c>
      <c r="AM17" s="9">
        <f t="shared" si="7"/>
        <v>0.23462456691701186</v>
      </c>
      <c r="AN17" s="8" t="s">
        <v>4339</v>
      </c>
    </row>
    <row r="18" spans="13:40" ht="22" customHeight="1">
      <c r="M18" s="8" t="s">
        <v>4344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4344</v>
      </c>
      <c r="X18" s="8">
        <v>66.010000000000005</v>
      </c>
      <c r="Y18" s="8">
        <v>2.57</v>
      </c>
      <c r="Z18" s="9">
        <v>2.4900000000000002</v>
      </c>
      <c r="AA18" s="8">
        <v>4.5</v>
      </c>
      <c r="AB18" s="8">
        <v>21948</v>
      </c>
      <c r="AC18" s="21" t="s">
        <v>4344</v>
      </c>
      <c r="AD18" s="8" t="s">
        <v>4074</v>
      </c>
      <c r="AE18" s="8" t="s">
        <v>4287</v>
      </c>
      <c r="AF18" s="9">
        <f t="shared" si="0"/>
        <v>11.565</v>
      </c>
      <c r="AG18" s="9">
        <f t="shared" si="1"/>
        <v>12.674999999999999</v>
      </c>
      <c r="AH18" s="9">
        <f t="shared" si="2"/>
        <v>0.29554709050308686</v>
      </c>
      <c r="AI18" s="9">
        <f t="shared" si="3"/>
        <v>8.7348082704839819E-2</v>
      </c>
      <c r="AJ18" s="9">
        <f t="shared" si="4"/>
        <v>0.20777377541029252</v>
      </c>
      <c r="AK18" s="9">
        <f t="shared" si="5"/>
        <v>4.3169941748246676E-2</v>
      </c>
      <c r="AL18" s="9">
        <f t="shared" si="6"/>
        <v>0.29873606949123416</v>
      </c>
      <c r="AM18" s="9">
        <f t="shared" si="7"/>
        <v>8.924323921507149E-2</v>
      </c>
      <c r="AN18" s="8" t="s">
        <v>4344</v>
      </c>
    </row>
    <row r="19" spans="13:40" ht="22.5" customHeight="1">
      <c r="M19" s="24" t="s">
        <v>5194</v>
      </c>
      <c r="N19" s="24"/>
      <c r="O19" s="24"/>
      <c r="P19" s="24" t="s">
        <v>3691</v>
      </c>
      <c r="Q19" s="24"/>
      <c r="R19" s="24"/>
      <c r="S19" s="24"/>
      <c r="T19" s="24"/>
      <c r="U19" s="24"/>
      <c r="V19" s="24"/>
      <c r="W19" s="24" t="s">
        <v>5194</v>
      </c>
      <c r="X19" s="24">
        <v>31.69</v>
      </c>
      <c r="Y19" s="24">
        <v>14.09</v>
      </c>
      <c r="Z19" s="25">
        <v>11.09</v>
      </c>
      <c r="AA19" s="24">
        <v>4.3</v>
      </c>
      <c r="AB19" s="24">
        <v>28946</v>
      </c>
      <c r="AC19" s="21" t="s">
        <v>5194</v>
      </c>
      <c r="AD19" s="8" t="s">
        <v>4074</v>
      </c>
      <c r="AE19" s="8" t="s">
        <v>4287</v>
      </c>
      <c r="AF19" s="25">
        <f t="shared" si="0"/>
        <v>60.586999999999996</v>
      </c>
      <c r="AG19" s="25">
        <f t="shared" si="1"/>
        <v>47.945</v>
      </c>
      <c r="AH19" s="9">
        <f t="shared" si="2"/>
        <v>0.28241166425850517</v>
      </c>
      <c r="AI19" s="25">
        <f t="shared" si="3"/>
        <v>7.9756348109258648E-2</v>
      </c>
      <c r="AJ19" s="9">
        <f t="shared" si="4"/>
        <v>1.0884902490949755</v>
      </c>
      <c r="AK19" s="25">
        <f t="shared" si="5"/>
        <v>1.1848110223748418</v>
      </c>
      <c r="AL19" s="9">
        <f t="shared" si="6"/>
        <v>1.1300119015193075</v>
      </c>
      <c r="AM19" s="25">
        <f t="shared" si="7"/>
        <v>1.2769268975752812</v>
      </c>
      <c r="AN19" s="24" t="s">
        <v>5194</v>
      </c>
    </row>
    <row r="20" spans="13:40" ht="23">
      <c r="M20" s="9" t="s">
        <v>4985</v>
      </c>
      <c r="N20" s="8"/>
      <c r="O20" s="8"/>
      <c r="P20" s="8" t="s">
        <v>3691</v>
      </c>
      <c r="Q20" s="8"/>
      <c r="R20" s="8"/>
      <c r="S20" s="8"/>
      <c r="T20" s="8"/>
      <c r="U20" s="8"/>
      <c r="V20" s="8"/>
      <c r="W20" s="9" t="s">
        <v>4985</v>
      </c>
      <c r="X20" s="8">
        <v>45.15</v>
      </c>
      <c r="Y20" s="8">
        <v>3.26</v>
      </c>
      <c r="Z20" s="9">
        <v>4.4000000000000004</v>
      </c>
      <c r="AA20" s="8">
        <v>4.3</v>
      </c>
      <c r="AB20" s="8">
        <v>24369</v>
      </c>
      <c r="AC20" s="22" t="s">
        <v>4985</v>
      </c>
      <c r="AD20" s="8" t="s">
        <v>4074</v>
      </c>
      <c r="AE20" s="8" t="s">
        <v>4287</v>
      </c>
      <c r="AF20" s="9">
        <f t="shared" si="0"/>
        <v>14.017999999999999</v>
      </c>
      <c r="AG20" s="9">
        <f t="shared" si="1"/>
        <v>17.228666666666665</v>
      </c>
      <c r="AH20" s="9">
        <f t="shared" si="2"/>
        <v>0.28241166425850517</v>
      </c>
      <c r="AI20" s="9">
        <f t="shared" si="3"/>
        <v>7.9756348109258648E-2</v>
      </c>
      <c r="AJ20" s="9">
        <f t="shared" si="4"/>
        <v>0.2518437339992633</v>
      </c>
      <c r="AK20" s="9">
        <f t="shared" si="5"/>
        <v>6.3425266354691687E-2</v>
      </c>
      <c r="AL20" s="9">
        <f t="shared" si="6"/>
        <v>0.40606107791515922</v>
      </c>
      <c r="AM20" s="9">
        <f t="shared" si="7"/>
        <v>0.16488559899762101</v>
      </c>
      <c r="AN20" s="9" t="s">
        <v>4985</v>
      </c>
    </row>
    <row r="21" spans="13:40" ht="23">
      <c r="M21" s="9" t="s">
        <v>4338</v>
      </c>
      <c r="N21" s="8"/>
      <c r="O21" s="8"/>
      <c r="P21" s="8"/>
      <c r="Q21" s="8"/>
      <c r="R21" s="8"/>
      <c r="S21" s="8"/>
      <c r="T21" s="8"/>
      <c r="U21" s="8"/>
      <c r="V21" s="8"/>
      <c r="W21" s="9" t="s">
        <v>4338</v>
      </c>
      <c r="X21" s="8">
        <v>52.56</v>
      </c>
      <c r="Y21" s="8">
        <v>2.0499999999999998</v>
      </c>
      <c r="Z21" s="9">
        <v>1.18</v>
      </c>
      <c r="AA21" s="8">
        <v>3.4</v>
      </c>
      <c r="AB21" s="8">
        <v>39545</v>
      </c>
      <c r="AC21" s="22" t="s">
        <v>4338</v>
      </c>
      <c r="AD21" s="8" t="s">
        <v>4074</v>
      </c>
      <c r="AE21" s="8" t="s">
        <v>4287</v>
      </c>
      <c r="AF21" s="9">
        <f t="shared" si="0"/>
        <v>6.9699999999999989</v>
      </c>
      <c r="AG21" s="9">
        <f t="shared" si="1"/>
        <v>4.42</v>
      </c>
      <c r="AH21" s="9">
        <f t="shared" si="2"/>
        <v>0.22330224615788782</v>
      </c>
      <c r="AI21" s="9">
        <f t="shared" si="3"/>
        <v>4.9863893139157928E-2</v>
      </c>
      <c r="AJ21" s="9">
        <f t="shared" si="4"/>
        <v>0.12522120316556323</v>
      </c>
      <c r="AK21" s="9">
        <f t="shared" si="5"/>
        <v>1.5680349722231264E-2</v>
      </c>
      <c r="AL21" s="9">
        <f t="shared" si="6"/>
        <v>0.10417462936104577</v>
      </c>
      <c r="AM21" s="9">
        <f t="shared" si="7"/>
        <v>1.0852353402511259E-2</v>
      </c>
      <c r="AN21" s="9" t="s">
        <v>4338</v>
      </c>
    </row>
    <row r="22" spans="13:40" ht="23">
      <c r="M22" s="8" t="s">
        <v>4341</v>
      </c>
      <c r="N22" s="8"/>
      <c r="O22" s="8"/>
      <c r="P22" s="8"/>
      <c r="Q22" s="8"/>
      <c r="R22" s="8"/>
      <c r="S22" s="8"/>
      <c r="T22" s="8"/>
      <c r="U22" s="8"/>
      <c r="V22" s="8"/>
      <c r="W22" s="8" t="s">
        <v>4341</v>
      </c>
      <c r="X22" s="8">
        <v>29.23</v>
      </c>
      <c r="Y22" s="8">
        <v>1.92</v>
      </c>
      <c r="Z22" s="9">
        <v>0.24</v>
      </c>
      <c r="AA22" s="8">
        <v>3.3</v>
      </c>
      <c r="AB22" s="8">
        <v>40210</v>
      </c>
      <c r="AC22" s="21" t="s">
        <v>4341</v>
      </c>
      <c r="AD22" s="8" t="s">
        <v>4074</v>
      </c>
      <c r="AE22" s="8" t="s">
        <v>4287</v>
      </c>
      <c r="AF22" s="9">
        <f t="shared" si="0"/>
        <v>6.3359999999999994</v>
      </c>
      <c r="AG22" s="9">
        <f t="shared" si="1"/>
        <v>1.32</v>
      </c>
      <c r="AH22" s="9">
        <f t="shared" si="2"/>
        <v>0.21673453303559703</v>
      </c>
      <c r="AI22" s="9">
        <f t="shared" si="3"/>
        <v>4.6973857810158302E-2</v>
      </c>
      <c r="AJ22" s="9">
        <f t="shared" si="4"/>
        <v>0.11383092442711744</v>
      </c>
      <c r="AK22" s="9">
        <f t="shared" si="5"/>
        <v>1.2957479355932121E-2</v>
      </c>
      <c r="AL22" s="9">
        <f t="shared" si="6"/>
        <v>3.1110975284294212E-2</v>
      </c>
      <c r="AM22" s="9">
        <f t="shared" si="7"/>
        <v>9.6789278313996535E-4</v>
      </c>
      <c r="AN22" s="8" t="s">
        <v>4341</v>
      </c>
    </row>
    <row r="23" spans="13:40" ht="23">
      <c r="M23" s="8" t="s">
        <v>4351</v>
      </c>
      <c r="N23" s="8"/>
      <c r="O23" s="8"/>
      <c r="P23" s="8"/>
      <c r="Q23" s="8"/>
      <c r="R23" s="8"/>
      <c r="S23" s="8"/>
      <c r="T23" s="8"/>
      <c r="U23" s="8"/>
      <c r="V23" s="8"/>
      <c r="W23" s="8" t="s">
        <v>4351</v>
      </c>
      <c r="X23" s="8">
        <v>58.14</v>
      </c>
      <c r="Y23" s="8">
        <v>1.77</v>
      </c>
      <c r="Z23" s="9">
        <v>2.4300000000000002</v>
      </c>
      <c r="AA23" s="8">
        <v>2.7</v>
      </c>
      <c r="AB23" s="8">
        <v>39159</v>
      </c>
      <c r="AC23" s="21" t="s">
        <v>4351</v>
      </c>
      <c r="AD23" s="8" t="s">
        <v>4074</v>
      </c>
      <c r="AE23" s="8" t="s">
        <v>4287</v>
      </c>
      <c r="AF23" s="9">
        <f t="shared" si="0"/>
        <v>4.7790000000000008</v>
      </c>
      <c r="AG23" s="9">
        <f t="shared" si="1"/>
        <v>7.3350000000000009</v>
      </c>
      <c r="AH23" s="9">
        <f t="shared" si="2"/>
        <v>0.17732825430185212</v>
      </c>
      <c r="AI23" s="9">
        <f t="shared" si="3"/>
        <v>3.1445309773742332E-2</v>
      </c>
      <c r="AJ23" s="9">
        <f t="shared" si="4"/>
        <v>8.5858268282385491E-2</v>
      </c>
      <c r="AK23" s="9">
        <f t="shared" si="5"/>
        <v>7.3716422324500829E-3</v>
      </c>
      <c r="AL23" s="9">
        <f t="shared" si="6"/>
        <v>0.17287803311386218</v>
      </c>
      <c r="AM23" s="9">
        <f t="shared" si="7"/>
        <v>2.9886814333317628E-2</v>
      </c>
      <c r="AN23" s="8" t="s">
        <v>4351</v>
      </c>
    </row>
    <row r="24" spans="13:40" ht="23">
      <c r="M24" s="9" t="s">
        <v>4984</v>
      </c>
      <c r="N24" s="8"/>
      <c r="O24" s="8"/>
      <c r="P24" s="8"/>
      <c r="Q24" s="8"/>
      <c r="R24" s="8"/>
      <c r="S24" s="8"/>
      <c r="T24" s="8"/>
      <c r="U24" s="8"/>
      <c r="V24" s="8"/>
      <c r="W24" s="9" t="s">
        <v>4984</v>
      </c>
      <c r="X24" s="8">
        <v>61.56</v>
      </c>
      <c r="Y24" s="8">
        <v>1.52</v>
      </c>
      <c r="Z24" s="9">
        <v>1.22</v>
      </c>
      <c r="AA24" s="8">
        <v>2.7</v>
      </c>
      <c r="AB24" s="8">
        <v>41510</v>
      </c>
      <c r="AC24" s="22" t="s">
        <v>4984</v>
      </c>
      <c r="AD24" s="8" t="s">
        <v>4074</v>
      </c>
      <c r="AE24" s="8" t="s">
        <v>4287</v>
      </c>
      <c r="AF24" s="9">
        <f t="shared" si="0"/>
        <v>4.1040000000000001</v>
      </c>
      <c r="AG24" s="9">
        <f t="shared" si="1"/>
        <v>3.6900000000000004</v>
      </c>
      <c r="AH24" s="9">
        <f t="shared" si="2"/>
        <v>0.17732825430185212</v>
      </c>
      <c r="AI24" s="9">
        <f t="shared" si="3"/>
        <v>3.1445309773742332E-2</v>
      </c>
      <c r="AJ24" s="9">
        <f t="shared" si="4"/>
        <v>7.3731394231201078E-2</v>
      </c>
      <c r="AK24" s="9">
        <f t="shared" si="5"/>
        <v>5.4363184952767917E-3</v>
      </c>
      <c r="AL24" s="9">
        <f t="shared" si="6"/>
        <v>8.6969317272004285E-2</v>
      </c>
      <c r="AM24" s="9">
        <f t="shared" si="7"/>
        <v>7.5636621467585425E-3</v>
      </c>
      <c r="AN24" s="9" t="s">
        <v>4984</v>
      </c>
    </row>
    <row r="25" spans="13:40" ht="23">
      <c r="M25" s="9" t="s">
        <v>4347</v>
      </c>
      <c r="N25" s="8"/>
      <c r="O25" s="8"/>
      <c r="P25" s="8" t="s">
        <v>3696</v>
      </c>
      <c r="Q25" s="8"/>
      <c r="R25" s="8"/>
      <c r="S25" s="8"/>
      <c r="T25" s="8"/>
      <c r="U25" s="8"/>
      <c r="V25" s="8"/>
      <c r="W25" s="9" t="s">
        <v>4347</v>
      </c>
      <c r="X25" s="8">
        <v>56.22</v>
      </c>
      <c r="Y25" s="8">
        <v>3.86</v>
      </c>
      <c r="Z25" s="9">
        <v>4.0199999999999996</v>
      </c>
      <c r="AA25" s="8">
        <v>2.4</v>
      </c>
      <c r="AB25" s="8">
        <v>42918</v>
      </c>
      <c r="AC25" s="22" t="s">
        <v>4347</v>
      </c>
      <c r="AD25" s="8" t="s">
        <v>4074</v>
      </c>
      <c r="AE25" s="8" t="s">
        <v>4287</v>
      </c>
      <c r="AF25" s="9">
        <f t="shared" si="0"/>
        <v>9.2639999999999993</v>
      </c>
      <c r="AG25" s="9">
        <f t="shared" si="1"/>
        <v>9.68</v>
      </c>
      <c r="AH25" s="9">
        <f t="shared" si="2"/>
        <v>0.15762511493497966</v>
      </c>
      <c r="AI25" s="9">
        <f t="shared" si="3"/>
        <v>2.4845676858265549E-2</v>
      </c>
      <c r="AJ25" s="9">
        <f t="shared" si="4"/>
        <v>0.16643460920025507</v>
      </c>
      <c r="AK25" s="9">
        <f t="shared" si="5"/>
        <v>2.7700479139641632E-2</v>
      </c>
      <c r="AL25" s="9">
        <f t="shared" si="6"/>
        <v>0.22814715208482422</v>
      </c>
      <c r="AM25" s="9">
        <f t="shared" si="7"/>
        <v>5.2051123004415917E-2</v>
      </c>
      <c r="AN25" s="9" t="s">
        <v>4347</v>
      </c>
    </row>
    <row r="26" spans="13:40" ht="23">
      <c r="M26" s="9" t="s">
        <v>4342</v>
      </c>
      <c r="N26" s="8"/>
      <c r="O26" s="8"/>
      <c r="P26" s="8"/>
      <c r="Q26" s="8"/>
      <c r="R26" s="8"/>
      <c r="S26" s="8"/>
      <c r="T26" s="8"/>
      <c r="U26" s="8"/>
      <c r="V26" s="8"/>
      <c r="W26" s="9" t="s">
        <v>4342</v>
      </c>
      <c r="X26" s="8">
        <v>46.87</v>
      </c>
      <c r="Y26" s="8">
        <v>1.77</v>
      </c>
      <c r="Z26" s="9">
        <v>2.33</v>
      </c>
      <c r="AA26" s="8">
        <v>2.2999999999999998</v>
      </c>
      <c r="AB26" s="8">
        <v>45685</v>
      </c>
      <c r="AC26" s="22" t="s">
        <v>4342</v>
      </c>
      <c r="AD26" s="8" t="s">
        <v>4074</v>
      </c>
      <c r="AE26" s="8" t="s">
        <v>4287</v>
      </c>
      <c r="AF26" s="9">
        <f t="shared" si="0"/>
        <v>4.0709999999999997</v>
      </c>
      <c r="AG26" s="9">
        <f t="shared" si="1"/>
        <v>5.8649999999999993</v>
      </c>
      <c r="AH26" s="9">
        <f t="shared" si="2"/>
        <v>0.15105740181268881</v>
      </c>
      <c r="AI26" s="9">
        <f t="shared" si="3"/>
        <v>2.2818338642400123E-2</v>
      </c>
      <c r="AJ26" s="9">
        <f t="shared" si="4"/>
        <v>7.3138524833143162E-2</v>
      </c>
      <c r="AK26" s="9">
        <f t="shared" si="5"/>
        <v>5.3492438147682989E-3</v>
      </c>
      <c r="AL26" s="9">
        <f t="shared" si="6"/>
        <v>0.13823171972907994</v>
      </c>
      <c r="AM26" s="9">
        <f t="shared" si="7"/>
        <v>1.9108008339258908E-2</v>
      </c>
      <c r="AN26" s="9" t="s">
        <v>4342</v>
      </c>
    </row>
    <row r="27" spans="13:40" ht="23">
      <c r="M27" s="9" t="s">
        <v>3279</v>
      </c>
      <c r="N27" s="8" t="s">
        <v>1939</v>
      </c>
      <c r="O27" s="8"/>
      <c r="P27" s="8"/>
      <c r="Q27" s="8"/>
      <c r="R27" s="8"/>
      <c r="S27" s="8"/>
      <c r="T27" s="8"/>
      <c r="U27" s="8"/>
      <c r="V27" s="8"/>
      <c r="W27" s="9" t="s">
        <v>3279</v>
      </c>
      <c r="X27" s="8">
        <v>60.24</v>
      </c>
      <c r="Y27" s="8">
        <v>2.04</v>
      </c>
      <c r="Z27" s="9">
        <v>7.0000000000000007E-2</v>
      </c>
      <c r="AA27" s="8">
        <v>2.2000000000000002</v>
      </c>
      <c r="AB27" s="8">
        <v>82337</v>
      </c>
      <c r="AC27" s="22" t="s">
        <v>3279</v>
      </c>
      <c r="AD27" s="8" t="s">
        <v>4074</v>
      </c>
      <c r="AE27" s="8" t="s">
        <v>4287</v>
      </c>
      <c r="AF27" s="9">
        <f t="shared" si="0"/>
        <v>4.4880000000000004</v>
      </c>
      <c r="AG27" s="9">
        <f t="shared" si="1"/>
        <v>0.25666666666666671</v>
      </c>
      <c r="AH27" s="9">
        <f t="shared" si="2"/>
        <v>0.14448968869039802</v>
      </c>
      <c r="AI27" s="9">
        <f t="shared" si="3"/>
        <v>2.0877270137848136E-2</v>
      </c>
      <c r="AJ27" s="9">
        <f t="shared" si="4"/>
        <v>8.0630238135874874E-2</v>
      </c>
      <c r="AK27" s="9">
        <f t="shared" si="5"/>
        <v>6.5012353018478906E-3</v>
      </c>
      <c r="AL27" s="9">
        <f t="shared" si="6"/>
        <v>6.0493563052794316E-3</v>
      </c>
      <c r="AM27" s="9">
        <f t="shared" si="7"/>
        <v>3.6594711708224014E-5</v>
      </c>
      <c r="AN27" s="9" t="s">
        <v>3279</v>
      </c>
    </row>
    <row r="28" spans="13:40" ht="23">
      <c r="M28" s="8" t="s">
        <v>4348</v>
      </c>
      <c r="N28" s="8"/>
      <c r="O28" s="8"/>
      <c r="P28" s="8"/>
      <c r="Q28" s="8"/>
      <c r="R28" s="8"/>
      <c r="S28" s="8"/>
      <c r="T28" s="8"/>
      <c r="U28" s="8"/>
      <c r="V28" s="8"/>
      <c r="W28" s="8" t="s">
        <v>4348</v>
      </c>
      <c r="X28" s="8">
        <v>57.76</v>
      </c>
      <c r="Y28" s="8">
        <v>1.76</v>
      </c>
      <c r="Z28" s="9">
        <v>2.2000000000000002</v>
      </c>
      <c r="AA28" s="8">
        <v>1.1000000000000001</v>
      </c>
      <c r="AB28" s="8">
        <v>93678</v>
      </c>
      <c r="AC28" s="21" t="s">
        <v>4348</v>
      </c>
      <c r="AD28" s="8" t="s">
        <v>4074</v>
      </c>
      <c r="AE28" s="8" t="s">
        <v>4287</v>
      </c>
      <c r="AF28" s="9">
        <f t="shared" si="0"/>
        <v>1.9360000000000002</v>
      </c>
      <c r="AG28" s="9">
        <f t="shared" si="1"/>
        <v>2.2036666666666669</v>
      </c>
      <c r="AH28" s="9">
        <f t="shared" si="2"/>
        <v>7.2244844345199011E-2</v>
      </c>
      <c r="AI28" s="9">
        <f t="shared" si="3"/>
        <v>5.2193175344620339E-3</v>
      </c>
      <c r="AJ28" s="9">
        <f t="shared" si="4"/>
        <v>3.4781671352730338E-2</v>
      </c>
      <c r="AK28" s="9">
        <f t="shared" si="5"/>
        <v>1.2097646620893422E-3</v>
      </c>
      <c r="AL28" s="9">
        <f t="shared" si="6"/>
        <v>5.1938044849613396E-2</v>
      </c>
      <c r="AM28" s="9">
        <f t="shared" si="7"/>
        <v>2.6975605028004526E-3</v>
      </c>
      <c r="AN28" s="8" t="s">
        <v>4348</v>
      </c>
    </row>
    <row r="29" spans="13:40" ht="23">
      <c r="M29" s="9" t="s">
        <v>4941</v>
      </c>
      <c r="N29" s="8"/>
      <c r="O29" s="8"/>
      <c r="P29" s="8"/>
      <c r="Q29" s="8"/>
      <c r="R29" s="8"/>
      <c r="S29" s="8"/>
      <c r="T29" s="8"/>
      <c r="U29" s="8"/>
      <c r="V29" s="8"/>
      <c r="W29" s="9" t="s">
        <v>4941</v>
      </c>
      <c r="X29" s="8">
        <v>45.3</v>
      </c>
      <c r="Y29" s="8">
        <v>2.91</v>
      </c>
      <c r="Z29" s="9">
        <v>1.0900000000000001</v>
      </c>
      <c r="AA29" s="8">
        <v>1.1000000000000001</v>
      </c>
      <c r="AB29" s="8">
        <v>66716</v>
      </c>
      <c r="AC29" s="22" t="s">
        <v>4941</v>
      </c>
      <c r="AD29" s="8" t="s">
        <v>4074</v>
      </c>
      <c r="AE29" s="8" t="s">
        <v>4287</v>
      </c>
      <c r="AF29" s="9">
        <f t="shared" si="0"/>
        <v>3.2010000000000005</v>
      </c>
      <c r="AG29" s="9">
        <f t="shared" si="1"/>
        <v>1.2649999999999999</v>
      </c>
      <c r="AH29" s="9">
        <f t="shared" si="2"/>
        <v>7.2244844345199011E-2</v>
      </c>
      <c r="AI29" s="9">
        <f t="shared" si="3"/>
        <v>5.2193175344620339E-3</v>
      </c>
      <c r="AJ29" s="9">
        <f t="shared" si="4"/>
        <v>5.7508331611616642E-2</v>
      </c>
      <c r="AK29" s="9">
        <f t="shared" si="5"/>
        <v>3.307208204751666E-3</v>
      </c>
      <c r="AL29" s="9">
        <f t="shared" si="6"/>
        <v>2.9814684647448617E-2</v>
      </c>
      <c r="AM29" s="9">
        <f t="shared" si="7"/>
        <v>8.8891542062680823E-4</v>
      </c>
      <c r="AN29" s="9" t="s">
        <v>4941</v>
      </c>
    </row>
    <row r="30" spans="13:40" ht="23"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9"/>
      <c r="AA30" s="8">
        <f>SUBTOTAL(109,Table136323436[ترافیک کل])</f>
        <v>1522.6</v>
      </c>
      <c r="AB30" s="8"/>
      <c r="AC30" s="21"/>
      <c r="AD30" s="8"/>
      <c r="AE30" s="8"/>
      <c r="AF30" s="9">
        <f>SUBTOTAL(109,Table136323436[[مجموع صفحات  مشاهده شده   ]])</f>
        <v>5566.1500000000015</v>
      </c>
      <c r="AG30" s="9">
        <f>SUBTOTAL(109,Table136323436[[مجموع زمان حضور در سایت ]])</f>
        <v>4242.8756666666668</v>
      </c>
      <c r="AH30" s="9">
        <f>SUBTOTAL(109,Table136323436[سهم سایت از کل ترافیک طبقه بندی])</f>
        <v>99.999999999999972</v>
      </c>
      <c r="AI30" s="9">
        <f>SUBTOTAL(109,Table136323436[شاخص هرفیندال هیرشمن (ترافیک)])</f>
        <v>1435.292738752591</v>
      </c>
      <c r="AJ30" s="9">
        <f>SUBTOTAL(109,Table136323436[سهم سایت از کل صفحات مشاهده شده در طبقه بندی])</f>
        <v>99.999999999999957</v>
      </c>
      <c r="AK30" s="9">
        <f>SUBTOTAL(109,Table136323436[شاخص هرفیندال -هیرشمن (صفحات مشاهده شده )])</f>
        <v>1884.9808830301829</v>
      </c>
      <c r="AL30" s="9">
        <f>SUBTOTAL(109,Table136323436[سهم سایت از کل زمان حضور در طبقه بندی])</f>
        <v>99.999999999999972</v>
      </c>
      <c r="AM30" s="9">
        <f>SUBTOTAL(109,Table136323436[شاخص هرفیندال هیرشمن (زمان حضور)])</f>
        <v>1679.8519670805513</v>
      </c>
      <c r="AN30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{2B98E0D0-3EC6-495D-95AD-1AE44B1893E1}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{2B47FDB1-851D-4D69-BF93-F1380334FCB8}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{E77A84B8-ACBD-418F-9B23-2241B050482D}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{E922376B-6D24-4135-8032-9AAD2D4A6312}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{97ACAFAB-B9F5-4D27-BB29-AA80D4BF89A9}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{3004E312-9CE9-4FD0-A893-A6F6E84A52DC}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98E0D0-3EC6-495D-95AD-1AE44B1893E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B47FDB1-851D-4D69-BF93-F1380334FCB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77A84B8-ACBD-418F-9B23-2241B050482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922376B-6D24-4135-8032-9AAD2D4A631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97ACAFAB-B9F5-4D27-BB29-AA80D4BF89A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3004E312-9CE9-4FD0-A893-A6F6E84A52D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6"/>
  <sheetViews>
    <sheetView showGridLines="0" rightToLeft="1" topLeftCell="Z1" zoomScale="70" zoomScaleNormal="70" workbookViewId="0">
      <selection activeCell="AC26" sqref="AC26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5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1341</v>
      </c>
      <c r="N2" s="8" t="s">
        <v>150</v>
      </c>
      <c r="O2" s="8"/>
      <c r="P2" s="8" t="s">
        <v>4661</v>
      </c>
      <c r="Q2" s="8"/>
      <c r="R2" s="8"/>
      <c r="S2" s="8"/>
      <c r="T2" s="8"/>
      <c r="U2" s="8"/>
      <c r="V2" s="8"/>
      <c r="W2" s="8" t="s">
        <v>1341</v>
      </c>
      <c r="X2" s="8">
        <v>14.42</v>
      </c>
      <c r="Y2" s="8">
        <v>6.78</v>
      </c>
      <c r="Z2" s="9">
        <v>9.57</v>
      </c>
      <c r="AA2" s="8">
        <v>612.20000000000005</v>
      </c>
      <c r="AB2" s="8">
        <v>388</v>
      </c>
      <c r="AC2" s="21" t="s">
        <v>1341</v>
      </c>
      <c r="AD2" s="8" t="s">
        <v>4128</v>
      </c>
      <c r="AE2" s="8" t="s">
        <v>4287</v>
      </c>
      <c r="AF2" s="9">
        <f t="shared" ref="AF2:AF25" si="0">(AA2*Y2)</f>
        <v>4150.7160000000003</v>
      </c>
      <c r="AG2" s="9">
        <f t="shared" ref="AG2:AG25" si="1">((((RIGHT(Z2,2))/60)+(LEFT(Z2,2)))*AA2)</f>
        <v>6091.39</v>
      </c>
      <c r="AH2" s="9">
        <f t="shared" ref="AH2:AH25" si="2">(AA2/$AA$26)*100</f>
        <v>37.486987937052234</v>
      </c>
      <c r="AI2" s="9">
        <f t="shared" ref="AI2:AI25" si="3">(AH2*AH2)</f>
        <v>1405.2742645926996</v>
      </c>
      <c r="AJ2" s="9">
        <f t="shared" ref="AJ2:AJ25" si="4">(AF2/$AF$26)*100</f>
        <v>51.749795124863198</v>
      </c>
      <c r="AK2" s="9">
        <f t="shared" ref="AK2:AK25" si="5">(AJ2*AJ2)</f>
        <v>2678.0412954653148</v>
      </c>
      <c r="AL2" s="9">
        <f t="shared" ref="AL2:AL25" si="6">(AG2/$AG$26)*100</f>
        <v>65.725121282293344</v>
      </c>
      <c r="AM2" s="9">
        <f t="shared" ref="AM2:AM25" si="7">(AL2*AL2)</f>
        <v>4319.7915675721697</v>
      </c>
      <c r="AN2" s="8" t="s">
        <v>1341</v>
      </c>
    </row>
    <row r="3" spans="8:40" ht="23">
      <c r="M3" s="8" t="s">
        <v>1457</v>
      </c>
      <c r="N3" s="8" t="s">
        <v>150</v>
      </c>
      <c r="O3" s="8"/>
      <c r="P3" s="8" t="s">
        <v>4694</v>
      </c>
      <c r="Q3" s="8"/>
      <c r="R3" s="8"/>
      <c r="S3" s="8"/>
      <c r="T3" s="8"/>
      <c r="U3" s="8"/>
      <c r="V3" s="8"/>
      <c r="W3" s="8" t="s">
        <v>1457</v>
      </c>
      <c r="X3" s="8">
        <v>25.6</v>
      </c>
      <c r="Y3" s="8">
        <v>4.62</v>
      </c>
      <c r="Z3" s="9">
        <v>4.34</v>
      </c>
      <c r="AA3" s="8">
        <v>326.5</v>
      </c>
      <c r="AB3" s="8">
        <v>1780</v>
      </c>
      <c r="AC3" s="21" t="s">
        <v>1457</v>
      </c>
      <c r="AD3" s="8" t="s">
        <v>4128</v>
      </c>
      <c r="AE3" s="8" t="s">
        <v>4287</v>
      </c>
      <c r="AF3" s="9">
        <f t="shared" si="0"/>
        <v>1508.43</v>
      </c>
      <c r="AG3" s="9">
        <f t="shared" si="1"/>
        <v>1491.0166666666667</v>
      </c>
      <c r="AH3" s="9">
        <f t="shared" si="2"/>
        <v>19.992652011511851</v>
      </c>
      <c r="AI3" s="9">
        <f t="shared" si="3"/>
        <v>399.70613445340882</v>
      </c>
      <c r="AJ3" s="9">
        <f t="shared" si="4"/>
        <v>18.806621185404492</v>
      </c>
      <c r="AK3" s="9">
        <f t="shared" si="5"/>
        <v>353.68900041130502</v>
      </c>
      <c r="AL3" s="9">
        <f t="shared" si="6"/>
        <v>16.087830733311677</v>
      </c>
      <c r="AM3" s="9">
        <f t="shared" si="7"/>
        <v>258.81829770368773</v>
      </c>
      <c r="AN3" s="8" t="s">
        <v>1457</v>
      </c>
    </row>
    <row r="4" spans="8:40" ht="23">
      <c r="M4" s="9" t="s">
        <v>2173</v>
      </c>
      <c r="N4" s="8" t="s">
        <v>150</v>
      </c>
      <c r="O4" s="8"/>
      <c r="P4" s="8" t="s">
        <v>3691</v>
      </c>
      <c r="Q4" s="8"/>
      <c r="R4" s="8"/>
      <c r="S4" s="8"/>
      <c r="T4" s="8"/>
      <c r="U4" s="8"/>
      <c r="V4" s="8"/>
      <c r="W4" s="9" t="s">
        <v>2173</v>
      </c>
      <c r="X4" s="8">
        <v>35.479999999999997</v>
      </c>
      <c r="Y4" s="8">
        <v>3.02</v>
      </c>
      <c r="Z4" s="9">
        <v>0.39</v>
      </c>
      <c r="AA4" s="8">
        <v>166.3</v>
      </c>
      <c r="AB4" s="8">
        <v>6893</v>
      </c>
      <c r="AC4" s="22" t="s">
        <v>2173</v>
      </c>
      <c r="AD4" s="8" t="s">
        <v>4128</v>
      </c>
      <c r="AE4" s="8" t="s">
        <v>4287</v>
      </c>
      <c r="AF4" s="9">
        <f t="shared" si="0"/>
        <v>502.22600000000006</v>
      </c>
      <c r="AG4" s="9">
        <f t="shared" si="1"/>
        <v>108.09500000000001</v>
      </c>
      <c r="AH4" s="9">
        <f t="shared" si="2"/>
        <v>10.183087379829772</v>
      </c>
      <c r="AI4" s="9">
        <f t="shared" si="3"/>
        <v>103.69526858524836</v>
      </c>
      <c r="AJ4" s="9">
        <f t="shared" si="4"/>
        <v>6.2615926038735354</v>
      </c>
      <c r="AK4" s="9">
        <f t="shared" si="5"/>
        <v>39.207541936883764</v>
      </c>
      <c r="AL4" s="9">
        <f t="shared" si="6"/>
        <v>1.1663277158430998</v>
      </c>
      <c r="AM4" s="9">
        <f t="shared" si="7"/>
        <v>1.3603203407437825</v>
      </c>
      <c r="AN4" s="9" t="s">
        <v>2173</v>
      </c>
    </row>
    <row r="5" spans="8:40" ht="23">
      <c r="M5" s="8" t="s">
        <v>1642</v>
      </c>
      <c r="N5" s="8" t="s">
        <v>1614</v>
      </c>
      <c r="O5" s="8"/>
      <c r="P5" s="8" t="s">
        <v>3691</v>
      </c>
      <c r="Q5" s="8"/>
      <c r="R5" s="8"/>
      <c r="S5" s="8"/>
      <c r="T5" s="8"/>
      <c r="U5" s="8"/>
      <c r="V5" s="8"/>
      <c r="W5" s="8" t="s">
        <v>1642</v>
      </c>
      <c r="X5" s="8">
        <v>21.62</v>
      </c>
      <c r="Y5" s="8">
        <v>5.2</v>
      </c>
      <c r="Z5" s="9">
        <v>4.57</v>
      </c>
      <c r="AA5" s="8">
        <v>147</v>
      </c>
      <c r="AB5" s="8">
        <v>2177</v>
      </c>
      <c r="AC5" s="21" t="s">
        <v>1642</v>
      </c>
      <c r="AD5" s="8" t="s">
        <v>4128</v>
      </c>
      <c r="AE5" s="8" t="s">
        <v>4287</v>
      </c>
      <c r="AF5" s="9">
        <f t="shared" si="0"/>
        <v>764.4</v>
      </c>
      <c r="AG5" s="9">
        <f t="shared" si="1"/>
        <v>727.65</v>
      </c>
      <c r="AH5" s="9">
        <f t="shared" si="2"/>
        <v>9.0012858979854276</v>
      </c>
      <c r="AI5" s="9">
        <f t="shared" si="3"/>
        <v>81.023147817271322</v>
      </c>
      <c r="AJ5" s="9">
        <f t="shared" si="4"/>
        <v>9.5302939043397394</v>
      </c>
      <c r="AK5" s="9">
        <f t="shared" si="5"/>
        <v>90.826501903095192</v>
      </c>
      <c r="AL5" s="9">
        <f t="shared" si="6"/>
        <v>7.8512268137585579</v>
      </c>
      <c r="AM5" s="9">
        <f t="shared" si="7"/>
        <v>61.641762481081358</v>
      </c>
      <c r="AN5" s="8" t="s">
        <v>1642</v>
      </c>
    </row>
    <row r="6" spans="8:40" ht="23">
      <c r="M6" s="8" t="s">
        <v>1728</v>
      </c>
      <c r="N6" s="8" t="s">
        <v>1717</v>
      </c>
      <c r="O6" s="8"/>
      <c r="P6" s="8" t="s">
        <v>3691</v>
      </c>
      <c r="Q6" s="8"/>
      <c r="R6" s="8"/>
      <c r="S6" s="8"/>
      <c r="T6" s="8"/>
      <c r="U6" s="8"/>
      <c r="V6" s="8"/>
      <c r="W6" s="8" t="s">
        <v>1728</v>
      </c>
      <c r="X6" s="8">
        <v>45.56</v>
      </c>
      <c r="Y6" s="8">
        <v>1.77</v>
      </c>
      <c r="Z6" s="9">
        <v>0.59</v>
      </c>
      <c r="AA6" s="8">
        <v>60.7</v>
      </c>
      <c r="AB6" s="8">
        <v>10088</v>
      </c>
      <c r="AC6" s="21" t="s">
        <v>1728</v>
      </c>
      <c r="AD6" s="8" t="s">
        <v>4128</v>
      </c>
      <c r="AE6" s="8" t="s">
        <v>4287</v>
      </c>
      <c r="AF6" s="9">
        <f t="shared" si="0"/>
        <v>107.43900000000001</v>
      </c>
      <c r="AG6" s="9">
        <f t="shared" si="1"/>
        <v>59.688333333333333</v>
      </c>
      <c r="AH6" s="9">
        <f t="shared" si="2"/>
        <v>3.7168575102565673</v>
      </c>
      <c r="AI6" s="9">
        <f t="shared" si="3"/>
        <v>13.815029751550648</v>
      </c>
      <c r="AJ6" s="9">
        <f t="shared" si="4"/>
        <v>1.3395149748670294</v>
      </c>
      <c r="AK6" s="9">
        <f t="shared" si="5"/>
        <v>1.7943003678930185</v>
      </c>
      <c r="AL6" s="9">
        <f t="shared" si="6"/>
        <v>0.64402754502195481</v>
      </c>
      <c r="AM6" s="9">
        <f t="shared" si="7"/>
        <v>0.41477147874700604</v>
      </c>
      <c r="AN6" s="8" t="s">
        <v>1728</v>
      </c>
    </row>
    <row r="7" spans="8:40" ht="23">
      <c r="M7" s="9" t="s">
        <v>2773</v>
      </c>
      <c r="N7" s="8" t="s">
        <v>1614</v>
      </c>
      <c r="O7" s="8"/>
      <c r="P7" s="8" t="s">
        <v>4696</v>
      </c>
      <c r="Q7" s="8"/>
      <c r="R7" s="8"/>
      <c r="S7" s="8"/>
      <c r="T7" s="8"/>
      <c r="U7" s="8"/>
      <c r="V7" s="8"/>
      <c r="W7" s="9" t="s">
        <v>2773</v>
      </c>
      <c r="X7" s="8">
        <v>13.79</v>
      </c>
      <c r="Y7" s="8">
        <v>5</v>
      </c>
      <c r="Z7" s="9">
        <v>2.48</v>
      </c>
      <c r="AA7" s="8">
        <v>58.2</v>
      </c>
      <c r="AB7" s="8">
        <v>15745</v>
      </c>
      <c r="AC7" s="22" t="s">
        <v>2773</v>
      </c>
      <c r="AD7" s="8" t="s">
        <v>4128</v>
      </c>
      <c r="AE7" s="8" t="s">
        <v>4287</v>
      </c>
      <c r="AF7" s="9">
        <f t="shared" si="0"/>
        <v>291</v>
      </c>
      <c r="AG7" s="9">
        <f t="shared" si="1"/>
        <v>162.96</v>
      </c>
      <c r="AH7" s="9">
        <f t="shared" si="2"/>
        <v>3.563774416753414</v>
      </c>
      <c r="AI7" s="9">
        <f t="shared" si="3"/>
        <v>12.700488093506136</v>
      </c>
      <c r="AJ7" s="9">
        <f t="shared" si="4"/>
        <v>3.6280946182141083</v>
      </c>
      <c r="AK7" s="9">
        <f t="shared" si="5"/>
        <v>13.163070558714177</v>
      </c>
      <c r="AL7" s="9">
        <f t="shared" si="6"/>
        <v>1.7583122676700265</v>
      </c>
      <c r="AM7" s="9">
        <f t="shared" si="7"/>
        <v>3.0916620306389109</v>
      </c>
      <c r="AN7" s="9" t="s">
        <v>2773</v>
      </c>
    </row>
    <row r="8" spans="8:40" ht="23">
      <c r="M8" s="8" t="s">
        <v>955</v>
      </c>
      <c r="N8" s="8" t="s">
        <v>150</v>
      </c>
      <c r="O8" s="8"/>
      <c r="P8" s="8" t="s">
        <v>3691</v>
      </c>
      <c r="Q8" s="8"/>
      <c r="R8" s="8"/>
      <c r="S8" s="8"/>
      <c r="T8" s="8"/>
      <c r="U8" s="8"/>
      <c r="V8" s="8"/>
      <c r="W8" s="8" t="s">
        <v>955</v>
      </c>
      <c r="X8" s="8">
        <v>10.89</v>
      </c>
      <c r="Y8" s="8">
        <v>2.2799999999999998</v>
      </c>
      <c r="Z8" s="9">
        <v>1.55</v>
      </c>
      <c r="AA8" s="8">
        <v>52.3</v>
      </c>
      <c r="AB8" s="8">
        <v>8591</v>
      </c>
      <c r="AC8" s="21" t="s">
        <v>955</v>
      </c>
      <c r="AD8" s="8" t="s">
        <v>4128</v>
      </c>
      <c r="AE8" s="8" t="s">
        <v>4287</v>
      </c>
      <c r="AF8" s="9">
        <f t="shared" si="0"/>
        <v>119.24399999999999</v>
      </c>
      <c r="AG8" s="9">
        <f t="shared" si="1"/>
        <v>100.24166666666666</v>
      </c>
      <c r="AH8" s="9">
        <f t="shared" si="2"/>
        <v>3.2024983160859715</v>
      </c>
      <c r="AI8" s="9">
        <f t="shared" si="3"/>
        <v>10.255995464533482</v>
      </c>
      <c r="AJ8" s="9">
        <f t="shared" si="4"/>
        <v>1.4866959266471582</v>
      </c>
      <c r="AK8" s="9">
        <f t="shared" si="5"/>
        <v>2.2102647783092526</v>
      </c>
      <c r="AL8" s="9">
        <f t="shared" si="6"/>
        <v>1.0815915085400685</v>
      </c>
      <c r="AM8" s="9">
        <f t="shared" si="7"/>
        <v>1.1698401913459811</v>
      </c>
      <c r="AN8" s="8" t="s">
        <v>955</v>
      </c>
    </row>
    <row r="9" spans="8:40" ht="23">
      <c r="M9" s="8" t="s">
        <v>421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421</v>
      </c>
      <c r="X9" s="8">
        <v>15.49</v>
      </c>
      <c r="Y9" s="8">
        <v>1.22</v>
      </c>
      <c r="Z9" s="9">
        <v>0.17</v>
      </c>
      <c r="AA9" s="8">
        <v>40.9</v>
      </c>
      <c r="AB9" s="8">
        <v>20073</v>
      </c>
      <c r="AC9" s="21" t="s">
        <v>421</v>
      </c>
      <c r="AD9" s="8" t="s">
        <v>4128</v>
      </c>
      <c r="AE9" s="8" t="s">
        <v>4287</v>
      </c>
      <c r="AF9" s="9">
        <f t="shared" si="0"/>
        <v>49.897999999999996</v>
      </c>
      <c r="AG9" s="9">
        <f t="shared" si="1"/>
        <v>11.588333333333333</v>
      </c>
      <c r="AH9" s="9">
        <f t="shared" si="2"/>
        <v>2.5044394097115914</v>
      </c>
      <c r="AI9" s="9">
        <f t="shared" si="3"/>
        <v>6.2722167569165448</v>
      </c>
      <c r="AJ9" s="9">
        <f t="shared" si="4"/>
        <v>0.62211225175136609</v>
      </c>
      <c r="AK9" s="9">
        <f t="shared" si="5"/>
        <v>0.3870236537791551</v>
      </c>
      <c r="AL9" s="9">
        <f t="shared" si="6"/>
        <v>0.12503625835695562</v>
      </c>
      <c r="AM9" s="9">
        <f t="shared" si="7"/>
        <v>1.5634065903907354E-2</v>
      </c>
      <c r="AN9" s="8" t="s">
        <v>421</v>
      </c>
    </row>
    <row r="10" spans="8:40" ht="23">
      <c r="M10" s="9" t="s">
        <v>2286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9" t="s">
        <v>2286</v>
      </c>
      <c r="X10" s="8">
        <v>41.84</v>
      </c>
      <c r="Y10" s="8">
        <v>2.34</v>
      </c>
      <c r="Z10" s="9">
        <v>0.56000000000000005</v>
      </c>
      <c r="AA10" s="8">
        <v>36.9</v>
      </c>
      <c r="AB10" s="8">
        <v>16776</v>
      </c>
      <c r="AC10" s="22" t="s">
        <v>2286</v>
      </c>
      <c r="AD10" s="8" t="s">
        <v>4128</v>
      </c>
      <c r="AE10" s="8" t="s">
        <v>4287</v>
      </c>
      <c r="AF10" s="9">
        <f t="shared" si="0"/>
        <v>86.345999999999989</v>
      </c>
      <c r="AG10" s="9">
        <f t="shared" si="1"/>
        <v>34.44</v>
      </c>
      <c r="AH10" s="9">
        <f t="shared" si="2"/>
        <v>2.2595064601065458</v>
      </c>
      <c r="AI10" s="9">
        <f t="shared" si="3"/>
        <v>5.1053694432632133</v>
      </c>
      <c r="AJ10" s="9">
        <f t="shared" si="4"/>
        <v>1.0765342196024581</v>
      </c>
      <c r="AK10" s="9">
        <f t="shared" si="5"/>
        <v>1.1589259259750735</v>
      </c>
      <c r="AL10" s="9">
        <f t="shared" si="6"/>
        <v>0.37160207718799521</v>
      </c>
      <c r="AM10" s="9">
        <f t="shared" si="7"/>
        <v>0.13808810377043274</v>
      </c>
      <c r="AN10" s="9" t="s">
        <v>2286</v>
      </c>
    </row>
    <row r="11" spans="8:40" ht="23">
      <c r="M11" s="8" t="s">
        <v>1353</v>
      </c>
      <c r="N11" s="8" t="s">
        <v>150</v>
      </c>
      <c r="O11" s="8"/>
      <c r="P11" s="8" t="s">
        <v>3693</v>
      </c>
      <c r="Q11" s="8"/>
      <c r="R11" s="8"/>
      <c r="S11" s="8"/>
      <c r="T11" s="8"/>
      <c r="U11" s="8"/>
      <c r="V11" s="8"/>
      <c r="W11" s="8" t="s">
        <v>1353</v>
      </c>
      <c r="X11" s="8">
        <v>26.82</v>
      </c>
      <c r="Y11" s="8">
        <v>2.5099999999999998</v>
      </c>
      <c r="Z11" s="9">
        <v>1.41</v>
      </c>
      <c r="AA11" s="8">
        <v>25.3</v>
      </c>
      <c r="AB11" s="8">
        <v>17221</v>
      </c>
      <c r="AC11" s="21" t="s">
        <v>1353</v>
      </c>
      <c r="AD11" s="8" t="s">
        <v>4128</v>
      </c>
      <c r="AE11" s="8" t="s">
        <v>4287</v>
      </c>
      <c r="AF11" s="9">
        <f t="shared" si="0"/>
        <v>63.502999999999993</v>
      </c>
      <c r="AG11" s="9">
        <f t="shared" si="1"/>
        <v>42.588333333333338</v>
      </c>
      <c r="AH11" s="9">
        <f t="shared" si="2"/>
        <v>1.5492009062519136</v>
      </c>
      <c r="AI11" s="9">
        <f t="shared" si="3"/>
        <v>2.4000234479317504</v>
      </c>
      <c r="AJ11" s="9">
        <f t="shared" si="4"/>
        <v>0.79173502591220091</v>
      </c>
      <c r="AK11" s="9">
        <f t="shared" si="5"/>
        <v>0.62684435125619342</v>
      </c>
      <c r="AL11" s="9">
        <f t="shared" si="6"/>
        <v>0.45952128718470986</v>
      </c>
      <c r="AM11" s="9">
        <f t="shared" si="7"/>
        <v>0.2111598133758926</v>
      </c>
      <c r="AN11" s="8" t="s">
        <v>1353</v>
      </c>
    </row>
    <row r="12" spans="8:40" ht="23">
      <c r="M12" s="8" t="s">
        <v>1749</v>
      </c>
      <c r="N12" s="8" t="s">
        <v>1717</v>
      </c>
      <c r="O12" s="8"/>
      <c r="P12" s="8"/>
      <c r="Q12" s="8"/>
      <c r="R12" s="8"/>
      <c r="S12" s="8"/>
      <c r="T12" s="8"/>
      <c r="U12" s="8"/>
      <c r="V12" s="8"/>
      <c r="W12" s="8" t="s">
        <v>1749</v>
      </c>
      <c r="X12" s="8">
        <v>25.48</v>
      </c>
      <c r="Y12" s="8">
        <v>2.68</v>
      </c>
      <c r="Z12" s="9">
        <v>2.4700000000000002</v>
      </c>
      <c r="AA12" s="8">
        <v>22.8</v>
      </c>
      <c r="AB12" s="8">
        <v>9185</v>
      </c>
      <c r="AC12" s="21" t="s">
        <v>1749</v>
      </c>
      <c r="AD12" s="8" t="s">
        <v>4128</v>
      </c>
      <c r="AE12" s="8" t="s">
        <v>4287</v>
      </c>
      <c r="AF12" s="9">
        <f t="shared" si="0"/>
        <v>61.104000000000006</v>
      </c>
      <c r="AG12" s="9">
        <f t="shared" si="1"/>
        <v>63.46</v>
      </c>
      <c r="AH12" s="9">
        <f t="shared" si="2"/>
        <v>1.3961178127487601</v>
      </c>
      <c r="AI12" s="9">
        <f t="shared" si="3"/>
        <v>1.949144947074382</v>
      </c>
      <c r="AJ12" s="9">
        <f t="shared" si="4"/>
        <v>0.76182506375036041</v>
      </c>
      <c r="AK12" s="9">
        <f t="shared" si="5"/>
        <v>0.58037742775824075</v>
      </c>
      <c r="AL12" s="9">
        <f t="shared" si="6"/>
        <v>0.68472322352933157</v>
      </c>
      <c r="AM12" s="9">
        <f t="shared" si="7"/>
        <v>0.46884589284039896</v>
      </c>
      <c r="AN12" s="8" t="s">
        <v>1749</v>
      </c>
    </row>
    <row r="13" spans="8:40" ht="23">
      <c r="M13" s="8" t="s">
        <v>4387</v>
      </c>
      <c r="N13" s="8" t="s">
        <v>150</v>
      </c>
      <c r="O13" s="8"/>
      <c r="P13" s="8" t="s">
        <v>3705</v>
      </c>
      <c r="Q13" s="8"/>
      <c r="R13" s="8"/>
      <c r="S13" s="8"/>
      <c r="T13" s="8"/>
      <c r="U13" s="8"/>
      <c r="V13" s="8"/>
      <c r="W13" s="8" t="s">
        <v>4387</v>
      </c>
      <c r="X13" s="8">
        <v>26.25</v>
      </c>
      <c r="Y13" s="8">
        <v>5.04</v>
      </c>
      <c r="Z13" s="9">
        <v>5.08</v>
      </c>
      <c r="AA13" s="8">
        <v>18.600000000000001</v>
      </c>
      <c r="AB13" s="8">
        <v>7785</v>
      </c>
      <c r="AC13" s="21" t="s">
        <v>4387</v>
      </c>
      <c r="AD13" s="8" t="s">
        <v>4128</v>
      </c>
      <c r="AE13" s="8" t="s">
        <v>4287</v>
      </c>
      <c r="AF13" s="9">
        <f t="shared" si="0"/>
        <v>93.744000000000014</v>
      </c>
      <c r="AG13" s="9">
        <f t="shared" si="1"/>
        <v>95.480000000000018</v>
      </c>
      <c r="AH13" s="9">
        <f t="shared" si="2"/>
        <v>1.1389382156634622</v>
      </c>
      <c r="AI13" s="9">
        <f t="shared" si="3"/>
        <v>1.2971802590986712</v>
      </c>
      <c r="AJ13" s="9">
        <f t="shared" si="4"/>
        <v>1.1687701095871594</v>
      </c>
      <c r="AK13" s="9">
        <f t="shared" si="5"/>
        <v>1.3660235690643807</v>
      </c>
      <c r="AL13" s="9">
        <f t="shared" si="6"/>
        <v>1.0302138887894829</v>
      </c>
      <c r="AM13" s="9">
        <f t="shared" si="7"/>
        <v>1.0613406566547492</v>
      </c>
      <c r="AN13" s="8" t="s">
        <v>4387</v>
      </c>
    </row>
    <row r="14" spans="8:40" ht="23">
      <c r="M14" s="8" t="s">
        <v>4940</v>
      </c>
      <c r="N14" s="8" t="s">
        <v>1869</v>
      </c>
      <c r="O14" s="8"/>
      <c r="P14" s="8" t="s">
        <v>3700</v>
      </c>
      <c r="Q14" s="8"/>
      <c r="R14" s="8"/>
      <c r="S14" s="8"/>
      <c r="T14" s="8"/>
      <c r="U14" s="8"/>
      <c r="V14" s="8"/>
      <c r="W14" s="21" t="s">
        <v>4940</v>
      </c>
      <c r="X14" s="8">
        <v>22.69</v>
      </c>
      <c r="Y14" s="8">
        <v>3.65</v>
      </c>
      <c r="Z14" s="9">
        <v>5</v>
      </c>
      <c r="AA14" s="8">
        <v>14.7</v>
      </c>
      <c r="AB14" s="8">
        <v>9152</v>
      </c>
      <c r="AC14" s="21" t="s">
        <v>4940</v>
      </c>
      <c r="AD14" s="8" t="s">
        <v>4128</v>
      </c>
      <c r="AE14" s="8" t="s">
        <v>4287</v>
      </c>
      <c r="AF14" s="9">
        <f t="shared" si="0"/>
        <v>53.654999999999994</v>
      </c>
      <c r="AG14" s="9">
        <f t="shared" si="1"/>
        <v>74.724999999999994</v>
      </c>
      <c r="AH14" s="9">
        <f t="shared" si="2"/>
        <v>0.90012858979854271</v>
      </c>
      <c r="AI14" s="9">
        <f t="shared" si="3"/>
        <v>0.81023147817271313</v>
      </c>
      <c r="AJ14" s="9">
        <f t="shared" si="4"/>
        <v>0.66895332213153935</v>
      </c>
      <c r="AK14" s="9">
        <f t="shared" si="5"/>
        <v>0.44749854719082305</v>
      </c>
      <c r="AL14" s="9">
        <f t="shared" si="6"/>
        <v>0.80627076706948142</v>
      </c>
      <c r="AM14" s="9">
        <f t="shared" si="7"/>
        <v>0.65007254983080998</v>
      </c>
      <c r="AN14" s="8" t="s">
        <v>467</v>
      </c>
    </row>
    <row r="15" spans="8:40" ht="23">
      <c r="M15" s="8" t="s">
        <v>4087</v>
      </c>
      <c r="N15" s="8" t="s">
        <v>82</v>
      </c>
      <c r="O15" s="8"/>
      <c r="P15" s="8" t="s">
        <v>3691</v>
      </c>
      <c r="Q15" s="8"/>
      <c r="R15" s="8"/>
      <c r="S15" s="8"/>
      <c r="T15" s="8"/>
      <c r="U15" s="8"/>
      <c r="V15" s="8"/>
      <c r="W15" s="8" t="s">
        <v>4087</v>
      </c>
      <c r="X15" s="8">
        <v>45.17</v>
      </c>
      <c r="Y15" s="8">
        <v>3.23</v>
      </c>
      <c r="Z15" s="9">
        <v>4.12</v>
      </c>
      <c r="AA15" s="8">
        <v>13.8</v>
      </c>
      <c r="AB15" s="8">
        <v>13331</v>
      </c>
      <c r="AC15" s="21" t="s">
        <v>4087</v>
      </c>
      <c r="AD15" s="8" t="s">
        <v>4128</v>
      </c>
      <c r="AE15" s="8" t="s">
        <v>4287</v>
      </c>
      <c r="AF15" s="9">
        <f t="shared" si="0"/>
        <v>44.574000000000005</v>
      </c>
      <c r="AG15" s="9">
        <f t="shared" si="1"/>
        <v>57.960000000000008</v>
      </c>
      <c r="AH15" s="9">
        <f t="shared" si="2"/>
        <v>0.84501867613740755</v>
      </c>
      <c r="AI15" s="9">
        <f t="shared" si="3"/>
        <v>0.71405656302101683</v>
      </c>
      <c r="AJ15" s="9">
        <f t="shared" si="4"/>
        <v>0.55573432822087854</v>
      </c>
      <c r="AK15" s="9">
        <f t="shared" si="5"/>
        <v>0.30884064356311114</v>
      </c>
      <c r="AL15" s="9">
        <f t="shared" si="6"/>
        <v>0.62537910551150422</v>
      </c>
      <c r="AM15" s="9">
        <f t="shared" si="7"/>
        <v>0.39109902561036913</v>
      </c>
      <c r="AN15" s="8" t="s">
        <v>4087</v>
      </c>
    </row>
    <row r="16" spans="8:40" ht="23">
      <c r="M16" s="8" t="s">
        <v>559</v>
      </c>
      <c r="N16" s="8" t="s">
        <v>150</v>
      </c>
      <c r="O16" s="8"/>
      <c r="P16" s="8" t="s">
        <v>4695</v>
      </c>
      <c r="Q16" s="8"/>
      <c r="R16" s="8"/>
      <c r="S16" s="8"/>
      <c r="T16" s="8"/>
      <c r="U16" s="8"/>
      <c r="V16" s="8"/>
      <c r="W16" s="8" t="s">
        <v>559</v>
      </c>
      <c r="X16" s="8">
        <v>20.83</v>
      </c>
      <c r="Y16" s="8">
        <v>4.47</v>
      </c>
      <c r="Z16" s="9">
        <v>6.49</v>
      </c>
      <c r="AA16" s="8">
        <v>7</v>
      </c>
      <c r="AB16" s="8">
        <v>17632</v>
      </c>
      <c r="AC16" s="21" t="s">
        <v>559</v>
      </c>
      <c r="AD16" s="8" t="s">
        <v>4128</v>
      </c>
      <c r="AE16" s="8" t="s">
        <v>4287</v>
      </c>
      <c r="AF16" s="9">
        <f t="shared" si="0"/>
        <v>31.29</v>
      </c>
      <c r="AG16" s="9">
        <f t="shared" si="1"/>
        <v>47.716666666666669</v>
      </c>
      <c r="AH16" s="9">
        <f t="shared" si="2"/>
        <v>0.42863266180882986</v>
      </c>
      <c r="AI16" s="9">
        <f t="shared" si="3"/>
        <v>0.18372595876932271</v>
      </c>
      <c r="AJ16" s="9">
        <f t="shared" si="4"/>
        <v>0.39011367905126954</v>
      </c>
      <c r="AK16" s="9">
        <f t="shared" si="5"/>
        <v>0.15218868258291693</v>
      </c>
      <c r="AL16" s="9">
        <f t="shared" si="6"/>
        <v>0.51485518146981735</v>
      </c>
      <c r="AM16" s="9">
        <f t="shared" si="7"/>
        <v>0.26507585788631854</v>
      </c>
      <c r="AN16" s="8" t="s">
        <v>559</v>
      </c>
    </row>
    <row r="17" spans="13:40" ht="23">
      <c r="M17" s="8" t="s">
        <v>2722</v>
      </c>
      <c r="N17" s="8"/>
      <c r="O17" s="8"/>
      <c r="P17" s="8" t="s">
        <v>3692</v>
      </c>
      <c r="Q17" s="8"/>
      <c r="R17" s="8"/>
      <c r="S17" s="8"/>
      <c r="T17" s="8"/>
      <c r="U17" s="8"/>
      <c r="V17" s="8"/>
      <c r="W17" s="8" t="s">
        <v>2722</v>
      </c>
      <c r="X17" s="8">
        <v>35.020000000000003</v>
      </c>
      <c r="Y17" s="8">
        <v>2.15</v>
      </c>
      <c r="Z17" s="9">
        <v>1.04</v>
      </c>
      <c r="AA17" s="8">
        <v>5.0999999999999996</v>
      </c>
      <c r="AB17" s="8">
        <v>29338</v>
      </c>
      <c r="AC17" s="21" t="s">
        <v>2722</v>
      </c>
      <c r="AD17" s="8" t="s">
        <v>4128</v>
      </c>
      <c r="AE17" s="8" t="s">
        <v>4287</v>
      </c>
      <c r="AF17" s="9">
        <f t="shared" si="0"/>
        <v>10.964999999999998</v>
      </c>
      <c r="AG17" s="9">
        <f t="shared" si="1"/>
        <v>5.4399999999999995</v>
      </c>
      <c r="AH17" s="9">
        <f t="shared" si="2"/>
        <v>0.31228951074643319</v>
      </c>
      <c r="AI17" s="9">
        <f t="shared" si="3"/>
        <v>9.7524738522246607E-2</v>
      </c>
      <c r="AJ17" s="9">
        <f t="shared" si="4"/>
        <v>0.13670810133579961</v>
      </c>
      <c r="AK17" s="9">
        <f t="shared" si="5"/>
        <v>1.8689104970839254E-2</v>
      </c>
      <c r="AL17" s="9">
        <f t="shared" si="6"/>
        <v>5.8696727639451045E-2</v>
      </c>
      <c r="AM17" s="9">
        <f t="shared" si="7"/>
        <v>3.4453058355798961E-3</v>
      </c>
      <c r="AN17" s="8" t="s">
        <v>2722</v>
      </c>
    </row>
    <row r="18" spans="13:40" ht="23">
      <c r="M18" s="8" t="s">
        <v>1129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1129</v>
      </c>
      <c r="X18" s="8">
        <v>19.97</v>
      </c>
      <c r="Y18" s="8">
        <v>2.8</v>
      </c>
      <c r="Z18" s="9">
        <v>2.0499999999999998</v>
      </c>
      <c r="AA18" s="8">
        <v>4.5</v>
      </c>
      <c r="AB18" s="8">
        <v>26956</v>
      </c>
      <c r="AC18" s="21" t="s">
        <v>1129</v>
      </c>
      <c r="AD18" s="8" t="s">
        <v>4128</v>
      </c>
      <c r="AE18" s="8" t="s">
        <v>4287</v>
      </c>
      <c r="AF18" s="9">
        <f t="shared" si="0"/>
        <v>12.6</v>
      </c>
      <c r="AG18" s="9">
        <f t="shared" si="1"/>
        <v>9.375</v>
      </c>
      <c r="AH18" s="9">
        <f t="shared" si="2"/>
        <v>0.27554956830567634</v>
      </c>
      <c r="AI18" s="9">
        <f t="shared" si="3"/>
        <v>7.5927564593444588E-2</v>
      </c>
      <c r="AJ18" s="9">
        <f t="shared" si="4"/>
        <v>0.15709275666494074</v>
      </c>
      <c r="AK18" s="9">
        <f t="shared" si="5"/>
        <v>2.4678134196590283E-2</v>
      </c>
      <c r="AL18" s="9">
        <f t="shared" si="6"/>
        <v>0.10115474662129663</v>
      </c>
      <c r="AM18" s="9">
        <f t="shared" si="7"/>
        <v>1.0232282764018722E-2</v>
      </c>
      <c r="AN18" s="8" t="s">
        <v>1129</v>
      </c>
    </row>
    <row r="19" spans="13:40" ht="23">
      <c r="M19" s="9" t="s">
        <v>3435</v>
      </c>
      <c r="N19" s="8" t="s">
        <v>2003</v>
      </c>
      <c r="O19" s="8"/>
      <c r="P19" s="8"/>
      <c r="Q19" s="8"/>
      <c r="R19" s="8"/>
      <c r="S19" s="8"/>
      <c r="T19" s="8"/>
      <c r="U19" s="8"/>
      <c r="V19" s="8"/>
      <c r="W19" s="9" t="s">
        <v>3435</v>
      </c>
      <c r="X19" s="8">
        <v>45.03</v>
      </c>
      <c r="Y19" s="8">
        <v>2.5299999999999998</v>
      </c>
      <c r="Z19" s="9">
        <v>1.1200000000000001</v>
      </c>
      <c r="AA19" s="8">
        <v>4</v>
      </c>
      <c r="AB19" s="8">
        <v>33438</v>
      </c>
      <c r="AC19" s="22" t="s">
        <v>3435</v>
      </c>
      <c r="AD19" s="8" t="s">
        <v>4128</v>
      </c>
      <c r="AE19" s="8" t="s">
        <v>4287</v>
      </c>
      <c r="AF19" s="9">
        <f t="shared" si="0"/>
        <v>10.119999999999999</v>
      </c>
      <c r="AG19" s="9">
        <f t="shared" si="1"/>
        <v>4.8</v>
      </c>
      <c r="AH19" s="9">
        <f t="shared" si="2"/>
        <v>0.24493294960504564</v>
      </c>
      <c r="AI19" s="9">
        <f t="shared" si="3"/>
        <v>5.9992149802227827E-2</v>
      </c>
      <c r="AJ19" s="9">
        <f t="shared" si="4"/>
        <v>0.12617291249596829</v>
      </c>
      <c r="AK19" s="9">
        <f t="shared" si="5"/>
        <v>1.591960384771527E-2</v>
      </c>
      <c r="AL19" s="9">
        <f t="shared" si="6"/>
        <v>5.1791230270103863E-2</v>
      </c>
      <c r="AM19" s="9">
        <f t="shared" si="7"/>
        <v>2.6823315328909228E-3</v>
      </c>
      <c r="AN19" s="9" t="s">
        <v>3435</v>
      </c>
    </row>
    <row r="20" spans="13:40" ht="23">
      <c r="M20" s="9" t="s">
        <v>3207</v>
      </c>
      <c r="N20" s="8" t="s">
        <v>1902</v>
      </c>
      <c r="O20" s="8"/>
      <c r="P20" s="8" t="s">
        <v>3691</v>
      </c>
      <c r="Q20" s="8"/>
      <c r="R20" s="8"/>
      <c r="S20" s="8"/>
      <c r="T20" s="8"/>
      <c r="U20" s="8"/>
      <c r="V20" s="8"/>
      <c r="W20" s="9" t="s">
        <v>3207</v>
      </c>
      <c r="X20" s="8">
        <v>18.149999999999999</v>
      </c>
      <c r="Y20" s="8">
        <v>5.41</v>
      </c>
      <c r="Z20" s="9">
        <v>11.51</v>
      </c>
      <c r="AA20" s="8">
        <v>3.3</v>
      </c>
      <c r="AB20" s="8">
        <v>27701</v>
      </c>
      <c r="AC20" s="22" t="s">
        <v>3207</v>
      </c>
      <c r="AD20" s="8" t="s">
        <v>4128</v>
      </c>
      <c r="AE20" s="8" t="s">
        <v>4287</v>
      </c>
      <c r="AF20" s="9">
        <f t="shared" si="0"/>
        <v>17.852999999999998</v>
      </c>
      <c r="AG20" s="9">
        <f t="shared" si="1"/>
        <v>39.104999999999997</v>
      </c>
      <c r="AH20" s="9">
        <f t="shared" si="2"/>
        <v>0.20206968342416265</v>
      </c>
      <c r="AI20" s="9">
        <f t="shared" si="3"/>
        <v>4.0832156959141316E-2</v>
      </c>
      <c r="AJ20" s="9">
        <f t="shared" si="4"/>
        <v>0.22258547497930056</v>
      </c>
      <c r="AK20" s="9">
        <f t="shared" si="5"/>
        <v>4.9544293671760838E-2</v>
      </c>
      <c r="AL20" s="9">
        <f t="shared" si="6"/>
        <v>0.42193667910675242</v>
      </c>
      <c r="AM20" s="9">
        <f t="shared" si="7"/>
        <v>0.17803056117563457</v>
      </c>
      <c r="AN20" s="9" t="s">
        <v>3207</v>
      </c>
    </row>
    <row r="21" spans="13:40" ht="23">
      <c r="M21" s="9" t="s">
        <v>3177</v>
      </c>
      <c r="N21" s="8" t="s">
        <v>1869</v>
      </c>
      <c r="O21" s="8"/>
      <c r="P21" s="8"/>
      <c r="Q21" s="8"/>
      <c r="R21" s="8"/>
      <c r="S21" s="8"/>
      <c r="T21" s="8"/>
      <c r="U21" s="8"/>
      <c r="V21" s="8"/>
      <c r="W21" s="9" t="s">
        <v>3177</v>
      </c>
      <c r="X21" s="8">
        <v>30.31</v>
      </c>
      <c r="Y21" s="8">
        <v>3.09</v>
      </c>
      <c r="Z21" s="9">
        <v>2.44</v>
      </c>
      <c r="AA21" s="8">
        <v>3.1</v>
      </c>
      <c r="AB21" s="8">
        <v>61302</v>
      </c>
      <c r="AC21" s="22" t="s">
        <v>3177</v>
      </c>
      <c r="AD21" s="8" t="s">
        <v>4128</v>
      </c>
      <c r="AE21" s="8" t="s">
        <v>4287</v>
      </c>
      <c r="AF21" s="9">
        <f t="shared" si="0"/>
        <v>9.5790000000000006</v>
      </c>
      <c r="AG21" s="9">
        <f t="shared" si="1"/>
        <v>8.4733333333333345</v>
      </c>
      <c r="AH21" s="9">
        <f t="shared" si="2"/>
        <v>0.18982303594391037</v>
      </c>
      <c r="AI21" s="9">
        <f t="shared" si="3"/>
        <v>3.6032784974963088E-2</v>
      </c>
      <c r="AJ21" s="9">
        <f t="shared" si="4"/>
        <v>0.11942789810265617</v>
      </c>
      <c r="AK21" s="9">
        <f t="shared" si="5"/>
        <v>1.4263022845218425E-2</v>
      </c>
      <c r="AL21" s="9">
        <f t="shared" si="6"/>
        <v>9.1425907879586155E-2</v>
      </c>
      <c r="AM21" s="9">
        <f t="shared" si="7"/>
        <v>8.3586966316065731E-3</v>
      </c>
      <c r="AN21" s="9" t="s">
        <v>3177</v>
      </c>
    </row>
    <row r="22" spans="13:40" ht="23">
      <c r="M22" s="9" t="s">
        <v>2441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9" t="s">
        <v>2441</v>
      </c>
      <c r="X22" s="8">
        <v>45.52</v>
      </c>
      <c r="Y22" s="8">
        <v>2.5099999999999998</v>
      </c>
      <c r="Z22" s="9">
        <v>2.5099999999999998</v>
      </c>
      <c r="AA22" s="8">
        <v>3</v>
      </c>
      <c r="AB22" s="8">
        <v>63103</v>
      </c>
      <c r="AC22" s="22" t="s">
        <v>2441</v>
      </c>
      <c r="AD22" s="8" t="s">
        <v>4128</v>
      </c>
      <c r="AE22" s="8" t="s">
        <v>4287</v>
      </c>
      <c r="AF22" s="9">
        <f t="shared" si="0"/>
        <v>7.5299999999999994</v>
      </c>
      <c r="AG22" s="9">
        <f t="shared" si="1"/>
        <v>8.5500000000000007</v>
      </c>
      <c r="AH22" s="9">
        <f t="shared" si="2"/>
        <v>0.18369971220378423</v>
      </c>
      <c r="AI22" s="9">
        <f t="shared" si="3"/>
        <v>3.3745584263753153E-2</v>
      </c>
      <c r="AJ22" s="9">
        <f t="shared" si="4"/>
        <v>9.3881623625952676E-2</v>
      </c>
      <c r="AK22" s="9">
        <f t="shared" si="5"/>
        <v>8.8137592546450351E-3</v>
      </c>
      <c r="AL22" s="9">
        <f t="shared" si="6"/>
        <v>9.2253128918622515E-2</v>
      </c>
      <c r="AM22" s="9">
        <f t="shared" si="7"/>
        <v>8.5106397952759861E-3</v>
      </c>
      <c r="AN22" s="9" t="s">
        <v>2441</v>
      </c>
    </row>
    <row r="23" spans="13:40" ht="23">
      <c r="M23" s="8" t="s">
        <v>4389</v>
      </c>
      <c r="N23" s="8"/>
      <c r="O23" s="8"/>
      <c r="P23" s="8"/>
      <c r="Q23" s="8"/>
      <c r="R23" s="8"/>
      <c r="S23" s="8"/>
      <c r="T23" s="8"/>
      <c r="U23" s="8"/>
      <c r="V23" s="8"/>
      <c r="W23" s="8" t="s">
        <v>4389</v>
      </c>
      <c r="X23" s="8">
        <v>27.49</v>
      </c>
      <c r="Y23" s="8">
        <v>4.96</v>
      </c>
      <c r="Z23" s="9">
        <v>6.33</v>
      </c>
      <c r="AA23" s="8">
        <v>2.8</v>
      </c>
      <c r="AB23" s="8">
        <v>30762</v>
      </c>
      <c r="AC23" s="21" t="s">
        <v>4389</v>
      </c>
      <c r="AD23" s="8" t="s">
        <v>4128</v>
      </c>
      <c r="AE23" s="8" t="s">
        <v>4287</v>
      </c>
      <c r="AF23" s="9">
        <f t="shared" si="0"/>
        <v>13.888</v>
      </c>
      <c r="AG23" s="9">
        <f t="shared" si="1"/>
        <v>18.34</v>
      </c>
      <c r="AH23" s="9">
        <f t="shared" si="2"/>
        <v>0.17145306472353192</v>
      </c>
      <c r="AI23" s="9">
        <f t="shared" si="3"/>
        <v>2.9396153403091624E-2</v>
      </c>
      <c r="AJ23" s="9">
        <f t="shared" si="4"/>
        <v>0.1731511273462458</v>
      </c>
      <c r="AK23" s="9">
        <f t="shared" si="5"/>
        <v>2.9981312901275828E-2</v>
      </c>
      <c r="AL23" s="9">
        <f t="shared" si="6"/>
        <v>0.19788565899035521</v>
      </c>
      <c r="AM23" s="9">
        <f t="shared" si="7"/>
        <v>3.9158734034047148E-2</v>
      </c>
      <c r="AN23" s="8" t="s">
        <v>4389</v>
      </c>
    </row>
    <row r="24" spans="13:40" ht="23">
      <c r="M24" s="8" t="s">
        <v>2038</v>
      </c>
      <c r="N24" s="8" t="s">
        <v>2032</v>
      </c>
      <c r="O24" s="8"/>
      <c r="P24" s="8"/>
      <c r="Q24" s="8"/>
      <c r="R24" s="8"/>
      <c r="S24" s="8"/>
      <c r="T24" s="8"/>
      <c r="U24" s="8"/>
      <c r="V24" s="8"/>
      <c r="W24" s="8" t="s">
        <v>2038</v>
      </c>
      <c r="X24" s="8">
        <v>34.840000000000003</v>
      </c>
      <c r="Y24" s="8">
        <v>2.57</v>
      </c>
      <c r="Z24" s="9">
        <v>0.59</v>
      </c>
      <c r="AA24" s="8">
        <v>2.7</v>
      </c>
      <c r="AB24" s="8"/>
      <c r="AC24" s="21" t="s">
        <v>2038</v>
      </c>
      <c r="AD24" s="8" t="s">
        <v>4128</v>
      </c>
      <c r="AE24" s="8" t="s">
        <v>4287</v>
      </c>
      <c r="AF24" s="9">
        <f t="shared" si="0"/>
        <v>6.9390000000000001</v>
      </c>
      <c r="AG24" s="9">
        <f t="shared" si="1"/>
        <v>2.6550000000000002</v>
      </c>
      <c r="AH24" s="9">
        <f t="shared" si="2"/>
        <v>0.1653297409834058</v>
      </c>
      <c r="AI24" s="9">
        <f t="shared" si="3"/>
        <v>2.7333923253640053E-2</v>
      </c>
      <c r="AJ24" s="9">
        <f t="shared" si="4"/>
        <v>8.6513225277620939E-2</v>
      </c>
      <c r="AK24" s="9">
        <f t="shared" si="5"/>
        <v>7.4845381479363903E-3</v>
      </c>
      <c r="AL24" s="9">
        <f t="shared" si="6"/>
        <v>2.8647024243151204E-2</v>
      </c>
      <c r="AM24" s="9">
        <f t="shared" si="7"/>
        <v>8.2065199798769285E-4</v>
      </c>
      <c r="AN24" s="8" t="s">
        <v>2038</v>
      </c>
    </row>
    <row r="25" spans="13:40" ht="23">
      <c r="M25" s="8" t="s">
        <v>4388</v>
      </c>
      <c r="N25" s="8"/>
      <c r="O25" s="8"/>
      <c r="P25" s="8"/>
      <c r="Q25" s="8"/>
      <c r="R25" s="8"/>
      <c r="S25" s="8"/>
      <c r="T25" s="8"/>
      <c r="U25" s="8"/>
      <c r="V25" s="8"/>
      <c r="W25" s="8" t="s">
        <v>4388</v>
      </c>
      <c r="X25" s="8">
        <v>13.74</v>
      </c>
      <c r="Y25" s="8">
        <v>2.64</v>
      </c>
      <c r="Z25" s="9">
        <v>1.36</v>
      </c>
      <c r="AA25" s="8">
        <v>1.4</v>
      </c>
      <c r="AB25" s="8">
        <v>61480</v>
      </c>
      <c r="AC25" s="21" t="s">
        <v>4388</v>
      </c>
      <c r="AD25" s="8" t="s">
        <v>4128</v>
      </c>
      <c r="AE25" s="8" t="s">
        <v>4287</v>
      </c>
      <c r="AF25" s="9">
        <f t="shared" si="0"/>
        <v>3.6959999999999997</v>
      </c>
      <c r="AG25" s="9">
        <f t="shared" si="1"/>
        <v>2.2399999999999998</v>
      </c>
      <c r="AH25" s="9">
        <f t="shared" si="2"/>
        <v>8.5726532361765959E-2</v>
      </c>
      <c r="AI25" s="9">
        <f t="shared" si="3"/>
        <v>7.349038350772906E-3</v>
      </c>
      <c r="AJ25" s="9">
        <f t="shared" si="4"/>
        <v>4.6080541955049285E-2</v>
      </c>
      <c r="AK25" s="9">
        <f t="shared" si="5"/>
        <v>2.1234163468710574E-3</v>
      </c>
      <c r="AL25" s="9">
        <f t="shared" si="6"/>
        <v>2.4169240792715138E-2</v>
      </c>
      <c r="AM25" s="9">
        <f t="shared" si="7"/>
        <v>5.8415220049624547E-4</v>
      </c>
      <c r="AN25" s="8" t="s">
        <v>4388</v>
      </c>
    </row>
    <row r="26" spans="13:40" ht="18"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9"/>
      <c r="AA26" s="48">
        <f>SUBTOTAL(109,Table1363234363738[ترافیک کل])</f>
        <v>1633.1</v>
      </c>
      <c r="AB26" s="48"/>
      <c r="AC26" s="53"/>
      <c r="AD26" s="48"/>
      <c r="AE26" s="48"/>
      <c r="AF26" s="49">
        <f>SUBTOTAL(109,Table1363234363738[[مجموع صفحات  مشاهده شده   ]])</f>
        <v>8020.7389999999987</v>
      </c>
      <c r="AG26" s="49">
        <f>SUBTOTAL(109,Table1363234363738[[مجموع زمان حضور در سایت ]])</f>
        <v>9267.9783333333307</v>
      </c>
      <c r="AH26" s="49">
        <f>SUBTOTAL(109,Table1363234363738[سهم سایت از کل ترافیک طبقه بندی])</f>
        <v>100.00000000000003</v>
      </c>
      <c r="AI26" s="49">
        <f>SUBTOTAL(109,Table1363234363738[شاخص هرفیندال هیرشمن (ترافیک)])</f>
        <v>2045.610411706589</v>
      </c>
      <c r="AJ26" s="49">
        <f>SUBTOTAL(109,Table1363234363738[سهم سایت از کل صفحات مشاهده شده در طبقه بندی])</f>
        <v>100.00000000000004</v>
      </c>
      <c r="AK26" s="49">
        <f>SUBTOTAL(109,Table1363234363738[شاخص هرفیندال -هیرشمن (صفحات مشاهده شده )])</f>
        <v>3184.1311954088678</v>
      </c>
      <c r="AL26" s="49">
        <f>SUBTOTAL(109,Table1363234363738[سهم سایت از کل زمان حضور در طبقه بندی])</f>
        <v>100.00000000000004</v>
      </c>
      <c r="AM26" s="49">
        <f>SUBTOTAL(109,Table1363234363738[شاخص هرفیندال هیرشمن (زمان حضور)])</f>
        <v>4649.7413611202546</v>
      </c>
      <c r="AN26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{A4AFD89C-3398-41E3-AD5A-058B5EB617CD}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{CF35DDB6-D4E8-496F-AF66-3CEC1665826B}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{F167A8A5-CA9E-4141-9D05-78F7E92B08DA}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{79D9F9CC-833C-437E-AA3D-F99ED1332D80}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{177AB59C-067D-4A76-9A9B-CC970A398D5C}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{4968783F-37E5-45B2-BE6C-73709D0B9ABD}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4AFD89C-3398-41E3-AD5A-058B5EB617C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F35DDB6-D4E8-496F-AF66-3CEC1665826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167A8A5-CA9E-4141-9D05-78F7E92B08D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9D9F9CC-833C-437E-AA3D-F99ED1332D8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77AB59C-067D-4A76-9A9B-CC970A398D5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4968783F-37E5-45B2-BE6C-73709D0B9AB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0"/>
  <sheetViews>
    <sheetView showGridLines="0" rightToLeft="1" topLeftCell="Z1" zoomScale="70" zoomScaleNormal="70" workbookViewId="0">
      <selection activeCell="AC30" sqref="AC30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4403</v>
      </c>
      <c r="N2" s="8"/>
      <c r="O2" s="8"/>
      <c r="P2" s="8" t="s">
        <v>4699</v>
      </c>
      <c r="Q2" s="8"/>
      <c r="R2" s="8"/>
      <c r="S2" s="8"/>
      <c r="T2" s="8"/>
      <c r="U2" s="8"/>
      <c r="V2" s="8"/>
      <c r="W2" s="8" t="s">
        <v>4403</v>
      </c>
      <c r="X2" s="8">
        <v>79.650000000000006</v>
      </c>
      <c r="Y2" s="8">
        <v>1.27</v>
      </c>
      <c r="Z2" s="9">
        <v>0.56000000000000005</v>
      </c>
      <c r="AA2" s="8">
        <v>971.5</v>
      </c>
      <c r="AB2" s="8">
        <v>2680</v>
      </c>
      <c r="AC2" s="21" t="s">
        <v>4403</v>
      </c>
      <c r="AD2" s="8" t="s">
        <v>3998</v>
      </c>
      <c r="AE2" s="8" t="s">
        <v>4287</v>
      </c>
      <c r="AF2" s="9">
        <f t="shared" ref="AF2:AF29" si="0">(AA2*Y2)</f>
        <v>1233.8050000000001</v>
      </c>
      <c r="AG2" s="9">
        <f t="shared" ref="AG2:AG29" si="1">((((RIGHT(Z2,2))/60)+(LEFT(Z2,2)))*AA2)</f>
        <v>906.73333333333335</v>
      </c>
      <c r="AH2" s="9">
        <f t="shared" ref="AH2:AH29" si="2">(AA2/$AA$30)*100</f>
        <v>24.669256748178057</v>
      </c>
      <c r="AI2" s="9">
        <f t="shared" ref="AI2:AI29" si="3">(AH2*AH2)</f>
        <v>608.57222850752862</v>
      </c>
      <c r="AJ2" s="9">
        <f t="shared" ref="AJ2:AJ29" si="4">(AF2/$AF$30)*100</f>
        <v>11.826058534822655</v>
      </c>
      <c r="AK2" s="9">
        <f t="shared" ref="AK2:AK29" si="5">(AJ2*AJ2)</f>
        <v>139.85566046905177</v>
      </c>
      <c r="AL2" s="9">
        <f t="shared" ref="AL2:AL29" si="6">(AG2/$AG$30)*100</f>
        <v>10.416889652772003</v>
      </c>
      <c r="AM2" s="9">
        <f t="shared" ref="AM2:AM29" si="7">(AL2*AL2)</f>
        <v>108.51159003802842</v>
      </c>
      <c r="AN2" s="8" t="s">
        <v>4403</v>
      </c>
    </row>
    <row r="3" spans="8:40" ht="23">
      <c r="M3" s="8" t="s">
        <v>4398</v>
      </c>
      <c r="N3" s="8"/>
      <c r="O3" s="8"/>
      <c r="P3" s="8" t="s">
        <v>4397</v>
      </c>
      <c r="Q3" s="8"/>
      <c r="R3" s="8"/>
      <c r="S3" s="8"/>
      <c r="T3" s="8"/>
      <c r="U3" s="8"/>
      <c r="V3" s="8"/>
      <c r="W3" s="8" t="s">
        <v>4398</v>
      </c>
      <c r="X3" s="8">
        <v>39.130000000000003</v>
      </c>
      <c r="Y3" s="8">
        <v>2.65</v>
      </c>
      <c r="Z3" s="9">
        <v>1.52</v>
      </c>
      <c r="AA3" s="8">
        <v>849.7</v>
      </c>
      <c r="AB3" s="8">
        <v>1159</v>
      </c>
      <c r="AC3" s="21" t="s">
        <v>4398</v>
      </c>
      <c r="AD3" s="8" t="s">
        <v>3998</v>
      </c>
      <c r="AE3" s="8" t="s">
        <v>4287</v>
      </c>
      <c r="AF3" s="9">
        <f t="shared" si="0"/>
        <v>2251.7049999999999</v>
      </c>
      <c r="AG3" s="9">
        <f t="shared" si="1"/>
        <v>1586.1066666666668</v>
      </c>
      <c r="AH3" s="9">
        <f t="shared" si="2"/>
        <v>21.576394708107973</v>
      </c>
      <c r="AI3" s="9">
        <f t="shared" si="3"/>
        <v>465.54080860006974</v>
      </c>
      <c r="AJ3" s="9">
        <f t="shared" si="4"/>
        <v>21.582661063257845</v>
      </c>
      <c r="AK3" s="9">
        <f t="shared" si="5"/>
        <v>465.81125857146628</v>
      </c>
      <c r="AL3" s="9">
        <f t="shared" si="6"/>
        <v>18.221783094102669</v>
      </c>
      <c r="AM3" s="9">
        <f t="shared" si="7"/>
        <v>332.03337912852584</v>
      </c>
      <c r="AN3" s="8" t="s">
        <v>4398</v>
      </c>
    </row>
    <row r="4" spans="8:40" ht="23">
      <c r="M4" s="8" t="s">
        <v>186</v>
      </c>
      <c r="N4" s="8" t="s">
        <v>150</v>
      </c>
      <c r="O4" s="8"/>
      <c r="P4" s="8" t="s">
        <v>4034</v>
      </c>
      <c r="Q4" s="8"/>
      <c r="R4" s="8"/>
      <c r="S4" s="8"/>
      <c r="T4" s="8"/>
      <c r="U4" s="8"/>
      <c r="V4" s="8"/>
      <c r="W4" s="8" t="s">
        <v>186</v>
      </c>
      <c r="X4" s="8">
        <v>14.26</v>
      </c>
      <c r="Y4" s="8">
        <v>5.13</v>
      </c>
      <c r="Z4" s="9">
        <v>7.02</v>
      </c>
      <c r="AA4" s="8">
        <v>666.3</v>
      </c>
      <c r="AB4" s="8">
        <v>690</v>
      </c>
      <c r="AC4" s="21" t="s">
        <v>186</v>
      </c>
      <c r="AD4" s="8" t="s">
        <v>3998</v>
      </c>
      <c r="AE4" s="8" t="s">
        <v>4287</v>
      </c>
      <c r="AF4" s="9">
        <f t="shared" si="0"/>
        <v>3418.1189999999997</v>
      </c>
      <c r="AG4" s="9">
        <f t="shared" si="1"/>
        <v>4686.3099999999995</v>
      </c>
      <c r="AH4" s="9">
        <f t="shared" si="2"/>
        <v>16.919326578807038</v>
      </c>
      <c r="AI4" s="9">
        <f t="shared" si="3"/>
        <v>286.26361188032627</v>
      </c>
      <c r="AJ4" s="9">
        <f t="shared" si="4"/>
        <v>32.762774808814584</v>
      </c>
      <c r="AK4" s="9">
        <f t="shared" si="5"/>
        <v>1073.3994131730956</v>
      </c>
      <c r="AL4" s="9">
        <f t="shared" si="6"/>
        <v>53.838071629308828</v>
      </c>
      <c r="AM4" s="9">
        <f t="shared" si="7"/>
        <v>2898.5379567625882</v>
      </c>
      <c r="AN4" s="8" t="s">
        <v>186</v>
      </c>
    </row>
    <row r="5" spans="8:40" ht="23">
      <c r="M5" s="8" t="s">
        <v>4396</v>
      </c>
      <c r="N5" s="8"/>
      <c r="O5" s="8"/>
      <c r="P5" s="8" t="s">
        <v>4713</v>
      </c>
      <c r="Q5" s="8"/>
      <c r="R5" s="8"/>
      <c r="S5" s="8"/>
      <c r="T5" s="8"/>
      <c r="U5" s="8"/>
      <c r="V5" s="8"/>
      <c r="W5" s="8" t="s">
        <v>4396</v>
      </c>
      <c r="X5" s="8">
        <v>17.2</v>
      </c>
      <c r="Y5" s="8">
        <v>4.0199999999999996</v>
      </c>
      <c r="Z5" s="9">
        <v>1.38</v>
      </c>
      <c r="AA5" s="8">
        <v>511.1</v>
      </c>
      <c r="AB5" s="8">
        <v>978</v>
      </c>
      <c r="AC5" s="21" t="s">
        <v>4396</v>
      </c>
      <c r="AD5" s="8" t="s">
        <v>3998</v>
      </c>
      <c r="AE5" s="8" t="s">
        <v>4287</v>
      </c>
      <c r="AF5" s="9">
        <f t="shared" si="0"/>
        <v>2054.6219999999998</v>
      </c>
      <c r="AG5" s="9">
        <f t="shared" si="1"/>
        <v>834.79666666666674</v>
      </c>
      <c r="AH5" s="9">
        <f t="shared" si="2"/>
        <v>12.978339808537113</v>
      </c>
      <c r="AI5" s="9">
        <f t="shared" si="3"/>
        <v>168.43730418585915</v>
      </c>
      <c r="AJ5" s="9">
        <f t="shared" si="4"/>
        <v>19.693614500617514</v>
      </c>
      <c r="AK5" s="9">
        <f t="shared" si="5"/>
        <v>387.83845209893241</v>
      </c>
      <c r="AL5" s="9">
        <f t="shared" si="6"/>
        <v>9.5904544803711769</v>
      </c>
      <c r="AM5" s="9">
        <f t="shared" si="7"/>
        <v>91.976817140071574</v>
      </c>
      <c r="AN5" s="8" t="s">
        <v>4396</v>
      </c>
    </row>
    <row r="6" spans="8:40" ht="23">
      <c r="M6" s="9" t="s">
        <v>4717</v>
      </c>
      <c r="N6" s="8" t="s">
        <v>1964</v>
      </c>
      <c r="O6" s="8"/>
      <c r="P6" s="8" t="s">
        <v>3705</v>
      </c>
      <c r="Q6" s="8"/>
      <c r="R6" s="8"/>
      <c r="S6" s="8"/>
      <c r="T6" s="8"/>
      <c r="U6" s="8"/>
      <c r="V6" s="8"/>
      <c r="W6" s="9" t="s">
        <v>4717</v>
      </c>
      <c r="X6" s="8">
        <v>36.31</v>
      </c>
      <c r="Y6" s="8">
        <v>1.75</v>
      </c>
      <c r="Z6" s="9">
        <v>0.56000000000000005</v>
      </c>
      <c r="AA6" s="8">
        <v>213.6</v>
      </c>
      <c r="AB6" s="8">
        <v>17678</v>
      </c>
      <c r="AC6" s="22" t="s">
        <v>4717</v>
      </c>
      <c r="AD6" s="8" t="s">
        <v>3998</v>
      </c>
      <c r="AE6" s="8" t="s">
        <v>4287</v>
      </c>
      <c r="AF6" s="9">
        <f t="shared" si="0"/>
        <v>373.8</v>
      </c>
      <c r="AG6" s="9">
        <f t="shared" si="1"/>
        <v>199.35999999999999</v>
      </c>
      <c r="AH6" s="9">
        <f t="shared" si="2"/>
        <v>5.4239354003199516</v>
      </c>
      <c r="AI6" s="9">
        <f t="shared" si="3"/>
        <v>29.419075226843955</v>
      </c>
      <c r="AJ6" s="9">
        <f t="shared" si="4"/>
        <v>3.5828843944680959</v>
      </c>
      <c r="AK6" s="9">
        <f t="shared" si="5"/>
        <v>12.837060584123014</v>
      </c>
      <c r="AL6" s="9">
        <f t="shared" si="6"/>
        <v>2.290321801165311</v>
      </c>
      <c r="AM6" s="9">
        <f t="shared" si="7"/>
        <v>5.2455739528931149</v>
      </c>
      <c r="AN6" s="9" t="s">
        <v>4717</v>
      </c>
    </row>
    <row r="7" spans="8:40" ht="23">
      <c r="M7" s="8" t="s">
        <v>408</v>
      </c>
      <c r="N7" s="8" t="s">
        <v>150</v>
      </c>
      <c r="O7" s="8"/>
      <c r="P7" s="8" t="s">
        <v>3715</v>
      </c>
      <c r="Q7" s="8"/>
      <c r="R7" s="8"/>
      <c r="S7" s="8"/>
      <c r="T7" s="8"/>
      <c r="U7" s="8"/>
      <c r="V7" s="8"/>
      <c r="W7" s="8" t="s">
        <v>408</v>
      </c>
      <c r="X7" s="8">
        <v>30.07</v>
      </c>
      <c r="Y7" s="8">
        <v>1.4</v>
      </c>
      <c r="Z7" s="9">
        <v>0.31</v>
      </c>
      <c r="AA7" s="8">
        <v>164.7</v>
      </c>
      <c r="AB7" s="8">
        <v>4581</v>
      </c>
      <c r="AC7" s="21" t="s">
        <v>408</v>
      </c>
      <c r="AD7" s="8" t="s">
        <v>3998</v>
      </c>
      <c r="AE7" s="8" t="s">
        <v>4287</v>
      </c>
      <c r="AF7" s="9">
        <f t="shared" si="0"/>
        <v>230.57999999999996</v>
      </c>
      <c r="AG7" s="9">
        <f t="shared" si="1"/>
        <v>85.094999999999999</v>
      </c>
      <c r="AH7" s="9">
        <f t="shared" si="2"/>
        <v>4.1822198522129961</v>
      </c>
      <c r="AI7" s="9">
        <f t="shared" si="3"/>
        <v>17.490962892244493</v>
      </c>
      <c r="AJ7" s="9">
        <f t="shared" si="4"/>
        <v>2.2101163287224539</v>
      </c>
      <c r="AK7" s="9">
        <f t="shared" si="5"/>
        <v>4.8846141864856181</v>
      </c>
      <c r="AL7" s="9">
        <f t="shared" si="6"/>
        <v>0.97760299794423222</v>
      </c>
      <c r="AM7" s="9">
        <f t="shared" si="7"/>
        <v>0.95570762158955047</v>
      </c>
      <c r="AN7" s="8" t="s">
        <v>408</v>
      </c>
    </row>
    <row r="8" spans="8:40" ht="23">
      <c r="M8" s="8" t="s">
        <v>4401</v>
      </c>
      <c r="N8" s="8"/>
      <c r="O8" s="8"/>
      <c r="P8" s="8" t="s">
        <v>3702</v>
      </c>
      <c r="Q8" s="8"/>
      <c r="R8" s="8"/>
      <c r="S8" s="8"/>
      <c r="T8" s="8"/>
      <c r="U8" s="8"/>
      <c r="V8" s="8"/>
      <c r="W8" s="8" t="s">
        <v>4401</v>
      </c>
      <c r="X8" s="8">
        <v>29.83</v>
      </c>
      <c r="Y8" s="8">
        <v>1.02</v>
      </c>
      <c r="Z8" s="9">
        <v>0.03</v>
      </c>
      <c r="AA8" s="8">
        <v>156.6</v>
      </c>
      <c r="AB8" s="8">
        <v>36042</v>
      </c>
      <c r="AC8" s="21" t="s">
        <v>4401</v>
      </c>
      <c r="AD8" s="8" t="s">
        <v>3998</v>
      </c>
      <c r="AE8" s="8" t="s">
        <v>4287</v>
      </c>
      <c r="AF8" s="9">
        <f t="shared" si="0"/>
        <v>159.732</v>
      </c>
      <c r="AG8" s="9">
        <f t="shared" si="1"/>
        <v>7.83</v>
      </c>
      <c r="AH8" s="9">
        <f t="shared" si="2"/>
        <v>3.976536908661537</v>
      </c>
      <c r="AI8" s="9">
        <f t="shared" si="3"/>
        <v>15.812845785947452</v>
      </c>
      <c r="AJ8" s="9">
        <f t="shared" si="4"/>
        <v>1.5310360890775223</v>
      </c>
      <c r="AK8" s="9">
        <f t="shared" si="5"/>
        <v>2.3440715060577948</v>
      </c>
      <c r="AL8" s="9">
        <f t="shared" si="6"/>
        <v>8.9953951159331788E-2</v>
      </c>
      <c r="AM8" s="9">
        <f t="shared" si="7"/>
        <v>8.0917133291754494E-3</v>
      </c>
      <c r="AN8" s="8" t="s">
        <v>4401</v>
      </c>
    </row>
    <row r="9" spans="8:40" ht="23">
      <c r="M9" s="8" t="s">
        <v>4399</v>
      </c>
      <c r="N9" s="8"/>
      <c r="O9" s="8"/>
      <c r="P9" s="8" t="s">
        <v>4714</v>
      </c>
      <c r="Q9" s="8"/>
      <c r="R9" s="8"/>
      <c r="S9" s="8"/>
      <c r="T9" s="8"/>
      <c r="U9" s="8"/>
      <c r="V9" s="8"/>
      <c r="W9" s="8" t="s">
        <v>4399</v>
      </c>
      <c r="X9" s="8">
        <v>36.39</v>
      </c>
      <c r="Y9" s="8">
        <v>1.08</v>
      </c>
      <c r="Z9" s="9">
        <v>0.04</v>
      </c>
      <c r="AA9" s="8">
        <v>140</v>
      </c>
      <c r="AB9" s="8">
        <v>27258</v>
      </c>
      <c r="AC9" s="21" t="s">
        <v>4399</v>
      </c>
      <c r="AD9" s="8" t="s">
        <v>3998</v>
      </c>
      <c r="AE9" s="8" t="s">
        <v>4287</v>
      </c>
      <c r="AF9" s="9">
        <f t="shared" si="0"/>
        <v>151.20000000000002</v>
      </c>
      <c r="AG9" s="9">
        <f t="shared" si="1"/>
        <v>9.3333333333333339</v>
      </c>
      <c r="AH9" s="9">
        <f t="shared" si="2"/>
        <v>3.5550138391610169</v>
      </c>
      <c r="AI9" s="9">
        <f t="shared" si="3"/>
        <v>12.638123396626352</v>
      </c>
      <c r="AJ9" s="9">
        <f t="shared" si="4"/>
        <v>1.449256608998331</v>
      </c>
      <c r="AK9" s="9">
        <f t="shared" si="5"/>
        <v>2.1003447187253412</v>
      </c>
      <c r="AL9" s="9">
        <f t="shared" si="6"/>
        <v>0.10722480342534228</v>
      </c>
      <c r="AM9" s="9">
        <f t="shared" si="7"/>
        <v>1.1497158469603294E-2</v>
      </c>
      <c r="AN9" s="8" t="s">
        <v>4399</v>
      </c>
    </row>
    <row r="10" spans="8:40" ht="23">
      <c r="M10" s="8" t="s">
        <v>2006</v>
      </c>
      <c r="N10" s="8" t="s">
        <v>2003</v>
      </c>
      <c r="O10" s="8"/>
      <c r="P10" s="8" t="s">
        <v>3692</v>
      </c>
      <c r="Q10" s="8"/>
      <c r="R10" s="8"/>
      <c r="S10" s="8"/>
      <c r="T10" s="8"/>
      <c r="U10" s="8"/>
      <c r="V10" s="8"/>
      <c r="W10" s="8" t="s">
        <v>2006</v>
      </c>
      <c r="X10" s="8">
        <v>26.35</v>
      </c>
      <c r="Y10" s="8">
        <v>1.27</v>
      </c>
      <c r="Z10" s="9">
        <v>0.19</v>
      </c>
      <c r="AA10" s="8">
        <v>64.5</v>
      </c>
      <c r="AB10" s="8">
        <v>18729</v>
      </c>
      <c r="AC10" s="21" t="s">
        <v>2006</v>
      </c>
      <c r="AD10" s="8" t="s">
        <v>3998</v>
      </c>
      <c r="AE10" s="8" t="s">
        <v>4287</v>
      </c>
      <c r="AF10" s="9">
        <f t="shared" si="0"/>
        <v>81.915000000000006</v>
      </c>
      <c r="AG10" s="9">
        <f t="shared" si="1"/>
        <v>20.425000000000001</v>
      </c>
      <c r="AH10" s="9">
        <f t="shared" si="2"/>
        <v>1.6378456616134685</v>
      </c>
      <c r="AI10" s="9">
        <f t="shared" si="3"/>
        <v>2.6825384112660604</v>
      </c>
      <c r="AJ10" s="9">
        <f t="shared" si="4"/>
        <v>0.78515777199800441</v>
      </c>
      <c r="AK10" s="9">
        <f t="shared" si="5"/>
        <v>0.61647272692887023</v>
      </c>
      <c r="AL10" s="9">
        <f t="shared" si="6"/>
        <v>0.23464999392456601</v>
      </c>
      <c r="AM10" s="9">
        <f t="shared" si="7"/>
        <v>5.5060619648798867E-2</v>
      </c>
      <c r="AN10" s="8" t="s">
        <v>2006</v>
      </c>
    </row>
    <row r="11" spans="8:40" ht="23">
      <c r="M11" s="8" t="s">
        <v>4404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4404</v>
      </c>
      <c r="X11" s="8">
        <v>39.22</v>
      </c>
      <c r="Y11" s="8">
        <v>1.29</v>
      </c>
      <c r="Z11" s="9">
        <v>0.17</v>
      </c>
      <c r="AA11" s="8">
        <v>61.9</v>
      </c>
      <c r="AB11" s="8">
        <v>11496</v>
      </c>
      <c r="AC11" s="21" t="s">
        <v>4404</v>
      </c>
      <c r="AD11" s="8" t="s">
        <v>3998</v>
      </c>
      <c r="AE11" s="8" t="s">
        <v>4287</v>
      </c>
      <c r="AF11" s="9">
        <f t="shared" si="0"/>
        <v>79.850999999999999</v>
      </c>
      <c r="AG11" s="9">
        <f t="shared" si="1"/>
        <v>17.538333333333334</v>
      </c>
      <c r="AH11" s="9">
        <f t="shared" si="2"/>
        <v>1.5718239760290496</v>
      </c>
      <c r="AI11" s="9">
        <f t="shared" si="3"/>
        <v>2.4706306116197703</v>
      </c>
      <c r="AJ11" s="9">
        <f t="shared" si="4"/>
        <v>0.76537426908151929</v>
      </c>
      <c r="AK11" s="9">
        <f t="shared" si="5"/>
        <v>0.58579777177206993</v>
      </c>
      <c r="AL11" s="9">
        <f t="shared" si="6"/>
        <v>0.20148689400801373</v>
      </c>
      <c r="AM11" s="9">
        <f t="shared" si="7"/>
        <v>4.0596968456996556E-2</v>
      </c>
      <c r="AN11" s="8" t="s">
        <v>4404</v>
      </c>
    </row>
    <row r="12" spans="8:40" ht="23">
      <c r="M12" s="8" t="s">
        <v>4400</v>
      </c>
      <c r="N12" s="8"/>
      <c r="O12" s="8"/>
      <c r="P12" s="8" t="s">
        <v>4699</v>
      </c>
      <c r="Q12" s="8"/>
      <c r="R12" s="8"/>
      <c r="S12" s="8"/>
      <c r="T12" s="8"/>
      <c r="U12" s="8"/>
      <c r="V12" s="8"/>
      <c r="W12" s="8" t="s">
        <v>4400</v>
      </c>
      <c r="X12" s="8">
        <v>29.41</v>
      </c>
      <c r="Y12" s="8">
        <v>1.22</v>
      </c>
      <c r="Z12" s="9">
        <v>0.08</v>
      </c>
      <c r="AA12" s="8">
        <v>50.8</v>
      </c>
      <c r="AB12" s="8">
        <v>19032</v>
      </c>
      <c r="AC12" s="21" t="s">
        <v>4400</v>
      </c>
      <c r="AD12" s="8" t="s">
        <v>3998</v>
      </c>
      <c r="AE12" s="8" t="s">
        <v>4287</v>
      </c>
      <c r="AF12" s="9">
        <f t="shared" si="0"/>
        <v>61.975999999999992</v>
      </c>
      <c r="AG12" s="9">
        <f t="shared" si="1"/>
        <v>6.7733333333333325</v>
      </c>
      <c r="AH12" s="9">
        <f t="shared" si="2"/>
        <v>1.289962164495569</v>
      </c>
      <c r="AI12" s="9">
        <f t="shared" si="3"/>
        <v>1.6640023858300934</v>
      </c>
      <c r="AJ12" s="9">
        <f t="shared" si="4"/>
        <v>0.59404184920159087</v>
      </c>
      <c r="AK12" s="9">
        <f t="shared" si="5"/>
        <v>0.35288571860284562</v>
      </c>
      <c r="AL12" s="9">
        <f t="shared" si="6"/>
        <v>7.7814571628676971E-2</v>
      </c>
      <c r="AM12" s="9">
        <f t="shared" si="7"/>
        <v>6.0551075577544985E-3</v>
      </c>
      <c r="AN12" s="8" t="s">
        <v>4400</v>
      </c>
    </row>
    <row r="13" spans="8:40" ht="23">
      <c r="M13" s="9" t="s">
        <v>3471</v>
      </c>
      <c r="N13" s="8" t="s">
        <v>2017</v>
      </c>
      <c r="O13" s="8"/>
      <c r="P13" s="8"/>
      <c r="Q13" s="8"/>
      <c r="R13" s="8"/>
      <c r="S13" s="8"/>
      <c r="T13" s="8"/>
      <c r="U13" s="8"/>
      <c r="V13" s="8"/>
      <c r="W13" s="9" t="s">
        <v>3471</v>
      </c>
      <c r="X13" s="8">
        <v>24.77</v>
      </c>
      <c r="Y13" s="8">
        <v>7.49</v>
      </c>
      <c r="Z13" s="9">
        <v>10.57</v>
      </c>
      <c r="AA13" s="8">
        <v>10.1</v>
      </c>
      <c r="AB13" s="8">
        <v>8625</v>
      </c>
      <c r="AC13" s="22" t="s">
        <v>3471</v>
      </c>
      <c r="AD13" s="8" t="s">
        <v>3998</v>
      </c>
      <c r="AE13" s="8" t="s">
        <v>4287</v>
      </c>
      <c r="AF13" s="9">
        <f t="shared" si="0"/>
        <v>75.649000000000001</v>
      </c>
      <c r="AG13" s="9">
        <f t="shared" si="1"/>
        <v>110.59499999999998</v>
      </c>
      <c r="AH13" s="9">
        <f t="shared" si="2"/>
        <v>0.25646885553947335</v>
      </c>
      <c r="AI13" s="9">
        <f t="shared" si="3"/>
        <v>6.5776273861727255E-2</v>
      </c>
      <c r="AJ13" s="9">
        <f t="shared" si="4"/>
        <v>0.72509797099282236</v>
      </c>
      <c r="AK13" s="9">
        <f t="shared" si="5"/>
        <v>0.52576706753790781</v>
      </c>
      <c r="AL13" s="9">
        <f t="shared" si="6"/>
        <v>1.2705564787313279</v>
      </c>
      <c r="AM13" s="9">
        <f t="shared" si="7"/>
        <v>1.6143137656461515</v>
      </c>
      <c r="AN13" s="9" t="s">
        <v>3471</v>
      </c>
    </row>
    <row r="14" spans="8:40" ht="23">
      <c r="M14" s="8" t="s">
        <v>1069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1069</v>
      </c>
      <c r="X14" s="8">
        <v>28.06</v>
      </c>
      <c r="Y14" s="8">
        <v>3.16</v>
      </c>
      <c r="Z14" s="9">
        <v>2.17</v>
      </c>
      <c r="AA14" s="8">
        <v>9.9</v>
      </c>
      <c r="AB14" s="8">
        <v>15236</v>
      </c>
      <c r="AC14" s="21" t="s">
        <v>1069</v>
      </c>
      <c r="AD14" s="8" t="s">
        <v>3998</v>
      </c>
      <c r="AE14" s="8" t="s">
        <v>4287</v>
      </c>
      <c r="AF14" s="9">
        <f t="shared" si="0"/>
        <v>31.284000000000002</v>
      </c>
      <c r="AG14" s="9">
        <f t="shared" si="1"/>
        <v>22.605</v>
      </c>
      <c r="AH14" s="9">
        <f t="shared" si="2"/>
        <v>0.25139026434067191</v>
      </c>
      <c r="AI14" s="9">
        <f t="shared" si="3"/>
        <v>6.3197065005272904E-2</v>
      </c>
      <c r="AJ14" s="9">
        <f t="shared" si="4"/>
        <v>0.2998580936237023</v>
      </c>
      <c r="AK14" s="9">
        <f t="shared" si="5"/>
        <v>8.9914876311641023E-2</v>
      </c>
      <c r="AL14" s="9">
        <f t="shared" si="6"/>
        <v>0.25969464443891382</v>
      </c>
      <c r="AM14" s="9">
        <f t="shared" si="7"/>
        <v>6.7441308350253873E-2</v>
      </c>
      <c r="AN14" s="8" t="s">
        <v>1069</v>
      </c>
    </row>
    <row r="15" spans="8:40" ht="23">
      <c r="M15" s="9" t="s">
        <v>3332</v>
      </c>
      <c r="N15" s="8" t="s">
        <v>1964</v>
      </c>
      <c r="O15" s="8"/>
      <c r="P15" s="8" t="s">
        <v>4672</v>
      </c>
      <c r="Q15" s="8"/>
      <c r="R15" s="8"/>
      <c r="S15" s="8"/>
      <c r="T15" s="8"/>
      <c r="U15" s="8"/>
      <c r="V15" s="8"/>
      <c r="W15" s="9" t="s">
        <v>3332</v>
      </c>
      <c r="X15" s="8">
        <v>14.18</v>
      </c>
      <c r="Y15" s="8">
        <v>4.68</v>
      </c>
      <c r="Z15" s="9">
        <v>8.56</v>
      </c>
      <c r="AA15" s="8">
        <v>9.5</v>
      </c>
      <c r="AB15" s="8">
        <v>9359</v>
      </c>
      <c r="AC15" s="22" t="s">
        <v>3332</v>
      </c>
      <c r="AD15" s="8" t="s">
        <v>3998</v>
      </c>
      <c r="AE15" s="8" t="s">
        <v>4287</v>
      </c>
      <c r="AF15" s="9">
        <f t="shared" si="0"/>
        <v>44.459999999999994</v>
      </c>
      <c r="AG15" s="9">
        <f t="shared" si="1"/>
        <v>84.866666666666674</v>
      </c>
      <c r="AH15" s="9">
        <f t="shared" si="2"/>
        <v>0.24123308194306897</v>
      </c>
      <c r="AI15" s="9">
        <f t="shared" si="3"/>
        <v>5.8193399823751428E-2</v>
      </c>
      <c r="AJ15" s="9">
        <f t="shared" si="4"/>
        <v>0.4261504552649853</v>
      </c>
      <c r="AK15" s="9">
        <f t="shared" si="5"/>
        <v>0.18160421052255424</v>
      </c>
      <c r="AL15" s="9">
        <f t="shared" si="6"/>
        <v>0.97497981971757675</v>
      </c>
      <c r="AM15" s="9">
        <f t="shared" si="7"/>
        <v>0.95058564885651842</v>
      </c>
      <c r="AN15" s="9" t="s">
        <v>3332</v>
      </c>
    </row>
    <row r="16" spans="8:40" ht="23">
      <c r="M16" s="8" t="s">
        <v>4405</v>
      </c>
      <c r="N16" s="8"/>
      <c r="O16" s="8"/>
      <c r="P16" s="8" t="s">
        <v>4713</v>
      </c>
      <c r="Q16" s="8"/>
      <c r="R16" s="8"/>
      <c r="S16" s="8"/>
      <c r="T16" s="8"/>
      <c r="U16" s="8"/>
      <c r="V16" s="8"/>
      <c r="W16" s="8" t="s">
        <v>4405</v>
      </c>
      <c r="X16" s="8">
        <v>5.93</v>
      </c>
      <c r="Y16" s="8">
        <v>3.16</v>
      </c>
      <c r="Z16" s="9">
        <v>0.47</v>
      </c>
      <c r="AA16" s="8">
        <v>7.9</v>
      </c>
      <c r="AB16" s="8">
        <v>30784</v>
      </c>
      <c r="AC16" s="21" t="s">
        <v>4405</v>
      </c>
      <c r="AD16" s="8" t="s">
        <v>3998</v>
      </c>
      <c r="AE16" s="8" t="s">
        <v>4287</v>
      </c>
      <c r="AF16" s="9">
        <f t="shared" si="0"/>
        <v>24.964000000000002</v>
      </c>
      <c r="AG16" s="9">
        <f t="shared" si="1"/>
        <v>6.1883333333333335</v>
      </c>
      <c r="AH16" s="9">
        <f t="shared" si="2"/>
        <v>0.20060435235265739</v>
      </c>
      <c r="AI16" s="9">
        <f t="shared" si="3"/>
        <v>4.024210618282912E-2</v>
      </c>
      <c r="AJ16" s="9">
        <f t="shared" si="4"/>
        <v>0.23928070097244933</v>
      </c>
      <c r="AK16" s="9">
        <f t="shared" si="5"/>
        <v>5.7255253857866714E-2</v>
      </c>
      <c r="AL16" s="9">
        <f t="shared" si="6"/>
        <v>7.109387412826712E-2</v>
      </c>
      <c r="AM16" s="9">
        <f t="shared" si="7"/>
        <v>5.0543389385658893E-3</v>
      </c>
      <c r="AN16" s="8" t="s">
        <v>4405</v>
      </c>
    </row>
    <row r="17" spans="13:40" ht="23">
      <c r="M17" s="9" t="s">
        <v>3528</v>
      </c>
      <c r="N17" s="8" t="s">
        <v>2041</v>
      </c>
      <c r="O17" s="8"/>
      <c r="P17" s="8" t="s">
        <v>3705</v>
      </c>
      <c r="Q17" s="8"/>
      <c r="R17" s="8"/>
      <c r="S17" s="8"/>
      <c r="T17" s="8"/>
      <c r="U17" s="8"/>
      <c r="V17" s="8"/>
      <c r="W17" s="9" t="s">
        <v>3528</v>
      </c>
      <c r="X17" s="8">
        <v>9.5</v>
      </c>
      <c r="Y17" s="8">
        <v>4.58</v>
      </c>
      <c r="Z17" s="9">
        <v>2.0499999999999998</v>
      </c>
      <c r="AA17" s="8">
        <v>7.3</v>
      </c>
      <c r="AB17" s="8">
        <v>15714</v>
      </c>
      <c r="AC17" s="22" t="s">
        <v>3528</v>
      </c>
      <c r="AD17" s="8" t="s">
        <v>3998</v>
      </c>
      <c r="AE17" s="8" t="s">
        <v>4287</v>
      </c>
      <c r="AF17" s="9">
        <f t="shared" si="0"/>
        <v>33.433999999999997</v>
      </c>
      <c r="AG17" s="9">
        <f t="shared" si="1"/>
        <v>15.208333333333334</v>
      </c>
      <c r="AH17" s="9">
        <f t="shared" si="2"/>
        <v>0.18536857875625301</v>
      </c>
      <c r="AI17" s="9">
        <f t="shared" si="3"/>
        <v>3.4361509990113177E-2</v>
      </c>
      <c r="AJ17" s="9">
        <f t="shared" si="4"/>
        <v>0.32046590916170764</v>
      </c>
      <c r="AK17" s="9">
        <f t="shared" si="5"/>
        <v>0.10269839893483985</v>
      </c>
      <c r="AL17" s="9">
        <f t="shared" si="6"/>
        <v>0.17471898772433006</v>
      </c>
      <c r="AM17" s="9">
        <f t="shared" si="7"/>
        <v>3.0526724671414599E-2</v>
      </c>
      <c r="AN17" s="9" t="s">
        <v>3528</v>
      </c>
    </row>
    <row r="18" spans="13:40" ht="23">
      <c r="M18" s="9" t="s">
        <v>2787</v>
      </c>
      <c r="N18" s="8" t="s">
        <v>1614</v>
      </c>
      <c r="O18" s="8"/>
      <c r="P18" s="8" t="s">
        <v>3702</v>
      </c>
      <c r="Q18" s="8"/>
      <c r="R18" s="8"/>
      <c r="S18" s="8"/>
      <c r="T18" s="8"/>
      <c r="U18" s="8"/>
      <c r="V18" s="8"/>
      <c r="W18" s="9" t="s">
        <v>2787</v>
      </c>
      <c r="X18" s="8">
        <v>27.33</v>
      </c>
      <c r="Y18" s="8">
        <v>2.37</v>
      </c>
      <c r="Z18" s="9">
        <v>2.33</v>
      </c>
      <c r="AA18" s="8">
        <v>7.2</v>
      </c>
      <c r="AB18" s="8">
        <v>16112</v>
      </c>
      <c r="AC18" s="22" t="s">
        <v>2787</v>
      </c>
      <c r="AD18" s="8" t="s">
        <v>3998</v>
      </c>
      <c r="AE18" s="8" t="s">
        <v>4287</v>
      </c>
      <c r="AF18" s="9">
        <f t="shared" si="0"/>
        <v>17.064</v>
      </c>
      <c r="AG18" s="9">
        <f t="shared" si="1"/>
        <v>18.36</v>
      </c>
      <c r="AH18" s="9">
        <f t="shared" si="2"/>
        <v>0.18282928315685232</v>
      </c>
      <c r="AI18" s="9">
        <f t="shared" si="3"/>
        <v>3.3426546779648486E-2</v>
      </c>
      <c r="AJ18" s="9">
        <f t="shared" si="4"/>
        <v>0.16355896015838306</v>
      </c>
      <c r="AK18" s="9">
        <f t="shared" si="5"/>
        <v>2.6751533448091537E-2</v>
      </c>
      <c r="AL18" s="9">
        <f t="shared" si="6"/>
        <v>0.21092650616670902</v>
      </c>
      <c r="AM18" s="9">
        <f t="shared" si="7"/>
        <v>4.4489991003694739E-2</v>
      </c>
      <c r="AN18" s="9" t="s">
        <v>2787</v>
      </c>
    </row>
    <row r="19" spans="13:40" ht="23">
      <c r="M19" s="8" t="s">
        <v>2047</v>
      </c>
      <c r="N19" s="8" t="s">
        <v>2041</v>
      </c>
      <c r="O19" s="8"/>
      <c r="P19" s="8" t="s">
        <v>3691</v>
      </c>
      <c r="Q19" s="8"/>
      <c r="R19" s="8"/>
      <c r="S19" s="8"/>
      <c r="T19" s="8"/>
      <c r="U19" s="8"/>
      <c r="V19" s="8"/>
      <c r="W19" s="8" t="s">
        <v>2047</v>
      </c>
      <c r="X19" s="8">
        <v>41.04</v>
      </c>
      <c r="Y19" s="8">
        <v>3.82</v>
      </c>
      <c r="Z19" s="9">
        <v>2.2000000000000002</v>
      </c>
      <c r="AA19" s="8">
        <v>7.1</v>
      </c>
      <c r="AB19" s="8">
        <v>14941</v>
      </c>
      <c r="AC19" s="21" t="s">
        <v>2047</v>
      </c>
      <c r="AD19" s="8" t="s">
        <v>3998</v>
      </c>
      <c r="AE19" s="8" t="s">
        <v>4287</v>
      </c>
      <c r="AF19" s="9">
        <f t="shared" si="0"/>
        <v>27.121999999999996</v>
      </c>
      <c r="AG19" s="9">
        <f t="shared" si="1"/>
        <v>14.223666666666666</v>
      </c>
      <c r="AH19" s="9">
        <f t="shared" si="2"/>
        <v>0.18028998755745157</v>
      </c>
      <c r="AI19" s="9">
        <f t="shared" si="3"/>
        <v>3.2504479613466045E-2</v>
      </c>
      <c r="AJ19" s="9">
        <f t="shared" si="4"/>
        <v>0.25996519675431695</v>
      </c>
      <c r="AK19" s="9">
        <f t="shared" si="5"/>
        <v>6.758190352351072E-2</v>
      </c>
      <c r="AL19" s="9">
        <f t="shared" si="6"/>
        <v>0.16340677096295644</v>
      </c>
      <c r="AM19" s="9">
        <f t="shared" si="7"/>
        <v>2.6701772796540107E-2</v>
      </c>
      <c r="AN19" s="8" t="s">
        <v>2047</v>
      </c>
    </row>
    <row r="20" spans="13:40" ht="23">
      <c r="M20" s="9" t="s">
        <v>3135</v>
      </c>
      <c r="N20" s="8" t="s">
        <v>1862</v>
      </c>
      <c r="O20" s="8"/>
      <c r="P20" s="8"/>
      <c r="Q20" s="8"/>
      <c r="R20" s="8"/>
      <c r="S20" s="8"/>
      <c r="T20" s="8"/>
      <c r="U20" s="8"/>
      <c r="V20" s="8"/>
      <c r="W20" s="9" t="s">
        <v>3135</v>
      </c>
      <c r="X20" s="8">
        <v>95.69</v>
      </c>
      <c r="Y20" s="8">
        <v>1.04</v>
      </c>
      <c r="Z20" s="9">
        <v>7.0000000000000007E-2</v>
      </c>
      <c r="AA20" s="8">
        <v>6.5</v>
      </c>
      <c r="AB20" s="8">
        <v>30718</v>
      </c>
      <c r="AC20" s="22" t="s">
        <v>3135</v>
      </c>
      <c r="AD20" s="8" t="s">
        <v>3998</v>
      </c>
      <c r="AE20" s="8" t="s">
        <v>4287</v>
      </c>
      <c r="AF20" s="9">
        <f t="shared" si="0"/>
        <v>6.76</v>
      </c>
      <c r="AG20" s="9">
        <f t="shared" si="1"/>
        <v>0.7583333333333333</v>
      </c>
      <c r="AH20" s="9">
        <f t="shared" si="2"/>
        <v>0.16505421396104722</v>
      </c>
      <c r="AI20" s="9">
        <f t="shared" si="3"/>
        <v>2.7242893546299156E-2</v>
      </c>
      <c r="AJ20" s="9">
        <f t="shared" si="4"/>
        <v>6.4794806063681987E-2</v>
      </c>
      <c r="AK20" s="9">
        <f t="shared" si="5"/>
        <v>4.1983668928301599E-3</v>
      </c>
      <c r="AL20" s="9">
        <f t="shared" si="6"/>
        <v>8.7120152783090599E-3</v>
      </c>
      <c r="AM20" s="9">
        <f t="shared" si="7"/>
        <v>7.589921020949048E-5</v>
      </c>
      <c r="AN20" s="9" t="s">
        <v>3135</v>
      </c>
    </row>
    <row r="21" spans="13:40" ht="23">
      <c r="M21" s="9" t="s">
        <v>3455</v>
      </c>
      <c r="N21" s="8" t="s">
        <v>2003</v>
      </c>
      <c r="O21" s="8"/>
      <c r="P21" s="8" t="s">
        <v>3691</v>
      </c>
      <c r="Q21" s="8"/>
      <c r="R21" s="8"/>
      <c r="S21" s="8"/>
      <c r="T21" s="8"/>
      <c r="U21" s="8"/>
      <c r="V21" s="8"/>
      <c r="W21" s="9" t="s">
        <v>3455</v>
      </c>
      <c r="X21" s="8">
        <v>60.99</v>
      </c>
      <c r="Y21" s="8">
        <v>1.61</v>
      </c>
      <c r="Z21" s="9">
        <v>1.48</v>
      </c>
      <c r="AA21" s="8">
        <v>5.0999999999999996</v>
      </c>
      <c r="AB21" s="8">
        <v>26061</v>
      </c>
      <c r="AC21" s="22" t="s">
        <v>3455</v>
      </c>
      <c r="AD21" s="8" t="s">
        <v>3998</v>
      </c>
      <c r="AE21" s="8" t="s">
        <v>4287</v>
      </c>
      <c r="AF21" s="9">
        <f t="shared" si="0"/>
        <v>8.2110000000000003</v>
      </c>
      <c r="AG21" s="9">
        <f t="shared" si="1"/>
        <v>9.18</v>
      </c>
      <c r="AH21" s="9">
        <f t="shared" si="2"/>
        <v>0.12950407556943702</v>
      </c>
      <c r="AI21" s="9">
        <f t="shared" si="3"/>
        <v>1.6771305589094454E-2</v>
      </c>
      <c r="AJ21" s="9">
        <f t="shared" si="4"/>
        <v>7.8702685294214911E-2</v>
      </c>
      <c r="AK21" s="9">
        <f t="shared" si="5"/>
        <v>6.1941126725202321E-3</v>
      </c>
      <c r="AL21" s="9">
        <f t="shared" si="6"/>
        <v>0.10546325308335451</v>
      </c>
      <c r="AM21" s="9">
        <f t="shared" si="7"/>
        <v>1.1122497750923685E-2</v>
      </c>
      <c r="AN21" s="9" t="s">
        <v>3455</v>
      </c>
    </row>
    <row r="22" spans="13:40" ht="23">
      <c r="M22" s="8" t="s">
        <v>4402</v>
      </c>
      <c r="N22" s="8"/>
      <c r="O22" s="8"/>
      <c r="P22" s="8" t="s">
        <v>4715</v>
      </c>
      <c r="Q22" s="8"/>
      <c r="R22" s="8"/>
      <c r="S22" s="8"/>
      <c r="T22" s="8"/>
      <c r="U22" s="8"/>
      <c r="V22" s="8"/>
      <c r="W22" s="8" t="s">
        <v>4402</v>
      </c>
      <c r="X22" s="8">
        <v>19.14</v>
      </c>
      <c r="Y22" s="8">
        <v>2.79</v>
      </c>
      <c r="Z22" s="9">
        <v>3.17</v>
      </c>
      <c r="AA22" s="8">
        <v>2.9</v>
      </c>
      <c r="AB22" s="8">
        <v>31258</v>
      </c>
      <c r="AC22" s="21" t="s">
        <v>4402</v>
      </c>
      <c r="AD22" s="8" t="s">
        <v>3998</v>
      </c>
      <c r="AE22" s="8" t="s">
        <v>4287</v>
      </c>
      <c r="AF22" s="9">
        <f t="shared" si="0"/>
        <v>8.0909999999999993</v>
      </c>
      <c r="AG22" s="9">
        <f t="shared" si="1"/>
        <v>9.5216666666666665</v>
      </c>
      <c r="AH22" s="9">
        <f t="shared" si="2"/>
        <v>7.363957238262106E-2</v>
      </c>
      <c r="AI22" s="9">
        <f t="shared" si="3"/>
        <v>5.4227866206952866E-3</v>
      </c>
      <c r="AJ22" s="9">
        <f t="shared" si="4"/>
        <v>7.7552481636279716E-2</v>
      </c>
      <c r="AK22" s="9">
        <f t="shared" si="5"/>
        <v>6.0143874079455024E-3</v>
      </c>
      <c r="AL22" s="9">
        <f t="shared" si="6"/>
        <v>0.10938844678017508</v>
      </c>
      <c r="AM22" s="9">
        <f t="shared" si="7"/>
        <v>1.1965832288979196E-2</v>
      </c>
      <c r="AN22" s="8" t="s">
        <v>4402</v>
      </c>
    </row>
    <row r="23" spans="13:40" ht="23">
      <c r="M23" s="8" t="s">
        <v>2046</v>
      </c>
      <c r="N23" s="8" t="s">
        <v>2041</v>
      </c>
      <c r="O23" s="8"/>
      <c r="P23" s="8" t="s">
        <v>3691</v>
      </c>
      <c r="Q23" s="8"/>
      <c r="R23" s="8"/>
      <c r="S23" s="8"/>
      <c r="T23" s="8"/>
      <c r="U23" s="8"/>
      <c r="V23" s="8"/>
      <c r="W23" s="8" t="s">
        <v>2046</v>
      </c>
      <c r="X23" s="8">
        <v>40.89</v>
      </c>
      <c r="Y23" s="8">
        <v>2.64</v>
      </c>
      <c r="Z23" s="9">
        <v>1.1399999999999999</v>
      </c>
      <c r="AA23" s="8">
        <v>2.6</v>
      </c>
      <c r="AB23" s="8">
        <v>33854</v>
      </c>
      <c r="AC23" s="21" t="s">
        <v>2046</v>
      </c>
      <c r="AD23" s="8" t="s">
        <v>3998</v>
      </c>
      <c r="AE23" s="8" t="s">
        <v>4287</v>
      </c>
      <c r="AF23" s="9">
        <f t="shared" si="0"/>
        <v>6.8640000000000008</v>
      </c>
      <c r="AG23" s="9">
        <f t="shared" si="1"/>
        <v>3.206666666666667</v>
      </c>
      <c r="AH23" s="9">
        <f t="shared" si="2"/>
        <v>6.6021685584418885E-2</v>
      </c>
      <c r="AI23" s="9">
        <f t="shared" si="3"/>
        <v>4.3588629674078646E-3</v>
      </c>
      <c r="AJ23" s="9">
        <f t="shared" si="4"/>
        <v>6.5791649233892482E-2</v>
      </c>
      <c r="AK23" s="9">
        <f t="shared" si="5"/>
        <v>4.328541108915545E-3</v>
      </c>
      <c r="AL23" s="9">
        <f t="shared" si="6"/>
        <v>3.6839378891135463E-2</v>
      </c>
      <c r="AM23" s="9">
        <f t="shared" si="7"/>
        <v>1.3571398370846371E-3</v>
      </c>
      <c r="AN23" s="8" t="s">
        <v>2046</v>
      </c>
    </row>
    <row r="24" spans="13:40" ht="23">
      <c r="M24" s="9" t="s">
        <v>2984</v>
      </c>
      <c r="N24" s="8" t="s">
        <v>1717</v>
      </c>
      <c r="O24" s="8"/>
      <c r="P24" s="8" t="s">
        <v>3691</v>
      </c>
      <c r="Q24" s="8"/>
      <c r="R24" s="8"/>
      <c r="S24" s="8"/>
      <c r="T24" s="8"/>
      <c r="U24" s="8"/>
      <c r="V24" s="8"/>
      <c r="W24" s="9" t="s">
        <v>2984</v>
      </c>
      <c r="X24" s="8">
        <v>43.11</v>
      </c>
      <c r="Y24" s="8">
        <v>5.17</v>
      </c>
      <c r="Z24" s="9">
        <v>8.34</v>
      </c>
      <c r="AA24" s="8">
        <v>2.5</v>
      </c>
      <c r="AB24" s="8">
        <v>38707</v>
      </c>
      <c r="AC24" s="22" t="s">
        <v>2984</v>
      </c>
      <c r="AD24" s="8" t="s">
        <v>3998</v>
      </c>
      <c r="AE24" s="8" t="s">
        <v>4287</v>
      </c>
      <c r="AF24" s="9">
        <f t="shared" si="0"/>
        <v>12.925000000000001</v>
      </c>
      <c r="AG24" s="9">
        <f t="shared" si="1"/>
        <v>21.416666666666664</v>
      </c>
      <c r="AH24" s="9">
        <f t="shared" si="2"/>
        <v>6.3482389985018151E-2</v>
      </c>
      <c r="AI24" s="9">
        <f t="shared" si="3"/>
        <v>4.0300138382099327E-3</v>
      </c>
      <c r="AJ24" s="9">
        <f t="shared" si="4"/>
        <v>0.12388651899010203</v>
      </c>
      <c r="AK24" s="9">
        <f t="shared" si="5"/>
        <v>1.5347869587484912E-2</v>
      </c>
      <c r="AL24" s="9">
        <f t="shared" si="6"/>
        <v>0.24604262928850859</v>
      </c>
      <c r="AM24" s="9">
        <f t="shared" si="7"/>
        <v>6.0536975427202468E-2</v>
      </c>
      <c r="AN24" s="9" t="s">
        <v>2984</v>
      </c>
    </row>
    <row r="25" spans="13:40" ht="23">
      <c r="M25" s="8" t="s">
        <v>1940</v>
      </c>
      <c r="N25" s="8" t="s">
        <v>1939</v>
      </c>
      <c r="O25" s="8"/>
      <c r="P25" s="8" t="s">
        <v>4200</v>
      </c>
      <c r="Q25" s="8"/>
      <c r="R25" s="8"/>
      <c r="S25" s="8"/>
      <c r="T25" s="8"/>
      <c r="U25" s="8"/>
      <c r="V25" s="8"/>
      <c r="W25" s="8" t="s">
        <v>1940</v>
      </c>
      <c r="X25" s="8">
        <v>49.66</v>
      </c>
      <c r="Y25" s="8">
        <v>2.23</v>
      </c>
      <c r="Z25" s="9">
        <v>2.34</v>
      </c>
      <c r="AA25" s="8">
        <v>2.1</v>
      </c>
      <c r="AB25" s="8">
        <v>41640</v>
      </c>
      <c r="AC25" s="21" t="s">
        <v>1940</v>
      </c>
      <c r="AD25" s="8" t="s">
        <v>3998</v>
      </c>
      <c r="AE25" s="8" t="s">
        <v>4287</v>
      </c>
      <c r="AF25" s="9">
        <f t="shared" si="0"/>
        <v>4.6829999999999998</v>
      </c>
      <c r="AG25" s="9">
        <f t="shared" si="1"/>
        <v>5.39</v>
      </c>
      <c r="AH25" s="9">
        <f t="shared" si="2"/>
        <v>5.3325207587415255E-2</v>
      </c>
      <c r="AI25" s="9">
        <f t="shared" si="3"/>
        <v>2.8435777642409296E-3</v>
      </c>
      <c r="AJ25" s="9">
        <f t="shared" si="4"/>
        <v>4.4886697750920523E-2</v>
      </c>
      <c r="AK25" s="9">
        <f t="shared" si="5"/>
        <v>2.0148156349824938E-3</v>
      </c>
      <c r="AL25" s="9">
        <f t="shared" si="6"/>
        <v>6.1922323978135158E-2</v>
      </c>
      <c r="AM25" s="9">
        <f t="shared" si="7"/>
        <v>3.8343742068531325E-3</v>
      </c>
      <c r="AN25" s="8" t="s">
        <v>1940</v>
      </c>
    </row>
    <row r="26" spans="13:40" ht="23">
      <c r="M26" s="9" t="s">
        <v>3151</v>
      </c>
      <c r="N26" s="8" t="s">
        <v>1869</v>
      </c>
      <c r="O26" s="8"/>
      <c r="P26" s="8" t="s">
        <v>3691</v>
      </c>
      <c r="Q26" s="8"/>
      <c r="R26" s="8"/>
      <c r="S26" s="8"/>
      <c r="T26" s="8"/>
      <c r="U26" s="8"/>
      <c r="V26" s="8"/>
      <c r="W26" s="9" t="s">
        <v>3151</v>
      </c>
      <c r="X26" s="8">
        <v>18.54</v>
      </c>
      <c r="Y26" s="8">
        <v>3.47</v>
      </c>
      <c r="Z26" s="9">
        <v>4.4800000000000004</v>
      </c>
      <c r="AA26" s="8">
        <v>1.9</v>
      </c>
      <c r="AB26" s="8">
        <v>42078</v>
      </c>
      <c r="AC26" s="22" t="s">
        <v>3151</v>
      </c>
      <c r="AD26" s="8" t="s">
        <v>3998</v>
      </c>
      <c r="AE26" s="8" t="s">
        <v>4287</v>
      </c>
      <c r="AF26" s="9">
        <f t="shared" si="0"/>
        <v>6.593</v>
      </c>
      <c r="AG26" s="9">
        <f t="shared" si="1"/>
        <v>9.1199999999999992</v>
      </c>
      <c r="AH26" s="9">
        <f t="shared" si="2"/>
        <v>4.82466163886138E-2</v>
      </c>
      <c r="AI26" s="9">
        <f t="shared" si="3"/>
        <v>2.3277359929500577E-3</v>
      </c>
      <c r="AJ26" s="9">
        <f t="shared" si="4"/>
        <v>6.3194105973055525E-2</v>
      </c>
      <c r="AK26" s="9">
        <f t="shared" si="5"/>
        <v>3.9934950297337724E-3</v>
      </c>
      <c r="AL26" s="9">
        <f t="shared" si="6"/>
        <v>0.10477395077562017</v>
      </c>
      <c r="AM26" s="9">
        <f t="shared" si="7"/>
        <v>1.0977580761132078E-2</v>
      </c>
      <c r="AN26" s="9" t="s">
        <v>3151</v>
      </c>
    </row>
    <row r="27" spans="13:40" ht="23">
      <c r="M27" s="9" t="s">
        <v>4716</v>
      </c>
      <c r="N27" s="8" t="s">
        <v>1717</v>
      </c>
      <c r="O27" s="8"/>
      <c r="P27" s="8"/>
      <c r="Q27" s="8"/>
      <c r="R27" s="8"/>
      <c r="S27" s="8"/>
      <c r="T27" s="8"/>
      <c r="U27" s="8"/>
      <c r="V27" s="8"/>
      <c r="W27" s="9" t="s">
        <v>4716</v>
      </c>
      <c r="X27" s="8">
        <v>17.510000000000002</v>
      </c>
      <c r="Y27" s="8">
        <v>6.3</v>
      </c>
      <c r="Z27" s="9">
        <v>4.01</v>
      </c>
      <c r="AA27" s="8">
        <v>1.8</v>
      </c>
      <c r="AB27" s="8">
        <v>31887</v>
      </c>
      <c r="AC27" s="22" t="s">
        <v>4716</v>
      </c>
      <c r="AD27" s="8" t="s">
        <v>3998</v>
      </c>
      <c r="AE27" s="8" t="s">
        <v>4287</v>
      </c>
      <c r="AF27" s="9">
        <f t="shared" si="0"/>
        <v>11.34</v>
      </c>
      <c r="AG27" s="9">
        <f t="shared" si="1"/>
        <v>7.23</v>
      </c>
      <c r="AH27" s="9">
        <f t="shared" si="2"/>
        <v>4.570732078921308E-2</v>
      </c>
      <c r="AI27" s="9">
        <f t="shared" si="3"/>
        <v>2.0891591737280304E-3</v>
      </c>
      <c r="AJ27" s="9">
        <f t="shared" si="4"/>
        <v>0.1086942456748748</v>
      </c>
      <c r="AK27" s="9">
        <f t="shared" si="5"/>
        <v>1.1814439042830039E-2</v>
      </c>
      <c r="AL27" s="9">
        <f t="shared" si="6"/>
        <v>8.3060928081988367E-2</v>
      </c>
      <c r="AM27" s="9">
        <f t="shared" si="7"/>
        <v>6.8991177738412434E-3</v>
      </c>
      <c r="AN27" s="9" t="s">
        <v>4716</v>
      </c>
    </row>
    <row r="28" spans="13:40" ht="23">
      <c r="M28" s="9" t="s">
        <v>3564</v>
      </c>
      <c r="N28" s="8" t="s">
        <v>2066</v>
      </c>
      <c r="O28" s="8"/>
      <c r="P28" s="8" t="s">
        <v>3691</v>
      </c>
      <c r="Q28" s="8"/>
      <c r="R28" s="8"/>
      <c r="S28" s="8"/>
      <c r="T28" s="8"/>
      <c r="U28" s="8"/>
      <c r="V28" s="8"/>
      <c r="W28" s="9" t="s">
        <v>3564</v>
      </c>
      <c r="X28" s="8">
        <v>5.44</v>
      </c>
      <c r="Y28" s="8">
        <v>4.91</v>
      </c>
      <c r="Z28" s="9">
        <v>2.2599999999999998</v>
      </c>
      <c r="AA28" s="8">
        <v>1.7</v>
      </c>
      <c r="AB28" s="8">
        <v>54563</v>
      </c>
      <c r="AC28" s="22" t="s">
        <v>3564</v>
      </c>
      <c r="AD28" s="8" t="s">
        <v>3998</v>
      </c>
      <c r="AE28" s="8" t="s">
        <v>4287</v>
      </c>
      <c r="AF28" s="9">
        <f t="shared" si="0"/>
        <v>8.3469999999999995</v>
      </c>
      <c r="AG28" s="9">
        <f t="shared" si="1"/>
        <v>4.1366666666666667</v>
      </c>
      <c r="AH28" s="9">
        <f t="shared" si="2"/>
        <v>4.3168025189812345E-2</v>
      </c>
      <c r="AI28" s="9">
        <f t="shared" si="3"/>
        <v>1.8634783987882732E-3</v>
      </c>
      <c r="AJ28" s="9">
        <f t="shared" si="4"/>
        <v>8.0006249439874777E-2</v>
      </c>
      <c r="AK28" s="9">
        <f t="shared" si="5"/>
        <v>6.4009999494354626E-3</v>
      </c>
      <c r="AL28" s="9">
        <f t="shared" si="6"/>
        <v>4.7523564661017773E-2</v>
      </c>
      <c r="AM28" s="9">
        <f t="shared" si="7"/>
        <v>2.2584891980899375E-3</v>
      </c>
      <c r="AN28" s="9" t="s">
        <v>3564</v>
      </c>
    </row>
    <row r="29" spans="13:40" ht="23">
      <c r="M29" s="8" t="s">
        <v>1765</v>
      </c>
      <c r="N29" s="8" t="s">
        <v>1717</v>
      </c>
      <c r="O29" s="8"/>
      <c r="P29" s="8" t="s">
        <v>3691</v>
      </c>
      <c r="Q29" s="8"/>
      <c r="R29" s="8"/>
      <c r="S29" s="8"/>
      <c r="T29" s="8"/>
      <c r="U29" s="8"/>
      <c r="V29" s="8"/>
      <c r="W29" s="8" t="s">
        <v>1765</v>
      </c>
      <c r="X29" s="8">
        <v>6.9</v>
      </c>
      <c r="Y29" s="8">
        <v>6.03</v>
      </c>
      <c r="Z29" s="9">
        <v>1.39</v>
      </c>
      <c r="AA29" s="8">
        <v>1.3</v>
      </c>
      <c r="AB29" s="8">
        <v>46089</v>
      </c>
      <c r="AC29" s="21" t="s">
        <v>1765</v>
      </c>
      <c r="AD29" s="8" t="s">
        <v>3998</v>
      </c>
      <c r="AE29" s="8" t="s">
        <v>4287</v>
      </c>
      <c r="AF29" s="9">
        <f t="shared" si="0"/>
        <v>7.8390000000000004</v>
      </c>
      <c r="AG29" s="9">
        <f t="shared" si="1"/>
        <v>2.145</v>
      </c>
      <c r="AH29" s="9">
        <f t="shared" si="2"/>
        <v>3.3010842792209442E-2</v>
      </c>
      <c r="AI29" s="9">
        <f t="shared" si="3"/>
        <v>1.0897157418519661E-3</v>
      </c>
      <c r="AJ29" s="9">
        <f t="shared" si="4"/>
        <v>7.5137053954615854E-2</v>
      </c>
      <c r="AK29" s="9">
        <f t="shared" si="5"/>
        <v>5.6455768769788544E-3</v>
      </c>
      <c r="AL29" s="9">
        <f t="shared" si="6"/>
        <v>2.4642557501502772E-2</v>
      </c>
      <c r="AM29" s="9">
        <f t="shared" si="7"/>
        <v>6.072556402148706E-4</v>
      </c>
      <c r="AN29" s="8" t="s">
        <v>1765</v>
      </c>
    </row>
    <row r="30" spans="13:40" ht="23">
      <c r="M30" s="9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9"/>
      <c r="AA30" s="8">
        <f>SUBTOTAL(109,Table136323436373839404142[ترافیک کل])</f>
        <v>3938.1</v>
      </c>
      <c r="AB30" s="8"/>
      <c r="AC30" s="21"/>
      <c r="AD30" s="8"/>
      <c r="AE30" s="8"/>
      <c r="AF30" s="9">
        <f>SUBTOTAL(109,Table136323436373839404142[[مجموع صفحات  مشاهده شده   ]])</f>
        <v>10432.934999999999</v>
      </c>
      <c r="AG30" s="9">
        <f>SUBTOTAL(109,Table136323436373839404142[[مجموع زمان حضور در سایت ]])</f>
        <v>8704.4536666666681</v>
      </c>
      <c r="AH30" s="9">
        <f>SUBTOTAL(109,Table136323436373839404142[سهم سایت از کل ترافیک طبقه بندی])</f>
        <v>99.999999999999986</v>
      </c>
      <c r="AI30" s="9">
        <f>SUBTOTAL(109,Table136323436373839404142[شاخص هرفیندال هیرشمن (ترافیک)])</f>
        <v>1611.3878727950516</v>
      </c>
      <c r="AJ30" s="9">
        <f>SUBTOTAL(109,Table136323436373839404142[سهم سایت از کل صفحات مشاهده شده در طبقه بندی])</f>
        <v>99.999999999999972</v>
      </c>
      <c r="AK30" s="9">
        <f>SUBTOTAL(109,Table136323436373839404142[شاخص هرفیندال -هیرشمن (صفحات مشاهده شده )])</f>
        <v>2091.7435573735806</v>
      </c>
      <c r="AL30" s="9">
        <f>SUBTOTAL(109,Table136323436373839404142[سهم سایت از کل زمان حضور در طبقه بندی])</f>
        <v>99.999999999999972</v>
      </c>
      <c r="AM30" s="9">
        <f>SUBTOTAL(109,Table136323436373839404142[شاخص هرفیندال هیرشمن (زمان حضور)])</f>
        <v>3440.2310749235157</v>
      </c>
      <c r="AN30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{BDB19371-9AFB-4359-84A4-FAE5EC8BD9B8}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{E6EB8587-6C56-46FB-B921-BC7708B72992}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{F460251E-94AA-46C0-8E80-E38F36732CC6}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{A7A7FB54-F626-468E-99BC-5FA25F85C9D3}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{B40074F0-31EE-481A-9132-20F4A5744256}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{05ED1784-A80F-485D-AEB4-1F79896DF307}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B19371-9AFB-4359-84A4-FAE5EC8BD9B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6EB8587-6C56-46FB-B921-BC7708B729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460251E-94AA-46C0-8E80-E38F36732CC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7A7FB54-F626-468E-99BC-5FA25F85C9D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40074F0-31EE-481A-9132-20F4A57442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05ED1784-A80F-485D-AEB4-1F79896DF30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55"/>
  <sheetViews>
    <sheetView showGridLines="0" rightToLeft="1" topLeftCell="Z1" zoomScale="70" zoomScaleNormal="70" workbookViewId="0">
      <selection activeCell="AB2" sqref="AB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83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3378</v>
      </c>
      <c r="N2" s="8" t="s">
        <v>1964</v>
      </c>
      <c r="O2" s="8"/>
      <c r="P2" s="8"/>
      <c r="Q2" s="8"/>
      <c r="R2" s="8"/>
      <c r="S2" s="8"/>
      <c r="T2" s="8"/>
      <c r="U2" s="8"/>
      <c r="V2" s="8"/>
      <c r="W2" s="9" t="s">
        <v>3378</v>
      </c>
      <c r="X2" s="8">
        <v>38.51</v>
      </c>
      <c r="Y2" s="8">
        <v>2.1</v>
      </c>
      <c r="Z2" s="9">
        <v>0.51</v>
      </c>
      <c r="AA2" s="8">
        <v>341.8</v>
      </c>
      <c r="AB2" s="8">
        <v>2258</v>
      </c>
      <c r="AC2" s="22" t="s">
        <v>3378</v>
      </c>
      <c r="AD2" s="8" t="s">
        <v>4464</v>
      </c>
      <c r="AE2" s="8" t="s">
        <v>4287</v>
      </c>
      <c r="AF2" s="9">
        <f t="shared" ref="AF2:AF33" si="0">(AA2*Y2)</f>
        <v>717.78000000000009</v>
      </c>
      <c r="AG2" s="9">
        <f t="shared" ref="AG2:AG33" si="1">((((RIGHT(Z2,2))/60)+(LEFT(Z2,2)))*AA2)</f>
        <v>290.53000000000003</v>
      </c>
      <c r="AH2" s="9">
        <f t="shared" ref="AH2:AH33" si="2">(AA2/$AA$55)*100</f>
        <v>13.783925474855829</v>
      </c>
      <c r="AI2" s="9">
        <f t="shared" ref="AI2:AI33" si="3">(AH2*AH2)</f>
        <v>189.9966014963795</v>
      </c>
      <c r="AJ2" s="9">
        <f t="shared" ref="AJ2:AJ33" si="4">(AF2/$AF$55)*100</f>
        <v>13.407637149118457</v>
      </c>
      <c r="AK2" s="9">
        <f t="shared" ref="AK2:AK33" si="5">(AJ2*AJ2)</f>
        <v>179.76473392242133</v>
      </c>
      <c r="AL2" s="9">
        <f t="shared" ref="AL2:AL33" si="6">(AG2/$AG$55)*100</f>
        <v>8.364157484996813</v>
      </c>
      <c r="AM2" s="9">
        <f t="shared" ref="AM2:AM33" si="7">(AL2*AL2)</f>
        <v>69.959130433828207</v>
      </c>
      <c r="AN2" s="9" t="s">
        <v>3378</v>
      </c>
    </row>
    <row r="3" spans="8:40" ht="23">
      <c r="M3" s="9" t="s">
        <v>3224</v>
      </c>
      <c r="N3" s="8" t="s">
        <v>1902</v>
      </c>
      <c r="O3" s="8"/>
      <c r="P3" s="8" t="s">
        <v>3691</v>
      </c>
      <c r="Q3" s="8"/>
      <c r="R3" s="8"/>
      <c r="S3" s="8"/>
      <c r="T3" s="8"/>
      <c r="U3" s="8"/>
      <c r="V3" s="8"/>
      <c r="W3" s="9" t="s">
        <v>3224</v>
      </c>
      <c r="X3" s="8">
        <v>31.14</v>
      </c>
      <c r="Y3" s="8">
        <v>2.1800000000000002</v>
      </c>
      <c r="Z3" s="9">
        <v>1.54</v>
      </c>
      <c r="AA3" s="8">
        <v>298</v>
      </c>
      <c r="AB3" s="8">
        <v>15522</v>
      </c>
      <c r="AC3" s="22" t="s">
        <v>3224</v>
      </c>
      <c r="AD3" s="8" t="s">
        <v>4080</v>
      </c>
      <c r="AE3" s="8" t="s">
        <v>4287</v>
      </c>
      <c r="AF3" s="9">
        <f t="shared" si="0"/>
        <v>649.6400000000001</v>
      </c>
      <c r="AG3" s="9">
        <f t="shared" si="1"/>
        <v>566.19999999999993</v>
      </c>
      <c r="AH3" s="9">
        <f t="shared" si="2"/>
        <v>12.017582772109527</v>
      </c>
      <c r="AI3" s="9">
        <f t="shared" si="3"/>
        <v>144.42229568450372</v>
      </c>
      <c r="AJ3" s="9">
        <f t="shared" si="4"/>
        <v>12.134828774211199</v>
      </c>
      <c r="AK3" s="9">
        <f t="shared" si="5"/>
        <v>147.25406937942407</v>
      </c>
      <c r="AL3" s="9">
        <f t="shared" si="6"/>
        <v>16.300505861718907</v>
      </c>
      <c r="AM3" s="9">
        <f t="shared" si="7"/>
        <v>265.70649134793246</v>
      </c>
      <c r="AN3" s="9" t="s">
        <v>3224</v>
      </c>
    </row>
    <row r="4" spans="8:40" ht="23">
      <c r="M4" s="9" t="s">
        <v>3175</v>
      </c>
      <c r="N4" s="8" t="s">
        <v>1869</v>
      </c>
      <c r="O4" s="8"/>
      <c r="P4" s="8" t="s">
        <v>3691</v>
      </c>
      <c r="Q4" s="8"/>
      <c r="R4" s="8"/>
      <c r="S4" s="8"/>
      <c r="T4" s="8"/>
      <c r="U4" s="8"/>
      <c r="V4" s="8"/>
      <c r="W4" s="9" t="s">
        <v>3175</v>
      </c>
      <c r="X4" s="8">
        <v>38.840000000000003</v>
      </c>
      <c r="Y4" s="8">
        <v>2.21</v>
      </c>
      <c r="Z4" s="9">
        <v>0.34</v>
      </c>
      <c r="AA4" s="8">
        <v>244.7</v>
      </c>
      <c r="AB4" s="8">
        <v>15823</v>
      </c>
      <c r="AC4" s="22" t="s">
        <v>3175</v>
      </c>
      <c r="AD4" s="8" t="s">
        <v>4080</v>
      </c>
      <c r="AE4" s="8" t="s">
        <v>4287</v>
      </c>
      <c r="AF4" s="9">
        <f t="shared" si="0"/>
        <v>540.78699999999992</v>
      </c>
      <c r="AG4" s="9">
        <f t="shared" si="1"/>
        <v>138.66333333333333</v>
      </c>
      <c r="AH4" s="9">
        <f t="shared" si="2"/>
        <v>9.8681292091785284</v>
      </c>
      <c r="AI4" s="9">
        <f t="shared" si="3"/>
        <v>97.379974089042449</v>
      </c>
      <c r="AJ4" s="9">
        <f t="shared" si="4"/>
        <v>10.101529536850178</v>
      </c>
      <c r="AK4" s="9">
        <f t="shared" si="5"/>
        <v>102.04089898385656</v>
      </c>
      <c r="AL4" s="9">
        <f t="shared" si="6"/>
        <v>3.9920213313413688</v>
      </c>
      <c r="AM4" s="9">
        <f t="shared" si="7"/>
        <v>15.936234309884515</v>
      </c>
      <c r="AN4" s="9" t="s">
        <v>3175</v>
      </c>
    </row>
    <row r="5" spans="8:40" ht="23">
      <c r="M5" s="8" t="s">
        <v>27</v>
      </c>
      <c r="N5" s="8" t="s">
        <v>24</v>
      </c>
      <c r="O5" s="8"/>
      <c r="P5" s="8" t="s">
        <v>3693</v>
      </c>
      <c r="Q5" s="8"/>
      <c r="R5" s="8"/>
      <c r="S5" s="8"/>
      <c r="T5" s="8"/>
      <c r="U5" s="8"/>
      <c r="V5" s="8"/>
      <c r="W5" s="8" t="s">
        <v>27</v>
      </c>
      <c r="X5" s="8">
        <v>13.85</v>
      </c>
      <c r="Y5" s="8">
        <v>2</v>
      </c>
      <c r="Z5" s="9">
        <v>1.38</v>
      </c>
      <c r="AA5" s="8">
        <v>177.1</v>
      </c>
      <c r="AB5" s="8">
        <v>5667</v>
      </c>
      <c r="AC5" s="21" t="s">
        <v>27</v>
      </c>
      <c r="AD5" s="8" t="s">
        <v>4080</v>
      </c>
      <c r="AE5" s="8" t="s">
        <v>4287</v>
      </c>
      <c r="AF5" s="9">
        <f t="shared" si="0"/>
        <v>354.2</v>
      </c>
      <c r="AG5" s="9">
        <f t="shared" si="1"/>
        <v>289.26333333333332</v>
      </c>
      <c r="AH5" s="9">
        <f t="shared" si="2"/>
        <v>7.1419929830221385</v>
      </c>
      <c r="AI5" s="9">
        <f t="shared" si="3"/>
        <v>51.008063769537465</v>
      </c>
      <c r="AJ5" s="9">
        <f t="shared" si="4"/>
        <v>6.6162125974779968</v>
      </c>
      <c r="AK5" s="9">
        <f t="shared" si="5"/>
        <v>43.774269135026543</v>
      </c>
      <c r="AL5" s="9">
        <f t="shared" si="6"/>
        <v>8.3276910289303263</v>
      </c>
      <c r="AM5" s="9">
        <f t="shared" si="7"/>
        <v>69.350437873326641</v>
      </c>
      <c r="AN5" s="8" t="s">
        <v>27</v>
      </c>
    </row>
    <row r="6" spans="8:40" ht="23">
      <c r="M6" s="8" t="s">
        <v>783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783</v>
      </c>
      <c r="X6" s="8">
        <v>32.590000000000003</v>
      </c>
      <c r="Y6" s="8">
        <v>1.18</v>
      </c>
      <c r="Z6" s="9">
        <v>0.18</v>
      </c>
      <c r="AA6" s="8">
        <v>149.19999999999999</v>
      </c>
      <c r="AB6" s="8">
        <v>8971</v>
      </c>
      <c r="AC6" s="21" t="s">
        <v>783</v>
      </c>
      <c r="AD6" s="8" t="s">
        <v>4080</v>
      </c>
      <c r="AE6" s="8" t="s">
        <v>4287</v>
      </c>
      <c r="AF6" s="9">
        <f t="shared" si="0"/>
        <v>176.05599999999998</v>
      </c>
      <c r="AG6" s="9">
        <f t="shared" si="1"/>
        <v>44.76</v>
      </c>
      <c r="AH6" s="9">
        <f t="shared" si="2"/>
        <v>6.0168568778481255</v>
      </c>
      <c r="AI6" s="9">
        <f t="shared" si="3"/>
        <v>36.202566688508291</v>
      </c>
      <c r="AJ6" s="9">
        <f t="shared" si="4"/>
        <v>3.2886050961648392</v>
      </c>
      <c r="AK6" s="9">
        <f t="shared" si="5"/>
        <v>10.814923478521351</v>
      </c>
      <c r="AL6" s="9">
        <f t="shared" si="6"/>
        <v>1.2886094001599053</v>
      </c>
      <c r="AM6" s="9">
        <f t="shared" si="7"/>
        <v>1.6605141861804711</v>
      </c>
      <c r="AN6" s="8" t="s">
        <v>783</v>
      </c>
    </row>
    <row r="7" spans="8:40" ht="23">
      <c r="M7" s="9" t="s">
        <v>4692</v>
      </c>
      <c r="N7" s="8" t="s">
        <v>1902</v>
      </c>
      <c r="O7" s="8"/>
      <c r="P7" s="8"/>
      <c r="Q7" s="8"/>
      <c r="R7" s="8"/>
      <c r="S7" s="8"/>
      <c r="T7" s="8"/>
      <c r="U7" s="8"/>
      <c r="V7" s="8"/>
      <c r="W7" s="9" t="s">
        <v>4692</v>
      </c>
      <c r="X7" s="8">
        <v>29.31</v>
      </c>
      <c r="Y7" s="8">
        <v>1.0900000000000001</v>
      </c>
      <c r="Z7" s="9">
        <v>0.06</v>
      </c>
      <c r="AA7" s="8">
        <v>131</v>
      </c>
      <c r="AB7" s="8">
        <v>11333</v>
      </c>
      <c r="AC7" s="22" t="s">
        <v>4692</v>
      </c>
      <c r="AD7" s="8" t="s">
        <v>4464</v>
      </c>
      <c r="AE7" s="8" t="s">
        <v>4287</v>
      </c>
      <c r="AF7" s="9">
        <f t="shared" si="0"/>
        <v>142.79000000000002</v>
      </c>
      <c r="AG7" s="9">
        <f t="shared" si="1"/>
        <v>13.100000000000001</v>
      </c>
      <c r="AH7" s="9">
        <f t="shared" si="2"/>
        <v>5.282897124652175</v>
      </c>
      <c r="AI7" s="9">
        <f t="shared" si="3"/>
        <v>27.909002029658218</v>
      </c>
      <c r="AJ7" s="9">
        <f t="shared" si="4"/>
        <v>2.6672190762108507</v>
      </c>
      <c r="AK7" s="9">
        <f t="shared" si="5"/>
        <v>7.114057600503064</v>
      </c>
      <c r="AL7" s="9">
        <f t="shared" si="6"/>
        <v>0.37713992721391337</v>
      </c>
      <c r="AM7" s="9">
        <f t="shared" si="7"/>
        <v>0.14223452469891587</v>
      </c>
      <c r="AN7" s="9" t="s">
        <v>4692</v>
      </c>
    </row>
    <row r="8" spans="8:40" ht="23">
      <c r="M8" s="9" t="s">
        <v>2746</v>
      </c>
      <c r="N8" s="8" t="s">
        <v>1614</v>
      </c>
      <c r="O8" s="8"/>
      <c r="P8" s="8" t="s">
        <v>3691</v>
      </c>
      <c r="Q8" s="8"/>
      <c r="R8" s="8"/>
      <c r="S8" s="8"/>
      <c r="T8" s="8"/>
      <c r="U8" s="8"/>
      <c r="V8" s="8"/>
      <c r="W8" s="9" t="s">
        <v>2746</v>
      </c>
      <c r="X8" s="8">
        <v>19.97</v>
      </c>
      <c r="Y8" s="8">
        <v>2.2599999999999998</v>
      </c>
      <c r="Z8" s="9">
        <v>1.25</v>
      </c>
      <c r="AA8" s="8">
        <v>101.4</v>
      </c>
      <c r="AB8" s="8">
        <v>3738</v>
      </c>
      <c r="AC8" s="22" t="s">
        <v>2746</v>
      </c>
      <c r="AD8" s="8" t="s">
        <v>4080</v>
      </c>
      <c r="AE8" s="8" t="s">
        <v>4287</v>
      </c>
      <c r="AF8" s="9">
        <f t="shared" si="0"/>
        <v>229.16399999999999</v>
      </c>
      <c r="AG8" s="9">
        <f t="shared" si="1"/>
        <v>143.65</v>
      </c>
      <c r="AH8" s="9">
        <f t="shared" si="2"/>
        <v>4.0892043392345849</v>
      </c>
      <c r="AI8" s="9">
        <f t="shared" si="3"/>
        <v>16.721592128014958</v>
      </c>
      <c r="AJ8" s="9">
        <f t="shared" si="4"/>
        <v>4.2806260409047079</v>
      </c>
      <c r="AK8" s="9">
        <f t="shared" si="5"/>
        <v>18.323759302071515</v>
      </c>
      <c r="AL8" s="9">
        <f t="shared" si="6"/>
        <v>4.1355840110136377</v>
      </c>
      <c r="AM8" s="9">
        <f t="shared" si="7"/>
        <v>17.103055112151647</v>
      </c>
      <c r="AN8" s="9" t="s">
        <v>2746</v>
      </c>
    </row>
    <row r="9" spans="8:40" ht="23">
      <c r="M9" s="9" t="s">
        <v>2817</v>
      </c>
      <c r="N9" s="8" t="s">
        <v>1614</v>
      </c>
      <c r="O9" s="8"/>
      <c r="P9" s="8" t="s">
        <v>3705</v>
      </c>
      <c r="Q9" s="8"/>
      <c r="R9" s="8"/>
      <c r="S9" s="8"/>
      <c r="T9" s="8"/>
      <c r="U9" s="8"/>
      <c r="V9" s="8"/>
      <c r="W9" s="9" t="s">
        <v>2817</v>
      </c>
      <c r="X9" s="8">
        <v>43.87</v>
      </c>
      <c r="Y9" s="8">
        <v>1.3</v>
      </c>
      <c r="Z9" s="9">
        <v>0.12</v>
      </c>
      <c r="AA9" s="8">
        <v>96</v>
      </c>
      <c r="AB9" s="8">
        <v>14612</v>
      </c>
      <c r="AC9" s="22" t="s">
        <v>2817</v>
      </c>
      <c r="AD9" s="8" t="s">
        <v>4464</v>
      </c>
      <c r="AE9" s="8" t="s">
        <v>4287</v>
      </c>
      <c r="AF9" s="9">
        <f t="shared" si="0"/>
        <v>124.80000000000001</v>
      </c>
      <c r="AG9" s="9">
        <f t="shared" si="1"/>
        <v>19.200000000000003</v>
      </c>
      <c r="AH9" s="9">
        <f t="shared" si="2"/>
        <v>3.8714360608138079</v>
      </c>
      <c r="AI9" s="9">
        <f t="shared" si="3"/>
        <v>14.988017172969533</v>
      </c>
      <c r="AJ9" s="9">
        <f t="shared" si="4"/>
        <v>2.3311782387500113</v>
      </c>
      <c r="AK9" s="9">
        <f t="shared" si="5"/>
        <v>5.434391980821605</v>
      </c>
      <c r="AL9" s="9">
        <f t="shared" si="6"/>
        <v>0.55275470248146086</v>
      </c>
      <c r="AM9" s="9">
        <f t="shared" si="7"/>
        <v>0.30553776111536829</v>
      </c>
      <c r="AN9" s="9" t="s">
        <v>2817</v>
      </c>
    </row>
    <row r="10" spans="8:40" ht="23">
      <c r="M10" s="9" t="s">
        <v>2156</v>
      </c>
      <c r="N10" s="8" t="s">
        <v>150</v>
      </c>
      <c r="O10" s="8"/>
      <c r="P10" s="8" t="s">
        <v>3705</v>
      </c>
      <c r="Q10" s="8"/>
      <c r="R10" s="8"/>
      <c r="S10" s="8"/>
      <c r="T10" s="8"/>
      <c r="U10" s="8"/>
      <c r="V10" s="8"/>
      <c r="W10" s="9" t="s">
        <v>2156</v>
      </c>
      <c r="X10" s="8">
        <v>4.22</v>
      </c>
      <c r="Y10" s="8">
        <v>3.21</v>
      </c>
      <c r="Z10" s="9">
        <v>7.08</v>
      </c>
      <c r="AA10" s="8">
        <v>94.5</v>
      </c>
      <c r="AB10" s="8">
        <v>9641</v>
      </c>
      <c r="AC10" s="22" t="s">
        <v>2156</v>
      </c>
      <c r="AD10" s="8" t="s">
        <v>4080</v>
      </c>
      <c r="AE10" s="8" t="s">
        <v>4287</v>
      </c>
      <c r="AF10" s="9">
        <f t="shared" si="0"/>
        <v>303.34499999999997</v>
      </c>
      <c r="AG10" s="9">
        <f t="shared" si="1"/>
        <v>674.1</v>
      </c>
      <c r="AH10" s="9">
        <f t="shared" si="2"/>
        <v>3.8109448723635921</v>
      </c>
      <c r="AI10" s="9">
        <f t="shared" si="3"/>
        <v>14.523300820194356</v>
      </c>
      <c r="AJ10" s="9">
        <f t="shared" si="4"/>
        <v>5.666276144500177</v>
      </c>
      <c r="AK10" s="9">
        <f t="shared" si="5"/>
        <v>32.10668534573179</v>
      </c>
      <c r="AL10" s="9">
        <f t="shared" si="6"/>
        <v>19.406872132435034</v>
      </c>
      <c r="AM10" s="9">
        <f t="shared" si="7"/>
        <v>376.62668596468353</v>
      </c>
      <c r="AN10" s="9" t="s">
        <v>2156</v>
      </c>
    </row>
    <row r="11" spans="8:40" ht="23">
      <c r="M11" s="8" t="s">
        <v>1774</v>
      </c>
      <c r="N11" s="8" t="s">
        <v>1717</v>
      </c>
      <c r="O11" s="8"/>
      <c r="P11" s="8" t="s">
        <v>3691</v>
      </c>
      <c r="Q11" s="8"/>
      <c r="R11" s="8"/>
      <c r="S11" s="8"/>
      <c r="T11" s="8"/>
      <c r="U11" s="8"/>
      <c r="V11" s="8"/>
      <c r="W11" s="8" t="s">
        <v>1774</v>
      </c>
      <c r="X11" s="8">
        <v>14.46</v>
      </c>
      <c r="Y11" s="8">
        <v>1.45</v>
      </c>
      <c r="Z11" s="9">
        <v>0.25</v>
      </c>
      <c r="AA11" s="8">
        <v>86.5</v>
      </c>
      <c r="AB11" s="8">
        <v>103006</v>
      </c>
      <c r="AC11" s="21" t="s">
        <v>1774</v>
      </c>
      <c r="AD11" s="8" t="s">
        <v>4465</v>
      </c>
      <c r="AE11" s="8" t="s">
        <v>4287</v>
      </c>
      <c r="AF11" s="9">
        <f t="shared" si="0"/>
        <v>125.425</v>
      </c>
      <c r="AG11" s="9">
        <f t="shared" si="1"/>
        <v>36.041666666666671</v>
      </c>
      <c r="AH11" s="9">
        <f t="shared" si="2"/>
        <v>3.4883252006291081</v>
      </c>
      <c r="AI11" s="9">
        <f t="shared" si="3"/>
        <v>12.168412705344107</v>
      </c>
      <c r="AJ11" s="9">
        <f t="shared" si="4"/>
        <v>2.3428528092565717</v>
      </c>
      <c r="AK11" s="9">
        <f t="shared" si="5"/>
        <v>5.4889592858414096</v>
      </c>
      <c r="AL11" s="9">
        <f t="shared" si="6"/>
        <v>1.0376146216286104</v>
      </c>
      <c r="AM11" s="9">
        <f t="shared" si="7"/>
        <v>1.0766441030174843</v>
      </c>
      <c r="AN11" s="8" t="s">
        <v>1774</v>
      </c>
    </row>
    <row r="12" spans="8:40" ht="23">
      <c r="M12" s="8" t="s">
        <v>1841</v>
      </c>
      <c r="N12" s="8" t="s">
        <v>1814</v>
      </c>
      <c r="O12" s="8"/>
      <c r="P12" s="8" t="s">
        <v>3691</v>
      </c>
      <c r="Q12" s="8"/>
      <c r="R12" s="8"/>
      <c r="S12" s="8"/>
      <c r="T12" s="8"/>
      <c r="U12" s="8"/>
      <c r="V12" s="8"/>
      <c r="W12" s="8" t="s">
        <v>1841</v>
      </c>
      <c r="X12" s="8">
        <v>33.299999999999997</v>
      </c>
      <c r="Y12" s="8">
        <v>1.2</v>
      </c>
      <c r="Z12" s="9">
        <v>0.3</v>
      </c>
      <c r="AA12" s="8">
        <v>81.8</v>
      </c>
      <c r="AB12" s="8">
        <v>12511</v>
      </c>
      <c r="AC12" s="21" t="s">
        <v>1841</v>
      </c>
      <c r="AD12" s="8" t="s">
        <v>4464</v>
      </c>
      <c r="AE12" s="8" t="s">
        <v>4287</v>
      </c>
      <c r="AF12" s="9">
        <f t="shared" si="0"/>
        <v>98.16</v>
      </c>
      <c r="AG12" s="9">
        <f t="shared" si="1"/>
        <v>0.40899999999999997</v>
      </c>
      <c r="AH12" s="9">
        <f t="shared" si="2"/>
        <v>3.2987861434850982</v>
      </c>
      <c r="AI12" s="9">
        <f t="shared" si="3"/>
        <v>10.881990020449287</v>
      </c>
      <c r="AJ12" s="9">
        <f t="shared" si="4"/>
        <v>1.8335613454783743</v>
      </c>
      <c r="AK12" s="9">
        <f t="shared" si="5"/>
        <v>3.3619472076324666</v>
      </c>
      <c r="AL12" s="9">
        <f t="shared" si="6"/>
        <v>1.1774826735151948E-2</v>
      </c>
      <c r="AM12" s="9">
        <f t="shared" si="7"/>
        <v>1.386465446428491E-4</v>
      </c>
      <c r="AN12" s="8" t="s">
        <v>1841</v>
      </c>
    </row>
    <row r="13" spans="8:40" ht="23">
      <c r="M13" s="9" t="s">
        <v>3514</v>
      </c>
      <c r="N13" s="8" t="s">
        <v>2041</v>
      </c>
      <c r="O13" s="8"/>
      <c r="P13" s="8" t="s">
        <v>3698</v>
      </c>
      <c r="Q13" s="8"/>
      <c r="R13" s="8"/>
      <c r="S13" s="8"/>
      <c r="T13" s="8"/>
      <c r="U13" s="8"/>
      <c r="V13" s="8"/>
      <c r="W13" s="9" t="s">
        <v>3514</v>
      </c>
      <c r="X13" s="8">
        <v>3.47</v>
      </c>
      <c r="Y13" s="8">
        <v>3.31</v>
      </c>
      <c r="Z13" s="9">
        <v>0.5</v>
      </c>
      <c r="AA13" s="8">
        <v>74.2</v>
      </c>
      <c r="AB13" s="8">
        <v>9035</v>
      </c>
      <c r="AC13" s="22" t="s">
        <v>3514</v>
      </c>
      <c r="AD13" s="8" t="s">
        <v>4080</v>
      </c>
      <c r="AE13" s="8" t="s">
        <v>4287</v>
      </c>
      <c r="AF13" s="9">
        <f t="shared" si="0"/>
        <v>245.602</v>
      </c>
      <c r="AG13" s="9">
        <f t="shared" si="1"/>
        <v>0.6183333333333334</v>
      </c>
      <c r="AH13" s="9">
        <f t="shared" si="2"/>
        <v>2.9922974553373392</v>
      </c>
      <c r="AI13" s="9">
        <f t="shared" si="3"/>
        <v>8.9538440612183159</v>
      </c>
      <c r="AJ13" s="9">
        <f t="shared" si="4"/>
        <v>4.5876765848836554</v>
      </c>
      <c r="AK13" s="9">
        <f t="shared" si="5"/>
        <v>21.046776447489759</v>
      </c>
      <c r="AL13" s="9">
        <f t="shared" si="6"/>
        <v>1.780138842192899E-2</v>
      </c>
      <c r="AM13" s="9">
        <f t="shared" si="7"/>
        <v>3.1688942974838748E-4</v>
      </c>
      <c r="AN13" s="9" t="s">
        <v>3514</v>
      </c>
    </row>
    <row r="14" spans="8:40" ht="23">
      <c r="M14" s="9" t="s">
        <v>3344</v>
      </c>
      <c r="N14" s="8" t="s">
        <v>1964</v>
      </c>
      <c r="O14" s="8"/>
      <c r="P14" s="8"/>
      <c r="Q14" s="8"/>
      <c r="R14" s="8"/>
      <c r="S14" s="8"/>
      <c r="T14" s="8"/>
      <c r="U14" s="8"/>
      <c r="V14" s="8"/>
      <c r="W14" s="9" t="s">
        <v>3344</v>
      </c>
      <c r="X14" s="8">
        <v>6.74</v>
      </c>
      <c r="Y14" s="8">
        <v>1.51</v>
      </c>
      <c r="Z14" s="9">
        <v>0.24</v>
      </c>
      <c r="AA14" s="8">
        <v>70.3</v>
      </c>
      <c r="AB14" s="8">
        <v>9249</v>
      </c>
      <c r="AC14" s="22" t="s">
        <v>3344</v>
      </c>
      <c r="AD14" s="8" t="s">
        <v>4080</v>
      </c>
      <c r="AE14" s="8" t="s">
        <v>4287</v>
      </c>
      <c r="AF14" s="9">
        <f t="shared" si="0"/>
        <v>106.15299999999999</v>
      </c>
      <c r="AG14" s="9">
        <f t="shared" si="1"/>
        <v>28.12</v>
      </c>
      <c r="AH14" s="9">
        <f t="shared" si="2"/>
        <v>2.8350203653667778</v>
      </c>
      <c r="AI14" s="9">
        <f t="shared" si="3"/>
        <v>8.0373404720443791</v>
      </c>
      <c r="AJ14" s="9">
        <f t="shared" si="4"/>
        <v>1.9828650927726756</v>
      </c>
      <c r="AK14" s="9">
        <f t="shared" si="5"/>
        <v>3.9317539761363918</v>
      </c>
      <c r="AL14" s="9">
        <f t="shared" si="6"/>
        <v>0.80955532467597269</v>
      </c>
      <c r="AM14" s="9">
        <f t="shared" si="7"/>
        <v>0.6553798237112195</v>
      </c>
      <c r="AN14" s="9" t="s">
        <v>3344</v>
      </c>
    </row>
    <row r="15" spans="8:40" ht="23">
      <c r="M15" s="8" t="s">
        <v>1188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1188</v>
      </c>
      <c r="X15" s="8">
        <v>43.7</v>
      </c>
      <c r="Y15" s="8">
        <v>1.02</v>
      </c>
      <c r="Z15" s="9">
        <v>0.02</v>
      </c>
      <c r="AA15" s="8">
        <v>68.5</v>
      </c>
      <c r="AB15" s="8">
        <v>73423</v>
      </c>
      <c r="AC15" s="21" t="s">
        <v>1188</v>
      </c>
      <c r="AD15" s="8" t="s">
        <v>4465</v>
      </c>
      <c r="AE15" s="8" t="s">
        <v>4287</v>
      </c>
      <c r="AF15" s="9">
        <f t="shared" si="0"/>
        <v>69.87</v>
      </c>
      <c r="AG15" s="9">
        <f t="shared" si="1"/>
        <v>2.2833333333333332</v>
      </c>
      <c r="AH15" s="9">
        <f t="shared" si="2"/>
        <v>2.7624309392265189</v>
      </c>
      <c r="AI15" s="9">
        <f t="shared" si="3"/>
        <v>7.6310246939959079</v>
      </c>
      <c r="AJ15" s="9">
        <f t="shared" si="4"/>
        <v>1.3051235860694173</v>
      </c>
      <c r="AK15" s="9">
        <f t="shared" si="5"/>
        <v>1.7033475749146956</v>
      </c>
      <c r="AL15" s="9">
        <f t="shared" si="6"/>
        <v>6.5735585277743161E-2</v>
      </c>
      <c r="AM15" s="9">
        <f t="shared" si="7"/>
        <v>4.3211671718074432E-3</v>
      </c>
      <c r="AN15" s="8" t="s">
        <v>1188</v>
      </c>
    </row>
    <row r="16" spans="8:40" ht="23">
      <c r="M16" s="9" t="s">
        <v>3665</v>
      </c>
      <c r="N16" s="8" t="s">
        <v>2107</v>
      </c>
      <c r="O16" s="8"/>
      <c r="P16" s="8" t="s">
        <v>3691</v>
      </c>
      <c r="Q16" s="8"/>
      <c r="R16" s="8"/>
      <c r="S16" s="8"/>
      <c r="T16" s="8"/>
      <c r="U16" s="8"/>
      <c r="V16" s="8"/>
      <c r="W16" s="9" t="s">
        <v>3665</v>
      </c>
      <c r="X16" s="8">
        <v>23.23</v>
      </c>
      <c r="Y16" s="8">
        <v>1.47</v>
      </c>
      <c r="Z16" s="9">
        <v>0.53</v>
      </c>
      <c r="AA16" s="8">
        <v>67.8</v>
      </c>
      <c r="AB16" s="8">
        <v>11344</v>
      </c>
      <c r="AC16" s="22" t="s">
        <v>3665</v>
      </c>
      <c r="AD16" s="8" t="s">
        <v>4080</v>
      </c>
      <c r="AE16" s="8" t="s">
        <v>4287</v>
      </c>
      <c r="AF16" s="9">
        <f t="shared" si="0"/>
        <v>99.665999999999997</v>
      </c>
      <c r="AG16" s="9">
        <f t="shared" si="1"/>
        <v>59.889999999999993</v>
      </c>
      <c r="AH16" s="9">
        <f t="shared" si="2"/>
        <v>2.7342017179497518</v>
      </c>
      <c r="AI16" s="9">
        <f t="shared" si="3"/>
        <v>7.4758590344393738</v>
      </c>
      <c r="AJ16" s="9">
        <f t="shared" si="4"/>
        <v>1.8616923905709823</v>
      </c>
      <c r="AK16" s="9">
        <f t="shared" si="5"/>
        <v>3.4658985571098992</v>
      </c>
      <c r="AL16" s="9">
        <f t="shared" si="6"/>
        <v>1.7241916214382647</v>
      </c>
      <c r="AM16" s="9">
        <f t="shared" si="7"/>
        <v>2.972836747437912</v>
      </c>
      <c r="AN16" s="9" t="s">
        <v>3665</v>
      </c>
    </row>
    <row r="17" spans="13:40" ht="23">
      <c r="M17" s="9" t="s">
        <v>3447</v>
      </c>
      <c r="N17" s="8" t="s">
        <v>2003</v>
      </c>
      <c r="O17" s="8"/>
      <c r="P17" s="8" t="s">
        <v>3709</v>
      </c>
      <c r="Q17" s="8"/>
      <c r="R17" s="8"/>
      <c r="S17" s="8"/>
      <c r="T17" s="8"/>
      <c r="U17" s="8"/>
      <c r="V17" s="8"/>
      <c r="W17" s="9" t="s">
        <v>3447</v>
      </c>
      <c r="X17" s="8">
        <v>5.81</v>
      </c>
      <c r="Y17" s="8">
        <v>5.23</v>
      </c>
      <c r="Z17" s="9">
        <v>0.33</v>
      </c>
      <c r="AA17" s="8">
        <v>45.1</v>
      </c>
      <c r="AB17" s="8">
        <v>11615</v>
      </c>
      <c r="AC17" s="22" t="s">
        <v>3447</v>
      </c>
      <c r="AD17" s="8" t="s">
        <v>4465</v>
      </c>
      <c r="AE17" s="8" t="s">
        <v>4287</v>
      </c>
      <c r="AF17" s="9">
        <f t="shared" si="0"/>
        <v>235.87300000000002</v>
      </c>
      <c r="AG17" s="9">
        <f t="shared" si="1"/>
        <v>24.805000000000003</v>
      </c>
      <c r="AH17" s="9">
        <f t="shared" si="2"/>
        <v>1.8187683994031534</v>
      </c>
      <c r="AI17" s="9">
        <f t="shared" si="3"/>
        <v>3.3079184906675083</v>
      </c>
      <c r="AJ17" s="9">
        <f t="shared" si="4"/>
        <v>4.4059455505503324</v>
      </c>
      <c r="AK17" s="9">
        <f t="shared" si="5"/>
        <v>19.412356194414272</v>
      </c>
      <c r="AL17" s="9">
        <f t="shared" si="6"/>
        <v>0.71411877057565809</v>
      </c>
      <c r="AM17" s="9">
        <f t="shared" si="7"/>
        <v>0.50996561848848942</v>
      </c>
      <c r="AN17" s="9" t="s">
        <v>3447</v>
      </c>
    </row>
    <row r="18" spans="13:40" ht="23">
      <c r="M18" s="8" t="s">
        <v>1634</v>
      </c>
      <c r="N18" s="8" t="s">
        <v>1614</v>
      </c>
      <c r="O18" s="8"/>
      <c r="P18" s="8"/>
      <c r="Q18" s="8"/>
      <c r="R18" s="8"/>
      <c r="S18" s="8"/>
      <c r="T18" s="8"/>
      <c r="U18" s="8"/>
      <c r="V18" s="8"/>
      <c r="W18" s="8" t="s">
        <v>1634</v>
      </c>
      <c r="X18" s="8">
        <v>27.73</v>
      </c>
      <c r="Y18" s="8">
        <v>4.5999999999999996</v>
      </c>
      <c r="Z18" s="9">
        <v>6.3</v>
      </c>
      <c r="AA18" s="8">
        <v>37.200000000000003</v>
      </c>
      <c r="AB18" s="8">
        <v>9036</v>
      </c>
      <c r="AC18" s="21" t="s">
        <v>1634</v>
      </c>
      <c r="AD18" s="8" t="s">
        <v>4080</v>
      </c>
      <c r="AE18" s="8" t="s">
        <v>4287</v>
      </c>
      <c r="AF18" s="9">
        <f t="shared" si="0"/>
        <v>171.12</v>
      </c>
      <c r="AG18" s="9">
        <f t="shared" si="1"/>
        <v>223.38600000000002</v>
      </c>
      <c r="AH18" s="9">
        <f t="shared" si="2"/>
        <v>1.5001814735653505</v>
      </c>
      <c r="AI18" s="9">
        <f t="shared" si="3"/>
        <v>2.2505444536287063</v>
      </c>
      <c r="AJ18" s="9">
        <f t="shared" si="4"/>
        <v>3.1964040081322267</v>
      </c>
      <c r="AK18" s="9">
        <f t="shared" si="5"/>
        <v>10.216998583203765</v>
      </c>
      <c r="AL18" s="9">
        <f t="shared" si="6"/>
        <v>6.4311282275272701</v>
      </c>
      <c r="AM18" s="9">
        <f t="shared" si="7"/>
        <v>41.359410278898046</v>
      </c>
      <c r="AN18" s="8" t="s">
        <v>1634</v>
      </c>
    </row>
    <row r="19" spans="13:40" ht="23">
      <c r="M19" s="9" t="s">
        <v>2876</v>
      </c>
      <c r="N19" s="8" t="s">
        <v>1717</v>
      </c>
      <c r="O19" s="8"/>
      <c r="P19" s="8" t="s">
        <v>3700</v>
      </c>
      <c r="Q19" s="8"/>
      <c r="R19" s="8"/>
      <c r="S19" s="8"/>
      <c r="T19" s="8"/>
      <c r="U19" s="8"/>
      <c r="V19" s="8"/>
      <c r="W19" s="9" t="s">
        <v>2876</v>
      </c>
      <c r="X19" s="8">
        <v>10.17</v>
      </c>
      <c r="Y19" s="8">
        <v>1.51</v>
      </c>
      <c r="Z19" s="9">
        <v>0.39</v>
      </c>
      <c r="AA19" s="8">
        <v>37.200000000000003</v>
      </c>
      <c r="AB19" s="8">
        <v>11291</v>
      </c>
      <c r="AC19" s="22" t="s">
        <v>2876</v>
      </c>
      <c r="AD19" s="8" t="s">
        <v>4080</v>
      </c>
      <c r="AE19" s="8" t="s">
        <v>4287</v>
      </c>
      <c r="AF19" s="9">
        <f t="shared" si="0"/>
        <v>56.172000000000004</v>
      </c>
      <c r="AG19" s="9">
        <f t="shared" si="1"/>
        <v>24.180000000000003</v>
      </c>
      <c r="AH19" s="9">
        <f t="shared" si="2"/>
        <v>1.5001814735653505</v>
      </c>
      <c r="AI19" s="9">
        <f t="shared" si="3"/>
        <v>2.2505444536287063</v>
      </c>
      <c r="AJ19" s="9">
        <f t="shared" si="4"/>
        <v>1.0492543591912311</v>
      </c>
      <c r="AK19" s="9">
        <f t="shared" si="5"/>
        <v>1.100934710281801</v>
      </c>
      <c r="AL19" s="9">
        <f t="shared" si="6"/>
        <v>0.69612545343758969</v>
      </c>
      <c r="AM19" s="9">
        <f t="shared" si="7"/>
        <v>0.48459064692368986</v>
      </c>
      <c r="AN19" s="9" t="s">
        <v>2876</v>
      </c>
    </row>
    <row r="20" spans="13:40" ht="23">
      <c r="M20" s="9" t="s">
        <v>2619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9" t="s">
        <v>2619</v>
      </c>
      <c r="X20" s="8">
        <v>39.07</v>
      </c>
      <c r="Y20" s="8">
        <v>2.66</v>
      </c>
      <c r="Z20" s="9">
        <v>4.4800000000000004</v>
      </c>
      <c r="AA20" s="8">
        <v>33.4</v>
      </c>
      <c r="AB20" s="8">
        <v>51145</v>
      </c>
      <c r="AC20" s="22" t="s">
        <v>2619</v>
      </c>
      <c r="AD20" s="8" t="s">
        <v>4080</v>
      </c>
      <c r="AE20" s="8" t="s">
        <v>4287</v>
      </c>
      <c r="AF20" s="9">
        <f t="shared" si="0"/>
        <v>88.843999999999994</v>
      </c>
      <c r="AG20" s="9">
        <f t="shared" si="1"/>
        <v>160.32</v>
      </c>
      <c r="AH20" s="9">
        <f t="shared" si="2"/>
        <v>1.3469371294914705</v>
      </c>
      <c r="AI20" s="9">
        <f t="shared" si="3"/>
        <v>1.8142396308027224</v>
      </c>
      <c r="AJ20" s="9">
        <f t="shared" si="4"/>
        <v>1.6595448673357851</v>
      </c>
      <c r="AK20" s="9">
        <f t="shared" si="5"/>
        <v>2.7540891667005485</v>
      </c>
      <c r="AL20" s="9">
        <f t="shared" si="6"/>
        <v>4.6155017657201975</v>
      </c>
      <c r="AM20" s="9">
        <f t="shared" si="7"/>
        <v>21.302856549366261</v>
      </c>
      <c r="AN20" s="9" t="s">
        <v>2619</v>
      </c>
    </row>
    <row r="21" spans="13:40" ht="23">
      <c r="M21" s="9" t="s">
        <v>2210</v>
      </c>
      <c r="N21" s="8" t="s">
        <v>150</v>
      </c>
      <c r="O21" s="8"/>
      <c r="P21" s="8" t="s">
        <v>3700</v>
      </c>
      <c r="Q21" s="8"/>
      <c r="R21" s="8"/>
      <c r="S21" s="8"/>
      <c r="T21" s="8"/>
      <c r="U21" s="8"/>
      <c r="V21" s="8"/>
      <c r="W21" s="9" t="s">
        <v>2210</v>
      </c>
      <c r="X21" s="8">
        <v>6.91</v>
      </c>
      <c r="Y21" s="8">
        <v>7.13</v>
      </c>
      <c r="Z21" s="9">
        <v>2.15</v>
      </c>
      <c r="AA21" s="8">
        <v>27.4</v>
      </c>
      <c r="AB21" s="8">
        <v>7078</v>
      </c>
      <c r="AC21" s="22" t="s">
        <v>2210</v>
      </c>
      <c r="AD21" s="8" t="s">
        <v>4080</v>
      </c>
      <c r="AE21" s="8" t="s">
        <v>4287</v>
      </c>
      <c r="AF21" s="9">
        <f t="shared" si="0"/>
        <v>195.36199999999999</v>
      </c>
      <c r="AG21" s="9">
        <f t="shared" si="1"/>
        <v>61.65</v>
      </c>
      <c r="AH21" s="9">
        <f t="shared" si="2"/>
        <v>1.1049723756906076</v>
      </c>
      <c r="AI21" s="9">
        <f t="shared" si="3"/>
        <v>1.2209639510393453</v>
      </c>
      <c r="AJ21" s="9">
        <f t="shared" si="4"/>
        <v>3.6492279092842925</v>
      </c>
      <c r="AK21" s="9">
        <f t="shared" si="5"/>
        <v>13.316864333899408</v>
      </c>
      <c r="AL21" s="9">
        <f t="shared" si="6"/>
        <v>1.7748608024990655</v>
      </c>
      <c r="AM21" s="9">
        <f t="shared" si="7"/>
        <v>3.150130868247627</v>
      </c>
      <c r="AN21" s="9" t="s">
        <v>2210</v>
      </c>
    </row>
    <row r="22" spans="13:40" ht="23">
      <c r="M22" s="8" t="s">
        <v>231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8" t="s">
        <v>231</v>
      </c>
      <c r="X22" s="8">
        <v>40.93</v>
      </c>
      <c r="Y22" s="8">
        <v>1.5</v>
      </c>
      <c r="Z22" s="9">
        <v>0.26</v>
      </c>
      <c r="AA22" s="8">
        <v>24.9</v>
      </c>
      <c r="AB22" s="8">
        <v>19819</v>
      </c>
      <c r="AC22" s="21" t="s">
        <v>231</v>
      </c>
      <c r="AD22" s="8" t="s">
        <v>4080</v>
      </c>
      <c r="AE22" s="8" t="s">
        <v>4287</v>
      </c>
      <c r="AF22" s="9">
        <f t="shared" si="0"/>
        <v>37.349999999999994</v>
      </c>
      <c r="AG22" s="9">
        <f t="shared" si="1"/>
        <v>10.79</v>
      </c>
      <c r="AH22" s="9">
        <f t="shared" si="2"/>
        <v>1.0041537282735813</v>
      </c>
      <c r="AI22" s="9">
        <f t="shared" si="3"/>
        <v>1.0083247100057333</v>
      </c>
      <c r="AJ22" s="9">
        <f t="shared" si="4"/>
        <v>0.69767233347205848</v>
      </c>
      <c r="AK22" s="9">
        <f t="shared" si="5"/>
        <v>0.48674668489234718</v>
      </c>
      <c r="AL22" s="9">
        <f t="shared" si="6"/>
        <v>0.31063662707161255</v>
      </c>
      <c r="AM22" s="9">
        <f t="shared" si="7"/>
        <v>9.649511407842809E-2</v>
      </c>
      <c r="AN22" s="8" t="s">
        <v>231</v>
      </c>
    </row>
    <row r="23" spans="13:40" ht="23">
      <c r="M23" s="9" t="s">
        <v>3088</v>
      </c>
      <c r="N23" s="8" t="s">
        <v>1814</v>
      </c>
      <c r="O23" s="8"/>
      <c r="P23" s="8"/>
      <c r="Q23" s="8"/>
      <c r="R23" s="8"/>
      <c r="S23" s="8"/>
      <c r="T23" s="8"/>
      <c r="U23" s="8"/>
      <c r="V23" s="8"/>
      <c r="W23" s="9" t="s">
        <v>3088</v>
      </c>
      <c r="X23" s="8">
        <v>22</v>
      </c>
      <c r="Y23" s="8">
        <v>1.24</v>
      </c>
      <c r="Z23" s="9">
        <v>0.19</v>
      </c>
      <c r="AA23" s="8">
        <v>24.1</v>
      </c>
      <c r="AB23" s="8">
        <v>29987</v>
      </c>
      <c r="AC23" s="22" t="s">
        <v>3088</v>
      </c>
      <c r="AD23" s="8" t="s">
        <v>4080</v>
      </c>
      <c r="AE23" s="8" t="s">
        <v>4287</v>
      </c>
      <c r="AF23" s="9">
        <f t="shared" si="0"/>
        <v>29.884</v>
      </c>
      <c r="AG23" s="9">
        <f t="shared" si="1"/>
        <v>7.6316666666666668</v>
      </c>
      <c r="AH23" s="9">
        <f t="shared" si="2"/>
        <v>0.97189176110013298</v>
      </c>
      <c r="AI23" s="9">
        <f t="shared" si="3"/>
        <v>0.94457359529431795</v>
      </c>
      <c r="AJ23" s="9">
        <f t="shared" si="4"/>
        <v>0.55821258402888896</v>
      </c>
      <c r="AK23" s="9">
        <f t="shared" si="5"/>
        <v>0.31160128896820943</v>
      </c>
      <c r="AL23" s="9">
        <f t="shared" si="6"/>
        <v>0.21971039780057369</v>
      </c>
      <c r="AM23" s="9">
        <f t="shared" si="7"/>
        <v>4.827265890168634E-2</v>
      </c>
      <c r="AN23" s="9" t="s">
        <v>3088</v>
      </c>
    </row>
    <row r="24" spans="13:40" ht="23">
      <c r="M24" s="9" t="s">
        <v>3406</v>
      </c>
      <c r="N24" s="8" t="s">
        <v>1990</v>
      </c>
      <c r="O24" s="8"/>
      <c r="P24" s="8" t="s">
        <v>3693</v>
      </c>
      <c r="Q24" s="8"/>
      <c r="R24" s="8"/>
      <c r="S24" s="8"/>
      <c r="T24" s="8"/>
      <c r="U24" s="8"/>
      <c r="V24" s="8"/>
      <c r="W24" s="9" t="s">
        <v>3406</v>
      </c>
      <c r="X24" s="8">
        <v>27.96</v>
      </c>
      <c r="Y24" s="8">
        <v>1.1100000000000001</v>
      </c>
      <c r="Z24" s="9">
        <v>0.13</v>
      </c>
      <c r="AA24" s="8">
        <v>22.8</v>
      </c>
      <c r="AB24" s="8">
        <v>39286</v>
      </c>
      <c r="AC24" s="22" t="s">
        <v>3406</v>
      </c>
      <c r="AD24" s="8" t="s">
        <v>4464</v>
      </c>
      <c r="AE24" s="8" t="s">
        <v>4287</v>
      </c>
      <c r="AF24" s="9">
        <f t="shared" si="0"/>
        <v>25.308000000000003</v>
      </c>
      <c r="AG24" s="9">
        <f t="shared" si="1"/>
        <v>4.9400000000000004</v>
      </c>
      <c r="AH24" s="9">
        <f t="shared" si="2"/>
        <v>0.91946606444327939</v>
      </c>
      <c r="AI24" s="9">
        <f t="shared" si="3"/>
        <v>0.84541784366281281</v>
      </c>
      <c r="AJ24" s="9">
        <f t="shared" si="4"/>
        <v>0.47273604860805524</v>
      </c>
      <c r="AK24" s="9">
        <f t="shared" si="5"/>
        <v>0.22347937165355755</v>
      </c>
      <c r="AL24" s="9">
        <f t="shared" si="6"/>
        <v>0.14221917865929251</v>
      </c>
      <c r="AM24" s="9">
        <f t="shared" si="7"/>
        <v>2.0226294778523762E-2</v>
      </c>
      <c r="AN24" s="9" t="s">
        <v>3406</v>
      </c>
    </row>
    <row r="25" spans="13:40" ht="23">
      <c r="M25" s="8" t="s">
        <v>69</v>
      </c>
      <c r="N25" s="8" t="s">
        <v>23</v>
      </c>
      <c r="O25" s="8"/>
      <c r="P25" s="8" t="s">
        <v>4667</v>
      </c>
      <c r="Q25" s="8"/>
      <c r="R25" s="8"/>
      <c r="S25" s="8"/>
      <c r="T25" s="8"/>
      <c r="U25" s="8"/>
      <c r="V25" s="8"/>
      <c r="W25" s="8" t="s">
        <v>69</v>
      </c>
      <c r="X25" s="8">
        <v>19.149999999999999</v>
      </c>
      <c r="Y25" s="8">
        <v>3.65</v>
      </c>
      <c r="Z25" s="9">
        <v>4.32</v>
      </c>
      <c r="AA25" s="8">
        <v>21</v>
      </c>
      <c r="AB25" s="8">
        <v>6126</v>
      </c>
      <c r="AC25" s="21" t="s">
        <v>69</v>
      </c>
      <c r="AD25" s="8" t="s">
        <v>4080</v>
      </c>
      <c r="AE25" s="8" t="s">
        <v>4287</v>
      </c>
      <c r="AF25" s="9">
        <f t="shared" si="0"/>
        <v>76.649999999999991</v>
      </c>
      <c r="AG25" s="9">
        <f t="shared" si="1"/>
        <v>95.2</v>
      </c>
      <c r="AH25" s="9">
        <f t="shared" si="2"/>
        <v>0.8468766383030204</v>
      </c>
      <c r="AI25" s="9">
        <f t="shared" si="3"/>
        <v>0.7172000405034249</v>
      </c>
      <c r="AJ25" s="9">
        <f t="shared" si="4"/>
        <v>1.4317693269245861</v>
      </c>
      <c r="AK25" s="9">
        <f t="shared" si="5"/>
        <v>2.0499634055220826</v>
      </c>
      <c r="AL25" s="9">
        <f t="shared" si="6"/>
        <v>2.7407420664705762</v>
      </c>
      <c r="AM25" s="9">
        <f t="shared" si="7"/>
        <v>7.5116670749214043</v>
      </c>
      <c r="AN25" s="8" t="s">
        <v>69</v>
      </c>
    </row>
    <row r="26" spans="13:40" ht="23">
      <c r="M26" s="9" t="s">
        <v>3557</v>
      </c>
      <c r="N26" s="8" t="s">
        <v>2066</v>
      </c>
      <c r="O26" s="8"/>
      <c r="P26" s="8" t="s">
        <v>4667</v>
      </c>
      <c r="Q26" s="8"/>
      <c r="R26" s="8"/>
      <c r="S26" s="8"/>
      <c r="T26" s="8"/>
      <c r="U26" s="8"/>
      <c r="V26" s="8"/>
      <c r="W26" s="9" t="s">
        <v>3557</v>
      </c>
      <c r="X26" s="8">
        <v>10.59</v>
      </c>
      <c r="Y26" s="8">
        <v>7.26</v>
      </c>
      <c r="Z26" s="9">
        <v>11.35</v>
      </c>
      <c r="AA26" s="8">
        <v>16.600000000000001</v>
      </c>
      <c r="AB26" s="8">
        <v>6516</v>
      </c>
      <c r="AC26" s="22" t="s">
        <v>3557</v>
      </c>
      <c r="AD26" s="8" t="s">
        <v>4080</v>
      </c>
      <c r="AE26" s="8" t="s">
        <v>4287</v>
      </c>
      <c r="AF26" s="9">
        <f t="shared" si="0"/>
        <v>120.51600000000001</v>
      </c>
      <c r="AG26" s="9">
        <f t="shared" si="1"/>
        <v>192.28333333333336</v>
      </c>
      <c r="AH26" s="9">
        <f t="shared" si="2"/>
        <v>0.66943581884905423</v>
      </c>
      <c r="AI26" s="9">
        <f t="shared" si="3"/>
        <v>0.44814431555810375</v>
      </c>
      <c r="AJ26" s="9">
        <f t="shared" si="4"/>
        <v>2.2511560626698426</v>
      </c>
      <c r="AK26" s="9">
        <f t="shared" si="5"/>
        <v>5.0677036184951882</v>
      </c>
      <c r="AL26" s="9">
        <f t="shared" si="6"/>
        <v>5.5357039952505325</v>
      </c>
      <c r="AM26" s="9">
        <f t="shared" si="7"/>
        <v>30.644018723032708</v>
      </c>
      <c r="AN26" s="9" t="s">
        <v>3557</v>
      </c>
    </row>
    <row r="27" spans="13:40" ht="23">
      <c r="M27" s="8" t="s">
        <v>2009</v>
      </c>
      <c r="N27" s="8" t="s">
        <v>2003</v>
      </c>
      <c r="O27" s="8"/>
      <c r="P27" s="8" t="s">
        <v>3691</v>
      </c>
      <c r="Q27" s="8"/>
      <c r="R27" s="8"/>
      <c r="S27" s="8"/>
      <c r="T27" s="8"/>
      <c r="U27" s="8"/>
      <c r="V27" s="8"/>
      <c r="W27" s="8" t="s">
        <v>2009</v>
      </c>
      <c r="X27" s="8">
        <v>60.98</v>
      </c>
      <c r="Y27" s="8">
        <v>1.83</v>
      </c>
      <c r="Z27" s="9">
        <v>1.38</v>
      </c>
      <c r="AA27" s="8">
        <v>10.1</v>
      </c>
      <c r="AB27" s="8">
        <v>17879</v>
      </c>
      <c r="AC27" s="21" t="s">
        <v>2009</v>
      </c>
      <c r="AD27" s="8" t="s">
        <v>4080</v>
      </c>
      <c r="AE27" s="8" t="s">
        <v>4287</v>
      </c>
      <c r="AF27" s="9">
        <f t="shared" si="0"/>
        <v>18.483000000000001</v>
      </c>
      <c r="AG27" s="9">
        <f t="shared" si="1"/>
        <v>16.496666666666666</v>
      </c>
      <c r="AH27" s="9">
        <f t="shared" si="2"/>
        <v>0.40730733556478599</v>
      </c>
      <c r="AI27" s="9">
        <f t="shared" si="3"/>
        <v>0.16589926560488519</v>
      </c>
      <c r="AJ27" s="9">
        <f t="shared" si="4"/>
        <v>0.34524973867641395</v>
      </c>
      <c r="AK27" s="9">
        <f t="shared" si="5"/>
        <v>0.11919738205613213</v>
      </c>
      <c r="AL27" s="9">
        <f t="shared" si="6"/>
        <v>0.47492760808693568</v>
      </c>
      <c r="AM27" s="9">
        <f t="shared" si="7"/>
        <v>0.22555623292317797</v>
      </c>
      <c r="AN27" s="8" t="s">
        <v>2009</v>
      </c>
    </row>
    <row r="28" spans="13:40" ht="23">
      <c r="M28" s="8" t="s">
        <v>687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687</v>
      </c>
      <c r="X28" s="8">
        <v>21.32</v>
      </c>
      <c r="Y28" s="8">
        <v>5.16</v>
      </c>
      <c r="Z28" s="9">
        <v>13.06</v>
      </c>
      <c r="AA28" s="8">
        <v>9.6999999999999993</v>
      </c>
      <c r="AB28" s="8">
        <v>13815</v>
      </c>
      <c r="AC28" s="21" t="s">
        <v>687</v>
      </c>
      <c r="AD28" s="8" t="s">
        <v>4080</v>
      </c>
      <c r="AE28" s="8" t="s">
        <v>4287</v>
      </c>
      <c r="AF28" s="9">
        <f t="shared" si="0"/>
        <v>50.052</v>
      </c>
      <c r="AG28" s="9">
        <f t="shared" si="1"/>
        <v>127.07</v>
      </c>
      <c r="AH28" s="9">
        <f t="shared" si="2"/>
        <v>0.39117635197806183</v>
      </c>
      <c r="AI28" s="9">
        <f t="shared" si="3"/>
        <v>0.15301893834686453</v>
      </c>
      <c r="AJ28" s="9">
        <f t="shared" si="4"/>
        <v>0.93493696479099009</v>
      </c>
      <c r="AK28" s="9">
        <f t="shared" si="5"/>
        <v>0.87410712813258906</v>
      </c>
      <c r="AL28" s="9">
        <f t="shared" si="6"/>
        <v>3.6582572939749589</v>
      </c>
      <c r="AM28" s="9">
        <f t="shared" si="7"/>
        <v>13.382846428920988</v>
      </c>
      <c r="AN28" s="8" t="s">
        <v>687</v>
      </c>
    </row>
    <row r="29" spans="13:40" ht="23">
      <c r="M29" s="9" t="s">
        <v>2496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9" t="s">
        <v>2496</v>
      </c>
      <c r="X29" s="8">
        <v>10.86</v>
      </c>
      <c r="Y29" s="8">
        <v>1.38</v>
      </c>
      <c r="Z29" s="9">
        <v>0.35</v>
      </c>
      <c r="AA29" s="8">
        <v>8.8000000000000007</v>
      </c>
      <c r="AB29" s="8">
        <v>38701</v>
      </c>
      <c r="AC29" s="22" t="s">
        <v>2496</v>
      </c>
      <c r="AD29" s="8" t="s">
        <v>4080</v>
      </c>
      <c r="AE29" s="8" t="s">
        <v>4287</v>
      </c>
      <c r="AF29" s="9">
        <f t="shared" si="0"/>
        <v>12.144</v>
      </c>
      <c r="AG29" s="9">
        <f t="shared" si="1"/>
        <v>5.1333333333333337</v>
      </c>
      <c r="AH29" s="9">
        <f t="shared" si="2"/>
        <v>0.3548816389079324</v>
      </c>
      <c r="AI29" s="9">
        <f t="shared" si="3"/>
        <v>0.12594097763398013</v>
      </c>
      <c r="AJ29" s="9">
        <f t="shared" si="4"/>
        <v>0.22684157477067418</v>
      </c>
      <c r="AK29" s="9">
        <f t="shared" si="5"/>
        <v>5.1457100044439368E-2</v>
      </c>
      <c r="AL29" s="9">
        <f t="shared" si="6"/>
        <v>0.147785111427335</v>
      </c>
      <c r="AM29" s="9">
        <f t="shared" si="7"/>
        <v>2.184043915958982E-2</v>
      </c>
      <c r="AN29" s="9" t="s">
        <v>2496</v>
      </c>
    </row>
    <row r="30" spans="13:40" ht="23">
      <c r="M30" s="9" t="s">
        <v>2518</v>
      </c>
      <c r="N30" s="8" t="s">
        <v>150</v>
      </c>
      <c r="O30" s="8" t="s">
        <v>4163</v>
      </c>
      <c r="P30" s="8" t="s">
        <v>4662</v>
      </c>
      <c r="Q30" s="8"/>
      <c r="R30" s="8"/>
      <c r="S30" s="8"/>
      <c r="T30" s="8"/>
      <c r="U30" s="8"/>
      <c r="V30" s="8"/>
      <c r="W30" s="9" t="s">
        <v>2518</v>
      </c>
      <c r="X30" s="8">
        <v>22.64</v>
      </c>
      <c r="Y30" s="8">
        <v>6.89</v>
      </c>
      <c r="Z30" s="9">
        <v>2.1</v>
      </c>
      <c r="AA30" s="8">
        <v>6.3</v>
      </c>
      <c r="AB30" s="8">
        <v>17463</v>
      </c>
      <c r="AC30" s="22" t="s">
        <v>2518</v>
      </c>
      <c r="AD30" s="8" t="s">
        <v>4080</v>
      </c>
      <c r="AE30" s="8" t="s">
        <v>4287</v>
      </c>
      <c r="AF30" s="9">
        <f t="shared" si="0"/>
        <v>43.406999999999996</v>
      </c>
      <c r="AG30" s="9">
        <f t="shared" si="1"/>
        <v>12.610499999999998</v>
      </c>
      <c r="AH30" s="9">
        <f t="shared" si="2"/>
        <v>0.25406299149090611</v>
      </c>
      <c r="AI30" s="9">
        <f t="shared" si="3"/>
        <v>6.454800364530823E-2</v>
      </c>
      <c r="AJ30" s="9">
        <f t="shared" si="4"/>
        <v>0.81081293116523812</v>
      </c>
      <c r="AK30" s="9">
        <f t="shared" si="5"/>
        <v>0.65741760934476512</v>
      </c>
      <c r="AL30" s="9">
        <f t="shared" si="6"/>
        <v>0.3630475612313781</v>
      </c>
      <c r="AM30" s="9">
        <f t="shared" si="7"/>
        <v>0.13180353171605122</v>
      </c>
      <c r="AN30" s="9" t="s">
        <v>2518</v>
      </c>
    </row>
    <row r="31" spans="13:40" ht="23">
      <c r="M31" s="8" t="s">
        <v>1030</v>
      </c>
      <c r="N31" s="8" t="s">
        <v>150</v>
      </c>
      <c r="O31" s="8"/>
      <c r="P31" s="8" t="s">
        <v>3705</v>
      </c>
      <c r="Q31" s="8"/>
      <c r="R31" s="8"/>
      <c r="S31" s="8"/>
      <c r="T31" s="8"/>
      <c r="U31" s="8"/>
      <c r="V31" s="8"/>
      <c r="W31" s="8" t="s">
        <v>1030</v>
      </c>
      <c r="X31" s="8">
        <v>49.95</v>
      </c>
      <c r="Y31" s="8">
        <v>2.14</v>
      </c>
      <c r="Z31" s="9">
        <v>1.47</v>
      </c>
      <c r="AA31" s="8">
        <v>5.9</v>
      </c>
      <c r="AB31" s="8">
        <v>20798</v>
      </c>
      <c r="AC31" s="21" t="s">
        <v>1030</v>
      </c>
      <c r="AD31" s="8" t="s">
        <v>4080</v>
      </c>
      <c r="AE31" s="8" t="s">
        <v>4287</v>
      </c>
      <c r="AF31" s="9">
        <f t="shared" si="0"/>
        <v>12.626000000000001</v>
      </c>
      <c r="AG31" s="9">
        <f t="shared" si="1"/>
        <v>10.521666666666667</v>
      </c>
      <c r="AH31" s="9">
        <f t="shared" si="2"/>
        <v>0.23793200790418195</v>
      </c>
      <c r="AI31" s="9">
        <f t="shared" si="3"/>
        <v>5.6611640385315701E-2</v>
      </c>
      <c r="AJ31" s="9">
        <f t="shared" si="4"/>
        <v>0.23584500354533372</v>
      </c>
      <c r="AK31" s="9">
        <f t="shared" si="5"/>
        <v>5.5622865697298476E-2</v>
      </c>
      <c r="AL31" s="9">
        <f t="shared" si="6"/>
        <v>0.30291149624700187</v>
      </c>
      <c r="AM31" s="9">
        <f t="shared" si="7"/>
        <v>9.1755374558597419E-2</v>
      </c>
      <c r="AN31" s="8" t="s">
        <v>1030</v>
      </c>
    </row>
    <row r="32" spans="13:40" ht="23">
      <c r="M32" s="9" t="s">
        <v>2730</v>
      </c>
      <c r="N32" s="8" t="s">
        <v>1614</v>
      </c>
      <c r="O32" s="8"/>
      <c r="P32" s="8" t="s">
        <v>3691</v>
      </c>
      <c r="Q32" s="8"/>
      <c r="R32" s="8"/>
      <c r="S32" s="8"/>
      <c r="T32" s="8"/>
      <c r="U32" s="8"/>
      <c r="V32" s="8"/>
      <c r="W32" s="9" t="s">
        <v>2730</v>
      </c>
      <c r="X32" s="8">
        <v>25.88</v>
      </c>
      <c r="Y32" s="8">
        <v>2.65</v>
      </c>
      <c r="Z32" s="9">
        <v>2.0699999999999998</v>
      </c>
      <c r="AA32" s="8">
        <v>5.5</v>
      </c>
      <c r="AB32" s="8">
        <v>26041</v>
      </c>
      <c r="AC32" s="22" t="s">
        <v>2730</v>
      </c>
      <c r="AD32" s="8" t="s">
        <v>4080</v>
      </c>
      <c r="AE32" s="8" t="s">
        <v>4287</v>
      </c>
      <c r="AF32" s="9">
        <f t="shared" si="0"/>
        <v>14.574999999999999</v>
      </c>
      <c r="AG32" s="9">
        <f t="shared" si="1"/>
        <v>11.641666666666667</v>
      </c>
      <c r="AH32" s="9">
        <f t="shared" si="2"/>
        <v>0.22180102431745771</v>
      </c>
      <c r="AI32" s="9">
        <f t="shared" si="3"/>
        <v>4.9195694388273467E-2</v>
      </c>
      <c r="AJ32" s="9">
        <f t="shared" si="4"/>
        <v>0.2722509842129921</v>
      </c>
      <c r="AK32" s="9">
        <f t="shared" si="5"/>
        <v>7.4120598404942867E-2</v>
      </c>
      <c r="AL32" s="9">
        <f t="shared" si="6"/>
        <v>0.33515552055842046</v>
      </c>
      <c r="AM32" s="9">
        <f t="shared" si="7"/>
        <v>0.1123292229607858</v>
      </c>
      <c r="AN32" s="9" t="s">
        <v>2730</v>
      </c>
    </row>
    <row r="33" spans="13:40" ht="23">
      <c r="M33" s="8" t="s">
        <v>1684</v>
      </c>
      <c r="N33" s="8" t="s">
        <v>1614</v>
      </c>
      <c r="O33" s="8"/>
      <c r="P33" s="8" t="s">
        <v>3691</v>
      </c>
      <c r="Q33" s="8"/>
      <c r="R33" s="8"/>
      <c r="S33" s="8"/>
      <c r="T33" s="8"/>
      <c r="U33" s="8"/>
      <c r="V33" s="8"/>
      <c r="W33" s="8" t="s">
        <v>1684</v>
      </c>
      <c r="X33" s="8">
        <v>14.66</v>
      </c>
      <c r="Y33" s="8">
        <v>3.52</v>
      </c>
      <c r="Z33" s="9">
        <v>3.27</v>
      </c>
      <c r="AA33" s="8">
        <v>5.4</v>
      </c>
      <c r="AB33" s="8">
        <v>18202</v>
      </c>
      <c r="AC33" s="21" t="s">
        <v>1684</v>
      </c>
      <c r="AD33" s="8" t="s">
        <v>4080</v>
      </c>
      <c r="AE33" s="8" t="s">
        <v>4287</v>
      </c>
      <c r="AF33" s="9">
        <f t="shared" si="0"/>
        <v>19.008000000000003</v>
      </c>
      <c r="AG33" s="9">
        <f t="shared" si="1"/>
        <v>18.630000000000003</v>
      </c>
      <c r="AH33" s="9">
        <f t="shared" si="2"/>
        <v>0.2177682784207767</v>
      </c>
      <c r="AI33" s="9">
        <f t="shared" si="3"/>
        <v>4.7423023086348923E-2</v>
      </c>
      <c r="AJ33" s="9">
        <f t="shared" si="4"/>
        <v>0.35505637790192485</v>
      </c>
      <c r="AK33" s="9">
        <f t="shared" si="5"/>
        <v>0.12606503148883447</v>
      </c>
      <c r="AL33" s="9">
        <f t="shared" si="6"/>
        <v>0.53634479725154249</v>
      </c>
      <c r="AM33" s="9">
        <f t="shared" si="7"/>
        <v>0.2876657415387982</v>
      </c>
      <c r="AN33" s="8" t="s">
        <v>1684</v>
      </c>
    </row>
    <row r="34" spans="13:40" ht="23">
      <c r="M34" s="9" t="s">
        <v>2722</v>
      </c>
      <c r="N34" s="8" t="s">
        <v>1614</v>
      </c>
      <c r="O34" s="8"/>
      <c r="P34" s="8" t="s">
        <v>3692</v>
      </c>
      <c r="Q34" s="8"/>
      <c r="R34" s="8"/>
      <c r="S34" s="8"/>
      <c r="T34" s="8"/>
      <c r="U34" s="8"/>
      <c r="V34" s="8"/>
      <c r="W34" s="9" t="s">
        <v>2722</v>
      </c>
      <c r="X34" s="8">
        <v>35.020000000000003</v>
      </c>
      <c r="Y34" s="8">
        <v>2.15</v>
      </c>
      <c r="Z34" s="9">
        <v>1.04</v>
      </c>
      <c r="AA34" s="8">
        <v>5.0999999999999996</v>
      </c>
      <c r="AB34" s="8">
        <v>29338</v>
      </c>
      <c r="AC34" s="22" t="s">
        <v>2722</v>
      </c>
      <c r="AD34" s="8" t="s">
        <v>4080</v>
      </c>
      <c r="AE34" s="8" t="s">
        <v>4287</v>
      </c>
      <c r="AF34" s="9">
        <f t="shared" ref="AF34:AF54" si="8">(AA34*Y34)</f>
        <v>10.964999999999998</v>
      </c>
      <c r="AG34" s="9">
        <f t="shared" ref="AG34:AG54" si="9">((((RIGHT(Z34,2))/60)+(LEFT(Z34,2)))*AA34)</f>
        <v>5.4399999999999995</v>
      </c>
      <c r="AH34" s="9">
        <f t="shared" ref="AH34:AH54" si="10">(AA34/$AA$55)*100</f>
        <v>0.20567004073073353</v>
      </c>
      <c r="AI34" s="9">
        <f t="shared" ref="AI34:AI54" si="11">(AH34*AH34)</f>
        <v>4.2300165654181592E-2</v>
      </c>
      <c r="AJ34" s="9">
        <f t="shared" ref="AJ34:AJ54" si="12">(AF34/$AF$55)*100</f>
        <v>0.20481866496709833</v>
      </c>
      <c r="AK34" s="9">
        <f t="shared" ref="AK34:AK54" si="13">(AJ34*AJ34)</f>
        <v>4.1950685518904469E-2</v>
      </c>
      <c r="AL34" s="9">
        <f t="shared" ref="AL34:AL54" si="14">(AG34/$AG$55)*100</f>
        <v>0.15661383236974719</v>
      </c>
      <c r="AM34" s="9">
        <f t="shared" ref="AM34:AM54" si="15">(AL34*AL34)</f>
        <v>2.4527892489539273E-2</v>
      </c>
      <c r="AN34" s="9" t="s">
        <v>2722</v>
      </c>
    </row>
    <row r="35" spans="13:40" ht="23">
      <c r="M35" s="8" t="s">
        <v>1647</v>
      </c>
      <c r="N35" s="8" t="s">
        <v>1614</v>
      </c>
      <c r="O35" s="8"/>
      <c r="P35" s="8" t="s">
        <v>3693</v>
      </c>
      <c r="Q35" s="8"/>
      <c r="R35" s="8"/>
      <c r="S35" s="8"/>
      <c r="T35" s="8"/>
      <c r="U35" s="8"/>
      <c r="V35" s="8"/>
      <c r="W35" s="8" t="s">
        <v>1647</v>
      </c>
      <c r="X35" s="8">
        <v>25.5</v>
      </c>
      <c r="Y35" s="8">
        <v>3.5</v>
      </c>
      <c r="Z35" s="9">
        <v>1.38</v>
      </c>
      <c r="AA35" s="8">
        <v>4.3</v>
      </c>
      <c r="AB35" s="8">
        <v>22295</v>
      </c>
      <c r="AC35" s="21" t="s">
        <v>1647</v>
      </c>
      <c r="AD35" s="8" t="s">
        <v>4080</v>
      </c>
      <c r="AE35" s="8" t="s">
        <v>4287</v>
      </c>
      <c r="AF35" s="9">
        <f t="shared" si="8"/>
        <v>15.049999999999999</v>
      </c>
      <c r="AG35" s="9">
        <f t="shared" si="9"/>
        <v>7.0233333333333325</v>
      </c>
      <c r="AH35" s="9">
        <f t="shared" si="10"/>
        <v>0.17340807355728513</v>
      </c>
      <c r="AI35" s="9">
        <f t="shared" si="11"/>
        <v>3.0070359974848811E-2</v>
      </c>
      <c r="AJ35" s="9">
        <f t="shared" si="12"/>
        <v>0.2811236577979781</v>
      </c>
      <c r="AK35" s="9">
        <f t="shared" si="13"/>
        <v>7.903051097371469E-2</v>
      </c>
      <c r="AL35" s="9">
        <f t="shared" si="14"/>
        <v>0.20219690245285374</v>
      </c>
      <c r="AM35" s="9">
        <f t="shared" si="15"/>
        <v>4.0883587361528848E-2</v>
      </c>
      <c r="AN35" s="8" t="s">
        <v>1647</v>
      </c>
    </row>
    <row r="36" spans="13:40" ht="23">
      <c r="M36" s="9" t="s">
        <v>3600</v>
      </c>
      <c r="N36" s="8" t="s">
        <v>2084</v>
      </c>
      <c r="O36" s="8"/>
      <c r="P36" s="8"/>
      <c r="Q36" s="8"/>
      <c r="R36" s="8"/>
      <c r="S36" s="8"/>
      <c r="T36" s="8"/>
      <c r="U36" s="8"/>
      <c r="V36" s="8"/>
      <c r="W36" s="9" t="s">
        <v>3600</v>
      </c>
      <c r="X36" s="8">
        <v>2.16</v>
      </c>
      <c r="Y36" s="8">
        <v>1.41</v>
      </c>
      <c r="Z36" s="9">
        <v>0.33</v>
      </c>
      <c r="AA36" s="8">
        <v>4.0999999999999996</v>
      </c>
      <c r="AB36" s="8">
        <v>82066</v>
      </c>
      <c r="AC36" s="22" t="s">
        <v>3600</v>
      </c>
      <c r="AD36" s="8" t="s">
        <v>4465</v>
      </c>
      <c r="AE36" s="8" t="s">
        <v>4287</v>
      </c>
      <c r="AF36" s="9">
        <f t="shared" si="8"/>
        <v>5.7809999999999988</v>
      </c>
      <c r="AG36" s="9">
        <f t="shared" si="9"/>
        <v>2.2549999999999999</v>
      </c>
      <c r="AH36" s="9">
        <f t="shared" si="10"/>
        <v>0.16534258176392302</v>
      </c>
      <c r="AI36" s="9">
        <f t="shared" si="11"/>
        <v>2.7338169344359571E-2</v>
      </c>
      <c r="AJ36" s="9">
        <f t="shared" si="12"/>
        <v>0.10798510735748248</v>
      </c>
      <c r="AK36" s="9">
        <f t="shared" si="13"/>
        <v>1.1660783411007018E-2</v>
      </c>
      <c r="AL36" s="9">
        <f t="shared" si="14"/>
        <v>6.4919888234150736E-2</v>
      </c>
      <c r="AM36" s="9">
        <f t="shared" si="15"/>
        <v>4.214591888334623E-3</v>
      </c>
      <c r="AN36" s="9" t="s">
        <v>3600</v>
      </c>
    </row>
    <row r="37" spans="13:40" ht="23">
      <c r="M37" s="9" t="s">
        <v>2815</v>
      </c>
      <c r="N37" s="8" t="s">
        <v>1614</v>
      </c>
      <c r="O37" s="8"/>
      <c r="P37" s="8"/>
      <c r="Q37" s="8"/>
      <c r="R37" s="8"/>
      <c r="S37" s="8"/>
      <c r="T37" s="8"/>
      <c r="U37" s="8"/>
      <c r="V37" s="8"/>
      <c r="W37" s="9" t="s">
        <v>2815</v>
      </c>
      <c r="X37" s="8">
        <v>9.6300000000000008</v>
      </c>
      <c r="Y37" s="8">
        <v>1.26</v>
      </c>
      <c r="Z37" s="9">
        <v>0.5</v>
      </c>
      <c r="AA37" s="8">
        <v>4</v>
      </c>
      <c r="AB37" s="8">
        <v>82039</v>
      </c>
      <c r="AC37" s="22" t="s">
        <v>2815</v>
      </c>
      <c r="AD37" s="8" t="s">
        <v>4465</v>
      </c>
      <c r="AE37" s="8" t="s">
        <v>4287</v>
      </c>
      <c r="AF37" s="9">
        <f t="shared" si="8"/>
        <v>5.04</v>
      </c>
      <c r="AG37" s="9">
        <f t="shared" si="9"/>
        <v>3.3333333333333333E-2</v>
      </c>
      <c r="AH37" s="9">
        <f t="shared" si="10"/>
        <v>0.16130983586724199</v>
      </c>
      <c r="AI37" s="9">
        <f t="shared" si="11"/>
        <v>2.6020863147516549E-2</v>
      </c>
      <c r="AJ37" s="9">
        <f t="shared" si="12"/>
        <v>9.4143736564904296E-2</v>
      </c>
      <c r="AK37" s="9">
        <f t="shared" si="13"/>
        <v>8.8630431344020981E-3</v>
      </c>
      <c r="AL37" s="9">
        <f t="shared" si="14"/>
        <v>9.5964358069698045E-4</v>
      </c>
      <c r="AM37" s="9">
        <f t="shared" si="15"/>
        <v>9.2091580197292203E-7</v>
      </c>
      <c r="AN37" s="9" t="s">
        <v>2815</v>
      </c>
    </row>
    <row r="38" spans="13:40" ht="23">
      <c r="M38" s="8" t="s">
        <v>1297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8" t="s">
        <v>1297</v>
      </c>
      <c r="X38" s="8">
        <v>48.75</v>
      </c>
      <c r="Y38" s="8">
        <v>1.7</v>
      </c>
      <c r="Z38" s="9">
        <v>2.29</v>
      </c>
      <c r="AA38" s="8">
        <v>3.6</v>
      </c>
      <c r="AB38" s="8">
        <v>37427</v>
      </c>
      <c r="AC38" s="21" t="s">
        <v>1297</v>
      </c>
      <c r="AD38" s="8" t="s">
        <v>4080</v>
      </c>
      <c r="AE38" s="8" t="s">
        <v>4287</v>
      </c>
      <c r="AF38" s="9">
        <f t="shared" si="8"/>
        <v>6.12</v>
      </c>
      <c r="AG38" s="9">
        <f t="shared" si="9"/>
        <v>8.9400000000000013</v>
      </c>
      <c r="AH38" s="9">
        <f t="shared" si="10"/>
        <v>0.1451788522805178</v>
      </c>
      <c r="AI38" s="9">
        <f t="shared" si="11"/>
        <v>2.1076899149488407E-2</v>
      </c>
      <c r="AJ38" s="9">
        <f t="shared" si="12"/>
        <v>0.11431739440024094</v>
      </c>
      <c r="AK38" s="9">
        <f t="shared" si="13"/>
        <v>1.3068466662460239E-2</v>
      </c>
      <c r="AL38" s="9">
        <f t="shared" si="14"/>
        <v>0.25737640834293019</v>
      </c>
      <c r="AM38" s="9">
        <f t="shared" si="15"/>
        <v>6.6242615571506749E-2</v>
      </c>
      <c r="AN38" s="8" t="s">
        <v>1297</v>
      </c>
    </row>
    <row r="39" spans="13:40" ht="23">
      <c r="M39" s="8" t="s">
        <v>1536</v>
      </c>
      <c r="N39" s="8" t="s">
        <v>150</v>
      </c>
      <c r="O39" s="8"/>
      <c r="P39" s="8" t="s">
        <v>4693</v>
      </c>
      <c r="Q39" s="8"/>
      <c r="R39" s="8"/>
      <c r="S39" s="8"/>
      <c r="T39" s="8"/>
      <c r="U39" s="8"/>
      <c r="V39" s="8"/>
      <c r="W39" s="8" t="s">
        <v>1536</v>
      </c>
      <c r="X39" s="8">
        <v>24.47</v>
      </c>
      <c r="Y39" s="8">
        <v>4.3499999999999996</v>
      </c>
      <c r="Z39" s="9">
        <v>3.15</v>
      </c>
      <c r="AA39" s="8">
        <v>3.3</v>
      </c>
      <c r="AB39" s="8">
        <v>34655</v>
      </c>
      <c r="AC39" s="21" t="s">
        <v>1536</v>
      </c>
      <c r="AD39" s="8" t="s">
        <v>4080</v>
      </c>
      <c r="AE39" s="8" t="s">
        <v>4287</v>
      </c>
      <c r="AF39" s="9">
        <f t="shared" si="8"/>
        <v>14.354999999999999</v>
      </c>
      <c r="AG39" s="9">
        <f t="shared" si="9"/>
        <v>10.725</v>
      </c>
      <c r="AH39" s="9">
        <f t="shared" si="10"/>
        <v>0.13308061459047463</v>
      </c>
      <c r="AI39" s="9">
        <f t="shared" si="11"/>
        <v>1.7710449979778449E-2</v>
      </c>
      <c r="AJ39" s="9">
        <f t="shared" si="12"/>
        <v>0.26814153539468277</v>
      </c>
      <c r="AK39" s="9">
        <f t="shared" si="13"/>
        <v>7.1899883003817916E-2</v>
      </c>
      <c r="AL39" s="9">
        <f t="shared" si="14"/>
        <v>0.30876532208925345</v>
      </c>
      <c r="AM39" s="9">
        <f t="shared" si="15"/>
        <v>9.5336024124880417E-2</v>
      </c>
      <c r="AN39" s="8" t="s">
        <v>1536</v>
      </c>
    </row>
    <row r="40" spans="13:40" ht="23">
      <c r="M40" s="8" t="s">
        <v>1418</v>
      </c>
      <c r="N40" s="8" t="s">
        <v>150</v>
      </c>
      <c r="O40" s="8"/>
      <c r="P40" s="8" t="s">
        <v>3693</v>
      </c>
      <c r="Q40" s="8"/>
      <c r="R40" s="8"/>
      <c r="S40" s="8"/>
      <c r="T40" s="8"/>
      <c r="U40" s="8"/>
      <c r="V40" s="8"/>
      <c r="W40" s="8" t="s">
        <v>1418</v>
      </c>
      <c r="X40" s="8">
        <v>50.02</v>
      </c>
      <c r="Y40" s="8">
        <v>2.25</v>
      </c>
      <c r="Z40" s="9">
        <v>2.21</v>
      </c>
      <c r="AA40" s="8">
        <v>3.2</v>
      </c>
      <c r="AB40" s="8">
        <v>36128</v>
      </c>
      <c r="AC40" s="21" t="s">
        <v>1418</v>
      </c>
      <c r="AD40" s="8" t="s">
        <v>4464</v>
      </c>
      <c r="AE40" s="8" t="s">
        <v>4287</v>
      </c>
      <c r="AF40" s="9">
        <f t="shared" si="8"/>
        <v>7.2</v>
      </c>
      <c r="AG40" s="9">
        <f t="shared" si="9"/>
        <v>7.5200000000000005</v>
      </c>
      <c r="AH40" s="9">
        <f t="shared" si="10"/>
        <v>0.12904786869379362</v>
      </c>
      <c r="AI40" s="9">
        <f t="shared" si="11"/>
        <v>1.6653352414410599E-2</v>
      </c>
      <c r="AJ40" s="9">
        <f t="shared" si="12"/>
        <v>0.13449105223557759</v>
      </c>
      <c r="AK40" s="9">
        <f t="shared" si="13"/>
        <v>1.8087843131432857E-2</v>
      </c>
      <c r="AL40" s="9">
        <f t="shared" si="14"/>
        <v>0.21649559180523881</v>
      </c>
      <c r="AM40" s="9">
        <f t="shared" si="15"/>
        <v>4.6870341271100582E-2</v>
      </c>
      <c r="AN40" s="8" t="s">
        <v>1418</v>
      </c>
    </row>
    <row r="41" spans="13:40" ht="23">
      <c r="M41" s="8" t="s">
        <v>4386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8" t="s">
        <v>4386</v>
      </c>
      <c r="X41" s="8">
        <v>55.27</v>
      </c>
      <c r="Y41" s="8">
        <v>2.63</v>
      </c>
      <c r="Z41" s="9">
        <v>3.4</v>
      </c>
      <c r="AA41" s="8">
        <v>2.8</v>
      </c>
      <c r="AB41" s="8">
        <v>34519</v>
      </c>
      <c r="AC41" s="21" t="s">
        <v>4386</v>
      </c>
      <c r="AD41" s="8" t="s">
        <v>4080</v>
      </c>
      <c r="AE41" s="8" t="s">
        <v>4287</v>
      </c>
      <c r="AF41" s="9">
        <f t="shared" si="8"/>
        <v>7.363999999999999</v>
      </c>
      <c r="AG41" s="9">
        <f t="shared" si="9"/>
        <v>8.4186666666666667</v>
      </c>
      <c r="AH41" s="9">
        <f t="shared" si="10"/>
        <v>0.11291688510706938</v>
      </c>
      <c r="AI41" s="9">
        <f t="shared" si="11"/>
        <v>1.2750222942283106E-2</v>
      </c>
      <c r="AJ41" s="9">
        <f t="shared" si="12"/>
        <v>0.13755445953649903</v>
      </c>
      <c r="AK41" s="9">
        <f t="shared" si="13"/>
        <v>1.8921229338378347E-2</v>
      </c>
      <c r="AL41" s="9">
        <f t="shared" si="14"/>
        <v>0.2423675827408294</v>
      </c>
      <c r="AM41" s="9">
        <f t="shared" si="15"/>
        <v>5.8742045163632781E-2</v>
      </c>
      <c r="AN41" s="8" t="s">
        <v>4386</v>
      </c>
    </row>
    <row r="42" spans="13:40" ht="23">
      <c r="M42" s="9" t="s">
        <v>2778</v>
      </c>
      <c r="N42" s="8" t="s">
        <v>1614</v>
      </c>
      <c r="O42" s="8"/>
      <c r="P42" s="8"/>
      <c r="Q42" s="8"/>
      <c r="R42" s="8"/>
      <c r="S42" s="8"/>
      <c r="T42" s="8"/>
      <c r="U42" s="8"/>
      <c r="V42" s="8"/>
      <c r="W42" s="9" t="s">
        <v>2778</v>
      </c>
      <c r="X42" s="8">
        <v>34.79</v>
      </c>
      <c r="Y42" s="8">
        <v>2.0299999999999998</v>
      </c>
      <c r="Z42" s="9">
        <v>2.16</v>
      </c>
      <c r="AA42" s="8">
        <v>2.8</v>
      </c>
      <c r="AB42" s="8">
        <v>34723</v>
      </c>
      <c r="AC42" s="22" t="s">
        <v>2778</v>
      </c>
      <c r="AD42" s="8" t="s">
        <v>4464</v>
      </c>
      <c r="AE42" s="8" t="s">
        <v>4287</v>
      </c>
      <c r="AF42" s="9">
        <f t="shared" si="8"/>
        <v>5.6839999999999993</v>
      </c>
      <c r="AG42" s="9">
        <f t="shared" si="9"/>
        <v>6.3466666666666658</v>
      </c>
      <c r="AH42" s="9">
        <f t="shared" si="10"/>
        <v>0.11291688510706938</v>
      </c>
      <c r="AI42" s="9">
        <f t="shared" si="11"/>
        <v>1.2750222942283106E-2</v>
      </c>
      <c r="AJ42" s="9">
        <f t="shared" si="12"/>
        <v>0.10617321401486428</v>
      </c>
      <c r="AK42" s="9">
        <f t="shared" si="13"/>
        <v>1.1272751374246173E-2</v>
      </c>
      <c r="AL42" s="9">
        <f t="shared" si="14"/>
        <v>0.18271613776470505</v>
      </c>
      <c r="AM42" s="9">
        <f t="shared" si="15"/>
        <v>3.3385186999650672E-2</v>
      </c>
      <c r="AN42" s="9" t="s">
        <v>2778</v>
      </c>
    </row>
    <row r="43" spans="13:40" ht="23">
      <c r="M43" s="8" t="s">
        <v>1898</v>
      </c>
      <c r="N43" s="8" t="s">
        <v>1869</v>
      </c>
      <c r="O43" s="8"/>
      <c r="P43" s="8"/>
      <c r="Q43" s="8"/>
      <c r="R43" s="8"/>
      <c r="S43" s="8"/>
      <c r="T43" s="8"/>
      <c r="U43" s="8"/>
      <c r="V43" s="8"/>
      <c r="W43" s="8" t="s">
        <v>1898</v>
      </c>
      <c r="X43" s="8">
        <v>31.36</v>
      </c>
      <c r="Y43" s="8">
        <v>2.73</v>
      </c>
      <c r="Z43" s="9">
        <v>0.34</v>
      </c>
      <c r="AA43" s="8">
        <v>2.7</v>
      </c>
      <c r="AB43" s="8">
        <v>59478</v>
      </c>
      <c r="AC43" s="21" t="s">
        <v>1898</v>
      </c>
      <c r="AD43" s="8" t="s">
        <v>4080</v>
      </c>
      <c r="AE43" s="8" t="s">
        <v>4287</v>
      </c>
      <c r="AF43" s="9">
        <f t="shared" si="8"/>
        <v>7.3710000000000004</v>
      </c>
      <c r="AG43" s="9">
        <f t="shared" si="9"/>
        <v>1.53</v>
      </c>
      <c r="AH43" s="9">
        <f t="shared" si="10"/>
        <v>0.10888413921038835</v>
      </c>
      <c r="AI43" s="9">
        <f t="shared" si="11"/>
        <v>1.1855755771587231E-2</v>
      </c>
      <c r="AJ43" s="9">
        <f t="shared" si="12"/>
        <v>0.13768521472617254</v>
      </c>
      <c r="AK43" s="9">
        <f t="shared" si="13"/>
        <v>1.8957218354192239E-2</v>
      </c>
      <c r="AL43" s="9">
        <f t="shared" si="14"/>
        <v>4.4047640353991405E-2</v>
      </c>
      <c r="AM43" s="9">
        <f t="shared" si="15"/>
        <v>1.940194620754572E-3</v>
      </c>
      <c r="AN43" s="8" t="s">
        <v>1898</v>
      </c>
    </row>
    <row r="44" spans="13:40" ht="23">
      <c r="M44" s="9" t="s">
        <v>3259</v>
      </c>
      <c r="N44" s="8" t="s">
        <v>1902</v>
      </c>
      <c r="O44" s="8"/>
      <c r="P44" s="8" t="s">
        <v>3691</v>
      </c>
      <c r="Q44" s="8"/>
      <c r="R44" s="8"/>
      <c r="S44" s="8"/>
      <c r="T44" s="8"/>
      <c r="U44" s="8"/>
      <c r="V44" s="8"/>
      <c r="W44" s="9" t="s">
        <v>3259</v>
      </c>
      <c r="X44" s="8">
        <v>17.510000000000002</v>
      </c>
      <c r="Y44" s="8">
        <v>5.87</v>
      </c>
      <c r="Z44" s="9">
        <v>5.5</v>
      </c>
      <c r="AA44" s="8">
        <v>2.4</v>
      </c>
      <c r="AB44" s="8">
        <v>26529</v>
      </c>
      <c r="AC44" s="22" t="s">
        <v>3259</v>
      </c>
      <c r="AD44" s="8" t="s">
        <v>4464</v>
      </c>
      <c r="AE44" s="8" t="s">
        <v>4287</v>
      </c>
      <c r="AF44" s="9">
        <f t="shared" si="8"/>
        <v>14.087999999999999</v>
      </c>
      <c r="AG44" s="9">
        <f t="shared" si="9"/>
        <v>12.020000000000001</v>
      </c>
      <c r="AH44" s="9">
        <f t="shared" si="10"/>
        <v>9.6785901520345177E-2</v>
      </c>
      <c r="AI44" s="9">
        <f t="shared" si="11"/>
        <v>9.3675107331059552E-3</v>
      </c>
      <c r="AJ44" s="9">
        <f t="shared" si="12"/>
        <v>0.26315415887428006</v>
      </c>
      <c r="AK44" s="9">
        <f t="shared" si="13"/>
        <v>6.9250111332829836E-2</v>
      </c>
      <c r="AL44" s="9">
        <f t="shared" si="14"/>
        <v>0.34604747519933121</v>
      </c>
      <c r="AM44" s="9">
        <f t="shared" si="15"/>
        <v>0.11974885509183175</v>
      </c>
      <c r="AN44" s="9" t="s">
        <v>3259</v>
      </c>
    </row>
    <row r="45" spans="13:40" ht="23">
      <c r="M45" s="9" t="s">
        <v>2824</v>
      </c>
      <c r="N45" s="8" t="s">
        <v>1614</v>
      </c>
      <c r="O45" s="8"/>
      <c r="P45" s="8" t="s">
        <v>3691</v>
      </c>
      <c r="Q45" s="8"/>
      <c r="R45" s="8"/>
      <c r="S45" s="8"/>
      <c r="T45" s="8"/>
      <c r="U45" s="8"/>
      <c r="V45" s="8"/>
      <c r="W45" s="9" t="s">
        <v>2824</v>
      </c>
      <c r="X45" s="8">
        <v>52.26</v>
      </c>
      <c r="Y45" s="8">
        <v>2.84</v>
      </c>
      <c r="Z45" s="9">
        <v>4.51</v>
      </c>
      <c r="AA45" s="8">
        <v>2.4</v>
      </c>
      <c r="AB45" s="8">
        <v>32815</v>
      </c>
      <c r="AC45" s="22" t="s">
        <v>2824</v>
      </c>
      <c r="AD45" s="8" t="s">
        <v>4080</v>
      </c>
      <c r="AE45" s="8" t="s">
        <v>4287</v>
      </c>
      <c r="AF45" s="9">
        <f t="shared" si="8"/>
        <v>6.8159999999999998</v>
      </c>
      <c r="AG45" s="9">
        <f t="shared" si="9"/>
        <v>11.639999999999999</v>
      </c>
      <c r="AH45" s="9">
        <f t="shared" si="10"/>
        <v>9.6785901520345177E-2</v>
      </c>
      <c r="AI45" s="9">
        <f t="shared" si="11"/>
        <v>9.3675107331059552E-3</v>
      </c>
      <c r="AJ45" s="9">
        <f t="shared" si="12"/>
        <v>0.12731819611634676</v>
      </c>
      <c r="AK45" s="9">
        <f t="shared" si="13"/>
        <v>1.6209923062320535E-2</v>
      </c>
      <c r="AL45" s="9">
        <f t="shared" si="14"/>
        <v>0.33510753837938556</v>
      </c>
      <c r="AM45" s="9">
        <f t="shared" si="15"/>
        <v>0.11229706227869136</v>
      </c>
      <c r="AN45" s="9" t="s">
        <v>2824</v>
      </c>
    </row>
    <row r="46" spans="13:40" ht="23">
      <c r="M46" s="8" t="s">
        <v>112</v>
      </c>
      <c r="N46" s="8" t="s">
        <v>90</v>
      </c>
      <c r="O46" s="8"/>
      <c r="P46" s="8" t="s">
        <v>3691</v>
      </c>
      <c r="Q46" s="8"/>
      <c r="R46" s="8"/>
      <c r="S46" s="8"/>
      <c r="T46" s="8"/>
      <c r="U46" s="8"/>
      <c r="V46" s="8"/>
      <c r="W46" s="8" t="s">
        <v>112</v>
      </c>
      <c r="X46" s="8">
        <v>30.13</v>
      </c>
      <c r="Y46" s="8">
        <v>6.09</v>
      </c>
      <c r="Z46" s="9">
        <v>5.2</v>
      </c>
      <c r="AA46" s="8">
        <v>2.2000000000000002</v>
      </c>
      <c r="AB46" s="8">
        <v>33118</v>
      </c>
      <c r="AC46" s="21" t="s">
        <v>112</v>
      </c>
      <c r="AD46" s="8" t="s">
        <v>4464</v>
      </c>
      <c r="AE46" s="8" t="s">
        <v>4287</v>
      </c>
      <c r="AF46" s="9">
        <f t="shared" si="8"/>
        <v>13.398000000000001</v>
      </c>
      <c r="AG46" s="9">
        <f t="shared" si="9"/>
        <v>11.007333333333333</v>
      </c>
      <c r="AH46" s="9">
        <f t="shared" si="10"/>
        <v>8.8720409726983099E-2</v>
      </c>
      <c r="AI46" s="9">
        <f t="shared" si="11"/>
        <v>7.871311102123758E-3</v>
      </c>
      <c r="AJ46" s="9">
        <f t="shared" si="12"/>
        <v>0.25026543303503729</v>
      </c>
      <c r="AK46" s="9">
        <f t="shared" si="13"/>
        <v>6.2632786972214735E-2</v>
      </c>
      <c r="AL46" s="9">
        <f t="shared" si="14"/>
        <v>0.31689350321775689</v>
      </c>
      <c r="AM46" s="9">
        <f t="shared" si="15"/>
        <v>0.1004214923816225</v>
      </c>
      <c r="AN46" s="8" t="s">
        <v>112</v>
      </c>
    </row>
    <row r="47" spans="13:40" ht="23">
      <c r="M47" s="8" t="s">
        <v>1849</v>
      </c>
      <c r="N47" s="8" t="s">
        <v>1814</v>
      </c>
      <c r="O47" s="8"/>
      <c r="P47" s="8" t="s">
        <v>3693</v>
      </c>
      <c r="Q47" s="8"/>
      <c r="R47" s="8"/>
      <c r="S47" s="8"/>
      <c r="T47" s="8"/>
      <c r="U47" s="8"/>
      <c r="V47" s="8"/>
      <c r="W47" s="8" t="s">
        <v>1849</v>
      </c>
      <c r="X47" s="8">
        <v>24.97</v>
      </c>
      <c r="Y47" s="8">
        <v>3.35</v>
      </c>
      <c r="Z47" s="9">
        <v>4.3899999999999997</v>
      </c>
      <c r="AA47" s="8">
        <v>2.2000000000000002</v>
      </c>
      <c r="AB47" s="8">
        <v>45357</v>
      </c>
      <c r="AC47" s="21" t="s">
        <v>1849</v>
      </c>
      <c r="AD47" s="8" t="s">
        <v>4464</v>
      </c>
      <c r="AE47" s="8" t="s">
        <v>4287</v>
      </c>
      <c r="AF47" s="9">
        <f t="shared" si="8"/>
        <v>7.370000000000001</v>
      </c>
      <c r="AG47" s="9">
        <f t="shared" si="9"/>
        <v>10.230000000000002</v>
      </c>
      <c r="AH47" s="9">
        <f t="shared" si="10"/>
        <v>8.8720409726983099E-2</v>
      </c>
      <c r="AI47" s="9">
        <f t="shared" si="11"/>
        <v>7.871311102123758E-3</v>
      </c>
      <c r="AJ47" s="9">
        <f t="shared" si="12"/>
        <v>0.13766653541336207</v>
      </c>
      <c r="AK47" s="9">
        <f t="shared" si="13"/>
        <v>1.8952074972718475E-2</v>
      </c>
      <c r="AL47" s="9">
        <f t="shared" si="14"/>
        <v>0.29451461491590336</v>
      </c>
      <c r="AM47" s="9">
        <f t="shared" si="15"/>
        <v>8.673885839906284E-2</v>
      </c>
      <c r="AN47" s="8" t="s">
        <v>1849</v>
      </c>
    </row>
    <row r="48" spans="13:40" ht="23">
      <c r="M48" s="9" t="s">
        <v>3533</v>
      </c>
      <c r="N48" s="8" t="s">
        <v>2041</v>
      </c>
      <c r="O48" s="8"/>
      <c r="P48" s="8" t="s">
        <v>4167</v>
      </c>
      <c r="Q48" s="8"/>
      <c r="R48" s="8"/>
      <c r="S48" s="8"/>
      <c r="T48" s="8"/>
      <c r="U48" s="8"/>
      <c r="V48" s="8"/>
      <c r="W48" s="9" t="s">
        <v>3533</v>
      </c>
      <c r="X48" s="8">
        <v>42.8</v>
      </c>
      <c r="Y48" s="8">
        <v>1.81</v>
      </c>
      <c r="Z48" s="9">
        <v>1.35</v>
      </c>
      <c r="AA48" s="8">
        <v>1.9</v>
      </c>
      <c r="AB48" s="8">
        <v>46720</v>
      </c>
      <c r="AC48" s="22" t="s">
        <v>3533</v>
      </c>
      <c r="AD48" s="8" t="s">
        <v>4080</v>
      </c>
      <c r="AE48" s="8" t="s">
        <v>4287</v>
      </c>
      <c r="AF48" s="9">
        <f t="shared" si="8"/>
        <v>3.4390000000000001</v>
      </c>
      <c r="AG48" s="9">
        <f t="shared" si="9"/>
        <v>3.0083333333333333</v>
      </c>
      <c r="AH48" s="9">
        <f t="shared" si="10"/>
        <v>7.6622172036939939E-2</v>
      </c>
      <c r="AI48" s="9">
        <f t="shared" si="11"/>
        <v>5.8709572476584211E-3</v>
      </c>
      <c r="AJ48" s="9">
        <f t="shared" si="12"/>
        <v>6.4238156755298786E-2</v>
      </c>
      <c r="AK48" s="9">
        <f t="shared" si="13"/>
        <v>4.1265407833183387E-3</v>
      </c>
      <c r="AL48" s="9">
        <f t="shared" si="14"/>
        <v>8.6607833157902478E-2</v>
      </c>
      <c r="AM48" s="9">
        <f t="shared" si="15"/>
        <v>7.5009167643070723E-3</v>
      </c>
      <c r="AN48" s="9" t="s">
        <v>3533</v>
      </c>
    </row>
    <row r="49" spans="13:40" ht="23">
      <c r="M49" s="9" t="s">
        <v>3154</v>
      </c>
      <c r="N49" s="8" t="s">
        <v>1869</v>
      </c>
      <c r="O49" s="8"/>
      <c r="P49" s="8" t="s">
        <v>3693</v>
      </c>
      <c r="Q49" s="8"/>
      <c r="R49" s="8"/>
      <c r="S49" s="8"/>
      <c r="T49" s="8"/>
      <c r="U49" s="8"/>
      <c r="V49" s="8"/>
      <c r="W49" s="9" t="s">
        <v>3154</v>
      </c>
      <c r="X49" s="8">
        <v>31.9</v>
      </c>
      <c r="Y49" s="8">
        <v>7.49</v>
      </c>
      <c r="Z49" s="9">
        <v>18.48</v>
      </c>
      <c r="AA49" s="8">
        <v>1.8</v>
      </c>
      <c r="AB49" s="8">
        <v>50489</v>
      </c>
      <c r="AC49" s="22" t="s">
        <v>3154</v>
      </c>
      <c r="AD49" s="8" t="s">
        <v>4080</v>
      </c>
      <c r="AE49" s="8" t="s">
        <v>4287</v>
      </c>
      <c r="AF49" s="9">
        <f t="shared" si="8"/>
        <v>13.482000000000001</v>
      </c>
      <c r="AG49" s="9">
        <f t="shared" si="9"/>
        <v>33.840000000000003</v>
      </c>
      <c r="AH49" s="9">
        <f t="shared" si="10"/>
        <v>7.25894261402589E-2</v>
      </c>
      <c r="AI49" s="9">
        <f t="shared" si="11"/>
        <v>5.2692247873721018E-3</v>
      </c>
      <c r="AJ49" s="9">
        <f t="shared" si="12"/>
        <v>0.25183449531111901</v>
      </c>
      <c r="AK49" s="9">
        <f t="shared" si="13"/>
        <v>6.3420613028606021E-2</v>
      </c>
      <c r="AL49" s="9">
        <f t="shared" si="14"/>
        <v>0.97423016312357458</v>
      </c>
      <c r="AM49" s="9">
        <f t="shared" si="15"/>
        <v>0.94912441073978671</v>
      </c>
      <c r="AN49" s="9" t="s">
        <v>3154</v>
      </c>
    </row>
    <row r="50" spans="13:40" ht="23">
      <c r="M50" s="9" t="s">
        <v>3229</v>
      </c>
      <c r="N50" s="8" t="s">
        <v>1902</v>
      </c>
      <c r="O50" s="8"/>
      <c r="P50" s="8"/>
      <c r="Q50" s="8"/>
      <c r="R50" s="8"/>
      <c r="S50" s="8"/>
      <c r="T50" s="8"/>
      <c r="U50" s="8"/>
      <c r="V50" s="8"/>
      <c r="W50" s="9" t="s">
        <v>3229</v>
      </c>
      <c r="X50" s="8">
        <v>53.76</v>
      </c>
      <c r="Y50" s="8">
        <v>1.53</v>
      </c>
      <c r="Z50" s="9">
        <v>0.12</v>
      </c>
      <c r="AA50" s="8">
        <v>1.6</v>
      </c>
      <c r="AB50" s="8">
        <v>66397</v>
      </c>
      <c r="AC50" s="22" t="s">
        <v>3229</v>
      </c>
      <c r="AD50" s="8" t="s">
        <v>4080</v>
      </c>
      <c r="AE50" s="8" t="s">
        <v>4287</v>
      </c>
      <c r="AF50" s="9">
        <f t="shared" si="8"/>
        <v>2.4480000000000004</v>
      </c>
      <c r="AG50" s="9">
        <f t="shared" si="9"/>
        <v>0.32000000000000006</v>
      </c>
      <c r="AH50" s="9">
        <f t="shared" si="10"/>
        <v>6.4523934346896808E-2</v>
      </c>
      <c r="AI50" s="9">
        <f t="shared" si="11"/>
        <v>4.1633381036026498E-3</v>
      </c>
      <c r="AJ50" s="9">
        <f t="shared" si="12"/>
        <v>4.572695776009638E-2</v>
      </c>
      <c r="AK50" s="9">
        <f t="shared" si="13"/>
        <v>2.0909546659936386E-3</v>
      </c>
      <c r="AL50" s="9">
        <f t="shared" si="14"/>
        <v>9.2125783746910151E-3</v>
      </c>
      <c r="AM50" s="9">
        <f t="shared" si="15"/>
        <v>8.4871600309824549E-5</v>
      </c>
      <c r="AN50" s="9" t="s">
        <v>3229</v>
      </c>
    </row>
    <row r="51" spans="13:40" ht="23">
      <c r="M51" s="9" t="s">
        <v>2709</v>
      </c>
      <c r="N51" s="8" t="s">
        <v>1614</v>
      </c>
      <c r="O51" s="8"/>
      <c r="P51" s="8"/>
      <c r="Q51" s="8"/>
      <c r="R51" s="8"/>
      <c r="S51" s="8"/>
      <c r="T51" s="8"/>
      <c r="U51" s="8"/>
      <c r="V51" s="8"/>
      <c r="W51" s="9" t="s">
        <v>2709</v>
      </c>
      <c r="X51" s="8">
        <v>32.9</v>
      </c>
      <c r="Y51" s="8">
        <v>2.96</v>
      </c>
      <c r="Z51" s="9">
        <v>5.28</v>
      </c>
      <c r="AA51" s="8">
        <v>1.4</v>
      </c>
      <c r="AB51" s="8">
        <v>49698</v>
      </c>
      <c r="AC51" s="22" t="s">
        <v>2709</v>
      </c>
      <c r="AD51" s="8" t="s">
        <v>4464</v>
      </c>
      <c r="AE51" s="8" t="s">
        <v>4287</v>
      </c>
      <c r="AF51" s="9">
        <f t="shared" si="8"/>
        <v>4.1440000000000001</v>
      </c>
      <c r="AG51" s="9">
        <f t="shared" si="9"/>
        <v>7.6533333333333333</v>
      </c>
      <c r="AH51" s="9">
        <f t="shared" si="10"/>
        <v>5.6458442553534688E-2</v>
      </c>
      <c r="AI51" s="9">
        <f t="shared" si="11"/>
        <v>3.1875557355707765E-3</v>
      </c>
      <c r="AJ51" s="9">
        <f t="shared" si="12"/>
        <v>7.7407072286699088E-2</v>
      </c>
      <c r="AK51" s="9">
        <f t="shared" si="13"/>
        <v>5.991854839998258E-3</v>
      </c>
      <c r="AL51" s="9">
        <f t="shared" si="14"/>
        <v>0.22033416612802673</v>
      </c>
      <c r="AM51" s="9">
        <f t="shared" si="15"/>
        <v>4.8547144763332876E-2</v>
      </c>
      <c r="AN51" s="9" t="s">
        <v>2709</v>
      </c>
    </row>
    <row r="52" spans="13:40" ht="23">
      <c r="M52" s="9" t="s">
        <v>3030</v>
      </c>
      <c r="N52" s="8" t="s">
        <v>1814</v>
      </c>
      <c r="O52" s="8"/>
      <c r="P52" s="8" t="s">
        <v>3691</v>
      </c>
      <c r="Q52" s="8"/>
      <c r="R52" s="8"/>
      <c r="S52" s="8"/>
      <c r="T52" s="8"/>
      <c r="U52" s="8"/>
      <c r="V52" s="8"/>
      <c r="W52" s="9" t="s">
        <v>3030</v>
      </c>
      <c r="X52" s="8">
        <v>38.83</v>
      </c>
      <c r="Y52" s="8">
        <v>3.37</v>
      </c>
      <c r="Z52" s="9">
        <v>2.42</v>
      </c>
      <c r="AA52" s="8">
        <v>1.4</v>
      </c>
      <c r="AB52" s="8">
        <v>58485</v>
      </c>
      <c r="AC52" s="22" t="s">
        <v>3030</v>
      </c>
      <c r="AD52" s="8" t="s">
        <v>4464</v>
      </c>
      <c r="AE52" s="8" t="s">
        <v>4287</v>
      </c>
      <c r="AF52" s="9">
        <f t="shared" si="8"/>
        <v>4.718</v>
      </c>
      <c r="AG52" s="9">
        <f t="shared" si="9"/>
        <v>3.78</v>
      </c>
      <c r="AH52" s="9">
        <f t="shared" si="10"/>
        <v>5.6458442553534688E-2</v>
      </c>
      <c r="AI52" s="9">
        <f t="shared" si="11"/>
        <v>3.1875557355707765E-3</v>
      </c>
      <c r="AJ52" s="9">
        <f t="shared" si="12"/>
        <v>8.8128997839924297E-2</v>
      </c>
      <c r="AK52" s="9">
        <f t="shared" si="13"/>
        <v>7.7667202602693811E-3</v>
      </c>
      <c r="AL52" s="9">
        <f t="shared" si="14"/>
        <v>0.10882358205103757</v>
      </c>
      <c r="AM52" s="9">
        <f t="shared" si="15"/>
        <v>1.1842572010418904E-2</v>
      </c>
      <c r="AN52" s="9" t="s">
        <v>3030</v>
      </c>
    </row>
    <row r="53" spans="13:40" ht="23">
      <c r="M53" s="8" t="s">
        <v>1679</v>
      </c>
      <c r="N53" s="8" t="s">
        <v>1614</v>
      </c>
      <c r="O53" s="8"/>
      <c r="P53" s="8" t="s">
        <v>3691</v>
      </c>
      <c r="Q53" s="8"/>
      <c r="R53" s="8"/>
      <c r="S53" s="8"/>
      <c r="T53" s="8"/>
      <c r="U53" s="8"/>
      <c r="V53" s="8"/>
      <c r="W53" s="8" t="s">
        <v>1679</v>
      </c>
      <c r="X53" s="8">
        <v>9.6999999999999993</v>
      </c>
      <c r="Y53" s="8">
        <v>3.91</v>
      </c>
      <c r="Z53" s="9">
        <v>4.0999999999999996</v>
      </c>
      <c r="AA53" s="8">
        <v>1.2</v>
      </c>
      <c r="AB53" s="8">
        <v>50666</v>
      </c>
      <c r="AC53" s="21" t="s">
        <v>1679</v>
      </c>
      <c r="AD53" s="8" t="s">
        <v>4464</v>
      </c>
      <c r="AE53" s="8" t="s">
        <v>4287</v>
      </c>
      <c r="AF53" s="9">
        <f t="shared" si="8"/>
        <v>4.6920000000000002</v>
      </c>
      <c r="AG53" s="9">
        <f t="shared" si="9"/>
        <v>4.8020000000000005</v>
      </c>
      <c r="AH53" s="9">
        <f t="shared" si="10"/>
        <v>4.8392950760172589E-2</v>
      </c>
      <c r="AI53" s="9">
        <f t="shared" si="11"/>
        <v>2.3418776832764888E-3</v>
      </c>
      <c r="AJ53" s="9">
        <f t="shared" si="12"/>
        <v>8.7643335706851386E-2</v>
      </c>
      <c r="AK53" s="9">
        <f t="shared" si="13"/>
        <v>7.6813542938238511E-3</v>
      </c>
      <c r="AL53" s="9">
        <f t="shared" si="14"/>
        <v>0.13824625423520703</v>
      </c>
      <c r="AM53" s="9">
        <f t="shared" si="15"/>
        <v>1.9112026810065498E-2</v>
      </c>
      <c r="AN53" s="8" t="s">
        <v>1679</v>
      </c>
    </row>
    <row r="54" spans="13:40" ht="23">
      <c r="M54" s="9" t="s">
        <v>2243</v>
      </c>
      <c r="N54" s="8" t="s">
        <v>150</v>
      </c>
      <c r="O54" s="8"/>
      <c r="P54" s="8" t="s">
        <v>3691</v>
      </c>
      <c r="Q54" s="8"/>
      <c r="R54" s="8"/>
      <c r="S54" s="8"/>
      <c r="T54" s="8"/>
      <c r="U54" s="8"/>
      <c r="V54" s="8"/>
      <c r="W54" s="9" t="s">
        <v>2243</v>
      </c>
      <c r="X54" s="8">
        <v>22.84</v>
      </c>
      <c r="Y54" s="8">
        <v>2.89</v>
      </c>
      <c r="Z54" s="9">
        <v>2.36</v>
      </c>
      <c r="AA54" s="8">
        <v>1.1000000000000001</v>
      </c>
      <c r="AB54" s="8">
        <v>66115</v>
      </c>
      <c r="AC54" s="22" t="s">
        <v>2243</v>
      </c>
      <c r="AD54" s="8" t="s">
        <v>4080</v>
      </c>
      <c r="AE54" s="8" t="s">
        <v>4287</v>
      </c>
      <c r="AF54" s="9">
        <f t="shared" si="8"/>
        <v>3.1790000000000003</v>
      </c>
      <c r="AG54" s="9">
        <f t="shared" si="9"/>
        <v>2.8600000000000003</v>
      </c>
      <c r="AH54" s="9">
        <f t="shared" si="10"/>
        <v>4.4360204863491549E-2</v>
      </c>
      <c r="AI54" s="9">
        <f t="shared" si="11"/>
        <v>1.9678277755309395E-3</v>
      </c>
      <c r="AJ54" s="9">
        <f t="shared" si="12"/>
        <v>5.9381535424569608E-2</v>
      </c>
      <c r="AK54" s="9">
        <f t="shared" si="13"/>
        <v>3.5261667493794151E-3</v>
      </c>
      <c r="AL54" s="9">
        <f t="shared" si="14"/>
        <v>8.2337419223800931E-2</v>
      </c>
      <c r="AM54" s="9">
        <f t="shared" si="15"/>
        <v>6.7794506044359434E-3</v>
      </c>
      <c r="AN54" s="9" t="s">
        <v>2243</v>
      </c>
    </row>
    <row r="55" spans="13:40" ht="23">
      <c r="M55" s="9"/>
      <c r="N55" s="8"/>
      <c r="O55" s="8"/>
      <c r="P55" s="8"/>
      <c r="Q55" s="8"/>
      <c r="R55" s="8"/>
      <c r="S55" s="8"/>
      <c r="T55" s="8"/>
      <c r="U55" s="8"/>
      <c r="V55" s="8"/>
      <c r="W55" s="9"/>
      <c r="X55" s="8"/>
      <c r="Y55" s="8"/>
      <c r="Z55" s="9"/>
      <c r="AA55" s="8">
        <f>SUBTOTAL(109,Table13664656667[ترافیک کل])</f>
        <v>2479.7000000000003</v>
      </c>
      <c r="AB55" s="8"/>
      <c r="AC55" s="22"/>
      <c r="AD55" s="8"/>
      <c r="AE55" s="8"/>
      <c r="AF55" s="9">
        <f>SUBTOTAL(109,Table13664656667[[مجموع صفحات  مشاهده شده   ]])</f>
        <v>5353.5159999999978</v>
      </c>
      <c r="AG55" s="9">
        <f>SUBTOTAL(109,Table13664656667[[مجموع زمان حضور در سایت ]])</f>
        <v>3473.5118333333335</v>
      </c>
      <c r="AH55" s="9">
        <f>SUBTOTAL(109,Table13664656667[سهم سایت از کل ترافیک طبقه بندی])</f>
        <v>99.999999999999972</v>
      </c>
      <c r="AI55" s="9">
        <f>SUBTOTAL(109,Table13664656667[شاخص هرفیندال هیرشمن (ترافیک)])</f>
        <v>664.04938633624204</v>
      </c>
      <c r="AJ55" s="9">
        <f>SUBTOTAL(109,Table13664656667[سهم سایت از کل صفحات مشاهده شده در طبقه بندی])</f>
        <v>100.00000000000001</v>
      </c>
      <c r="AK55" s="9">
        <f>SUBTOTAL(109,Table13664656667[شاخص هرفیندال -هیرشمن (صفحات مشاهده شده )])</f>
        <v>643.08055876656636</v>
      </c>
      <c r="AL55" s="9">
        <f>SUBTOTAL(109,Table13664656667[سهم سایت از کل زمان حضور در طبقه بندی])</f>
        <v>99.999999999999972</v>
      </c>
      <c r="AM55" s="9">
        <f>SUBTOTAL(109,Table13664656667[شاخص هرفیندال هیرشمن (زمان حضور)])</f>
        <v>942.71573075238007</v>
      </c>
      <c r="AN55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{9458BFED-5A0C-4A09-ABE8-E78546E98312}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{6E1A9C0C-DB48-430A-874D-3C683026552D}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{0E123D75-6F61-485C-9DFF-45F374C73D32}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{965EA2C7-CA51-4B86-A89D-2E9EF4B2A722}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{3747EE3E-97B6-4988-8539-F351A5156040}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{C590EFAB-1185-44BD-B466-D02C89B603E6}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458BFED-5A0C-4A09-ABE8-E78546E9831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E1A9C0C-DB48-430A-874D-3C683026552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E123D75-6F61-485C-9DFF-45F374C73D3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65EA2C7-CA51-4B86-A89D-2E9EF4B2A7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747EE3E-97B6-4988-8539-F351A515604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C590EFAB-1185-44BD-B466-D02C89B603E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7"/>
  <sheetViews>
    <sheetView showGridLines="0" rightToLeft="1" topLeftCell="AA1" zoomScale="70" zoomScaleNormal="70" workbookViewId="0">
      <selection activeCell="AC17" sqref="AC17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4931</v>
      </c>
      <c r="N2" s="8"/>
      <c r="O2" s="8"/>
      <c r="P2" s="8" t="s">
        <v>3691</v>
      </c>
      <c r="Q2" s="8"/>
      <c r="R2" s="8"/>
      <c r="S2" s="8"/>
      <c r="T2" s="8"/>
      <c r="U2" s="8"/>
      <c r="V2" s="8"/>
      <c r="W2" s="9" t="s">
        <v>4931</v>
      </c>
      <c r="X2" s="8">
        <v>35.18</v>
      </c>
      <c r="Y2" s="8">
        <v>4.72</v>
      </c>
      <c r="Z2" s="9">
        <v>4.16</v>
      </c>
      <c r="AA2" s="8">
        <v>499</v>
      </c>
      <c r="AB2" s="8">
        <v>569</v>
      </c>
      <c r="AC2" s="22" t="s">
        <v>4931</v>
      </c>
      <c r="AD2" s="8" t="s">
        <v>4092</v>
      </c>
      <c r="AE2" s="8" t="s">
        <v>4287</v>
      </c>
      <c r="AF2" s="9">
        <f t="shared" ref="AF2:AF16" si="0">(AA2*Y2)</f>
        <v>2355.2799999999997</v>
      </c>
      <c r="AG2" s="9">
        <f t="shared" ref="AG2:AG16" si="1">((((RIGHT(Z2,2))/60)+(LEFT(Z2,2)))*AA2)</f>
        <v>2129.0666666666666</v>
      </c>
      <c r="AH2" s="9">
        <f t="shared" ref="AH2:AH16" si="2">(AA2/$AA$17)*100</f>
        <v>43.818054092026706</v>
      </c>
      <c r="AI2" s="9">
        <f t="shared" ref="AI2:AI16" si="3">(AH2*AH2)</f>
        <v>1920.0218644117783</v>
      </c>
      <c r="AJ2" s="9">
        <f t="shared" ref="AJ2:AJ16" si="4">(AF2/$AF$17)*100</f>
        <v>46.872484386153914</v>
      </c>
      <c r="AK2" s="9">
        <f t="shared" ref="AK2:AK16" si="5">(AJ2*AJ2)</f>
        <v>2197.0297925302425</v>
      </c>
      <c r="AL2" s="9">
        <f t="shared" ref="AL2:AL16" si="6">(AG2/$AG$17)*100</f>
        <v>52.725663022818594</v>
      </c>
      <c r="AM2" s="9">
        <f t="shared" ref="AM2:AM16" si="7">(AL2*AL2)</f>
        <v>2779.9955411958199</v>
      </c>
      <c r="AN2" s="9" t="s">
        <v>4931</v>
      </c>
    </row>
    <row r="3" spans="8:40" ht="23">
      <c r="M3" s="9" t="s">
        <v>4932</v>
      </c>
      <c r="N3" s="8"/>
      <c r="O3" s="8"/>
      <c r="P3" s="8"/>
      <c r="Q3" s="8"/>
      <c r="R3" s="8"/>
      <c r="S3" s="8"/>
      <c r="T3" s="8"/>
      <c r="U3" s="8"/>
      <c r="V3" s="8"/>
      <c r="W3" s="9" t="s">
        <v>4932</v>
      </c>
      <c r="X3" s="8">
        <v>31.73</v>
      </c>
      <c r="Y3" s="8">
        <v>1.78</v>
      </c>
      <c r="Z3" s="9">
        <v>0.57999999999999996</v>
      </c>
      <c r="AA3" s="8">
        <v>268.7</v>
      </c>
      <c r="AB3" s="8">
        <v>3046</v>
      </c>
      <c r="AC3" s="22" t="s">
        <v>4932</v>
      </c>
      <c r="AD3" s="8" t="s">
        <v>4092</v>
      </c>
      <c r="AE3" s="8" t="s">
        <v>4287</v>
      </c>
      <c r="AF3" s="9">
        <f t="shared" si="0"/>
        <v>478.286</v>
      </c>
      <c r="AG3" s="9">
        <f t="shared" si="1"/>
        <v>259.74333333333334</v>
      </c>
      <c r="AH3" s="9">
        <f t="shared" si="2"/>
        <v>23.595012293642434</v>
      </c>
      <c r="AI3" s="9">
        <f t="shared" si="3"/>
        <v>556.72460513713759</v>
      </c>
      <c r="AJ3" s="9">
        <f t="shared" si="4"/>
        <v>9.5183812825294716</v>
      </c>
      <c r="AK3" s="9">
        <f t="shared" si="5"/>
        <v>90.599582239607386</v>
      </c>
      <c r="AL3" s="9">
        <f t="shared" si="6"/>
        <v>6.4324615476689218</v>
      </c>
      <c r="AM3" s="9">
        <f t="shared" si="7"/>
        <v>41.37656156223926</v>
      </c>
      <c r="AN3" s="9" t="s">
        <v>4932</v>
      </c>
    </row>
    <row r="4" spans="8:40" ht="23">
      <c r="M4" s="8" t="s">
        <v>1820</v>
      </c>
      <c r="N4" s="8" t="s">
        <v>1814</v>
      </c>
      <c r="O4" s="8"/>
      <c r="P4" s="8"/>
      <c r="Q4" s="8"/>
      <c r="R4" s="8"/>
      <c r="S4" s="8"/>
      <c r="T4" s="8"/>
      <c r="U4" s="8"/>
      <c r="V4" s="8"/>
      <c r="W4" s="8" t="s">
        <v>1820</v>
      </c>
      <c r="X4" s="8">
        <v>16.649999999999999</v>
      </c>
      <c r="Y4" s="8">
        <v>5.5</v>
      </c>
      <c r="Z4" s="9">
        <v>7.23</v>
      </c>
      <c r="AA4" s="8">
        <v>119.9</v>
      </c>
      <c r="AB4" s="8"/>
      <c r="AC4" s="21" t="s">
        <v>1820</v>
      </c>
      <c r="AD4" s="8" t="s">
        <v>4092</v>
      </c>
      <c r="AE4" s="8" t="s">
        <v>4287</v>
      </c>
      <c r="AF4" s="9">
        <f t="shared" si="0"/>
        <v>659.45</v>
      </c>
      <c r="AG4" s="9">
        <f t="shared" si="1"/>
        <v>885.26166666666677</v>
      </c>
      <c r="AH4" s="9">
        <f t="shared" si="2"/>
        <v>10.528626624517038</v>
      </c>
      <c r="AI4" s="9">
        <f t="shared" si="3"/>
        <v>110.85197859848904</v>
      </c>
      <c r="AJ4" s="9">
        <f t="shared" si="4"/>
        <v>13.123730439034512</v>
      </c>
      <c r="AK4" s="9">
        <f t="shared" si="5"/>
        <v>172.23230063644098</v>
      </c>
      <c r="AL4" s="9">
        <f t="shared" si="6"/>
        <v>21.923225352432411</v>
      </c>
      <c r="AM4" s="9">
        <f t="shared" si="7"/>
        <v>480.62780985353521</v>
      </c>
      <c r="AN4" s="8" t="s">
        <v>1820</v>
      </c>
    </row>
    <row r="5" spans="8:40" ht="23">
      <c r="M5" s="8" t="s">
        <v>533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533</v>
      </c>
      <c r="X5" s="8">
        <v>17.100000000000001</v>
      </c>
      <c r="Y5" s="8">
        <v>4.8</v>
      </c>
      <c r="Z5" s="9">
        <v>4.1399999999999997</v>
      </c>
      <c r="AA5" s="8">
        <v>85.4</v>
      </c>
      <c r="AB5" s="8">
        <v>2571</v>
      </c>
      <c r="AC5" s="21" t="s">
        <v>533</v>
      </c>
      <c r="AD5" s="8" t="s">
        <v>4092</v>
      </c>
      <c r="AE5" s="8" t="s">
        <v>4287</v>
      </c>
      <c r="AF5" s="9">
        <f t="shared" si="0"/>
        <v>409.92</v>
      </c>
      <c r="AG5" s="9">
        <f t="shared" si="1"/>
        <v>361.5266666666667</v>
      </c>
      <c r="AH5" s="9">
        <f t="shared" si="2"/>
        <v>7.4991218826835295</v>
      </c>
      <c r="AI5" s="9">
        <f t="shared" si="3"/>
        <v>56.236829011342962</v>
      </c>
      <c r="AJ5" s="9">
        <f t="shared" si="4"/>
        <v>8.157827858926419</v>
      </c>
      <c r="AK5" s="9">
        <f t="shared" si="5"/>
        <v>66.550155375876002</v>
      </c>
      <c r="AL5" s="9">
        <f t="shared" si="6"/>
        <v>8.9530936249512454</v>
      </c>
      <c r="AM5" s="9">
        <f t="shared" si="7"/>
        <v>80.157885457142626</v>
      </c>
      <c r="AN5" s="8" t="s">
        <v>533</v>
      </c>
    </row>
    <row r="6" spans="8:40" ht="23">
      <c r="M6" s="9" t="s">
        <v>3323</v>
      </c>
      <c r="N6" s="8" t="s">
        <v>1939</v>
      </c>
      <c r="O6" s="8"/>
      <c r="P6" s="8"/>
      <c r="Q6" s="8"/>
      <c r="R6" s="8"/>
      <c r="S6" s="8"/>
      <c r="T6" s="8"/>
      <c r="U6" s="8"/>
      <c r="V6" s="8"/>
      <c r="W6" s="9" t="s">
        <v>3323</v>
      </c>
      <c r="X6" s="8">
        <v>15.53</v>
      </c>
      <c r="Y6" s="8">
        <v>2.4700000000000002</v>
      </c>
      <c r="Z6" s="9">
        <v>1.26</v>
      </c>
      <c r="AA6" s="8">
        <v>79.5</v>
      </c>
      <c r="AB6" s="8">
        <v>5252</v>
      </c>
      <c r="AC6" s="22" t="s">
        <v>3323</v>
      </c>
      <c r="AD6" s="8" t="s">
        <v>4092</v>
      </c>
      <c r="AE6" s="8" t="s">
        <v>4287</v>
      </c>
      <c r="AF6" s="9">
        <f t="shared" si="0"/>
        <v>196.36500000000001</v>
      </c>
      <c r="AG6" s="9">
        <f t="shared" si="1"/>
        <v>113.95</v>
      </c>
      <c r="AH6" s="9">
        <f t="shared" si="2"/>
        <v>6.9810326659641753</v>
      </c>
      <c r="AI6" s="9">
        <f t="shared" si="3"/>
        <v>48.734817083258882</v>
      </c>
      <c r="AJ6" s="9">
        <f t="shared" si="4"/>
        <v>3.9078646260687111</v>
      </c>
      <c r="AK6" s="9">
        <f t="shared" si="5"/>
        <v>15.271405935679148</v>
      </c>
      <c r="AL6" s="9">
        <f t="shared" si="6"/>
        <v>2.8219357315178071</v>
      </c>
      <c r="AM6" s="9">
        <f t="shared" si="7"/>
        <v>7.9633212728169411</v>
      </c>
      <c r="AN6" s="9" t="s">
        <v>3323</v>
      </c>
    </row>
    <row r="7" spans="8:40" ht="23">
      <c r="M7" s="8" t="s">
        <v>167</v>
      </c>
      <c r="N7" s="8" t="s">
        <v>150</v>
      </c>
      <c r="O7" s="8"/>
      <c r="P7" s="8" t="s">
        <v>3691</v>
      </c>
      <c r="Q7" s="8"/>
      <c r="R7" s="8"/>
      <c r="S7" s="8"/>
      <c r="T7" s="8"/>
      <c r="U7" s="8"/>
      <c r="V7" s="8"/>
      <c r="W7" s="8" t="s">
        <v>167</v>
      </c>
      <c r="X7" s="8">
        <v>16.440000000000001</v>
      </c>
      <c r="Y7" s="8">
        <v>18.59</v>
      </c>
      <c r="Z7" s="9">
        <v>0.51</v>
      </c>
      <c r="AA7" s="8">
        <v>38.799999999999997</v>
      </c>
      <c r="AB7" s="8">
        <v>13058</v>
      </c>
      <c r="AC7" s="21" t="s">
        <v>167</v>
      </c>
      <c r="AD7" s="8" t="s">
        <v>4092</v>
      </c>
      <c r="AE7" s="8" t="s">
        <v>4287</v>
      </c>
      <c r="AF7" s="9">
        <f t="shared" si="0"/>
        <v>721.29199999999992</v>
      </c>
      <c r="AG7" s="9">
        <f t="shared" si="1"/>
        <v>32.979999999999997</v>
      </c>
      <c r="AH7" s="9">
        <f t="shared" si="2"/>
        <v>3.4070951879171063</v>
      </c>
      <c r="AI7" s="9">
        <f t="shared" si="3"/>
        <v>11.608297619527901</v>
      </c>
      <c r="AJ7" s="9">
        <f t="shared" si="4"/>
        <v>14.35444958045656</v>
      </c>
      <c r="AK7" s="9">
        <f t="shared" si="5"/>
        <v>206.05022275786951</v>
      </c>
      <c r="AL7" s="9">
        <f t="shared" si="6"/>
        <v>0.81673927534407431</v>
      </c>
      <c r="AM7" s="9">
        <f t="shared" si="7"/>
        <v>0.66706304388956361</v>
      </c>
      <c r="AN7" s="8" t="s">
        <v>167</v>
      </c>
    </row>
    <row r="8" spans="8:40" ht="23">
      <c r="M8" s="8" t="s">
        <v>826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826</v>
      </c>
      <c r="X8" s="8">
        <v>19.62</v>
      </c>
      <c r="Y8" s="8">
        <v>3.65</v>
      </c>
      <c r="Z8" s="9">
        <v>4.1500000000000004</v>
      </c>
      <c r="AA8" s="8">
        <v>15.2</v>
      </c>
      <c r="AB8" s="8">
        <v>9010</v>
      </c>
      <c r="AC8" s="21" t="s">
        <v>826</v>
      </c>
      <c r="AD8" s="8" t="s">
        <v>4092</v>
      </c>
      <c r="AE8" s="8" t="s">
        <v>4287</v>
      </c>
      <c r="AF8" s="9">
        <f t="shared" si="0"/>
        <v>55.48</v>
      </c>
      <c r="AG8" s="9">
        <f t="shared" si="1"/>
        <v>64.599999999999994</v>
      </c>
      <c r="AH8" s="9">
        <f t="shared" si="2"/>
        <v>1.334738321039691</v>
      </c>
      <c r="AI8" s="9">
        <f t="shared" si="3"/>
        <v>1.7815263856518533</v>
      </c>
      <c r="AJ8" s="9">
        <f t="shared" si="4"/>
        <v>1.1041088251689053</v>
      </c>
      <c r="AK8" s="9">
        <f t="shared" si="5"/>
        <v>1.2190562978158603</v>
      </c>
      <c r="AL8" s="9">
        <f t="shared" si="6"/>
        <v>1.5997985805708672</v>
      </c>
      <c r="AM8" s="9">
        <f t="shared" si="7"/>
        <v>2.5593554983965614</v>
      </c>
      <c r="AN8" s="8" t="s">
        <v>826</v>
      </c>
    </row>
    <row r="9" spans="8:40" ht="23">
      <c r="M9" s="8" t="s">
        <v>4933</v>
      </c>
      <c r="N9" s="8"/>
      <c r="O9" s="8"/>
      <c r="P9" s="8"/>
      <c r="Q9" s="8"/>
      <c r="R9" s="8"/>
      <c r="S9" s="8"/>
      <c r="T9" s="8"/>
      <c r="U9" s="8"/>
      <c r="V9" s="8"/>
      <c r="W9" s="8" t="s">
        <v>4933</v>
      </c>
      <c r="X9" s="8">
        <v>42.57</v>
      </c>
      <c r="Y9" s="8">
        <v>3.41</v>
      </c>
      <c r="Z9" s="9">
        <v>3.25</v>
      </c>
      <c r="AA9" s="8">
        <v>7.5</v>
      </c>
      <c r="AB9" s="8">
        <v>15543</v>
      </c>
      <c r="AC9" s="21" t="s">
        <v>4933</v>
      </c>
      <c r="AD9" s="8" t="s">
        <v>4092</v>
      </c>
      <c r="AE9" s="8" t="s">
        <v>4287</v>
      </c>
      <c r="AF9" s="9">
        <f t="shared" si="0"/>
        <v>25.575000000000003</v>
      </c>
      <c r="AG9" s="9">
        <f t="shared" si="1"/>
        <v>25.625</v>
      </c>
      <c r="AH9" s="9">
        <f t="shared" si="2"/>
        <v>0.65858798735511082</v>
      </c>
      <c r="AI9" s="9">
        <f t="shared" si="3"/>
        <v>0.4337381370884556</v>
      </c>
      <c r="AJ9" s="9">
        <f t="shared" si="4"/>
        <v>0.50896869509183051</v>
      </c>
      <c r="AK9" s="9">
        <f t="shared" si="5"/>
        <v>0.25904913258348072</v>
      </c>
      <c r="AL9" s="9">
        <f t="shared" si="6"/>
        <v>0.63459502518774724</v>
      </c>
      <c r="AM9" s="9">
        <f t="shared" si="7"/>
        <v>0.40271084599303758</v>
      </c>
      <c r="AN9" s="8" t="s">
        <v>4933</v>
      </c>
    </row>
    <row r="10" spans="8:40" ht="23">
      <c r="M10" s="8" t="s">
        <v>1914</v>
      </c>
      <c r="N10" s="8" t="s">
        <v>1902</v>
      </c>
      <c r="O10" s="8"/>
      <c r="P10" s="8" t="s">
        <v>3693</v>
      </c>
      <c r="Q10" s="8"/>
      <c r="R10" s="8"/>
      <c r="S10" s="8"/>
      <c r="T10" s="8"/>
      <c r="U10" s="8"/>
      <c r="V10" s="8"/>
      <c r="W10" s="8" t="s">
        <v>1914</v>
      </c>
      <c r="X10" s="8">
        <v>15.02</v>
      </c>
      <c r="Y10" s="8">
        <v>9.3800000000000008</v>
      </c>
      <c r="Z10" s="9">
        <v>17.03</v>
      </c>
      <c r="AA10" s="8">
        <v>6.8</v>
      </c>
      <c r="AB10" s="8"/>
      <c r="AC10" s="21" t="s">
        <v>1914</v>
      </c>
      <c r="AD10" s="8" t="s">
        <v>4092</v>
      </c>
      <c r="AE10" s="8" t="s">
        <v>4287</v>
      </c>
      <c r="AF10" s="9">
        <f t="shared" si="0"/>
        <v>63.784000000000006</v>
      </c>
      <c r="AG10" s="9">
        <f t="shared" si="1"/>
        <v>115.94</v>
      </c>
      <c r="AH10" s="9">
        <f t="shared" si="2"/>
        <v>0.59711977520196713</v>
      </c>
      <c r="AI10" s="9">
        <f t="shared" si="3"/>
        <v>0.35655202593724777</v>
      </c>
      <c r="AJ10" s="9">
        <f t="shared" si="4"/>
        <v>1.269366930507813</v>
      </c>
      <c r="AK10" s="9">
        <f t="shared" si="5"/>
        <v>1.6112924042668271</v>
      </c>
      <c r="AL10" s="9">
        <f t="shared" si="6"/>
        <v>2.8712174524982408</v>
      </c>
      <c r="AM10" s="9">
        <f t="shared" si="7"/>
        <v>8.2438896595304882</v>
      </c>
      <c r="AN10" s="8" t="s">
        <v>1914</v>
      </c>
    </row>
    <row r="11" spans="8:40" ht="23">
      <c r="M11" s="24" t="s">
        <v>4934</v>
      </c>
      <c r="N11" s="24"/>
      <c r="O11" s="24"/>
      <c r="P11" s="24"/>
      <c r="Q11" s="24"/>
      <c r="R11" s="24"/>
      <c r="S11" s="24"/>
      <c r="T11" s="24"/>
      <c r="U11" s="24"/>
      <c r="V11" s="24"/>
      <c r="W11" s="24" t="s">
        <v>4934</v>
      </c>
      <c r="X11" s="24">
        <v>29.35</v>
      </c>
      <c r="Y11" s="24">
        <v>4.1900000000000004</v>
      </c>
      <c r="Z11" s="25">
        <v>3.08</v>
      </c>
      <c r="AA11" s="24">
        <v>6.1</v>
      </c>
      <c r="AB11" s="24">
        <v>16910</v>
      </c>
      <c r="AC11" s="21" t="s">
        <v>4934</v>
      </c>
      <c r="AD11" s="8" t="s">
        <v>4092</v>
      </c>
      <c r="AE11" s="8" t="s">
        <v>4287</v>
      </c>
      <c r="AF11" s="25">
        <f t="shared" si="0"/>
        <v>25.559000000000001</v>
      </c>
      <c r="AG11" s="25">
        <f t="shared" si="1"/>
        <v>19.113333333333333</v>
      </c>
      <c r="AH11" s="9">
        <f t="shared" si="2"/>
        <v>0.53565156304882344</v>
      </c>
      <c r="AI11" s="25">
        <f t="shared" si="3"/>
        <v>0.28692259699664768</v>
      </c>
      <c r="AJ11" s="9">
        <f t="shared" si="4"/>
        <v>0.50865027870389423</v>
      </c>
      <c r="AK11" s="25">
        <f t="shared" si="5"/>
        <v>0.25872510602554927</v>
      </c>
      <c r="AL11" s="9">
        <f t="shared" si="6"/>
        <v>0.47333565846198933</v>
      </c>
      <c r="AM11" s="25">
        <f t="shared" si="7"/>
        <v>0.224046645571645</v>
      </c>
      <c r="AN11" s="24" t="s">
        <v>4934</v>
      </c>
    </row>
    <row r="12" spans="8:40" ht="23">
      <c r="M12" s="9" t="s">
        <v>3566</v>
      </c>
      <c r="N12" s="8" t="s">
        <v>2066</v>
      </c>
      <c r="O12" s="8"/>
      <c r="P12" s="8"/>
      <c r="Q12" s="8"/>
      <c r="R12" s="8"/>
      <c r="S12" s="8"/>
      <c r="T12" s="8"/>
      <c r="U12" s="8"/>
      <c r="V12" s="8"/>
      <c r="W12" s="9" t="s">
        <v>3566</v>
      </c>
      <c r="X12" s="8">
        <v>5.64</v>
      </c>
      <c r="Y12" s="8">
        <v>1.04</v>
      </c>
      <c r="Z12" s="9">
        <v>0.01</v>
      </c>
      <c r="AA12" s="8">
        <v>4.8</v>
      </c>
      <c r="AB12" s="8">
        <v>130947</v>
      </c>
      <c r="AC12" s="22" t="s">
        <v>3566</v>
      </c>
      <c r="AD12" s="8" t="s">
        <v>4092</v>
      </c>
      <c r="AE12" s="8" t="s">
        <v>4287</v>
      </c>
      <c r="AF12" s="9">
        <f t="shared" si="0"/>
        <v>4.992</v>
      </c>
      <c r="AG12" s="9">
        <f t="shared" si="1"/>
        <v>0.08</v>
      </c>
      <c r="AH12" s="9">
        <f t="shared" si="2"/>
        <v>0.42149631190727088</v>
      </c>
      <c r="AI12" s="9">
        <f t="shared" si="3"/>
        <v>0.17765914095143137</v>
      </c>
      <c r="AJ12" s="9">
        <f t="shared" si="4"/>
        <v>9.9345913036106265E-2</v>
      </c>
      <c r="AK12" s="9">
        <f t="shared" si="5"/>
        <v>9.8696104369775887E-3</v>
      </c>
      <c r="AL12" s="9">
        <f t="shared" si="6"/>
        <v>1.9811747127812598E-3</v>
      </c>
      <c r="AM12" s="9">
        <f t="shared" si="7"/>
        <v>3.9250532425639074E-6</v>
      </c>
      <c r="AN12" s="9" t="s">
        <v>3566</v>
      </c>
    </row>
    <row r="13" spans="8:40" ht="23">
      <c r="M13" s="8" t="s">
        <v>904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904</v>
      </c>
      <c r="X13" s="8">
        <v>21.56</v>
      </c>
      <c r="Y13" s="8">
        <v>3.47</v>
      </c>
      <c r="Z13" s="9">
        <v>3.23</v>
      </c>
      <c r="AA13" s="8">
        <v>2.4</v>
      </c>
      <c r="AB13" s="8">
        <v>34178</v>
      </c>
      <c r="AC13" s="21" t="s">
        <v>904</v>
      </c>
      <c r="AD13" s="8" t="s">
        <v>4092</v>
      </c>
      <c r="AE13" s="8" t="s">
        <v>4287</v>
      </c>
      <c r="AF13" s="9">
        <f t="shared" si="0"/>
        <v>8.3279999999999994</v>
      </c>
      <c r="AG13" s="9">
        <f t="shared" si="1"/>
        <v>8.1199999999999992</v>
      </c>
      <c r="AH13" s="9">
        <f t="shared" si="2"/>
        <v>0.21074815595363544</v>
      </c>
      <c r="AI13" s="9">
        <f t="shared" si="3"/>
        <v>4.4414785237857843E-2</v>
      </c>
      <c r="AJ13" s="9">
        <f t="shared" si="4"/>
        <v>0.16573572992081187</v>
      </c>
      <c r="AK13" s="9">
        <f t="shared" si="5"/>
        <v>2.7468332172384296E-2</v>
      </c>
      <c r="AL13" s="9">
        <f t="shared" si="6"/>
        <v>0.20108923334729786</v>
      </c>
      <c r="AM13" s="9">
        <f t="shared" si="7"/>
        <v>4.0436879768204009E-2</v>
      </c>
      <c r="AN13" s="8" t="s">
        <v>904</v>
      </c>
    </row>
    <row r="14" spans="8:40" ht="23">
      <c r="M14" s="9" t="s">
        <v>2900</v>
      </c>
      <c r="N14" s="8" t="s">
        <v>1717</v>
      </c>
      <c r="O14" s="8"/>
      <c r="P14" s="8"/>
      <c r="Q14" s="8"/>
      <c r="R14" s="8"/>
      <c r="S14" s="8"/>
      <c r="T14" s="8"/>
      <c r="U14" s="8"/>
      <c r="V14" s="8"/>
      <c r="W14" s="9" t="s">
        <v>2900</v>
      </c>
      <c r="X14" s="8">
        <v>58.66</v>
      </c>
      <c r="Y14" s="8">
        <v>3.03</v>
      </c>
      <c r="Z14" s="9">
        <v>5.37</v>
      </c>
      <c r="AA14" s="8">
        <v>1.8</v>
      </c>
      <c r="AB14" s="8">
        <v>41491</v>
      </c>
      <c r="AC14" s="22" t="s">
        <v>2900</v>
      </c>
      <c r="AD14" s="8" t="s">
        <v>4092</v>
      </c>
      <c r="AE14" s="8" t="s">
        <v>4287</v>
      </c>
      <c r="AF14" s="9">
        <f t="shared" si="0"/>
        <v>5.4539999999999997</v>
      </c>
      <c r="AG14" s="9">
        <f t="shared" si="1"/>
        <v>10.110000000000001</v>
      </c>
      <c r="AH14" s="9">
        <f t="shared" si="2"/>
        <v>0.15806111696522659</v>
      </c>
      <c r="AI14" s="9">
        <f t="shared" si="3"/>
        <v>2.4983316696295041E-2</v>
      </c>
      <c r="AJ14" s="9">
        <f t="shared" si="4"/>
        <v>0.10854018623776512</v>
      </c>
      <c r="AK14" s="9">
        <f t="shared" si="5"/>
        <v>1.1780972028528737E-2</v>
      </c>
      <c r="AL14" s="9">
        <f t="shared" si="6"/>
        <v>0.25037095432773177</v>
      </c>
      <c r="AM14" s="9">
        <f t="shared" si="7"/>
        <v>6.2685614770979142E-2</v>
      </c>
      <c r="AN14" s="9" t="s">
        <v>2900</v>
      </c>
    </row>
    <row r="15" spans="8:40" ht="23">
      <c r="M15" s="9" t="s">
        <v>3345</v>
      </c>
      <c r="N15" s="8" t="s">
        <v>1964</v>
      </c>
      <c r="O15" s="8"/>
      <c r="P15" s="8"/>
      <c r="Q15" s="8"/>
      <c r="R15" s="8"/>
      <c r="S15" s="8"/>
      <c r="T15" s="8"/>
      <c r="U15" s="8"/>
      <c r="V15" s="8"/>
      <c r="W15" s="9" t="s">
        <v>3345</v>
      </c>
      <c r="X15" s="8">
        <v>27.4</v>
      </c>
      <c r="Y15" s="8">
        <v>3.44</v>
      </c>
      <c r="Z15" s="9">
        <v>4.3600000000000003</v>
      </c>
      <c r="AA15" s="8">
        <v>1.8</v>
      </c>
      <c r="AB15" s="8">
        <v>45219</v>
      </c>
      <c r="AC15" s="22" t="s">
        <v>3345</v>
      </c>
      <c r="AD15" s="8" t="s">
        <v>4092</v>
      </c>
      <c r="AE15" s="8" t="s">
        <v>4287</v>
      </c>
      <c r="AF15" s="9">
        <f t="shared" si="0"/>
        <v>6.1920000000000002</v>
      </c>
      <c r="AG15" s="9">
        <f t="shared" si="1"/>
        <v>8.2799999999999994</v>
      </c>
      <c r="AH15" s="9">
        <f t="shared" si="2"/>
        <v>0.15806111696522659</v>
      </c>
      <c r="AI15" s="9">
        <f t="shared" si="3"/>
        <v>2.4983316696295041E-2</v>
      </c>
      <c r="AJ15" s="9">
        <f t="shared" si="4"/>
        <v>0.1232271421313241</v>
      </c>
      <c r="AK15" s="9">
        <f t="shared" si="5"/>
        <v>1.5184928557853552E-2</v>
      </c>
      <c r="AL15" s="9">
        <f t="shared" si="6"/>
        <v>0.20505158277286037</v>
      </c>
      <c r="AM15" s="9">
        <f t="shared" si="7"/>
        <v>4.2046151597655207E-2</v>
      </c>
      <c r="AN15" s="9" t="s">
        <v>3345</v>
      </c>
    </row>
    <row r="16" spans="8:40" ht="23">
      <c r="M16" s="9" t="s">
        <v>3369</v>
      </c>
      <c r="N16" s="8" t="s">
        <v>1964</v>
      </c>
      <c r="O16" s="8"/>
      <c r="P16" s="8"/>
      <c r="Q16" s="8"/>
      <c r="R16" s="8"/>
      <c r="S16" s="8"/>
      <c r="T16" s="8"/>
      <c r="U16" s="8"/>
      <c r="V16" s="8"/>
      <c r="W16" s="9" t="s">
        <v>3369</v>
      </c>
      <c r="X16" s="8">
        <v>25.61</v>
      </c>
      <c r="Y16" s="8">
        <v>8.1</v>
      </c>
      <c r="Z16" s="9">
        <v>3.17</v>
      </c>
      <c r="AA16" s="8">
        <v>1.1000000000000001</v>
      </c>
      <c r="AB16" s="8"/>
      <c r="AC16" s="22" t="s">
        <v>3369</v>
      </c>
      <c r="AD16" s="8" t="s">
        <v>4092</v>
      </c>
      <c r="AE16" s="8" t="s">
        <v>4287</v>
      </c>
      <c r="AF16" s="9">
        <f t="shared" si="0"/>
        <v>8.91</v>
      </c>
      <c r="AG16" s="9">
        <f t="shared" si="1"/>
        <v>3.6116666666666668</v>
      </c>
      <c r="AH16" s="9">
        <f t="shared" si="2"/>
        <v>9.6592904812082936E-2</v>
      </c>
      <c r="AI16" s="9">
        <f t="shared" si="3"/>
        <v>9.3301892600361151E-3</v>
      </c>
      <c r="AJ16" s="9">
        <f t="shared" si="4"/>
        <v>0.17731812603199254</v>
      </c>
      <c r="AK16" s="9">
        <f t="shared" si="5"/>
        <v>3.1441717819497589E-2</v>
      </c>
      <c r="AL16" s="9">
        <f t="shared" si="6"/>
        <v>8.9441783387437301E-2</v>
      </c>
      <c r="AM16" s="9">
        <f t="shared" si="7"/>
        <v>7.9998326155252559E-3</v>
      </c>
      <c r="AN16" s="9" t="s">
        <v>3369</v>
      </c>
    </row>
    <row r="17" spans="13:40" ht="23"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9"/>
      <c r="AA17" s="8">
        <f>SUBTOTAL(109,Table13653[ترافیک کل])</f>
        <v>1138.7999999999997</v>
      </c>
      <c r="AB17" s="8"/>
      <c r="AC17" s="8"/>
      <c r="AD17" s="8"/>
      <c r="AE17" s="8"/>
      <c r="AF17" s="9">
        <f>SUBTOTAL(109,Table13653[[مجموع صفحات  مشاهده شده   ]])</f>
        <v>5024.8669999999984</v>
      </c>
      <c r="AG17" s="9">
        <f>SUBTOTAL(109,Table13653[[مجموع زمان حضور در سایت ]])</f>
        <v>4038.0083333333332</v>
      </c>
      <c r="AH17" s="9">
        <f>SUBTOTAL(109,Table13653[سهم سایت از کل ترافیک طبقه بندی])</f>
        <v>100.00000000000004</v>
      </c>
      <c r="AI17" s="9">
        <f>SUBTOTAL(109,Table13653[شاخص هرفیندال هیرشمن (ترافیک)])</f>
        <v>2707.3185017560513</v>
      </c>
      <c r="AJ17" s="9">
        <f>SUBTOTAL(109,Table13653[سهم سایت از کل صفحات مشاهده شده در طبقه بندی])</f>
        <v>100.00000000000004</v>
      </c>
      <c r="AK17" s="9">
        <f>SUBTOTAL(109,Table13653[شاخص هرفیندال -هیرشمن (صفحات مشاهده شده )])</f>
        <v>2751.1773279774225</v>
      </c>
      <c r="AL17" s="9">
        <f>SUBTOTAL(109,Table13653[سهم سایت از کل زمان حضور در طبقه بندی])</f>
        <v>100.00000000000004</v>
      </c>
      <c r="AM17" s="9">
        <f>SUBTOTAL(109,Table13653[شاخص هرفیندال هیرشمن (زمان حضور)])</f>
        <v>3402.3713574387402</v>
      </c>
      <c r="AN17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{5668D003-B7DA-4948-B6BC-77CE12BF57AE}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{B85DA273-64EE-4203-BF00-EAFF10E90E86}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{EB6BA308-DBFF-4A13-908A-380B53E06362}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{F9D627A5-46AE-4267-8061-9D9C0BE15381}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{98168150-EEE9-4F59-B8E5-6912CAED538B}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{7B309053-9EC9-475A-AA2A-D8894B373738}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68D003-B7DA-4948-B6BC-77CE12BF57A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85DA273-64EE-4203-BF00-EAFF10E90E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B6BA308-DBFF-4A13-908A-380B53E0636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9D627A5-46AE-4267-8061-9D9C0BE153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98168150-EEE9-4F59-B8E5-6912CAED538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7B309053-9EC9-475A-AA2A-D8894B37373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4"/>
  <sheetViews>
    <sheetView showGridLines="0" rightToLeft="1" topLeftCell="Z1" zoomScale="70" zoomScaleNormal="70" workbookViewId="0">
      <selection activeCell="AC14" sqref="AC14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7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1101</v>
      </c>
      <c r="N2" s="8" t="s">
        <v>150</v>
      </c>
      <c r="O2" s="8"/>
      <c r="P2" s="8" t="s">
        <v>4156</v>
      </c>
      <c r="Q2" s="8"/>
      <c r="R2" s="8"/>
      <c r="S2" s="8"/>
      <c r="T2" s="8"/>
      <c r="U2" s="8"/>
      <c r="V2" s="8"/>
      <c r="W2" s="8" t="s">
        <v>1101</v>
      </c>
      <c r="X2" s="8">
        <v>41.88</v>
      </c>
      <c r="Y2" s="8">
        <v>1.78</v>
      </c>
      <c r="Z2" s="9">
        <v>0.5</v>
      </c>
      <c r="AA2" s="8">
        <v>386.3</v>
      </c>
      <c r="AB2" s="8">
        <v>2005</v>
      </c>
      <c r="AC2" s="21" t="s">
        <v>1101</v>
      </c>
      <c r="AD2" s="8" t="s">
        <v>3685</v>
      </c>
      <c r="AE2" s="8" t="s">
        <v>4287</v>
      </c>
      <c r="AF2" s="9">
        <f t="shared" ref="AF2:AF13" si="0">(AA2*Y2)</f>
        <v>687.61400000000003</v>
      </c>
      <c r="AG2" s="9">
        <f t="shared" ref="AG2:AG13" si="1">((((RIGHT(Z2,2))/60)+(LEFT(Z2,2)))*AA2)</f>
        <v>3.2191666666666667</v>
      </c>
      <c r="AH2" s="9">
        <f t="shared" ref="AH2:AH13" si="2">(AA2/$AA$14)*100</f>
        <v>43.72877518677835</v>
      </c>
      <c r="AI2" s="9">
        <f t="shared" ref="AI2:AI13" si="3">(AH2*AH2)</f>
        <v>1912.2057793358019</v>
      </c>
      <c r="AJ2" s="9">
        <f t="shared" ref="AJ2:AJ13" si="4">(AF2/$AF$14)*100</f>
        <v>26.01026015026331</v>
      </c>
      <c r="AK2" s="9">
        <f t="shared" ref="AK2:AK13" si="5">(AJ2*AJ2)</f>
        <v>676.53363308437554</v>
      </c>
      <c r="AL2" s="9">
        <f t="shared" ref="AL2:AL13" si="6">(AG2/$AG$14)*100</f>
        <v>0.23091361212729833</v>
      </c>
      <c r="AM2" s="9">
        <f t="shared" ref="AM2:AM13" si="7">(AL2*AL2)</f>
        <v>5.3321096265676375E-2</v>
      </c>
      <c r="AN2" s="8" t="s">
        <v>1101</v>
      </c>
    </row>
    <row r="3" spans="8:40" ht="23">
      <c r="M3" s="8" t="s">
        <v>972</v>
      </c>
      <c r="N3" s="8" t="s">
        <v>150</v>
      </c>
      <c r="O3" s="8"/>
      <c r="P3" s="8" t="s">
        <v>3691</v>
      </c>
      <c r="Q3" s="8"/>
      <c r="R3" s="8"/>
      <c r="S3" s="8"/>
      <c r="T3" s="8"/>
      <c r="U3" s="8"/>
      <c r="V3" s="8"/>
      <c r="W3" s="8" t="s">
        <v>972</v>
      </c>
      <c r="X3" s="8">
        <v>12.49</v>
      </c>
      <c r="Y3" s="8">
        <v>5.8</v>
      </c>
      <c r="Z3" s="9">
        <v>4.37</v>
      </c>
      <c r="AA3" s="8">
        <v>266.8</v>
      </c>
      <c r="AB3" s="8">
        <v>3835</v>
      </c>
      <c r="AC3" s="21" t="s">
        <v>972</v>
      </c>
      <c r="AD3" s="8" t="s">
        <v>3685</v>
      </c>
      <c r="AE3" s="8" t="s">
        <v>4287</v>
      </c>
      <c r="AF3" s="9">
        <f t="shared" si="0"/>
        <v>1547.44</v>
      </c>
      <c r="AG3" s="9">
        <f t="shared" si="1"/>
        <v>1231.7266666666669</v>
      </c>
      <c r="AH3" s="9">
        <f t="shared" si="2"/>
        <v>30.201494226850802</v>
      </c>
      <c r="AI3" s="9">
        <f t="shared" si="3"/>
        <v>912.13025353450234</v>
      </c>
      <c r="AJ3" s="9">
        <f t="shared" si="4"/>
        <v>58.534754916164388</v>
      </c>
      <c r="AK3" s="9">
        <f t="shared" si="5"/>
        <v>3426.3175330954309</v>
      </c>
      <c r="AL3" s="9">
        <f t="shared" si="6"/>
        <v>88.352820218540032</v>
      </c>
      <c r="AM3" s="9">
        <f t="shared" si="7"/>
        <v>7806.2208405696565</v>
      </c>
      <c r="AN3" s="8" t="s">
        <v>972</v>
      </c>
    </row>
    <row r="4" spans="8:40" ht="23">
      <c r="M4" s="8" t="s">
        <v>822</v>
      </c>
      <c r="N4" s="8" t="s">
        <v>150</v>
      </c>
      <c r="O4" s="8"/>
      <c r="P4" s="8" t="s">
        <v>3691</v>
      </c>
      <c r="Q4" s="8"/>
      <c r="R4" s="8"/>
      <c r="S4" s="8"/>
      <c r="T4" s="8"/>
      <c r="U4" s="8"/>
      <c r="V4" s="8"/>
      <c r="W4" s="8" t="s">
        <v>822</v>
      </c>
      <c r="X4" s="8">
        <v>43.25</v>
      </c>
      <c r="Y4" s="8">
        <v>1.0900000000000001</v>
      </c>
      <c r="Z4" s="9">
        <v>0.18</v>
      </c>
      <c r="AA4" s="8">
        <v>168.1</v>
      </c>
      <c r="AB4" s="8">
        <v>12774</v>
      </c>
      <c r="AC4" s="21" t="s">
        <v>822</v>
      </c>
      <c r="AD4" s="8" t="s">
        <v>3685</v>
      </c>
      <c r="AE4" s="8" t="s">
        <v>4287</v>
      </c>
      <c r="AF4" s="9">
        <f t="shared" si="0"/>
        <v>183.22900000000001</v>
      </c>
      <c r="AG4" s="9">
        <f t="shared" si="1"/>
        <v>50.43</v>
      </c>
      <c r="AH4" s="9">
        <f t="shared" si="2"/>
        <v>19.028752546977586</v>
      </c>
      <c r="AI4" s="9">
        <f t="shared" si="3"/>
        <v>362.09342349410593</v>
      </c>
      <c r="AJ4" s="9">
        <f t="shared" si="4"/>
        <v>6.9309728380640827</v>
      </c>
      <c r="AK4" s="9">
        <f t="shared" si="5"/>
        <v>48.038384481982085</v>
      </c>
      <c r="AL4" s="9">
        <f t="shared" si="6"/>
        <v>3.6173875618678708</v>
      </c>
      <c r="AM4" s="9">
        <f t="shared" si="7"/>
        <v>13.085492772756378</v>
      </c>
      <c r="AN4" s="8" t="s">
        <v>822</v>
      </c>
    </row>
    <row r="5" spans="8:40" ht="23">
      <c r="M5" s="8" t="s">
        <v>806</v>
      </c>
      <c r="N5" s="8" t="s">
        <v>150</v>
      </c>
      <c r="O5" s="8"/>
      <c r="P5" s="8" t="s">
        <v>3691</v>
      </c>
      <c r="Q5" s="8"/>
      <c r="R5" s="8"/>
      <c r="S5" s="8"/>
      <c r="T5" s="8"/>
      <c r="U5" s="8"/>
      <c r="V5" s="8"/>
      <c r="W5" s="8" t="s">
        <v>806</v>
      </c>
      <c r="X5" s="8">
        <v>11.22</v>
      </c>
      <c r="Y5" s="8">
        <v>2.64</v>
      </c>
      <c r="Z5" s="9">
        <v>0.57999999999999996</v>
      </c>
      <c r="AA5" s="8">
        <v>15.6</v>
      </c>
      <c r="AB5" s="8">
        <v>20202</v>
      </c>
      <c r="AC5" s="21" t="s">
        <v>806</v>
      </c>
      <c r="AD5" s="8" t="s">
        <v>3685</v>
      </c>
      <c r="AE5" s="8" t="s">
        <v>4287</v>
      </c>
      <c r="AF5" s="9">
        <f t="shared" si="0"/>
        <v>41.183999999999997</v>
      </c>
      <c r="AG5" s="9">
        <f t="shared" si="1"/>
        <v>15.08</v>
      </c>
      <c r="AH5" s="9">
        <f t="shared" si="2"/>
        <v>1.7659044600407514</v>
      </c>
      <c r="AI5" s="9">
        <f t="shared" si="3"/>
        <v>3.1184185619918177</v>
      </c>
      <c r="AJ5" s="9">
        <f t="shared" si="4"/>
        <v>1.5578603024784896</v>
      </c>
      <c r="AK5" s="9">
        <f t="shared" si="5"/>
        <v>2.4269287220383711</v>
      </c>
      <c r="AL5" s="9">
        <f t="shared" si="6"/>
        <v>1.0817014561365752</v>
      </c>
      <c r="AM5" s="9">
        <f t="shared" si="7"/>
        <v>1.1700780402079871</v>
      </c>
      <c r="AN5" s="8" t="s">
        <v>806</v>
      </c>
    </row>
    <row r="6" spans="8:40" ht="23">
      <c r="M6" s="9" t="s">
        <v>3395</v>
      </c>
      <c r="N6" s="8" t="s">
        <v>1990</v>
      </c>
      <c r="O6" s="8"/>
      <c r="P6" s="8" t="s">
        <v>3691</v>
      </c>
      <c r="Q6" s="8"/>
      <c r="R6" s="8"/>
      <c r="S6" s="8"/>
      <c r="T6" s="8"/>
      <c r="U6" s="8"/>
      <c r="V6" s="8"/>
      <c r="W6" s="9" t="s">
        <v>3395</v>
      </c>
      <c r="X6" s="8">
        <v>28.41</v>
      </c>
      <c r="Y6" s="8">
        <v>1.94</v>
      </c>
      <c r="Z6" s="9">
        <v>0.28000000000000003</v>
      </c>
      <c r="AA6" s="8">
        <v>14.8</v>
      </c>
      <c r="AB6" s="8">
        <v>24009</v>
      </c>
      <c r="AC6" s="22" t="s">
        <v>3395</v>
      </c>
      <c r="AD6" s="8" t="s">
        <v>3685</v>
      </c>
      <c r="AE6" s="8" t="s">
        <v>4287</v>
      </c>
      <c r="AF6" s="9">
        <f t="shared" si="0"/>
        <v>28.712</v>
      </c>
      <c r="AG6" s="9">
        <f t="shared" si="1"/>
        <v>6.9066666666666672</v>
      </c>
      <c r="AH6" s="9">
        <f t="shared" si="2"/>
        <v>1.6753452569617386</v>
      </c>
      <c r="AI6" s="9">
        <f t="shared" si="3"/>
        <v>2.806781730024194</v>
      </c>
      <c r="AJ6" s="9">
        <f t="shared" si="4"/>
        <v>1.0860840376059244</v>
      </c>
      <c r="AK6" s="9">
        <f t="shared" si="5"/>
        <v>1.179578536742387</v>
      </c>
      <c r="AL6" s="9">
        <f t="shared" si="6"/>
        <v>0.49542117973363931</v>
      </c>
      <c r="AM6" s="9">
        <f t="shared" si="7"/>
        <v>0.24544214532867095</v>
      </c>
      <c r="AN6" s="9" t="s">
        <v>3395</v>
      </c>
    </row>
    <row r="7" spans="8:40" ht="23">
      <c r="M7" s="8" t="s">
        <v>739</v>
      </c>
      <c r="N7" s="8" t="s">
        <v>150</v>
      </c>
      <c r="O7" s="8"/>
      <c r="P7" s="8" t="s">
        <v>3693</v>
      </c>
      <c r="Q7" s="8"/>
      <c r="R7" s="8"/>
      <c r="S7" s="8"/>
      <c r="T7" s="8"/>
      <c r="U7" s="8"/>
      <c r="V7" s="8"/>
      <c r="W7" s="8" t="s">
        <v>739</v>
      </c>
      <c r="X7" s="8">
        <v>17.32</v>
      </c>
      <c r="Y7" s="8">
        <v>8.58</v>
      </c>
      <c r="Z7" s="9">
        <v>5.32</v>
      </c>
      <c r="AA7" s="8">
        <v>10.6</v>
      </c>
      <c r="AB7" s="8">
        <v>8277</v>
      </c>
      <c r="AC7" s="21" t="s">
        <v>739</v>
      </c>
      <c r="AD7" s="8" t="s">
        <v>3685</v>
      </c>
      <c r="AE7" s="8" t="s">
        <v>4287</v>
      </c>
      <c r="AF7" s="9">
        <f t="shared" si="0"/>
        <v>90.947999999999993</v>
      </c>
      <c r="AG7" s="9">
        <f t="shared" si="1"/>
        <v>58.653333333333329</v>
      </c>
      <c r="AH7" s="9">
        <f t="shared" si="2"/>
        <v>1.1999094407969209</v>
      </c>
      <c r="AI7" s="9">
        <f t="shared" si="3"/>
        <v>1.4397826661135793</v>
      </c>
      <c r="AJ7" s="9">
        <f t="shared" si="4"/>
        <v>3.4402748346399976</v>
      </c>
      <c r="AK7" s="9">
        <f t="shared" si="5"/>
        <v>11.835490937857262</v>
      </c>
      <c r="AL7" s="9">
        <f t="shared" si="6"/>
        <v>4.207254381560384</v>
      </c>
      <c r="AM7" s="9">
        <f t="shared" si="7"/>
        <v>17.700989431159048</v>
      </c>
      <c r="AN7" s="8" t="s">
        <v>739</v>
      </c>
    </row>
    <row r="8" spans="8:40" ht="23">
      <c r="M8" s="8" t="s">
        <v>1387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1387</v>
      </c>
      <c r="X8" s="8">
        <v>34.58</v>
      </c>
      <c r="Y8" s="8">
        <v>2.38</v>
      </c>
      <c r="Z8" s="9">
        <v>1.5</v>
      </c>
      <c r="AA8" s="8">
        <v>7.1</v>
      </c>
      <c r="AB8" s="8"/>
      <c r="AC8" s="21" t="s">
        <v>1387</v>
      </c>
      <c r="AD8" s="8" t="s">
        <v>3685</v>
      </c>
      <c r="AE8" s="8" t="s">
        <v>4287</v>
      </c>
      <c r="AF8" s="9">
        <f t="shared" si="0"/>
        <v>16.898</v>
      </c>
      <c r="AG8" s="9">
        <f t="shared" si="1"/>
        <v>7.1591666666666658</v>
      </c>
      <c r="AH8" s="9">
        <f t="shared" si="2"/>
        <v>0.80371292732623945</v>
      </c>
      <c r="AI8" s="9">
        <f t="shared" si="3"/>
        <v>0.64595446955131308</v>
      </c>
      <c r="AJ8" s="9">
        <f t="shared" si="4"/>
        <v>0.63919782904238343</v>
      </c>
      <c r="AK8" s="9">
        <f t="shared" si="5"/>
        <v>0.40857386465249601</v>
      </c>
      <c r="AL8" s="9">
        <f t="shared" si="6"/>
        <v>0.5135332233460056</v>
      </c>
      <c r="AM8" s="9">
        <f t="shared" si="7"/>
        <v>0.26371637148013849</v>
      </c>
      <c r="AN8" s="8" t="s">
        <v>1387</v>
      </c>
    </row>
    <row r="9" spans="8:40" ht="23">
      <c r="M9" s="8" t="s">
        <v>989</v>
      </c>
      <c r="N9" s="8" t="s">
        <v>150</v>
      </c>
      <c r="O9" s="8"/>
      <c r="P9" s="8" t="s">
        <v>3693</v>
      </c>
      <c r="Q9" s="8"/>
      <c r="R9" s="8"/>
      <c r="S9" s="8"/>
      <c r="T9" s="8"/>
      <c r="U9" s="8"/>
      <c r="V9" s="8"/>
      <c r="W9" s="8" t="s">
        <v>989</v>
      </c>
      <c r="X9" s="8">
        <v>29.37</v>
      </c>
      <c r="Y9" s="8">
        <v>6.55</v>
      </c>
      <c r="Z9" s="9">
        <v>2.31</v>
      </c>
      <c r="AA9" s="8">
        <v>3.9</v>
      </c>
      <c r="AB9" s="8">
        <v>16586</v>
      </c>
      <c r="AC9" s="21" t="s">
        <v>989</v>
      </c>
      <c r="AD9" s="8" t="s">
        <v>3685</v>
      </c>
      <c r="AE9" s="8" t="s">
        <v>4287</v>
      </c>
      <c r="AF9" s="9">
        <f t="shared" si="0"/>
        <v>25.544999999999998</v>
      </c>
      <c r="AG9" s="9">
        <f t="shared" si="1"/>
        <v>9.8149999999999995</v>
      </c>
      <c r="AH9" s="9">
        <f t="shared" si="2"/>
        <v>0.44147611501018785</v>
      </c>
      <c r="AI9" s="9">
        <f t="shared" si="3"/>
        <v>0.1949011601244886</v>
      </c>
      <c r="AJ9" s="9">
        <f t="shared" si="4"/>
        <v>0.96628645655626</v>
      </c>
      <c r="AK9" s="9">
        <f t="shared" si="5"/>
        <v>0.93370951612405295</v>
      </c>
      <c r="AL9" s="9">
        <f t="shared" si="6"/>
        <v>0.70403844774406399</v>
      </c>
      <c r="AM9" s="9">
        <f t="shared" si="7"/>
        <v>0.49567013590187115</v>
      </c>
      <c r="AN9" s="8" t="s">
        <v>989</v>
      </c>
    </row>
    <row r="10" spans="8:40" ht="23">
      <c r="M10" s="8" t="s">
        <v>706</v>
      </c>
      <c r="N10" s="8" t="s">
        <v>150</v>
      </c>
      <c r="O10" s="8"/>
      <c r="P10" s="8" t="s">
        <v>4697</v>
      </c>
      <c r="Q10" s="8"/>
      <c r="R10" s="8"/>
      <c r="S10" s="8"/>
      <c r="T10" s="8"/>
      <c r="U10" s="8"/>
      <c r="V10" s="8"/>
      <c r="W10" s="8" t="s">
        <v>706</v>
      </c>
      <c r="X10" s="8">
        <v>77.59</v>
      </c>
      <c r="Y10" s="8">
        <v>2.1800000000000002</v>
      </c>
      <c r="Z10" s="9">
        <v>1.58</v>
      </c>
      <c r="AA10" s="8">
        <v>3.6</v>
      </c>
      <c r="AB10" s="8">
        <v>29814</v>
      </c>
      <c r="AC10" s="21" t="s">
        <v>706</v>
      </c>
      <c r="AD10" s="8" t="s">
        <v>3685</v>
      </c>
      <c r="AE10" s="8" t="s">
        <v>4287</v>
      </c>
      <c r="AF10" s="9">
        <f t="shared" si="0"/>
        <v>7.8480000000000008</v>
      </c>
      <c r="AG10" s="9">
        <f t="shared" si="1"/>
        <v>7.080000000000001</v>
      </c>
      <c r="AH10" s="9">
        <f t="shared" si="2"/>
        <v>0.40751641385555804</v>
      </c>
      <c r="AI10" s="9">
        <f t="shared" si="3"/>
        <v>0.16606962756169447</v>
      </c>
      <c r="AJ10" s="9">
        <f t="shared" si="4"/>
        <v>0.29686498771006187</v>
      </c>
      <c r="AK10" s="9">
        <f t="shared" si="5"/>
        <v>8.8128820928095181E-2</v>
      </c>
      <c r="AL10" s="9">
        <f t="shared" si="6"/>
        <v>0.50785452980417467</v>
      </c>
      <c r="AM10" s="9">
        <f t="shared" si="7"/>
        <v>0.25791622344261933</v>
      </c>
      <c r="AN10" s="8" t="s">
        <v>706</v>
      </c>
    </row>
    <row r="11" spans="8:40" ht="23">
      <c r="M11" s="8" t="s">
        <v>754</v>
      </c>
      <c r="N11" s="8" t="s">
        <v>150</v>
      </c>
      <c r="O11" s="8"/>
      <c r="P11" s="8" t="s">
        <v>3698</v>
      </c>
      <c r="Q11" s="8"/>
      <c r="R11" s="8"/>
      <c r="S11" s="8"/>
      <c r="T11" s="8"/>
      <c r="U11" s="8"/>
      <c r="V11" s="8"/>
      <c r="W11" s="8" t="s">
        <v>754</v>
      </c>
      <c r="X11" s="8">
        <v>29.61</v>
      </c>
      <c r="Y11" s="8">
        <v>1.98</v>
      </c>
      <c r="Z11" s="9">
        <v>0.5</v>
      </c>
      <c r="AA11" s="8">
        <v>3.6</v>
      </c>
      <c r="AB11" s="8">
        <v>35350</v>
      </c>
      <c r="AC11" s="21" t="s">
        <v>754</v>
      </c>
      <c r="AD11" s="8" t="s">
        <v>3685</v>
      </c>
      <c r="AE11" s="8" t="s">
        <v>4287</v>
      </c>
      <c r="AF11" s="9">
        <f t="shared" si="0"/>
        <v>7.1280000000000001</v>
      </c>
      <c r="AG11" s="9">
        <f t="shared" si="1"/>
        <v>0.03</v>
      </c>
      <c r="AH11" s="9">
        <f t="shared" si="2"/>
        <v>0.40751641385555804</v>
      </c>
      <c r="AI11" s="9">
        <f t="shared" si="3"/>
        <v>0.16606962756169447</v>
      </c>
      <c r="AJ11" s="9">
        <f t="shared" si="4"/>
        <v>0.26962966773666169</v>
      </c>
      <c r="AK11" s="9">
        <f t="shared" si="5"/>
        <v>7.2700157723782577E-2</v>
      </c>
      <c r="AL11" s="9">
        <f t="shared" si="6"/>
        <v>2.1519259737465025E-3</v>
      </c>
      <c r="AM11" s="9">
        <f t="shared" si="7"/>
        <v>4.6307853964848329E-6</v>
      </c>
      <c r="AN11" s="8" t="s">
        <v>754</v>
      </c>
    </row>
    <row r="12" spans="8:40" ht="23">
      <c r="M12" s="9" t="s">
        <v>2919</v>
      </c>
      <c r="N12" s="8" t="s">
        <v>1717</v>
      </c>
      <c r="O12" s="8"/>
      <c r="P12" s="8" t="s">
        <v>3691</v>
      </c>
      <c r="Q12" s="8"/>
      <c r="R12" s="8"/>
      <c r="S12" s="8"/>
      <c r="T12" s="8"/>
      <c r="U12" s="8"/>
      <c r="V12" s="8"/>
      <c r="W12" s="9" t="s">
        <v>2919</v>
      </c>
      <c r="X12" s="8">
        <v>42.84</v>
      </c>
      <c r="Y12" s="8">
        <v>2.44</v>
      </c>
      <c r="Z12" s="9">
        <v>1.25</v>
      </c>
      <c r="AA12" s="8">
        <v>1.5</v>
      </c>
      <c r="AB12" s="8">
        <v>66296</v>
      </c>
      <c r="AC12" s="22" t="s">
        <v>2919</v>
      </c>
      <c r="AD12" s="8" t="s">
        <v>3685</v>
      </c>
      <c r="AE12" s="8" t="s">
        <v>4287</v>
      </c>
      <c r="AF12" s="9">
        <f t="shared" si="0"/>
        <v>3.66</v>
      </c>
      <c r="AG12" s="9">
        <f t="shared" si="1"/>
        <v>2.125</v>
      </c>
      <c r="AH12" s="9">
        <f t="shared" si="2"/>
        <v>0.16979850577314917</v>
      </c>
      <c r="AI12" s="9">
        <f t="shared" si="3"/>
        <v>2.8831532562794172E-2</v>
      </c>
      <c r="AJ12" s="9">
        <f t="shared" si="4"/>
        <v>0.1384462098647842</v>
      </c>
      <c r="AK12" s="9">
        <f t="shared" si="5"/>
        <v>1.9167353025923872E-2</v>
      </c>
      <c r="AL12" s="9">
        <f t="shared" si="6"/>
        <v>0.15242808980704392</v>
      </c>
      <c r="AM12" s="9">
        <f t="shared" si="7"/>
        <v>2.3234322562224248E-2</v>
      </c>
      <c r="AN12" s="9" t="s">
        <v>2919</v>
      </c>
    </row>
    <row r="13" spans="8:40" ht="23">
      <c r="M13" s="9" t="s">
        <v>2311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9" t="s">
        <v>2311</v>
      </c>
      <c r="X13" s="8">
        <v>40.81</v>
      </c>
      <c r="Y13" s="8">
        <v>2.2799999999999998</v>
      </c>
      <c r="Z13" s="9">
        <v>1.1499999999999999</v>
      </c>
      <c r="AA13" s="8">
        <v>1.5</v>
      </c>
      <c r="AB13" s="8">
        <v>56286</v>
      </c>
      <c r="AC13" s="22" t="s">
        <v>2311</v>
      </c>
      <c r="AD13" s="8" t="s">
        <v>3685</v>
      </c>
      <c r="AE13" s="8" t="s">
        <v>4287</v>
      </c>
      <c r="AF13" s="9">
        <f t="shared" si="0"/>
        <v>3.42</v>
      </c>
      <c r="AG13" s="9">
        <f t="shared" si="1"/>
        <v>1.875</v>
      </c>
      <c r="AH13" s="9">
        <f t="shared" si="2"/>
        <v>0.16979850577314917</v>
      </c>
      <c r="AI13" s="9">
        <f t="shared" si="3"/>
        <v>2.8831532562794172E-2</v>
      </c>
      <c r="AJ13" s="9">
        <f t="shared" si="4"/>
        <v>0.12936776987365078</v>
      </c>
      <c r="AK13" s="9">
        <f t="shared" si="5"/>
        <v>1.6736019882081867E-2</v>
      </c>
      <c r="AL13" s="9">
        <f t="shared" si="6"/>
        <v>0.1344953733591564</v>
      </c>
      <c r="AM13" s="9">
        <f t="shared" si="7"/>
        <v>1.8089005455018878E-2</v>
      </c>
      <c r="AN13" s="9" t="s">
        <v>2311</v>
      </c>
    </row>
    <row r="14" spans="8:40" ht="23"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9"/>
      <c r="AA14" s="8">
        <f>SUBTOTAL(109,Table13632343637383940[ترافیک کل])</f>
        <v>883.40000000000009</v>
      </c>
      <c r="AB14" s="8"/>
      <c r="AC14" s="8"/>
      <c r="AD14" s="8"/>
      <c r="AE14" s="8"/>
      <c r="AF14" s="9">
        <f>SUBTOTAL(109,Table13632343637383940[[مجموع صفحات  مشاهده شده   ]])</f>
        <v>2643.6260000000002</v>
      </c>
      <c r="AG14" s="9">
        <f>SUBTOTAL(109,Table13632343637383940[[مجموع زمان حضور در سایت ]])</f>
        <v>1394.1000000000004</v>
      </c>
      <c r="AH14" s="9">
        <f>SUBTOTAL(109,Table13632343637383940[سهم سایت از کل ترافیک طبقه بندی])</f>
        <v>99.999999999999986</v>
      </c>
      <c r="AI14" s="9">
        <f>SUBTOTAL(109,Table13632343637383940[شاخص هرفیندال هیرشمن (ترافیک)])</f>
        <v>3195.0250972724648</v>
      </c>
      <c r="AJ14" s="9">
        <f>SUBTOTAL(109,Table13632343637383940[سهم سایت از کل صفحات مشاهده شده در طبقه بندی])</f>
        <v>100</v>
      </c>
      <c r="AK14" s="9">
        <f>SUBTOTAL(109,Table13632343637383940[شاخص هرفیندال -هیرشمن (صفحات مشاهده شده )])</f>
        <v>4167.870564590763</v>
      </c>
      <c r="AL14" s="9">
        <f>SUBTOTAL(109,Table13632343637383940[سهم سایت از کل زمان حضور در طبقه بندی])</f>
        <v>100</v>
      </c>
      <c r="AM14" s="9">
        <f>SUBTOTAL(109,Table13632343637383940[شاخص هرفیندال هیرشمن (زمان حضور)])</f>
        <v>7839.534794745</v>
      </c>
      <c r="AN14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{7DD83754-9250-41E1-9DFD-D747B74B6FF8}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{8973CEFF-4C0C-42B1-8628-E0B3E1505EE4}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{1843F64C-7894-4336-810B-A9EAA6C42DCA}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{46B2E0A9-9B00-4E4F-9B16-D56B44C824B9}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{36232C30-A3BF-453E-9186-F278E7ADD6DD}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{FC106ABA-3578-44C8-874D-5F8719451577}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D83754-9250-41E1-9DFD-D747B74B6FF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973CEFF-4C0C-42B1-8628-E0B3E1505EE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843F64C-7894-4336-810B-A9EAA6C42DC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46B2E0A9-9B00-4E4F-9B16-D56B44C824B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6232C30-A3BF-453E-9186-F278E7ADD6D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FC106ABA-3578-44C8-874D-5F871945157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8"/>
  <sheetViews>
    <sheetView showGridLines="0" rightToLeft="1" topLeftCell="AA1" zoomScale="85" zoomScaleNormal="85" workbookViewId="0">
      <selection activeCell="AC8" sqref="AC8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0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1591</v>
      </c>
      <c r="N2" s="8" t="s">
        <v>150</v>
      </c>
      <c r="O2" s="8"/>
      <c r="P2" s="8" t="s">
        <v>3691</v>
      </c>
      <c r="Q2" s="8"/>
      <c r="R2" s="8"/>
      <c r="S2" s="8"/>
      <c r="T2" s="8"/>
      <c r="U2" s="8"/>
      <c r="V2" s="8"/>
      <c r="W2" s="8" t="s">
        <v>1591</v>
      </c>
      <c r="X2" s="8">
        <v>24.75</v>
      </c>
      <c r="Y2" s="8">
        <v>2.41</v>
      </c>
      <c r="Z2" s="9">
        <v>1.37</v>
      </c>
      <c r="AA2" s="8">
        <v>25</v>
      </c>
      <c r="AB2" s="8">
        <v>8877</v>
      </c>
      <c r="AC2" s="21" t="s">
        <v>1591</v>
      </c>
      <c r="AD2" s="8" t="s">
        <v>4079</v>
      </c>
      <c r="AE2" s="8" t="s">
        <v>4287</v>
      </c>
      <c r="AF2" s="9">
        <f t="shared" ref="AF2:AF7" si="0">(AA2*Y2)</f>
        <v>60.25</v>
      </c>
      <c r="AG2" s="9">
        <f t="shared" ref="AG2:AG7" si="1">((((RIGHT(Z2,2))/60)+(LEFT(Z2,2)))*AA2)</f>
        <v>40.416666666666664</v>
      </c>
      <c r="AH2" s="9">
        <f t="shared" ref="AH2:AH7" si="2">(AA2/$AA$8)*100</f>
        <v>53.418803418803421</v>
      </c>
      <c r="AI2" s="9">
        <f t="shared" ref="AI2:AI7" si="3">(AH2*AH2)</f>
        <v>2853.5685586967638</v>
      </c>
      <c r="AJ2" s="9">
        <f t="shared" ref="AJ2:AJ7" si="4">(AF2/$AF$8)*100</f>
        <v>28.984043141725955</v>
      </c>
      <c r="AK2" s="9">
        <f t="shared" ref="AK2:AK7" si="5">(AJ2*AJ2)</f>
        <v>840.07475684143139</v>
      </c>
      <c r="AL2" s="9">
        <f t="shared" ref="AL2:AL7" si="6">(AG2/$AG$8)*100</f>
        <v>20.34856888724795</v>
      </c>
      <c r="AM2" s="9">
        <f t="shared" ref="AM2:AM7" si="7">(AL2*AL2)</f>
        <v>414.06425575907525</v>
      </c>
      <c r="AN2" s="8" t="s">
        <v>1591</v>
      </c>
    </row>
    <row r="3" spans="8:40" ht="23">
      <c r="M3" s="9" t="s">
        <v>2501</v>
      </c>
      <c r="N3" s="8" t="s">
        <v>150</v>
      </c>
      <c r="O3" s="8"/>
      <c r="P3" s="8" t="s">
        <v>3700</v>
      </c>
      <c r="Q3" s="8"/>
      <c r="R3" s="8"/>
      <c r="S3" s="8"/>
      <c r="T3" s="8"/>
      <c r="U3" s="8"/>
      <c r="V3" s="8"/>
      <c r="W3" s="9" t="s">
        <v>2501</v>
      </c>
      <c r="X3" s="8">
        <v>30.19</v>
      </c>
      <c r="Y3" s="8">
        <v>9.51</v>
      </c>
      <c r="Z3" s="9">
        <v>10.16</v>
      </c>
      <c r="AA3" s="8">
        <v>8.1</v>
      </c>
      <c r="AB3" s="8">
        <v>8180</v>
      </c>
      <c r="AC3" s="22" t="s">
        <v>2501</v>
      </c>
      <c r="AD3" s="8" t="s">
        <v>4079</v>
      </c>
      <c r="AE3" s="8" t="s">
        <v>4287</v>
      </c>
      <c r="AF3" s="9">
        <f t="shared" si="0"/>
        <v>77.030999999999992</v>
      </c>
      <c r="AG3" s="9">
        <f t="shared" si="1"/>
        <v>83.16</v>
      </c>
      <c r="AH3" s="9">
        <f t="shared" si="2"/>
        <v>17.307692307692303</v>
      </c>
      <c r="AI3" s="9">
        <f t="shared" si="3"/>
        <v>299.5562130177513</v>
      </c>
      <c r="AJ3" s="9">
        <f t="shared" si="4"/>
        <v>37.056760618262111</v>
      </c>
      <c r="AK3" s="9">
        <f t="shared" si="5"/>
        <v>1373.2035075191816</v>
      </c>
      <c r="AL3" s="9">
        <f t="shared" si="6"/>
        <v>41.868544049407163</v>
      </c>
      <c r="AM3" s="9">
        <f t="shared" si="7"/>
        <v>1752.974980817148</v>
      </c>
      <c r="AN3" s="9" t="s">
        <v>2501</v>
      </c>
    </row>
    <row r="4" spans="8:40" ht="23">
      <c r="M4" s="8" t="s">
        <v>4251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4251</v>
      </c>
      <c r="X4" s="8">
        <v>24.36</v>
      </c>
      <c r="Y4" s="8">
        <v>4.7300000000000004</v>
      </c>
      <c r="Z4" s="9">
        <v>5.57</v>
      </c>
      <c r="AA4" s="8">
        <v>6.4</v>
      </c>
      <c r="AB4" s="8">
        <v>18786</v>
      </c>
      <c r="AC4" s="21" t="s">
        <v>4251</v>
      </c>
      <c r="AD4" s="8" t="s">
        <v>4079</v>
      </c>
      <c r="AE4" s="8" t="s">
        <v>4287</v>
      </c>
      <c r="AF4" s="9">
        <f t="shared" si="0"/>
        <v>30.272000000000006</v>
      </c>
      <c r="AG4" s="9">
        <f t="shared" si="1"/>
        <v>38.080000000000005</v>
      </c>
      <c r="AH4" s="9">
        <f t="shared" si="2"/>
        <v>13.675213675213675</v>
      </c>
      <c r="AI4" s="9">
        <f t="shared" si="3"/>
        <v>187.0114690627511</v>
      </c>
      <c r="AJ4" s="9">
        <f t="shared" si="4"/>
        <v>14.562737825499225</v>
      </c>
      <c r="AK4" s="9">
        <f t="shared" si="5"/>
        <v>212.07333297422588</v>
      </c>
      <c r="AL4" s="9">
        <f t="shared" si="6"/>
        <v>19.172127914880051</v>
      </c>
      <c r="AM4" s="9">
        <f t="shared" si="7"/>
        <v>367.57048878452287</v>
      </c>
      <c r="AN4" s="8" t="s">
        <v>4251</v>
      </c>
    </row>
    <row r="5" spans="8:40" ht="23">
      <c r="M5" s="8" t="s">
        <v>1252</v>
      </c>
      <c r="N5" s="8" t="s">
        <v>150</v>
      </c>
      <c r="O5" s="8"/>
      <c r="P5" s="8" t="s">
        <v>4676</v>
      </c>
      <c r="Q5" s="8"/>
      <c r="R5" s="8"/>
      <c r="S5" s="8"/>
      <c r="T5" s="8"/>
      <c r="U5" s="8"/>
      <c r="V5" s="8"/>
      <c r="W5" s="8" t="s">
        <v>1252</v>
      </c>
      <c r="X5" s="8">
        <v>20.69</v>
      </c>
      <c r="Y5" s="8">
        <v>7.87</v>
      </c>
      <c r="Z5" s="9">
        <v>7.15</v>
      </c>
      <c r="AA5" s="8">
        <v>3.5</v>
      </c>
      <c r="AB5" s="8">
        <v>24812</v>
      </c>
      <c r="AC5" s="21" t="s">
        <v>1252</v>
      </c>
      <c r="AD5" s="8" t="s">
        <v>4079</v>
      </c>
      <c r="AE5" s="8" t="s">
        <v>4287</v>
      </c>
      <c r="AF5" s="9">
        <f t="shared" si="0"/>
        <v>27.545000000000002</v>
      </c>
      <c r="AG5" s="9">
        <f t="shared" si="1"/>
        <v>25.375</v>
      </c>
      <c r="AH5" s="9">
        <f t="shared" si="2"/>
        <v>7.4786324786324787</v>
      </c>
      <c r="AI5" s="9">
        <f t="shared" si="3"/>
        <v>55.929943750456573</v>
      </c>
      <c r="AJ5" s="9">
        <f t="shared" si="4"/>
        <v>13.250879142553387</v>
      </c>
      <c r="AK5" s="9">
        <f t="shared" si="5"/>
        <v>175.58579805055638</v>
      </c>
      <c r="AL5" s="9">
        <f t="shared" si="6"/>
        <v>12.77554479622062</v>
      </c>
      <c r="AM5" s="9">
        <f t="shared" si="7"/>
        <v>163.21454484023977</v>
      </c>
      <c r="AN5" s="8" t="s">
        <v>1252</v>
      </c>
    </row>
    <row r="6" spans="8:40" ht="23">
      <c r="M6" s="24" t="s">
        <v>5192</v>
      </c>
      <c r="N6" s="8" t="s">
        <v>150</v>
      </c>
      <c r="O6" s="24"/>
      <c r="P6" s="24"/>
      <c r="Q6" s="24"/>
      <c r="R6" s="24"/>
      <c r="S6" s="24"/>
      <c r="T6" s="24"/>
      <c r="U6" s="24"/>
      <c r="V6" s="24"/>
      <c r="W6" s="24" t="s">
        <v>5192</v>
      </c>
      <c r="X6" s="24">
        <v>38.08</v>
      </c>
      <c r="Y6" s="24">
        <v>2.74</v>
      </c>
      <c r="Z6" s="25">
        <v>3.03</v>
      </c>
      <c r="AA6" s="24">
        <v>2.1</v>
      </c>
      <c r="AB6" s="24">
        <v>48527</v>
      </c>
      <c r="AC6" s="21" t="s">
        <v>5192</v>
      </c>
      <c r="AD6" s="8" t="s">
        <v>4079</v>
      </c>
      <c r="AE6" s="8" t="s">
        <v>4287</v>
      </c>
      <c r="AF6" s="25">
        <f t="shared" si="0"/>
        <v>5.7540000000000004</v>
      </c>
      <c r="AG6" s="25">
        <f t="shared" si="1"/>
        <v>6.4050000000000002</v>
      </c>
      <c r="AH6" s="9">
        <f t="shared" si="2"/>
        <v>4.4871794871794872</v>
      </c>
      <c r="AI6" s="25">
        <f t="shared" si="3"/>
        <v>20.134779750164366</v>
      </c>
      <c r="AJ6" s="9">
        <f t="shared" si="4"/>
        <v>2.7680362529044178</v>
      </c>
      <c r="AK6" s="25">
        <f t="shared" si="5"/>
        <v>7.6620246973931296</v>
      </c>
      <c r="AL6" s="9">
        <f t="shared" si="6"/>
        <v>3.2247237209770669</v>
      </c>
      <c r="AM6" s="25">
        <f t="shared" si="7"/>
        <v>10.398843076632181</v>
      </c>
      <c r="AN6" s="24" t="s">
        <v>5192</v>
      </c>
    </row>
    <row r="7" spans="8:40" ht="23">
      <c r="M7" s="24" t="s">
        <v>5219</v>
      </c>
      <c r="N7" s="8" t="s">
        <v>150</v>
      </c>
      <c r="O7" s="24"/>
      <c r="P7" s="24"/>
      <c r="Q7" s="24"/>
      <c r="R7" s="24"/>
      <c r="S7" s="24"/>
      <c r="T7" s="24"/>
      <c r="U7" s="24"/>
      <c r="V7" s="24"/>
      <c r="W7" s="24" t="s">
        <v>5219</v>
      </c>
      <c r="X7" s="24">
        <v>30.95</v>
      </c>
      <c r="Y7" s="24">
        <v>4.13</v>
      </c>
      <c r="Z7" s="25">
        <v>3</v>
      </c>
      <c r="AA7" s="24">
        <v>1.7</v>
      </c>
      <c r="AB7" s="24">
        <v>41724</v>
      </c>
      <c r="AC7" s="21" t="s">
        <v>5219</v>
      </c>
      <c r="AD7" s="8" t="s">
        <v>4079</v>
      </c>
      <c r="AE7" s="8" t="s">
        <v>4287</v>
      </c>
      <c r="AF7" s="25">
        <f t="shared" si="0"/>
        <v>7.0209999999999999</v>
      </c>
      <c r="AG7" s="25">
        <f t="shared" si="1"/>
        <v>5.1849999999999996</v>
      </c>
      <c r="AH7" s="9">
        <f t="shared" si="2"/>
        <v>3.632478632478632</v>
      </c>
      <c r="AI7" s="25">
        <f t="shared" si="3"/>
        <v>13.194901015413832</v>
      </c>
      <c r="AJ7" s="9">
        <f t="shared" si="4"/>
        <v>3.3775430190549036</v>
      </c>
      <c r="AK7" s="25">
        <f t="shared" si="5"/>
        <v>11.407796845566512</v>
      </c>
      <c r="AL7" s="9">
        <f t="shared" si="6"/>
        <v>2.6104906312671492</v>
      </c>
      <c r="AM7" s="25">
        <f t="shared" si="7"/>
        <v>6.8146613359335593</v>
      </c>
      <c r="AN7" s="24" t="s">
        <v>5219</v>
      </c>
    </row>
    <row r="8" spans="8:40" ht="23"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9"/>
      <c r="AA8" s="8">
        <f>SUBTOTAL(109,Table1363234363738394041[ترافیک کل])</f>
        <v>46.800000000000004</v>
      </c>
      <c r="AB8" s="8"/>
      <c r="AC8" s="8"/>
      <c r="AD8" s="8"/>
      <c r="AE8" s="8"/>
      <c r="AF8" s="9">
        <f>SUBTOTAL(109,Table1363234363738394041[[مجموع صفحات  مشاهده شده   ]])</f>
        <v>207.87299999999999</v>
      </c>
      <c r="AG8" s="9">
        <f>SUBTOTAL(109,Table1363234363738394041[[مجموع زمان حضور در سایت ]])</f>
        <v>198.62166666666667</v>
      </c>
      <c r="AH8" s="9">
        <f>SUBTOTAL(109,Table1363234363738394041[سهم سایت از کل ترافیک طبقه بندی])</f>
        <v>100</v>
      </c>
      <c r="AI8" s="9">
        <f>SUBTOTAL(109,Table1363234363738394041[شاخص هرفیندال هیرشمن (ترافیک)])</f>
        <v>3429.3958652933011</v>
      </c>
      <c r="AJ8" s="9">
        <f>SUBTOTAL(109,Table1363234363738394041[سهم سایت از کل صفحات مشاهده شده در طبقه بندی])</f>
        <v>100</v>
      </c>
      <c r="AK8" s="9">
        <f>SUBTOTAL(109,Table1363234363738394041[شاخص هرفیندال -هیرشمن (صفحات مشاهده شده )])</f>
        <v>2620.0072169283544</v>
      </c>
      <c r="AL8" s="9">
        <f>SUBTOTAL(109,Table1363234363738394041[سهم سایت از کل زمان حضور در طبقه بندی])</f>
        <v>100</v>
      </c>
      <c r="AM8" s="9">
        <f>SUBTOTAL(109,Table1363234363738394041[شاخص هرفیندال هیرشمن (زمان حضور)])</f>
        <v>2715.0377746135514</v>
      </c>
      <c r="AN8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{C9F5AB12-301E-4657-AD7C-DB9ADBD11A27}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{711BC385-2A3C-4670-A156-D7BCDE46AD72}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{33AC3A06-385E-489A-99AF-72D746A0D507}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{06FFD043-143E-4DDC-B267-1D4E8F62AC4D}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{4E0AFF6C-A71A-4123-9DD0-83104B41E519}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{D692039F-9DCE-4967-B61D-390D10A1E322}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9F5AB12-301E-4657-AD7C-DB9ADBD11A2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11BC385-2A3C-4670-A156-D7BCDE46AD7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3AC3A06-385E-489A-99AF-72D746A0D50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06FFD043-143E-4DDC-B267-1D4E8F62AC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4E0AFF6C-A71A-4123-9DD0-83104B41E51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D692039F-9DCE-4967-B61D-390D10A1E3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2"/>
  <sheetViews>
    <sheetView showGridLines="0" rightToLeft="1" topLeftCell="AA1" zoomScale="85" zoomScaleNormal="85" workbookViewId="0">
      <selection activeCell="AC5" sqref="AC5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1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5328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5328</v>
      </c>
      <c r="X2" s="8">
        <v>16.04</v>
      </c>
      <c r="Y2" s="8">
        <v>11.53</v>
      </c>
      <c r="Z2" s="9">
        <v>13.24</v>
      </c>
      <c r="AA2" s="8">
        <v>3.4</v>
      </c>
      <c r="AB2" s="8">
        <v>36573</v>
      </c>
      <c r="AC2" s="21" t="s">
        <v>5328</v>
      </c>
      <c r="AD2" s="8" t="s">
        <v>5326</v>
      </c>
      <c r="AE2" s="8" t="s">
        <v>4287</v>
      </c>
      <c r="AF2" s="9">
        <f>(AA2*Y2)</f>
        <v>39.201999999999998</v>
      </c>
      <c r="AG2" s="9">
        <f>((((RIGHT(Z2,2))/60)+(LEFT(Z2,2)))*AA2)</f>
        <v>45.56</v>
      </c>
      <c r="AH2" s="9">
        <f>(AA2/$AA$5)*100</f>
        <v>47.887323943661976</v>
      </c>
      <c r="AI2" s="9">
        <f>(AH2*AH2)</f>
        <v>2293.1957944852215</v>
      </c>
      <c r="AJ2" s="9">
        <f>(AF2/$AF$5)*100</f>
        <v>74.446427893197608</v>
      </c>
      <c r="AK2" s="9">
        <f>(AJ2*AJ2)</f>
        <v>5542.2706260570712</v>
      </c>
      <c r="AL2" s="9">
        <f>(AG2/$AG$5)*100</f>
        <v>94.189964923403465</v>
      </c>
      <c r="AM2" s="9">
        <f>(AL2*AL2)</f>
        <v>8871.7494922719743</v>
      </c>
      <c r="AN2" s="8" t="s">
        <v>5328</v>
      </c>
    </row>
    <row r="3" spans="8:40" ht="23">
      <c r="M3" s="8" t="s">
        <v>5327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5327</v>
      </c>
      <c r="X3" s="8">
        <v>25.98</v>
      </c>
      <c r="Y3" s="8">
        <v>4.49</v>
      </c>
      <c r="Z3" s="9">
        <v>1.2</v>
      </c>
      <c r="AA3" s="8">
        <v>2.6</v>
      </c>
      <c r="AB3" s="8">
        <v>32560</v>
      </c>
      <c r="AC3" s="21" t="s">
        <v>5327</v>
      </c>
      <c r="AD3" s="8" t="s">
        <v>5326</v>
      </c>
      <c r="AE3" s="8" t="s">
        <v>4287</v>
      </c>
      <c r="AF3" s="9">
        <f>(AA3*Y3)</f>
        <v>11.674000000000001</v>
      </c>
      <c r="AG3" s="9">
        <f>((((RIGHT(Z3,2))/60)+(LEFT(Z3,2)))*AA3)</f>
        <v>2.6086666666666671</v>
      </c>
      <c r="AH3" s="9">
        <f>(AA3/$AA$5)*100</f>
        <v>36.619718309859159</v>
      </c>
      <c r="AI3" s="9">
        <f>(AH3*AH3)</f>
        <v>1341.0037690934341</v>
      </c>
      <c r="AJ3" s="9">
        <f>(AF3/$AF$5)*100</f>
        <v>22.169470925595352</v>
      </c>
      <c r="AK3" s="9">
        <f>(AJ3*AJ3)</f>
        <v>491.48544112081765</v>
      </c>
      <c r="AL3" s="9">
        <f>(AG3/$AG$5)*100</f>
        <v>5.3931128584325112</v>
      </c>
      <c r="AM3" s="9">
        <f>(AL3*AL3)</f>
        <v>29.085666303790092</v>
      </c>
      <c r="AN3" s="8" t="s">
        <v>5327</v>
      </c>
    </row>
    <row r="4" spans="8:40" ht="23">
      <c r="M4" s="8" t="s">
        <v>5329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5329</v>
      </c>
      <c r="X4" s="8">
        <v>61.59</v>
      </c>
      <c r="Y4" s="8">
        <v>1.62</v>
      </c>
      <c r="Z4" s="9">
        <v>0.11</v>
      </c>
      <c r="AA4" s="8">
        <v>1.1000000000000001</v>
      </c>
      <c r="AB4" s="8">
        <v>79715</v>
      </c>
      <c r="AC4" s="21" t="s">
        <v>5329</v>
      </c>
      <c r="AD4" s="8" t="s">
        <v>5326</v>
      </c>
      <c r="AE4" s="8" t="s">
        <v>4287</v>
      </c>
      <c r="AF4" s="9">
        <f>(AA4*Y4)</f>
        <v>1.7820000000000003</v>
      </c>
      <c r="AG4" s="9">
        <f>((((RIGHT(Z4,2))/60)+(LEFT(Z4,2)))*AA4)</f>
        <v>0.20166666666666666</v>
      </c>
      <c r="AH4" s="9">
        <f>(AA4/$AA$5)*100</f>
        <v>15.492957746478876</v>
      </c>
      <c r="AI4" s="9">
        <f>(AH4*AH4)</f>
        <v>240.03173973417981</v>
      </c>
      <c r="AJ4" s="9">
        <f>(AF4/$AF$5)*100</f>
        <v>3.3841011812070345</v>
      </c>
      <c r="AK4" s="9">
        <f>(AJ4*AJ4)</f>
        <v>11.452140804646847</v>
      </c>
      <c r="AL4" s="9">
        <f>(AG4/$AG$5)*100</f>
        <v>0.41692221816402614</v>
      </c>
      <c r="AM4" s="9">
        <f>(AL4*AL4)</f>
        <v>0.1738241359988118</v>
      </c>
      <c r="AN4" s="8" t="s">
        <v>5329</v>
      </c>
    </row>
    <row r="5" spans="8:40" ht="23"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9"/>
      <c r="AA5" s="8">
        <f>SUBTOTAL(109,Table13632343637113114[ترافیک کل])</f>
        <v>7.1</v>
      </c>
      <c r="AB5" s="8"/>
      <c r="AC5" s="8"/>
      <c r="AD5" s="8"/>
      <c r="AE5" s="8"/>
      <c r="AF5" s="9">
        <f>SUBTOTAL(109,Table13632343637113114[[مجموع صفحات  مشاهده شده   ]])</f>
        <v>52.658000000000001</v>
      </c>
      <c r="AG5" s="9">
        <f>SUBTOTAL(109,Table13632343637113114[[مجموع زمان حضور در سایت ]])</f>
        <v>48.370333333333335</v>
      </c>
      <c r="AH5" s="9">
        <f>SUBTOTAL(109,Table13632343637113114[سهم سایت از کل ترافیک طبقه بندی])</f>
        <v>100.00000000000001</v>
      </c>
      <c r="AI5" s="9">
        <f>SUBTOTAL(109,Table13632343637113114[شاخص هرفیندال هیرشمن (ترافیک)])</f>
        <v>3874.2313033128353</v>
      </c>
      <c r="AJ5" s="9">
        <f>SUBTOTAL(109,Table13632343637113114[سهم سایت از کل صفحات مشاهده شده در طبقه بندی])</f>
        <v>99.999999999999986</v>
      </c>
      <c r="AK5" s="9">
        <f>SUBTOTAL(109,Table13632343637113114[شاخص هرفیندال -هیرشمن (صفحات مشاهده شده )])</f>
        <v>6045.2082079825359</v>
      </c>
      <c r="AL5" s="9">
        <f>SUBTOTAL(109,Table13632343637113114[سهم سایت از کل زمان حضور در طبقه بندی])</f>
        <v>100.00000000000001</v>
      </c>
      <c r="AM5" s="9">
        <f>SUBTOTAL(109,Table13632343637113114[شاخص هرفیندال هیرشمن (زمان حضور)])</f>
        <v>8901.0089827117627</v>
      </c>
      <c r="AN5" s="9"/>
    </row>
    <row r="18" ht="23.5" customHeight="1"/>
    <row r="21" ht="19.5" customHeight="1"/>
    <row r="22" ht="20.5" customHeight="1"/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{526800F6-39A7-4ED1-A1D3-6886B9632D1A}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{7CA9092A-98DB-49F7-904A-2C397A37F260}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{BCBFE943-C111-4C1D-ACF2-5DEB053FF72A}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{1311DB6D-6D19-4E65-AA85-9A845F705B88}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{9E354D13-AED5-4681-B8C1-8C6B1FA48631}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{B9797AFF-6085-4FDC-8583-DD6DAF47B251}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6800F6-39A7-4ED1-A1D3-6886B9632D1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CA9092A-98DB-49F7-904A-2C397A37F26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CBFE943-C111-4C1D-ACF2-5DEB053FF7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311DB6D-6D19-4E65-AA85-9A845F705B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9E354D13-AED5-4681-B8C1-8C6B1FA486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B9797AFF-6085-4FDC-8583-DD6DAF47B25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91"/>
  <sheetViews>
    <sheetView showGridLines="0" rightToLeft="1" topLeftCell="Z1" zoomScale="70" zoomScaleNormal="70" workbookViewId="0">
      <selection activeCell="AC91" sqref="AC9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9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911</v>
      </c>
      <c r="N2" s="8" t="s">
        <v>150</v>
      </c>
      <c r="O2" s="8"/>
      <c r="P2" s="8" t="s">
        <v>3693</v>
      </c>
      <c r="Q2" s="8"/>
      <c r="R2" s="8"/>
      <c r="S2" s="8"/>
      <c r="T2" s="8"/>
      <c r="U2" s="8"/>
      <c r="V2" s="8"/>
      <c r="W2" s="8" t="s">
        <v>911</v>
      </c>
      <c r="X2" s="8">
        <v>19.190000000000001</v>
      </c>
      <c r="Y2" s="8">
        <v>12.01</v>
      </c>
      <c r="Z2" s="9">
        <v>10.56</v>
      </c>
      <c r="AA2" s="8">
        <v>9472</v>
      </c>
      <c r="AB2" s="8">
        <v>9</v>
      </c>
      <c r="AC2" s="21" t="s">
        <v>911</v>
      </c>
      <c r="AD2" s="8" t="s">
        <v>3683</v>
      </c>
      <c r="AE2" s="8" t="s">
        <v>4084</v>
      </c>
      <c r="AF2" s="9">
        <f t="shared" ref="AF2:AF33" si="0">(AA2*Y2)</f>
        <v>113758.72</v>
      </c>
      <c r="AG2" s="9">
        <f t="shared" ref="AG2:AG33" si="1">((((RIGHT(Z2,2))/60)+(LEFT(Z2,2)))*AA2)</f>
        <v>103560.53333333334</v>
      </c>
      <c r="AH2" s="9">
        <f t="shared" ref="AH2:AH33" si="2">(AA2/$AA$91)*100</f>
        <v>31.138228487271196</v>
      </c>
      <c r="AI2" s="9">
        <f t="shared" ref="AI2:AI33" si="3">(AH2*AH2)</f>
        <v>969.58927332550741</v>
      </c>
      <c r="AJ2" s="9">
        <f t="shared" ref="AJ2:AJ33" si="4">(AF2/$AF$91)*100</f>
        <v>53.498363973781295</v>
      </c>
      <c r="AK2" s="9">
        <f t="shared" ref="AK2:AK33" si="5">(AJ2*AJ2)</f>
        <v>2862.0749478711805</v>
      </c>
      <c r="AL2" s="9">
        <f t="shared" ref="AL2:AL33" si="6">(AG2/$AG$91)*100</f>
        <v>56.275717942428095</v>
      </c>
      <c r="AM2" s="9">
        <f t="shared" ref="AM2:AM33" si="7">(AL2*AL2)</f>
        <v>3166.9564299357235</v>
      </c>
      <c r="AN2" s="8" t="s">
        <v>911</v>
      </c>
    </row>
    <row r="3" spans="8:40" ht="23">
      <c r="M3" s="8" t="s">
        <v>558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558</v>
      </c>
      <c r="X3" s="8">
        <v>28.32</v>
      </c>
      <c r="Y3" s="8">
        <v>10.01</v>
      </c>
      <c r="Z3" s="9">
        <v>8.2100000000000009</v>
      </c>
      <c r="AA3" s="8">
        <v>6216.5</v>
      </c>
      <c r="AB3" s="8">
        <v>23</v>
      </c>
      <c r="AC3" s="21" t="s">
        <v>558</v>
      </c>
      <c r="AD3" s="8" t="s">
        <v>3683</v>
      </c>
      <c r="AE3" s="8" t="s">
        <v>4084</v>
      </c>
      <c r="AF3" s="9">
        <f t="shared" si="0"/>
        <v>62227.165000000001</v>
      </c>
      <c r="AG3" s="9">
        <f t="shared" si="1"/>
        <v>51907.774999999994</v>
      </c>
      <c r="AH3" s="9">
        <f t="shared" si="2"/>
        <v>20.436106143488324</v>
      </c>
      <c r="AI3" s="9">
        <f t="shared" si="3"/>
        <v>417.6344343079212</v>
      </c>
      <c r="AJ3" s="9">
        <f t="shared" si="4"/>
        <v>29.264143638628703</v>
      </c>
      <c r="AK3" s="9">
        <f t="shared" si="5"/>
        <v>856.39010290229271</v>
      </c>
      <c r="AL3" s="9">
        <f t="shared" si="6"/>
        <v>28.207148137376208</v>
      </c>
      <c r="AM3" s="9">
        <f t="shared" si="7"/>
        <v>795.64320604388615</v>
      </c>
      <c r="AN3" s="8" t="s">
        <v>558</v>
      </c>
    </row>
    <row r="4" spans="8:40" ht="23">
      <c r="M4" s="8" t="s">
        <v>153</v>
      </c>
      <c r="N4" s="8" t="s">
        <v>150</v>
      </c>
      <c r="O4" s="8"/>
      <c r="P4" s="8" t="s">
        <v>3692</v>
      </c>
      <c r="Q4" s="8"/>
      <c r="R4" s="8"/>
      <c r="S4" s="8"/>
      <c r="T4" s="8"/>
      <c r="U4" s="8"/>
      <c r="V4" s="8"/>
      <c r="W4" s="8" t="s">
        <v>153</v>
      </c>
      <c r="X4" s="8">
        <v>56.41</v>
      </c>
      <c r="Y4" s="8">
        <v>2.2200000000000002</v>
      </c>
      <c r="Z4" s="9">
        <v>2.12</v>
      </c>
      <c r="AA4" s="8">
        <v>2451</v>
      </c>
      <c r="AB4" s="8">
        <v>249</v>
      </c>
      <c r="AC4" s="21" t="s">
        <v>153</v>
      </c>
      <c r="AD4" s="8" t="s">
        <v>3683</v>
      </c>
      <c r="AE4" s="8" t="s">
        <v>4084</v>
      </c>
      <c r="AF4" s="9">
        <f t="shared" si="0"/>
        <v>5441.22</v>
      </c>
      <c r="AG4" s="9">
        <f t="shared" si="1"/>
        <v>5392.2000000000007</v>
      </c>
      <c r="AH4" s="9">
        <f t="shared" si="2"/>
        <v>8.0574111087734064</v>
      </c>
      <c r="AI4" s="9">
        <f t="shared" si="3"/>
        <v>64.921873775785087</v>
      </c>
      <c r="AJ4" s="9">
        <f t="shared" si="4"/>
        <v>2.5588927866050026</v>
      </c>
      <c r="AK4" s="9">
        <f t="shared" si="5"/>
        <v>6.547932293339116</v>
      </c>
      <c r="AL4" s="9">
        <f t="shared" si="6"/>
        <v>2.9301695976442841</v>
      </c>
      <c r="AM4" s="9">
        <f t="shared" si="7"/>
        <v>8.5858938709588664</v>
      </c>
      <c r="AN4" s="8" t="s">
        <v>153</v>
      </c>
    </row>
    <row r="5" spans="8:40" ht="23">
      <c r="M5" s="8" t="s">
        <v>4244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4244</v>
      </c>
      <c r="X5" s="8">
        <v>33.97</v>
      </c>
      <c r="Y5" s="8">
        <v>5.13</v>
      </c>
      <c r="Z5" s="9">
        <v>5.07</v>
      </c>
      <c r="AA5" s="8">
        <v>2150.6999999999998</v>
      </c>
      <c r="AB5" s="8">
        <v>217</v>
      </c>
      <c r="AC5" s="21" t="s">
        <v>4244</v>
      </c>
      <c r="AD5" s="8" t="s">
        <v>3683</v>
      </c>
      <c r="AE5" s="8" t="s">
        <v>4084</v>
      </c>
      <c r="AF5" s="9">
        <f t="shared" si="0"/>
        <v>11033.090999999999</v>
      </c>
      <c r="AG5" s="9">
        <f t="shared" si="1"/>
        <v>11004.414999999999</v>
      </c>
      <c r="AH5" s="9">
        <f t="shared" si="2"/>
        <v>7.0702056595834204</v>
      </c>
      <c r="AI5" s="9">
        <f t="shared" si="3"/>
        <v>49.987808068805428</v>
      </c>
      <c r="AJ5" s="9">
        <f t="shared" si="4"/>
        <v>5.1886336104507018</v>
      </c>
      <c r="AK5" s="9">
        <f t="shared" si="5"/>
        <v>26.921918743498686</v>
      </c>
      <c r="AL5" s="9">
        <f t="shared" si="6"/>
        <v>5.979897309606601</v>
      </c>
      <c r="AM5" s="9">
        <f t="shared" si="7"/>
        <v>35.759171833440263</v>
      </c>
      <c r="AN5" s="8" t="s">
        <v>4244</v>
      </c>
    </row>
    <row r="6" spans="8:40" ht="23">
      <c r="M6" s="8" t="s">
        <v>762</v>
      </c>
      <c r="N6" s="8" t="s">
        <v>150</v>
      </c>
      <c r="O6" s="8"/>
      <c r="P6" s="8" t="s">
        <v>3692</v>
      </c>
      <c r="Q6" s="8"/>
      <c r="R6" s="8"/>
      <c r="S6" s="8"/>
      <c r="T6" s="8"/>
      <c r="U6" s="8"/>
      <c r="V6" s="8"/>
      <c r="W6" s="8" t="s">
        <v>762</v>
      </c>
      <c r="X6" s="8">
        <v>62.71</v>
      </c>
      <c r="Y6" s="8">
        <v>1.83</v>
      </c>
      <c r="Z6" s="9">
        <v>1.19</v>
      </c>
      <c r="AA6" s="8">
        <v>1836.4</v>
      </c>
      <c r="AB6" s="8">
        <v>331</v>
      </c>
      <c r="AC6" s="21" t="s">
        <v>762</v>
      </c>
      <c r="AD6" s="8" t="s">
        <v>3683</v>
      </c>
      <c r="AE6" s="8" t="s">
        <v>4084</v>
      </c>
      <c r="AF6" s="9">
        <f t="shared" si="0"/>
        <v>3360.6120000000001</v>
      </c>
      <c r="AG6" s="9">
        <f t="shared" si="1"/>
        <v>2417.9266666666667</v>
      </c>
      <c r="AH6" s="9">
        <f t="shared" si="2"/>
        <v>6.0369766463286343</v>
      </c>
      <c r="AI6" s="9">
        <f t="shared" si="3"/>
        <v>36.445087028317324</v>
      </c>
      <c r="AJ6" s="9">
        <f t="shared" si="4"/>
        <v>1.5804260451476342</v>
      </c>
      <c r="AK6" s="9">
        <f t="shared" si="5"/>
        <v>2.497746484180992</v>
      </c>
      <c r="AL6" s="9">
        <f t="shared" si="6"/>
        <v>1.3139229271911372</v>
      </c>
      <c r="AM6" s="9">
        <f t="shared" si="7"/>
        <v>1.7263934585985266</v>
      </c>
      <c r="AN6" s="8" t="s">
        <v>762</v>
      </c>
    </row>
    <row r="7" spans="8:40" ht="23">
      <c r="M7" s="8" t="s">
        <v>568</v>
      </c>
      <c r="N7" s="8" t="s">
        <v>150</v>
      </c>
      <c r="O7" s="8"/>
      <c r="P7" s="8" t="s">
        <v>3691</v>
      </c>
      <c r="Q7" s="8"/>
      <c r="R7" s="8"/>
      <c r="S7" s="8"/>
      <c r="T7" s="8"/>
      <c r="U7" s="8"/>
      <c r="V7" s="8"/>
      <c r="W7" s="8" t="s">
        <v>568</v>
      </c>
      <c r="X7" s="8">
        <v>55.33</v>
      </c>
      <c r="Y7" s="8">
        <v>1.82</v>
      </c>
      <c r="Z7" s="9">
        <v>1.51</v>
      </c>
      <c r="AA7" s="8">
        <v>966.4</v>
      </c>
      <c r="AB7" s="8">
        <v>890</v>
      </c>
      <c r="AC7" s="21" t="s">
        <v>568</v>
      </c>
      <c r="AD7" s="8" t="s">
        <v>3683</v>
      </c>
      <c r="AE7" s="8" t="s">
        <v>4084</v>
      </c>
      <c r="AF7" s="9">
        <f t="shared" si="0"/>
        <v>1758.848</v>
      </c>
      <c r="AG7" s="9">
        <f t="shared" si="1"/>
        <v>1787.8400000000001</v>
      </c>
      <c r="AH7" s="9">
        <f t="shared" si="2"/>
        <v>3.1769408794445613</v>
      </c>
      <c r="AI7" s="9">
        <f t="shared" si="3"/>
        <v>10.092953351485983</v>
      </c>
      <c r="AJ7" s="9">
        <f t="shared" si="4"/>
        <v>0.82714969435799968</v>
      </c>
      <c r="AK7" s="9">
        <f t="shared" si="5"/>
        <v>0.68417661687653231</v>
      </c>
      <c r="AL7" s="9">
        <f t="shared" si="6"/>
        <v>0.97152820990548494</v>
      </c>
      <c r="AM7" s="9">
        <f t="shared" si="7"/>
        <v>0.94386706264215603</v>
      </c>
      <c r="AN7" s="8" t="s">
        <v>568</v>
      </c>
    </row>
    <row r="8" spans="8:40" ht="23">
      <c r="M8" s="8" t="s">
        <v>431</v>
      </c>
      <c r="N8" s="8" t="s">
        <v>150</v>
      </c>
      <c r="O8" s="8"/>
      <c r="P8" s="8" t="s">
        <v>3691</v>
      </c>
      <c r="Q8" s="8"/>
      <c r="R8" s="8"/>
      <c r="S8" s="8"/>
      <c r="T8" s="8"/>
      <c r="U8" s="8"/>
      <c r="V8" s="8"/>
      <c r="W8" s="8" t="s">
        <v>431</v>
      </c>
      <c r="X8" s="8">
        <v>35.47</v>
      </c>
      <c r="Y8" s="8">
        <v>1.86</v>
      </c>
      <c r="Z8" s="9">
        <v>0.27</v>
      </c>
      <c r="AA8" s="8">
        <v>626.79999999999995</v>
      </c>
      <c r="AB8" s="8">
        <v>1681</v>
      </c>
      <c r="AC8" s="21" t="s">
        <v>431</v>
      </c>
      <c r="AD8" s="8" t="s">
        <v>3683</v>
      </c>
      <c r="AE8" s="8" t="s">
        <v>4084</v>
      </c>
      <c r="AF8" s="9">
        <f t="shared" si="0"/>
        <v>1165.848</v>
      </c>
      <c r="AG8" s="9">
        <f t="shared" si="1"/>
        <v>282.06</v>
      </c>
      <c r="AH8" s="9">
        <f t="shared" si="2"/>
        <v>2.0605407111298124</v>
      </c>
      <c r="AI8" s="9">
        <f t="shared" si="3"/>
        <v>4.2458280222233533</v>
      </c>
      <c r="AJ8" s="9">
        <f t="shared" si="4"/>
        <v>0.54827410718145364</v>
      </c>
      <c r="AK8" s="9">
        <f t="shared" si="5"/>
        <v>0.30060449660562011</v>
      </c>
      <c r="AL8" s="9">
        <f t="shared" si="6"/>
        <v>0.15327392098059173</v>
      </c>
      <c r="AM8" s="9">
        <f t="shared" si="7"/>
        <v>2.3492894852764675E-2</v>
      </c>
      <c r="AN8" s="8" t="s">
        <v>431</v>
      </c>
    </row>
    <row r="9" spans="8:40" ht="23">
      <c r="M9" s="8" t="s">
        <v>478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478</v>
      </c>
      <c r="X9" s="8">
        <v>50.57</v>
      </c>
      <c r="Y9" s="8">
        <v>2.04</v>
      </c>
      <c r="Z9" s="9">
        <v>0.5</v>
      </c>
      <c r="AA9" s="8">
        <v>617</v>
      </c>
      <c r="AB9" s="8">
        <v>1589</v>
      </c>
      <c r="AC9" s="21" t="s">
        <v>478</v>
      </c>
      <c r="AD9" s="8" t="s">
        <v>3683</v>
      </c>
      <c r="AE9" s="8" t="s">
        <v>4084</v>
      </c>
      <c r="AF9" s="9">
        <f t="shared" si="0"/>
        <v>1258.68</v>
      </c>
      <c r="AG9" s="9">
        <f t="shared" si="1"/>
        <v>5.1416666666666666</v>
      </c>
      <c r="AH9" s="9">
        <f t="shared" si="2"/>
        <v>2.0283242162844517</v>
      </c>
      <c r="AI9" s="9">
        <f t="shared" si="3"/>
        <v>4.114099126365935</v>
      </c>
      <c r="AJ9" s="9">
        <f t="shared" si="4"/>
        <v>0.59193106925358374</v>
      </c>
      <c r="AK9" s="9">
        <f t="shared" si="5"/>
        <v>0.35038239074769095</v>
      </c>
      <c r="AL9" s="9">
        <f t="shared" si="6"/>
        <v>2.7940275486606006E-3</v>
      </c>
      <c r="AM9" s="9">
        <f t="shared" si="7"/>
        <v>7.8065899426743654E-6</v>
      </c>
      <c r="AN9" s="8" t="s">
        <v>478</v>
      </c>
    </row>
    <row r="10" spans="8:40" ht="23">
      <c r="M10" s="8" t="s">
        <v>1523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8" t="s">
        <v>1523</v>
      </c>
      <c r="X10" s="8">
        <v>35.74</v>
      </c>
      <c r="Y10" s="8">
        <v>1.93</v>
      </c>
      <c r="Z10" s="9">
        <v>1.53</v>
      </c>
      <c r="AA10" s="8">
        <v>450.5</v>
      </c>
      <c r="AB10" s="8">
        <v>2709</v>
      </c>
      <c r="AC10" s="21" t="s">
        <v>1523</v>
      </c>
      <c r="AD10" s="8" t="s">
        <v>3683</v>
      </c>
      <c r="AE10" s="8" t="s">
        <v>4084</v>
      </c>
      <c r="AF10" s="9">
        <f t="shared" si="0"/>
        <v>869.46499999999992</v>
      </c>
      <c r="AG10" s="9">
        <f t="shared" si="1"/>
        <v>848.44166666666661</v>
      </c>
      <c r="AH10" s="9">
        <f t="shared" si="2"/>
        <v>1.4809725436566379</v>
      </c>
      <c r="AI10" s="9">
        <f t="shared" si="3"/>
        <v>2.193279675064812</v>
      </c>
      <c r="AJ10" s="9">
        <f t="shared" si="4"/>
        <v>0.40889133626383756</v>
      </c>
      <c r="AK10" s="9">
        <f t="shared" si="5"/>
        <v>0.16719212487162669</v>
      </c>
      <c r="AL10" s="9">
        <f t="shared" si="6"/>
        <v>0.46105077279057005</v>
      </c>
      <c r="AM10" s="9">
        <f t="shared" si="7"/>
        <v>0.21256781509078185</v>
      </c>
      <c r="AN10" s="8" t="s">
        <v>1523</v>
      </c>
    </row>
    <row r="11" spans="8:40" ht="23">
      <c r="M11" s="8" t="s">
        <v>1167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1167</v>
      </c>
      <c r="X11" s="8">
        <v>44.48</v>
      </c>
      <c r="Y11" s="8">
        <v>2.09</v>
      </c>
      <c r="Z11" s="9">
        <v>0.55000000000000004</v>
      </c>
      <c r="AA11" s="8">
        <v>393.5</v>
      </c>
      <c r="AB11" s="8">
        <v>1585</v>
      </c>
      <c r="AC11" s="21" t="s">
        <v>1167</v>
      </c>
      <c r="AD11" s="8" t="s">
        <v>3683</v>
      </c>
      <c r="AE11" s="8" t="s">
        <v>4084</v>
      </c>
      <c r="AF11" s="9">
        <f t="shared" si="0"/>
        <v>822.41499999999996</v>
      </c>
      <c r="AG11" s="9">
        <f t="shared" si="1"/>
        <v>360.70833333333331</v>
      </c>
      <c r="AH11" s="9">
        <f t="shared" si="2"/>
        <v>1.293590889964233</v>
      </c>
      <c r="AI11" s="9">
        <f t="shared" si="3"/>
        <v>1.6733773905984564</v>
      </c>
      <c r="AJ11" s="9">
        <f t="shared" si="4"/>
        <v>0.38676469819190423</v>
      </c>
      <c r="AK11" s="9">
        <f t="shared" si="5"/>
        <v>0.14958693176747476</v>
      </c>
      <c r="AL11" s="9">
        <f t="shared" si="6"/>
        <v>0.19601212713739724</v>
      </c>
      <c r="AM11" s="9">
        <f t="shared" si="7"/>
        <v>3.8420753984927176E-2</v>
      </c>
      <c r="AN11" s="8" t="s">
        <v>1167</v>
      </c>
    </row>
    <row r="12" spans="8:40" ht="23">
      <c r="M12" s="8" t="s">
        <v>79</v>
      </c>
      <c r="N12" s="8" t="s">
        <v>82</v>
      </c>
      <c r="O12" s="8"/>
      <c r="P12" s="8" t="s">
        <v>3691</v>
      </c>
      <c r="Q12" s="8"/>
      <c r="R12" s="8"/>
      <c r="S12" s="8"/>
      <c r="T12" s="8"/>
      <c r="U12" s="8"/>
      <c r="V12" s="8"/>
      <c r="W12" s="8" t="s">
        <v>79</v>
      </c>
      <c r="X12" s="8">
        <v>20.29</v>
      </c>
      <c r="Y12" s="8">
        <v>2.48</v>
      </c>
      <c r="Z12" s="9">
        <v>1.49</v>
      </c>
      <c r="AA12" s="8">
        <v>353.5</v>
      </c>
      <c r="AB12" s="8">
        <v>2466</v>
      </c>
      <c r="AC12" s="21" t="s">
        <v>79</v>
      </c>
      <c r="AD12" s="8" t="s">
        <v>3683</v>
      </c>
      <c r="AE12" s="8" t="s">
        <v>4084</v>
      </c>
      <c r="AF12" s="9">
        <f t="shared" si="0"/>
        <v>876.68</v>
      </c>
      <c r="AG12" s="9">
        <f t="shared" si="1"/>
        <v>642.19166666666661</v>
      </c>
      <c r="AH12" s="9">
        <f t="shared" si="2"/>
        <v>1.1620949926362298</v>
      </c>
      <c r="AI12" s="9">
        <f t="shared" si="3"/>
        <v>1.350464771910199</v>
      </c>
      <c r="AJ12" s="9">
        <f t="shared" si="4"/>
        <v>0.41228440095435837</v>
      </c>
      <c r="AK12" s="9">
        <f t="shared" si="5"/>
        <v>0.16997842727029414</v>
      </c>
      <c r="AL12" s="9">
        <f t="shared" si="6"/>
        <v>0.34897268230540013</v>
      </c>
      <c r="AM12" s="9">
        <f t="shared" si="7"/>
        <v>0.12178193299542572</v>
      </c>
      <c r="AN12" s="8" t="s">
        <v>79</v>
      </c>
    </row>
    <row r="13" spans="8:40" ht="23">
      <c r="M13" s="24" t="s">
        <v>1989</v>
      </c>
      <c r="N13" s="24" t="s">
        <v>1964</v>
      </c>
      <c r="O13" s="8"/>
      <c r="P13" s="8"/>
      <c r="Q13" s="8"/>
      <c r="R13" s="8"/>
      <c r="S13" s="8"/>
      <c r="T13" s="8"/>
      <c r="U13" s="8"/>
      <c r="V13" s="8"/>
      <c r="W13" s="24" t="s">
        <v>1989</v>
      </c>
      <c r="X13" s="24">
        <v>45.42</v>
      </c>
      <c r="Y13" s="24">
        <v>2.4900000000000002</v>
      </c>
      <c r="Z13" s="25">
        <v>0.51</v>
      </c>
      <c r="AA13" s="24">
        <v>344.5</v>
      </c>
      <c r="AB13" s="24">
        <v>2404</v>
      </c>
      <c r="AC13" s="21" t="s">
        <v>1989</v>
      </c>
      <c r="AD13" s="8" t="s">
        <v>3683</v>
      </c>
      <c r="AE13" s="8" t="s">
        <v>4084</v>
      </c>
      <c r="AF13" s="9">
        <f t="shared" si="0"/>
        <v>857.80500000000006</v>
      </c>
      <c r="AG13" s="9">
        <f t="shared" si="1"/>
        <v>292.82499999999999</v>
      </c>
      <c r="AH13" s="9">
        <f t="shared" si="2"/>
        <v>1.132508415737429</v>
      </c>
      <c r="AI13" s="9">
        <f t="shared" si="3"/>
        <v>1.2825753117161014</v>
      </c>
      <c r="AJ13" s="9">
        <f t="shared" si="4"/>
        <v>0.40340788036758379</v>
      </c>
      <c r="AK13" s="9">
        <f t="shared" si="5"/>
        <v>0.16273791794266679</v>
      </c>
      <c r="AL13" s="9">
        <f t="shared" si="6"/>
        <v>0.15912371804276312</v>
      </c>
      <c r="AM13" s="9">
        <f t="shared" si="7"/>
        <v>2.5320357643752778E-2</v>
      </c>
      <c r="AN13" s="24" t="s">
        <v>1989</v>
      </c>
    </row>
    <row r="14" spans="8:40" ht="23">
      <c r="M14" s="8" t="s">
        <v>1178</v>
      </c>
      <c r="N14" s="8" t="s">
        <v>150</v>
      </c>
      <c r="O14" s="8"/>
      <c r="P14" s="8" t="s">
        <v>3691</v>
      </c>
      <c r="Q14" s="8"/>
      <c r="R14" s="8"/>
      <c r="S14" s="8"/>
      <c r="T14" s="8"/>
      <c r="U14" s="8"/>
      <c r="V14" s="8"/>
      <c r="W14" s="8" t="s">
        <v>1178</v>
      </c>
      <c r="X14" s="8">
        <v>40.090000000000003</v>
      </c>
      <c r="Y14" s="8">
        <v>1.72</v>
      </c>
      <c r="Z14" s="9">
        <v>2.48</v>
      </c>
      <c r="AA14" s="8">
        <v>341.6</v>
      </c>
      <c r="AB14" s="8">
        <v>3526</v>
      </c>
      <c r="AC14" s="21" t="s">
        <v>1178</v>
      </c>
      <c r="AD14" s="8" t="s">
        <v>3683</v>
      </c>
      <c r="AE14" s="8" t="s">
        <v>4084</v>
      </c>
      <c r="AF14" s="9">
        <f t="shared" si="0"/>
        <v>587.55200000000002</v>
      </c>
      <c r="AG14" s="9">
        <f t="shared" si="1"/>
        <v>956.48</v>
      </c>
      <c r="AH14" s="9">
        <f t="shared" si="2"/>
        <v>1.1229749631811488</v>
      </c>
      <c r="AI14" s="9">
        <f t="shared" si="3"/>
        <v>1.2610727679317024</v>
      </c>
      <c r="AJ14" s="9">
        <f t="shared" si="4"/>
        <v>0.27631350589671849</v>
      </c>
      <c r="AK14" s="9">
        <f t="shared" si="5"/>
        <v>7.6349153540935882E-2</v>
      </c>
      <c r="AL14" s="9">
        <f t="shared" si="6"/>
        <v>0.5197597672109352</v>
      </c>
      <c r="AM14" s="9">
        <f t="shared" si="7"/>
        <v>0.27015021561116553</v>
      </c>
      <c r="AN14" s="8" t="s">
        <v>1178</v>
      </c>
    </row>
    <row r="15" spans="8:40" ht="23">
      <c r="M15" s="8" t="s">
        <v>810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810</v>
      </c>
      <c r="X15" s="8">
        <v>40.119999999999997</v>
      </c>
      <c r="Y15" s="8">
        <v>2.62</v>
      </c>
      <c r="Z15" s="9">
        <v>1.26</v>
      </c>
      <c r="AA15" s="8">
        <v>341.6</v>
      </c>
      <c r="AB15" s="8">
        <v>1695</v>
      </c>
      <c r="AC15" s="21" t="s">
        <v>810</v>
      </c>
      <c r="AD15" s="8" t="s">
        <v>3683</v>
      </c>
      <c r="AE15" s="8" t="s">
        <v>4084</v>
      </c>
      <c r="AF15" s="9">
        <f t="shared" si="0"/>
        <v>894.99200000000008</v>
      </c>
      <c r="AG15" s="9">
        <f t="shared" si="1"/>
        <v>489.62666666666672</v>
      </c>
      <c r="AH15" s="9">
        <f t="shared" si="2"/>
        <v>1.1229749631811488</v>
      </c>
      <c r="AI15" s="9">
        <f t="shared" si="3"/>
        <v>1.2610727679317024</v>
      </c>
      <c r="AJ15" s="9">
        <f t="shared" si="4"/>
        <v>0.42089615433104799</v>
      </c>
      <c r="AK15" s="9">
        <f t="shared" si="5"/>
        <v>0.17715357273066537</v>
      </c>
      <c r="AL15" s="9">
        <f t="shared" si="6"/>
        <v>0.26606749988178824</v>
      </c>
      <c r="AM15" s="9">
        <f t="shared" si="7"/>
        <v>7.079191449334539E-2</v>
      </c>
      <c r="AN15" s="8" t="s">
        <v>810</v>
      </c>
    </row>
    <row r="16" spans="8:40" ht="23">
      <c r="M16" s="8" t="s">
        <v>2105</v>
      </c>
      <c r="N16" s="8" t="s">
        <v>2100</v>
      </c>
      <c r="O16" s="8"/>
      <c r="P16" s="8"/>
      <c r="Q16" s="8"/>
      <c r="R16" s="8"/>
      <c r="S16" s="8"/>
      <c r="T16" s="8"/>
      <c r="U16" s="8"/>
      <c r="V16" s="8"/>
      <c r="W16" s="8" t="s">
        <v>2105</v>
      </c>
      <c r="X16" s="8">
        <v>45.6</v>
      </c>
      <c r="Y16" s="8">
        <v>1.55</v>
      </c>
      <c r="Z16" s="9">
        <v>0.39</v>
      </c>
      <c r="AA16" s="8">
        <v>268.3</v>
      </c>
      <c r="AB16" s="8">
        <v>3431</v>
      </c>
      <c r="AC16" s="21" t="s">
        <v>2105</v>
      </c>
      <c r="AD16" s="8" t="s">
        <v>3683</v>
      </c>
      <c r="AE16" s="8" t="s">
        <v>4084</v>
      </c>
      <c r="AF16" s="9">
        <f t="shared" si="0"/>
        <v>415.86500000000001</v>
      </c>
      <c r="AG16" s="9">
        <f t="shared" si="1"/>
        <v>174.39500000000001</v>
      </c>
      <c r="AH16" s="9">
        <f t="shared" si="2"/>
        <v>0.88200873132758262</v>
      </c>
      <c r="AI16" s="9">
        <f t="shared" si="3"/>
        <v>0.77793940213809187</v>
      </c>
      <c r="AJ16" s="9">
        <f t="shared" si="4"/>
        <v>0.19557267463941713</v>
      </c>
      <c r="AK16" s="9">
        <f t="shared" si="5"/>
        <v>3.824867106561531E-2</v>
      </c>
      <c r="AL16" s="9">
        <f t="shared" si="6"/>
        <v>9.4767799225024082E-2</v>
      </c>
      <c r="AM16" s="9">
        <f t="shared" si="7"/>
        <v>8.9809357699544758E-3</v>
      </c>
      <c r="AN16" s="8" t="s">
        <v>2105</v>
      </c>
    </row>
    <row r="17" spans="13:40" ht="23">
      <c r="M17" s="9" t="s">
        <v>4893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9" t="s">
        <v>4893</v>
      </c>
      <c r="X17" s="8">
        <v>53.86</v>
      </c>
      <c r="Y17" s="8">
        <v>1.38</v>
      </c>
      <c r="Z17" s="9">
        <v>0.22</v>
      </c>
      <c r="AA17" s="8">
        <v>264.39999999999998</v>
      </c>
      <c r="AB17" s="8">
        <v>3992</v>
      </c>
      <c r="AC17" s="22" t="s">
        <v>4893</v>
      </c>
      <c r="AD17" s="8" t="s">
        <v>3683</v>
      </c>
      <c r="AE17" s="8" t="s">
        <v>4084</v>
      </c>
      <c r="AF17" s="9">
        <f t="shared" si="0"/>
        <v>364.87199999999996</v>
      </c>
      <c r="AG17" s="9">
        <f t="shared" si="1"/>
        <v>96.946666666666658</v>
      </c>
      <c r="AH17" s="9">
        <f t="shared" si="2"/>
        <v>0.86918788133810221</v>
      </c>
      <c r="AI17" s="9">
        <f t="shared" si="3"/>
        <v>0.75548757306501879</v>
      </c>
      <c r="AJ17" s="9">
        <f t="shared" si="4"/>
        <v>0.17159172553841609</v>
      </c>
      <c r="AK17" s="9">
        <f t="shared" si="5"/>
        <v>2.9443720273251116E-2</v>
      </c>
      <c r="AL17" s="9">
        <f t="shared" si="6"/>
        <v>5.2681683776495888E-2</v>
      </c>
      <c r="AM17" s="9">
        <f t="shared" si="7"/>
        <v>2.7753598055267103E-3</v>
      </c>
      <c r="AN17" s="9" t="s">
        <v>4893</v>
      </c>
    </row>
    <row r="18" spans="13:40" ht="23">
      <c r="M18" s="8" t="s">
        <v>571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571</v>
      </c>
      <c r="X18" s="8">
        <v>36.880000000000003</v>
      </c>
      <c r="Y18" s="8">
        <v>1.44</v>
      </c>
      <c r="Z18" s="9">
        <v>0.15</v>
      </c>
      <c r="AA18" s="8">
        <v>222.8</v>
      </c>
      <c r="AB18" s="8">
        <v>4809</v>
      </c>
      <c r="AC18" s="21" t="s">
        <v>571</v>
      </c>
      <c r="AD18" s="8" t="s">
        <v>3683</v>
      </c>
      <c r="AE18" s="8" t="s">
        <v>4084</v>
      </c>
      <c r="AF18" s="9">
        <f t="shared" si="0"/>
        <v>320.83199999999999</v>
      </c>
      <c r="AG18" s="9">
        <f t="shared" si="1"/>
        <v>55.7</v>
      </c>
      <c r="AH18" s="9">
        <f t="shared" si="2"/>
        <v>0.73243214811697877</v>
      </c>
      <c r="AI18" s="9">
        <f t="shared" si="3"/>
        <v>0.53645685159525192</v>
      </c>
      <c r="AJ18" s="9">
        <f t="shared" si="4"/>
        <v>0.15088062796800281</v>
      </c>
      <c r="AK18" s="9">
        <f t="shared" si="5"/>
        <v>2.2764963896018869E-2</v>
      </c>
      <c r="AL18" s="9">
        <f t="shared" si="6"/>
        <v>3.0267877042540449E-2</v>
      </c>
      <c r="AM18" s="9">
        <f t="shared" si="7"/>
        <v>9.1614438066234716E-4</v>
      </c>
      <c r="AN18" s="8" t="s">
        <v>571</v>
      </c>
    </row>
    <row r="19" spans="13:40" ht="23">
      <c r="M19" s="8" t="s">
        <v>298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298</v>
      </c>
      <c r="X19" s="8">
        <v>35.4</v>
      </c>
      <c r="Y19" s="8">
        <v>2.0299999999999998</v>
      </c>
      <c r="Z19" s="9">
        <v>0.35</v>
      </c>
      <c r="AA19" s="8">
        <v>215.6</v>
      </c>
      <c r="AB19" s="8">
        <v>3051</v>
      </c>
      <c r="AC19" s="21" t="s">
        <v>298</v>
      </c>
      <c r="AD19" s="8" t="s">
        <v>3683</v>
      </c>
      <c r="AE19" s="8" t="s">
        <v>4084</v>
      </c>
      <c r="AF19" s="9">
        <f t="shared" si="0"/>
        <v>437.66799999999995</v>
      </c>
      <c r="AG19" s="9">
        <f t="shared" si="1"/>
        <v>125.76666666666667</v>
      </c>
      <c r="AH19" s="9">
        <f t="shared" si="2"/>
        <v>0.70876288659793818</v>
      </c>
      <c r="AI19" s="9">
        <f t="shared" si="3"/>
        <v>0.50234482941864178</v>
      </c>
      <c r="AJ19" s="9">
        <f t="shared" si="4"/>
        <v>0.20582617283032814</v>
      </c>
      <c r="AK19" s="9">
        <f t="shared" si="5"/>
        <v>4.2364413421980107E-2</v>
      </c>
      <c r="AL19" s="9">
        <f t="shared" si="6"/>
        <v>6.834272895362363E-2</v>
      </c>
      <c r="AM19" s="9">
        <f t="shared" si="7"/>
        <v>4.6707286008284658E-3</v>
      </c>
      <c r="AN19" s="8" t="s">
        <v>298</v>
      </c>
    </row>
    <row r="20" spans="13:40" ht="23">
      <c r="M20" s="9" t="s">
        <v>5226</v>
      </c>
      <c r="N20" s="8" t="s">
        <v>150</v>
      </c>
      <c r="O20" s="8"/>
      <c r="P20" s="8" t="s">
        <v>3691</v>
      </c>
      <c r="Q20" s="8"/>
      <c r="R20" s="8"/>
      <c r="S20" s="8"/>
      <c r="T20" s="8"/>
      <c r="U20" s="8"/>
      <c r="V20" s="8"/>
      <c r="W20" s="9" t="s">
        <v>5226</v>
      </c>
      <c r="X20" s="8">
        <v>25</v>
      </c>
      <c r="Y20" s="8">
        <v>2.5</v>
      </c>
      <c r="Z20" s="9">
        <v>0.31</v>
      </c>
      <c r="AA20" s="8">
        <v>210.1</v>
      </c>
      <c r="AB20" s="8">
        <v>2978</v>
      </c>
      <c r="AC20" s="22" t="s">
        <v>5226</v>
      </c>
      <c r="AD20" s="8" t="s">
        <v>3683</v>
      </c>
      <c r="AE20" s="8" t="s">
        <v>4084</v>
      </c>
      <c r="AF20" s="9">
        <f t="shared" si="0"/>
        <v>525.25</v>
      </c>
      <c r="AG20" s="9">
        <f t="shared" si="1"/>
        <v>108.55166666666668</v>
      </c>
      <c r="AH20" s="9">
        <f t="shared" si="2"/>
        <v>0.6906822007153377</v>
      </c>
      <c r="AI20" s="9">
        <f t="shared" si="3"/>
        <v>0.47704190238498201</v>
      </c>
      <c r="AJ20" s="9">
        <f t="shared" si="4"/>
        <v>0.24701416891143485</v>
      </c>
      <c r="AK20" s="9">
        <f t="shared" si="5"/>
        <v>6.1015999643006864E-2</v>
      </c>
      <c r="AL20" s="9">
        <f t="shared" si="6"/>
        <v>5.8987944334461459E-2</v>
      </c>
      <c r="AM20" s="9">
        <f t="shared" si="7"/>
        <v>3.4795775768055237E-3</v>
      </c>
      <c r="AN20" s="9" t="s">
        <v>5226</v>
      </c>
    </row>
    <row r="21" spans="13:40" ht="23">
      <c r="M21" s="8" t="s">
        <v>755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755</v>
      </c>
      <c r="X21" s="8">
        <v>24.32</v>
      </c>
      <c r="Y21" s="8">
        <v>1.85</v>
      </c>
      <c r="Z21" s="9">
        <v>0.51</v>
      </c>
      <c r="AA21" s="8">
        <v>166.1</v>
      </c>
      <c r="AB21" s="8">
        <v>3434</v>
      </c>
      <c r="AC21" s="21" t="s">
        <v>755</v>
      </c>
      <c r="AD21" s="8" t="s">
        <v>3683</v>
      </c>
      <c r="AE21" s="8" t="s">
        <v>4084</v>
      </c>
      <c r="AF21" s="9">
        <f t="shared" si="0"/>
        <v>307.28500000000003</v>
      </c>
      <c r="AG21" s="9">
        <f t="shared" si="1"/>
        <v>141.185</v>
      </c>
      <c r="AH21" s="9">
        <f t="shared" si="2"/>
        <v>0.54603671365453388</v>
      </c>
      <c r="AI21" s="9">
        <f t="shared" si="3"/>
        <v>0.2981560926586434</v>
      </c>
      <c r="AJ21" s="9">
        <f t="shared" si="4"/>
        <v>0.14450975515268971</v>
      </c>
      <c r="AK21" s="9">
        <f t="shared" si="5"/>
        <v>2.0883069334290332E-2</v>
      </c>
      <c r="AL21" s="9">
        <f t="shared" si="6"/>
        <v>7.6721188873448351E-2</v>
      </c>
      <c r="AM21" s="9">
        <f t="shared" si="7"/>
        <v>5.8861408221553349E-3</v>
      </c>
      <c r="AN21" s="8" t="s">
        <v>755</v>
      </c>
    </row>
    <row r="22" spans="13:40" ht="23">
      <c r="M22" s="8" t="s">
        <v>399</v>
      </c>
      <c r="N22" s="8" t="s">
        <v>150</v>
      </c>
      <c r="O22" s="8"/>
      <c r="P22" s="8" t="s">
        <v>3693</v>
      </c>
      <c r="Q22" s="8"/>
      <c r="R22" s="8"/>
      <c r="S22" s="8"/>
      <c r="T22" s="8"/>
      <c r="U22" s="8"/>
      <c r="V22" s="8"/>
      <c r="W22" s="8" t="s">
        <v>399</v>
      </c>
      <c r="X22" s="8">
        <v>50.37</v>
      </c>
      <c r="Y22" s="8">
        <v>1.7</v>
      </c>
      <c r="Z22" s="9">
        <v>0.32</v>
      </c>
      <c r="AA22" s="8">
        <v>146.19999999999999</v>
      </c>
      <c r="AB22" s="8">
        <v>5895</v>
      </c>
      <c r="AC22" s="21" t="s">
        <v>399</v>
      </c>
      <c r="AD22" s="8" t="s">
        <v>3683</v>
      </c>
      <c r="AE22" s="8" t="s">
        <v>4084</v>
      </c>
      <c r="AF22" s="9">
        <f t="shared" si="0"/>
        <v>248.53999999999996</v>
      </c>
      <c r="AG22" s="9">
        <f t="shared" si="1"/>
        <v>77.973333333333329</v>
      </c>
      <c r="AH22" s="9">
        <f t="shared" si="2"/>
        <v>0.48061750473385223</v>
      </c>
      <c r="AI22" s="9">
        <f t="shared" si="3"/>
        <v>0.23099318585659448</v>
      </c>
      <c r="AJ22" s="9">
        <f t="shared" si="4"/>
        <v>0.11688320141122896</v>
      </c>
      <c r="AK22" s="9">
        <f t="shared" si="5"/>
        <v>1.3661682772137916E-2</v>
      </c>
      <c r="AL22" s="9">
        <f t="shared" si="6"/>
        <v>4.2371405133399528E-2</v>
      </c>
      <c r="AM22" s="9">
        <f t="shared" si="7"/>
        <v>1.7953359729786758E-3</v>
      </c>
      <c r="AN22" s="8" t="s">
        <v>399</v>
      </c>
    </row>
    <row r="23" spans="13:40" ht="23">
      <c r="M23" s="8" t="s">
        <v>738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738</v>
      </c>
      <c r="X23" s="8">
        <v>20.58</v>
      </c>
      <c r="Y23" s="8">
        <v>1.23</v>
      </c>
      <c r="Z23" s="9">
        <v>0.11</v>
      </c>
      <c r="AA23" s="8">
        <v>143.1</v>
      </c>
      <c r="AB23" s="8">
        <v>9754</v>
      </c>
      <c r="AC23" s="21" t="s">
        <v>738</v>
      </c>
      <c r="AD23" s="8" t="s">
        <v>3683</v>
      </c>
      <c r="AE23" s="8" t="s">
        <v>4084</v>
      </c>
      <c r="AF23" s="9">
        <f t="shared" si="0"/>
        <v>176.01299999999998</v>
      </c>
      <c r="AG23" s="9">
        <f t="shared" si="1"/>
        <v>26.234999999999996</v>
      </c>
      <c r="AH23" s="9">
        <f t="shared" si="2"/>
        <v>0.47042657269093202</v>
      </c>
      <c r="AI23" s="9">
        <f t="shared" si="3"/>
        <v>0.22130116029373675</v>
      </c>
      <c r="AJ23" s="9">
        <f t="shared" si="4"/>
        <v>8.2775259233904566E-2</v>
      </c>
      <c r="AK23" s="9">
        <f t="shared" si="5"/>
        <v>6.8517435412401035E-3</v>
      </c>
      <c r="AL23" s="9">
        <f t="shared" si="6"/>
        <v>1.4256333109713618E-2</v>
      </c>
      <c r="AM23" s="9">
        <f t="shared" si="7"/>
        <v>2.0324303373511676E-4</v>
      </c>
      <c r="AN23" s="8" t="s">
        <v>738</v>
      </c>
    </row>
    <row r="24" spans="13:40" ht="23">
      <c r="M24" s="8" t="s">
        <v>3</v>
      </c>
      <c r="N24" s="8" t="s">
        <v>0</v>
      </c>
      <c r="O24" s="8"/>
      <c r="P24" s="8"/>
      <c r="Q24" s="8"/>
      <c r="R24" s="8"/>
      <c r="S24" s="8"/>
      <c r="T24" s="8"/>
      <c r="U24" s="8"/>
      <c r="V24" s="8"/>
      <c r="W24" s="8" t="s">
        <v>3</v>
      </c>
      <c r="X24" s="8">
        <v>45.07</v>
      </c>
      <c r="Y24" s="8">
        <v>1.68</v>
      </c>
      <c r="Z24" s="9">
        <v>0.28000000000000003</v>
      </c>
      <c r="AA24" s="8">
        <v>141.5</v>
      </c>
      <c r="AB24" s="8">
        <v>3193</v>
      </c>
      <c r="AC24" s="21" t="s">
        <v>3</v>
      </c>
      <c r="AD24" s="8" t="s">
        <v>3683</v>
      </c>
      <c r="AE24" s="8" t="s">
        <v>4084</v>
      </c>
      <c r="AF24" s="9">
        <f t="shared" si="0"/>
        <v>237.72</v>
      </c>
      <c r="AG24" s="9">
        <f t="shared" si="1"/>
        <v>66.033333333333331</v>
      </c>
      <c r="AH24" s="9">
        <f t="shared" si="2"/>
        <v>0.46516673679781195</v>
      </c>
      <c r="AI24" s="9">
        <f t="shared" si="3"/>
        <v>0.21638009302312486</v>
      </c>
      <c r="AJ24" s="9">
        <f t="shared" si="4"/>
        <v>0.11179478007353888</v>
      </c>
      <c r="AK24" s="9">
        <f t="shared" si="5"/>
        <v>1.2498072851690925E-2</v>
      </c>
      <c r="AL24" s="9">
        <f t="shared" si="6"/>
        <v>3.5883102586039869E-2</v>
      </c>
      <c r="AM24" s="9">
        <f t="shared" si="7"/>
        <v>1.2875970512002612E-3</v>
      </c>
      <c r="AN24" s="8" t="s">
        <v>3</v>
      </c>
    </row>
    <row r="25" spans="13:40" ht="23">
      <c r="M25" s="9" t="s">
        <v>3227</v>
      </c>
      <c r="N25" s="8" t="s">
        <v>1902</v>
      </c>
      <c r="O25" s="8"/>
      <c r="P25" s="8"/>
      <c r="Q25" s="8"/>
      <c r="R25" s="8"/>
      <c r="S25" s="8"/>
      <c r="T25" s="8"/>
      <c r="U25" s="8"/>
      <c r="V25" s="8"/>
      <c r="W25" s="9" t="s">
        <v>3227</v>
      </c>
      <c r="X25" s="8">
        <v>60.99</v>
      </c>
      <c r="Y25" s="8">
        <v>1.71</v>
      </c>
      <c r="Z25" s="9">
        <v>0.53</v>
      </c>
      <c r="AA25" s="8">
        <v>135.69999999999999</v>
      </c>
      <c r="AB25" s="8">
        <v>2840</v>
      </c>
      <c r="AC25" s="22" t="s">
        <v>3227</v>
      </c>
      <c r="AD25" s="8" t="s">
        <v>3683</v>
      </c>
      <c r="AE25" s="8" t="s">
        <v>4084</v>
      </c>
      <c r="AF25" s="9">
        <f t="shared" si="0"/>
        <v>232.04699999999997</v>
      </c>
      <c r="AG25" s="9">
        <f t="shared" si="1"/>
        <v>119.86833333333333</v>
      </c>
      <c r="AH25" s="9">
        <f t="shared" si="2"/>
        <v>0.44609983168525136</v>
      </c>
      <c r="AI25" s="9">
        <f t="shared" si="3"/>
        <v>0.19900505982960959</v>
      </c>
      <c r="AJ25" s="9">
        <f t="shared" si="4"/>
        <v>0.10912688596552444</v>
      </c>
      <c r="AK25" s="9">
        <f t="shared" si="5"/>
        <v>1.1908677240532576E-2</v>
      </c>
      <c r="AL25" s="9">
        <f t="shared" si="6"/>
        <v>6.5137521986132596E-2</v>
      </c>
      <c r="AM25" s="9">
        <f t="shared" si="7"/>
        <v>4.2428967704939077E-3</v>
      </c>
      <c r="AN25" s="9" t="s">
        <v>3227</v>
      </c>
    </row>
    <row r="26" spans="13:40" ht="23">
      <c r="M26" s="8" t="s">
        <v>2028</v>
      </c>
      <c r="N26" s="8" t="s">
        <v>2027</v>
      </c>
      <c r="O26" s="8"/>
      <c r="P26" s="8"/>
      <c r="Q26" s="8"/>
      <c r="R26" s="8"/>
      <c r="S26" s="8"/>
      <c r="T26" s="8"/>
      <c r="U26" s="8"/>
      <c r="V26" s="8"/>
      <c r="W26" s="8" t="s">
        <v>2028</v>
      </c>
      <c r="X26" s="8">
        <v>28.8</v>
      </c>
      <c r="Y26" s="8">
        <v>1.17</v>
      </c>
      <c r="Z26" s="9">
        <v>0.16</v>
      </c>
      <c r="AA26" s="8">
        <v>122.4</v>
      </c>
      <c r="AB26" s="8">
        <v>8422</v>
      </c>
      <c r="AC26" s="21" t="s">
        <v>2028</v>
      </c>
      <c r="AD26" s="8" t="s">
        <v>3683</v>
      </c>
      <c r="AE26" s="8" t="s">
        <v>4084</v>
      </c>
      <c r="AF26" s="9">
        <f t="shared" si="0"/>
        <v>143.208</v>
      </c>
      <c r="AG26" s="9">
        <f t="shared" si="1"/>
        <v>32.64</v>
      </c>
      <c r="AH26" s="9">
        <f t="shared" si="2"/>
        <v>0.40237744582369034</v>
      </c>
      <c r="AI26" s="9">
        <f t="shared" si="3"/>
        <v>0.16190760890759687</v>
      </c>
      <c r="AJ26" s="9">
        <f t="shared" si="4"/>
        <v>6.7347748884281314E-2</v>
      </c>
      <c r="AK26" s="9">
        <f t="shared" si="5"/>
        <v>4.5357192797802152E-3</v>
      </c>
      <c r="AL26" s="9">
        <f t="shared" si="6"/>
        <v>1.7736867265143987E-2</v>
      </c>
      <c r="AM26" s="9">
        <f t="shared" si="7"/>
        <v>3.1459646038133635E-4</v>
      </c>
      <c r="AN26" s="8" t="s">
        <v>2028</v>
      </c>
    </row>
    <row r="27" spans="13:40" ht="23">
      <c r="M27" s="9" t="s">
        <v>3286</v>
      </c>
      <c r="N27" s="8" t="s">
        <v>1939</v>
      </c>
      <c r="O27" s="8"/>
      <c r="P27" s="8"/>
      <c r="Q27" s="8"/>
      <c r="R27" s="8"/>
      <c r="S27" s="8"/>
      <c r="T27" s="8"/>
      <c r="U27" s="8"/>
      <c r="V27" s="8"/>
      <c r="W27" s="9" t="s">
        <v>3286</v>
      </c>
      <c r="X27" s="8">
        <v>36.82</v>
      </c>
      <c r="Y27" s="8">
        <v>1.72</v>
      </c>
      <c r="Z27" s="9">
        <v>0.39</v>
      </c>
      <c r="AA27" s="8">
        <v>122.1</v>
      </c>
      <c r="AB27" s="8">
        <v>3599</v>
      </c>
      <c r="AC27" s="22" t="s">
        <v>3286</v>
      </c>
      <c r="AD27" s="8" t="s">
        <v>3683</v>
      </c>
      <c r="AE27" s="8" t="s">
        <v>4084</v>
      </c>
      <c r="AF27" s="9">
        <f t="shared" si="0"/>
        <v>210.012</v>
      </c>
      <c r="AG27" s="9">
        <f t="shared" si="1"/>
        <v>79.364999999999995</v>
      </c>
      <c r="AH27" s="9">
        <f t="shared" si="2"/>
        <v>0.40139122659373022</v>
      </c>
      <c r="AI27" s="9">
        <f t="shared" si="3"/>
        <v>0.16111491678641929</v>
      </c>
      <c r="AJ27" s="9">
        <f t="shared" si="4"/>
        <v>9.8764282991772021E-2</v>
      </c>
      <c r="AK27" s="9">
        <f t="shared" si="5"/>
        <v>9.7543835948788286E-3</v>
      </c>
      <c r="AL27" s="9">
        <f t="shared" si="6"/>
        <v>4.3127649218693401E-2</v>
      </c>
      <c r="AM27" s="9">
        <f t="shared" si="7"/>
        <v>1.8599941271306656E-3</v>
      </c>
      <c r="AN27" s="9" t="s">
        <v>3286</v>
      </c>
    </row>
    <row r="28" spans="13:40" ht="23">
      <c r="M28" s="9" t="s">
        <v>2794</v>
      </c>
      <c r="N28" s="8" t="s">
        <v>1614</v>
      </c>
      <c r="O28" s="8"/>
      <c r="P28" s="8"/>
      <c r="Q28" s="8"/>
      <c r="R28" s="8"/>
      <c r="S28" s="8"/>
      <c r="T28" s="8"/>
      <c r="U28" s="8"/>
      <c r="V28" s="8"/>
      <c r="W28" s="9" t="s">
        <v>2794</v>
      </c>
      <c r="X28" s="8">
        <v>13.34</v>
      </c>
      <c r="Y28" s="8">
        <v>3.88</v>
      </c>
      <c r="Z28" s="9">
        <v>0.59</v>
      </c>
      <c r="AA28" s="8">
        <v>119.4</v>
      </c>
      <c r="AB28" s="8">
        <v>3989</v>
      </c>
      <c r="AC28" s="22" t="s">
        <v>2794</v>
      </c>
      <c r="AD28" s="8" t="s">
        <v>3683</v>
      </c>
      <c r="AE28" s="8" t="s">
        <v>4084</v>
      </c>
      <c r="AF28" s="9">
        <f t="shared" si="0"/>
        <v>463.27199999999999</v>
      </c>
      <c r="AG28" s="9">
        <f t="shared" si="1"/>
        <v>117.41</v>
      </c>
      <c r="AH28" s="9">
        <f t="shared" si="2"/>
        <v>0.39251525352409006</v>
      </c>
      <c r="AI28" s="9">
        <f t="shared" si="3"/>
        <v>0.1540682242490807</v>
      </c>
      <c r="AJ28" s="9">
        <f t="shared" si="4"/>
        <v>0.21786720239874011</v>
      </c>
      <c r="AK28" s="9">
        <f t="shared" si="5"/>
        <v>4.7466117881053586E-2</v>
      </c>
      <c r="AL28" s="9">
        <f t="shared" si="6"/>
        <v>6.3801641715703308E-2</v>
      </c>
      <c r="AM28" s="9">
        <f t="shared" si="7"/>
        <v>4.070649485618973E-3</v>
      </c>
      <c r="AN28" s="9" t="s">
        <v>2794</v>
      </c>
    </row>
    <row r="29" spans="13:40" ht="23">
      <c r="M29" s="24" t="s">
        <v>1688</v>
      </c>
      <c r="N29" s="24" t="s">
        <v>1614</v>
      </c>
      <c r="O29" s="8"/>
      <c r="P29" s="8"/>
      <c r="Q29" s="8"/>
      <c r="R29" s="8"/>
      <c r="S29" s="8"/>
      <c r="T29" s="8"/>
      <c r="U29" s="8"/>
      <c r="V29" s="8"/>
      <c r="W29" s="24" t="s">
        <v>1688</v>
      </c>
      <c r="X29" s="24">
        <v>13.1</v>
      </c>
      <c r="Y29" s="24">
        <v>1.43</v>
      </c>
      <c r="Z29" s="25">
        <v>0.11</v>
      </c>
      <c r="AA29" s="24">
        <v>118.5</v>
      </c>
      <c r="AB29" s="24">
        <v>17871</v>
      </c>
      <c r="AC29" s="21" t="s">
        <v>1688</v>
      </c>
      <c r="AD29" s="8" t="s">
        <v>3683</v>
      </c>
      <c r="AE29" s="8" t="s">
        <v>4084</v>
      </c>
      <c r="AF29" s="9">
        <f t="shared" si="0"/>
        <v>169.45499999999998</v>
      </c>
      <c r="AG29" s="9">
        <f t="shared" si="1"/>
        <v>21.724999999999998</v>
      </c>
      <c r="AH29" s="9">
        <f t="shared" si="2"/>
        <v>0.38955659583420998</v>
      </c>
      <c r="AI29" s="9">
        <f t="shared" si="3"/>
        <v>0.15175434135793803</v>
      </c>
      <c r="AJ29" s="9">
        <f t="shared" si="4"/>
        <v>7.9691168001689086E-2</v>
      </c>
      <c r="AK29" s="9">
        <f t="shared" si="5"/>
        <v>6.3506822574734348E-3</v>
      </c>
      <c r="AL29" s="9">
        <f t="shared" si="6"/>
        <v>1.1805558864437902E-2</v>
      </c>
      <c r="AM29" s="9">
        <f t="shared" si="7"/>
        <v>1.3937122010170832E-4</v>
      </c>
      <c r="AN29" s="24" t="s">
        <v>1688</v>
      </c>
    </row>
    <row r="30" spans="13:40" ht="23">
      <c r="M30" s="8" t="s">
        <v>434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434</v>
      </c>
      <c r="X30" s="8">
        <v>27.64</v>
      </c>
      <c r="Y30" s="8">
        <v>3.54</v>
      </c>
      <c r="Z30" s="9">
        <v>3.54</v>
      </c>
      <c r="AA30" s="8">
        <v>111.6</v>
      </c>
      <c r="AB30" s="8">
        <v>2194</v>
      </c>
      <c r="AC30" s="21" t="s">
        <v>434</v>
      </c>
      <c r="AD30" s="8" t="s">
        <v>3683</v>
      </c>
      <c r="AE30" s="8" t="s">
        <v>4084</v>
      </c>
      <c r="AF30" s="9">
        <f t="shared" si="0"/>
        <v>395.06399999999996</v>
      </c>
      <c r="AG30" s="9">
        <f t="shared" si="1"/>
        <v>435.23999999999995</v>
      </c>
      <c r="AH30" s="9">
        <f t="shared" si="2"/>
        <v>0.3668735535451294</v>
      </c>
      <c r="AI30" s="9">
        <f t="shared" si="3"/>
        <v>0.13459620429083094</v>
      </c>
      <c r="AJ30" s="9">
        <f t="shared" si="4"/>
        <v>0.1857903962433643</v>
      </c>
      <c r="AK30" s="9">
        <f t="shared" si="5"/>
        <v>3.4518071336266318E-2</v>
      </c>
      <c r="AL30" s="9">
        <f t="shared" si="6"/>
        <v>0.23651329989219574</v>
      </c>
      <c r="AM30" s="9">
        <f t="shared" si="7"/>
        <v>5.5938541025895717E-2</v>
      </c>
      <c r="AN30" s="8" t="s">
        <v>434</v>
      </c>
    </row>
    <row r="31" spans="13:40" ht="23">
      <c r="M31" s="8" t="s">
        <v>648</v>
      </c>
      <c r="N31" s="8" t="s">
        <v>150</v>
      </c>
      <c r="O31" s="8"/>
      <c r="P31" s="8" t="s">
        <v>3691</v>
      </c>
      <c r="Q31" s="8"/>
      <c r="R31" s="8"/>
      <c r="S31" s="8"/>
      <c r="T31" s="8"/>
      <c r="U31" s="8"/>
      <c r="V31" s="8"/>
      <c r="W31" s="8" t="s">
        <v>648</v>
      </c>
      <c r="X31" s="8">
        <v>31.05</v>
      </c>
      <c r="Y31" s="8">
        <v>3.12</v>
      </c>
      <c r="Z31" s="9">
        <v>0.31</v>
      </c>
      <c r="AA31" s="8">
        <v>96.5</v>
      </c>
      <c r="AB31" s="8">
        <v>9791</v>
      </c>
      <c r="AC31" s="21" t="s">
        <v>648</v>
      </c>
      <c r="AD31" s="8" t="s">
        <v>3683</v>
      </c>
      <c r="AE31" s="8" t="s">
        <v>4084</v>
      </c>
      <c r="AF31" s="9">
        <f t="shared" si="0"/>
        <v>301.08</v>
      </c>
      <c r="AG31" s="9">
        <f t="shared" si="1"/>
        <v>49.858333333333341</v>
      </c>
      <c r="AH31" s="9">
        <f t="shared" si="2"/>
        <v>0.31723385230380807</v>
      </c>
      <c r="AI31" s="9">
        <f t="shared" si="3"/>
        <v>0.10063731704751432</v>
      </c>
      <c r="AJ31" s="9">
        <f t="shared" si="4"/>
        <v>0.14159167249091822</v>
      </c>
      <c r="AK31" s="9">
        <f t="shared" si="5"/>
        <v>2.0048201718775447E-2</v>
      </c>
      <c r="AL31" s="9">
        <f t="shared" si="6"/>
        <v>2.7093463247384729E-2</v>
      </c>
      <c r="AM31" s="9">
        <f t="shared" si="7"/>
        <v>7.3405575073738703E-4</v>
      </c>
      <c r="AN31" s="8" t="s">
        <v>648</v>
      </c>
    </row>
    <row r="32" spans="13:40" ht="23">
      <c r="M32" s="9" t="s">
        <v>3376</v>
      </c>
      <c r="N32" s="8" t="s">
        <v>1964</v>
      </c>
      <c r="O32" s="8"/>
      <c r="P32" s="8"/>
      <c r="Q32" s="8"/>
      <c r="R32" s="8"/>
      <c r="S32" s="8"/>
      <c r="T32" s="8"/>
      <c r="U32" s="8"/>
      <c r="V32" s="8"/>
      <c r="W32" s="9" t="s">
        <v>3376</v>
      </c>
      <c r="X32" s="8">
        <v>10.81</v>
      </c>
      <c r="Y32" s="8">
        <v>1.77</v>
      </c>
      <c r="Z32" s="9">
        <v>0.13</v>
      </c>
      <c r="AA32" s="8">
        <v>94.4</v>
      </c>
      <c r="AB32" s="8">
        <v>20365</v>
      </c>
      <c r="AC32" s="22" t="s">
        <v>3376</v>
      </c>
      <c r="AD32" s="8" t="s">
        <v>3683</v>
      </c>
      <c r="AE32" s="8" t="s">
        <v>4084</v>
      </c>
      <c r="AF32" s="9">
        <f t="shared" si="0"/>
        <v>167.08800000000002</v>
      </c>
      <c r="AG32" s="9">
        <f t="shared" si="1"/>
        <v>20.453333333333337</v>
      </c>
      <c r="AH32" s="9">
        <f t="shared" si="2"/>
        <v>0.31033031769408792</v>
      </c>
      <c r="AI32" s="9">
        <f t="shared" si="3"/>
        <v>9.6304906080113536E-2</v>
      </c>
      <c r="AJ32" s="9">
        <f t="shared" si="4"/>
        <v>7.8578017049164839E-2</v>
      </c>
      <c r="AK32" s="9">
        <f t="shared" si="5"/>
        <v>6.1745047633788401E-3</v>
      </c>
      <c r="AL32" s="9">
        <f t="shared" si="6"/>
        <v>1.1114523849971766E-2</v>
      </c>
      <c r="AM32" s="9">
        <f t="shared" si="7"/>
        <v>1.235326404115912E-4</v>
      </c>
      <c r="AN32" s="9" t="s">
        <v>3376</v>
      </c>
    </row>
    <row r="33" spans="13:40" ht="23">
      <c r="M33" s="8" t="s">
        <v>1708</v>
      </c>
      <c r="N33" s="8" t="s">
        <v>1614</v>
      </c>
      <c r="O33" s="8"/>
      <c r="P33" s="8"/>
      <c r="Q33" s="8"/>
      <c r="R33" s="8"/>
      <c r="S33" s="8"/>
      <c r="T33" s="8"/>
      <c r="U33" s="8"/>
      <c r="V33" s="8"/>
      <c r="W33" s="8" t="s">
        <v>1708</v>
      </c>
      <c r="X33" s="8">
        <v>33.659999999999997</v>
      </c>
      <c r="Y33" s="8">
        <v>1.38</v>
      </c>
      <c r="Z33" s="9">
        <v>0.39</v>
      </c>
      <c r="AA33" s="8">
        <v>86.8</v>
      </c>
      <c r="AB33" s="8">
        <v>16086</v>
      </c>
      <c r="AC33" s="21" t="s">
        <v>1708</v>
      </c>
      <c r="AD33" s="8" t="s">
        <v>3683</v>
      </c>
      <c r="AE33" s="8" t="s">
        <v>4084</v>
      </c>
      <c r="AF33" s="9">
        <f t="shared" si="0"/>
        <v>119.78399999999999</v>
      </c>
      <c r="AG33" s="9">
        <f t="shared" si="1"/>
        <v>56.42</v>
      </c>
      <c r="AH33" s="9">
        <f t="shared" si="2"/>
        <v>0.28534609720176729</v>
      </c>
      <c r="AI33" s="9">
        <f t="shared" si="3"/>
        <v>8.1422395188280428E-2</v>
      </c>
      <c r="AJ33" s="9">
        <f t="shared" si="4"/>
        <v>5.6331928051189542E-2</v>
      </c>
      <c r="AK33" s="9">
        <f t="shared" si="5"/>
        <v>3.1732861179643952E-3</v>
      </c>
      <c r="AL33" s="9">
        <f t="shared" si="6"/>
        <v>3.0659131467506859E-2</v>
      </c>
      <c r="AM33" s="9">
        <f t="shared" si="7"/>
        <v>9.3998234234186928E-4</v>
      </c>
      <c r="AN33" s="8" t="s">
        <v>1708</v>
      </c>
    </row>
    <row r="34" spans="13:40" ht="23">
      <c r="M34" s="8" t="s">
        <v>1909</v>
      </c>
      <c r="N34" s="8" t="s">
        <v>1902</v>
      </c>
      <c r="O34" s="8"/>
      <c r="P34" s="8"/>
      <c r="Q34" s="8"/>
      <c r="R34" s="8"/>
      <c r="S34" s="8"/>
      <c r="T34" s="8"/>
      <c r="U34" s="8"/>
      <c r="V34" s="8"/>
      <c r="W34" s="8" t="s">
        <v>1909</v>
      </c>
      <c r="X34" s="8">
        <v>30.09</v>
      </c>
      <c r="Y34" s="8">
        <v>1.1000000000000001</v>
      </c>
      <c r="Z34" s="9">
        <v>0.02</v>
      </c>
      <c r="AA34" s="8">
        <v>86.5</v>
      </c>
      <c r="AB34" s="8">
        <v>24587</v>
      </c>
      <c r="AC34" s="21" t="s">
        <v>1909</v>
      </c>
      <c r="AD34" s="8" t="s">
        <v>3683</v>
      </c>
      <c r="AE34" s="8" t="s">
        <v>4084</v>
      </c>
      <c r="AF34" s="9">
        <f t="shared" ref="AF34:AF65" si="8">(AA34*Y34)</f>
        <v>95.15</v>
      </c>
      <c r="AG34" s="9">
        <f t="shared" ref="AG34:AG65" si="9">((((RIGHT(Z34,2))/60)+(LEFT(Z34,2)))*AA34)</f>
        <v>2.8833333333333333</v>
      </c>
      <c r="AH34" s="9">
        <f t="shared" ref="AH34:AH65" si="10">(AA34/$AA$91)*100</f>
        <v>0.28435987797180728</v>
      </c>
      <c r="AI34" s="9">
        <f t="shared" ref="AI34:AI65" si="11">(AH34*AH34)</f>
        <v>8.0860540200141134E-2</v>
      </c>
      <c r="AJ34" s="9">
        <f t="shared" ref="AJ34:AJ65" si="12">(AF34/$AF$91)*100</f>
        <v>4.4747069342071448E-2</v>
      </c>
      <c r="AK34" s="9">
        <f t="shared" ref="AK34:AK65" si="13">(AJ34*AJ34)</f>
        <v>2.0023002147041506E-3</v>
      </c>
      <c r="AL34" s="9">
        <f t="shared" ref="AL34:AL65" si="14">(AG34/$AG$91)*100</f>
        <v>1.5668290629441944E-3</v>
      </c>
      <c r="AM34" s="9">
        <f t="shared" ref="AM34:AM65" si="15">(AL34*AL34)</f>
        <v>2.4549533124865821E-6</v>
      </c>
      <c r="AN34" s="8" t="s">
        <v>1909</v>
      </c>
    </row>
    <row r="35" spans="13:40" ht="23">
      <c r="M35" s="9" t="s">
        <v>3526</v>
      </c>
      <c r="N35" s="8" t="s">
        <v>2041</v>
      </c>
      <c r="O35" s="8"/>
      <c r="P35" s="8"/>
      <c r="Q35" s="8"/>
      <c r="R35" s="8"/>
      <c r="S35" s="8"/>
      <c r="T35" s="8"/>
      <c r="U35" s="8"/>
      <c r="V35" s="8"/>
      <c r="W35" s="9" t="s">
        <v>3526</v>
      </c>
      <c r="X35" s="8">
        <v>11.56</v>
      </c>
      <c r="Y35" s="8">
        <v>2.48</v>
      </c>
      <c r="Z35" s="9">
        <v>0.28000000000000003</v>
      </c>
      <c r="AA35" s="8">
        <v>73.599999999999994</v>
      </c>
      <c r="AB35" s="8">
        <v>15572</v>
      </c>
      <c r="AC35" s="22" t="s">
        <v>3526</v>
      </c>
      <c r="AD35" s="8" t="s">
        <v>3683</v>
      </c>
      <c r="AE35" s="8" t="s">
        <v>4084</v>
      </c>
      <c r="AF35" s="9">
        <f t="shared" si="8"/>
        <v>182.52799999999999</v>
      </c>
      <c r="AG35" s="9">
        <f t="shared" si="9"/>
        <v>34.346666666666664</v>
      </c>
      <c r="AH35" s="9">
        <f t="shared" si="10"/>
        <v>0.24195245108352617</v>
      </c>
      <c r="AI35" s="9">
        <f t="shared" si="11"/>
        <v>5.8540988585326123E-2</v>
      </c>
      <c r="AJ35" s="9">
        <f t="shared" si="12"/>
        <v>8.5839128458955499E-2</v>
      </c>
      <c r="AK35" s="9">
        <f t="shared" si="13"/>
        <v>7.3683559745930643E-3</v>
      </c>
      <c r="AL35" s="9">
        <f t="shared" si="14"/>
        <v>1.8664285161360667E-2</v>
      </c>
      <c r="AM35" s="9">
        <f t="shared" si="15"/>
        <v>3.4835554058458801E-4</v>
      </c>
      <c r="AN35" s="9" t="s">
        <v>3526</v>
      </c>
    </row>
    <row r="36" spans="13:40" ht="23">
      <c r="M36" s="9" t="s">
        <v>2420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9" t="s">
        <v>2420</v>
      </c>
      <c r="X36" s="8">
        <v>42.43</v>
      </c>
      <c r="Y36" s="8">
        <v>1.79</v>
      </c>
      <c r="Z36" s="9">
        <v>1.57</v>
      </c>
      <c r="AA36" s="8">
        <v>72.599999999999994</v>
      </c>
      <c r="AB36" s="8">
        <v>7122</v>
      </c>
      <c r="AC36" s="22" t="s">
        <v>2420</v>
      </c>
      <c r="AD36" s="8" t="s">
        <v>3683</v>
      </c>
      <c r="AE36" s="8" t="s">
        <v>4084</v>
      </c>
      <c r="AF36" s="9">
        <f t="shared" si="8"/>
        <v>129.95399999999998</v>
      </c>
      <c r="AG36" s="9">
        <f t="shared" si="9"/>
        <v>141.57</v>
      </c>
      <c r="AH36" s="9">
        <f t="shared" si="10"/>
        <v>0.23866505365032609</v>
      </c>
      <c r="AI36" s="9">
        <f t="shared" si="11"/>
        <v>5.696100783391303E-2</v>
      </c>
      <c r="AJ36" s="9">
        <f t="shared" si="12"/>
        <v>6.1114667885229138E-2</v>
      </c>
      <c r="AK36" s="9">
        <f t="shared" si="13"/>
        <v>3.7350026307218578E-3</v>
      </c>
      <c r="AL36" s="9">
        <f t="shared" si="14"/>
        <v>7.6930401309020666E-2</v>
      </c>
      <c r="AM36" s="9">
        <f t="shared" si="15"/>
        <v>5.9182866455669688E-3</v>
      </c>
      <c r="AN36" s="9" t="s">
        <v>2420</v>
      </c>
    </row>
    <row r="37" spans="13:40" ht="23">
      <c r="M37" s="8" t="s">
        <v>1590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8" t="s">
        <v>1590</v>
      </c>
      <c r="X37" s="8">
        <v>25.01</v>
      </c>
      <c r="Y37" s="8">
        <v>2.16</v>
      </c>
      <c r="Z37" s="9">
        <v>0.55000000000000004</v>
      </c>
      <c r="AA37" s="8">
        <v>72.400000000000006</v>
      </c>
      <c r="AB37" s="8">
        <v>6974</v>
      </c>
      <c r="AC37" s="21" t="s">
        <v>1590</v>
      </c>
      <c r="AD37" s="8" t="s">
        <v>3683</v>
      </c>
      <c r="AE37" s="8" t="s">
        <v>4084</v>
      </c>
      <c r="AF37" s="9">
        <f t="shared" si="8"/>
        <v>156.38400000000001</v>
      </c>
      <c r="AG37" s="9">
        <f t="shared" si="9"/>
        <v>66.366666666666674</v>
      </c>
      <c r="AH37" s="9">
        <f t="shared" si="10"/>
        <v>0.23800757416368609</v>
      </c>
      <c r="AI37" s="9">
        <f t="shared" si="11"/>
        <v>5.6647605359282538E-2</v>
      </c>
      <c r="AJ37" s="9">
        <f t="shared" si="12"/>
        <v>7.3544148102895446E-2</v>
      </c>
      <c r="AK37" s="9">
        <f t="shared" si="13"/>
        <v>5.4087417201806199E-3</v>
      </c>
      <c r="AL37" s="9">
        <f t="shared" si="14"/>
        <v>3.6064238893894693E-2</v>
      </c>
      <c r="AM37" s="9">
        <f t="shared" si="15"/>
        <v>1.3006293269959067E-3</v>
      </c>
      <c r="AN37" s="8" t="s">
        <v>1590</v>
      </c>
    </row>
    <row r="38" spans="13:40" ht="23">
      <c r="M38" s="9" t="s">
        <v>2928</v>
      </c>
      <c r="N38" s="8" t="s">
        <v>1717</v>
      </c>
      <c r="O38" s="8"/>
      <c r="P38" s="8"/>
      <c r="Q38" s="8"/>
      <c r="R38" s="8"/>
      <c r="S38" s="8"/>
      <c r="T38" s="8"/>
      <c r="U38" s="8"/>
      <c r="V38" s="8"/>
      <c r="W38" s="9" t="s">
        <v>2928</v>
      </c>
      <c r="X38" s="8">
        <v>0.69</v>
      </c>
      <c r="Y38" s="8">
        <v>2.37</v>
      </c>
      <c r="Z38" s="9">
        <v>0.09</v>
      </c>
      <c r="AA38" s="8">
        <v>61.4</v>
      </c>
      <c r="AB38" s="8">
        <v>24533</v>
      </c>
      <c r="AC38" s="22" t="s">
        <v>2928</v>
      </c>
      <c r="AD38" s="8" t="s">
        <v>3683</v>
      </c>
      <c r="AE38" s="8" t="s">
        <v>4084</v>
      </c>
      <c r="AF38" s="9">
        <f t="shared" si="8"/>
        <v>145.518</v>
      </c>
      <c r="AG38" s="9">
        <f t="shared" si="9"/>
        <v>9.2099999999999991</v>
      </c>
      <c r="AH38" s="9">
        <f t="shared" si="10"/>
        <v>0.20184620239848514</v>
      </c>
      <c r="AI38" s="9">
        <f t="shared" si="11"/>
        <v>4.0741889422690226E-2</v>
      </c>
      <c r="AJ38" s="9">
        <f t="shared" si="12"/>
        <v>6.8434093920331618E-2</v>
      </c>
      <c r="AK38" s="9">
        <f t="shared" si="13"/>
        <v>4.6832252106967691E-3</v>
      </c>
      <c r="AL38" s="9">
        <f t="shared" si="14"/>
        <v>5.00479618602868E-3</v>
      </c>
      <c r="AM38" s="9">
        <f t="shared" si="15"/>
        <v>2.5047984863687222E-5</v>
      </c>
      <c r="AN38" s="9" t="s">
        <v>2928</v>
      </c>
    </row>
    <row r="39" spans="13:40" ht="23">
      <c r="M39" s="8" t="s">
        <v>777</v>
      </c>
      <c r="N39" s="8" t="s">
        <v>150</v>
      </c>
      <c r="O39" s="8"/>
      <c r="P39" s="8"/>
      <c r="Q39" s="8"/>
      <c r="R39" s="8"/>
      <c r="S39" s="8"/>
      <c r="T39" s="8"/>
      <c r="U39" s="8"/>
      <c r="V39" s="8"/>
      <c r="W39" s="8" t="s">
        <v>777</v>
      </c>
      <c r="X39" s="8">
        <v>27.98</v>
      </c>
      <c r="Y39" s="8">
        <v>1.21</v>
      </c>
      <c r="Z39" s="9">
        <v>0.11</v>
      </c>
      <c r="AA39" s="8">
        <v>59.4</v>
      </c>
      <c r="AB39" s="8">
        <v>20881</v>
      </c>
      <c r="AC39" s="21" t="s">
        <v>777</v>
      </c>
      <c r="AD39" s="8" t="s">
        <v>3683</v>
      </c>
      <c r="AE39" s="8" t="s">
        <v>4084</v>
      </c>
      <c r="AF39" s="9">
        <f t="shared" si="8"/>
        <v>71.873999999999995</v>
      </c>
      <c r="AG39" s="9">
        <f t="shared" si="9"/>
        <v>10.889999999999999</v>
      </c>
      <c r="AH39" s="9">
        <f t="shared" si="10"/>
        <v>0.195271407532085</v>
      </c>
      <c r="AI39" s="9">
        <f t="shared" si="11"/>
        <v>3.813092259956162E-2</v>
      </c>
      <c r="AJ39" s="9">
        <f t="shared" si="12"/>
        <v>3.3800849835964715E-2</v>
      </c>
      <c r="AK39" s="9">
        <f t="shared" si="13"/>
        <v>1.1424974496334359E-3</v>
      </c>
      <c r="AL39" s="9">
        <f t="shared" si="14"/>
        <v>5.9177231776169738E-3</v>
      </c>
      <c r="AM39" s="9">
        <f t="shared" si="15"/>
        <v>3.5019447606905132E-5</v>
      </c>
      <c r="AN39" s="8" t="s">
        <v>777</v>
      </c>
    </row>
    <row r="40" spans="13:40" ht="23">
      <c r="M40" s="9" t="s">
        <v>2595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9" t="s">
        <v>2595</v>
      </c>
      <c r="X40" s="8">
        <v>22.55</v>
      </c>
      <c r="Y40" s="8">
        <v>2.2999999999999998</v>
      </c>
      <c r="Z40" s="9">
        <v>1.57</v>
      </c>
      <c r="AA40" s="8">
        <v>54.5</v>
      </c>
      <c r="AB40" s="8">
        <v>5508</v>
      </c>
      <c r="AC40" s="22" t="s">
        <v>2595</v>
      </c>
      <c r="AD40" s="8" t="s">
        <v>3683</v>
      </c>
      <c r="AE40" s="8" t="s">
        <v>4084</v>
      </c>
      <c r="AF40" s="9">
        <f t="shared" si="8"/>
        <v>125.35</v>
      </c>
      <c r="AG40" s="9">
        <f t="shared" si="9"/>
        <v>106.27499999999999</v>
      </c>
      <c r="AH40" s="9">
        <f t="shared" si="10"/>
        <v>0.17916316010940458</v>
      </c>
      <c r="AI40" s="9">
        <f t="shared" si="11"/>
        <v>3.2099437940388144E-2</v>
      </c>
      <c r="AJ40" s="9">
        <f t="shared" si="12"/>
        <v>5.8949502280910726E-2</v>
      </c>
      <c r="AK40" s="9">
        <f t="shared" si="13"/>
        <v>3.4750438191670989E-3</v>
      </c>
      <c r="AL40" s="9">
        <f t="shared" si="14"/>
        <v>5.775078335181303E-2</v>
      </c>
      <c r="AM40" s="9">
        <f t="shared" si="15"/>
        <v>3.3351529777480449E-3</v>
      </c>
      <c r="AN40" s="9" t="s">
        <v>2595</v>
      </c>
    </row>
    <row r="41" spans="13:40" ht="23">
      <c r="M41" s="8" t="s">
        <v>2011</v>
      </c>
      <c r="N41" s="8" t="s">
        <v>2003</v>
      </c>
      <c r="O41" s="8"/>
      <c r="P41" s="8"/>
      <c r="Q41" s="8"/>
      <c r="R41" s="8"/>
      <c r="S41" s="8"/>
      <c r="T41" s="8"/>
      <c r="U41" s="8"/>
      <c r="V41" s="8"/>
      <c r="W41" s="8" t="s">
        <v>2011</v>
      </c>
      <c r="X41" s="8">
        <v>67.260000000000005</v>
      </c>
      <c r="Y41" s="8">
        <v>2.17</v>
      </c>
      <c r="Z41" s="9">
        <v>1</v>
      </c>
      <c r="AA41" s="8">
        <v>43.8</v>
      </c>
      <c r="AB41" s="8">
        <v>7527</v>
      </c>
      <c r="AC41" s="21" t="s">
        <v>2011</v>
      </c>
      <c r="AD41" s="8" t="s">
        <v>3683</v>
      </c>
      <c r="AE41" s="8" t="s">
        <v>4084</v>
      </c>
      <c r="AF41" s="9">
        <f t="shared" si="8"/>
        <v>95.045999999999992</v>
      </c>
      <c r="AG41" s="9">
        <f t="shared" si="9"/>
        <v>44.529999999999994</v>
      </c>
      <c r="AH41" s="9">
        <f t="shared" si="10"/>
        <v>0.14398800757416366</v>
      </c>
      <c r="AI41" s="9">
        <f t="shared" si="11"/>
        <v>2.0732546325177414E-2</v>
      </c>
      <c r="AJ41" s="9">
        <f t="shared" si="12"/>
        <v>4.4698160301487357E-2</v>
      </c>
      <c r="AK41" s="9">
        <f t="shared" si="13"/>
        <v>1.9979255343374604E-3</v>
      </c>
      <c r="AL41" s="9">
        <f t="shared" si="14"/>
        <v>2.4197999366325423E-2</v>
      </c>
      <c r="AM41" s="9">
        <f t="shared" si="15"/>
        <v>5.8554317333268555E-4</v>
      </c>
      <c r="AN41" s="8" t="s">
        <v>2011</v>
      </c>
    </row>
    <row r="42" spans="13:40" ht="23">
      <c r="M42" s="8" t="s">
        <v>2064</v>
      </c>
      <c r="N42" s="8" t="s">
        <v>2041</v>
      </c>
      <c r="O42" s="8"/>
      <c r="P42" s="8"/>
      <c r="Q42" s="8"/>
      <c r="R42" s="8"/>
      <c r="S42" s="8"/>
      <c r="T42" s="8"/>
      <c r="U42" s="8"/>
      <c r="V42" s="8"/>
      <c r="W42" s="8" t="s">
        <v>2064</v>
      </c>
      <c r="X42" s="8">
        <v>52.87</v>
      </c>
      <c r="Y42" s="8">
        <v>2.38</v>
      </c>
      <c r="Z42" s="9">
        <v>3.41</v>
      </c>
      <c r="AA42" s="8">
        <v>41.9</v>
      </c>
      <c r="AB42" s="8">
        <v>27075</v>
      </c>
      <c r="AC42" s="21" t="s">
        <v>2064</v>
      </c>
      <c r="AD42" s="8" t="s">
        <v>3683</v>
      </c>
      <c r="AE42" s="8" t="s">
        <v>4084</v>
      </c>
      <c r="AF42" s="9">
        <f t="shared" si="8"/>
        <v>99.721999999999994</v>
      </c>
      <c r="AG42" s="9">
        <f t="shared" si="9"/>
        <v>154.33166666666668</v>
      </c>
      <c r="AH42" s="9">
        <f t="shared" si="10"/>
        <v>0.1377419524510835</v>
      </c>
      <c r="AI42" s="9">
        <f t="shared" si="11"/>
        <v>1.897284546503655E-2</v>
      </c>
      <c r="AJ42" s="9">
        <f t="shared" si="12"/>
        <v>4.6897186010825521E-2</v>
      </c>
      <c r="AK42" s="9">
        <f t="shared" si="13"/>
        <v>2.1993460557339691E-3</v>
      </c>
      <c r="AL42" s="9">
        <f t="shared" si="14"/>
        <v>8.3865204855242459E-2</v>
      </c>
      <c r="AM42" s="9">
        <f t="shared" si="15"/>
        <v>7.0333725854117837E-3</v>
      </c>
      <c r="AN42" s="8" t="s">
        <v>2064</v>
      </c>
    </row>
    <row r="43" spans="13:40" ht="23">
      <c r="M43" s="8" t="s">
        <v>2059</v>
      </c>
      <c r="N43" s="8" t="s">
        <v>2041</v>
      </c>
      <c r="O43" s="8"/>
      <c r="P43" s="8"/>
      <c r="Q43" s="8"/>
      <c r="R43" s="8"/>
      <c r="S43" s="8"/>
      <c r="T43" s="8"/>
      <c r="U43" s="8"/>
      <c r="V43" s="8"/>
      <c r="W43" s="8" t="s">
        <v>2059</v>
      </c>
      <c r="X43" s="8">
        <v>2.92</v>
      </c>
      <c r="Y43" s="8">
        <v>2.0099999999999998</v>
      </c>
      <c r="Z43" s="9">
        <v>20.07</v>
      </c>
      <c r="AA43" s="8">
        <v>41.1</v>
      </c>
      <c r="AB43" s="8">
        <v>55673</v>
      </c>
      <c r="AC43" s="21" t="s">
        <v>2059</v>
      </c>
      <c r="AD43" s="8" t="s">
        <v>3683</v>
      </c>
      <c r="AE43" s="8" t="s">
        <v>4084</v>
      </c>
      <c r="AF43" s="9">
        <f t="shared" si="8"/>
        <v>82.61099999999999</v>
      </c>
      <c r="AG43" s="9">
        <f t="shared" si="9"/>
        <v>826.79500000000007</v>
      </c>
      <c r="AH43" s="9">
        <f t="shared" si="10"/>
        <v>0.13511203450452344</v>
      </c>
      <c r="AI43" s="9">
        <f t="shared" si="11"/>
        <v>1.8255261867951532E-2</v>
      </c>
      <c r="AJ43" s="9">
        <f t="shared" si="12"/>
        <v>3.8850237997034825E-2</v>
      </c>
      <c r="AK43" s="9">
        <f t="shared" si="13"/>
        <v>1.5093409924262485E-3</v>
      </c>
      <c r="AL43" s="9">
        <f t="shared" si="14"/>
        <v>0.44928778095847816</v>
      </c>
      <c r="AM43" s="9">
        <f t="shared" si="15"/>
        <v>0.20185951011859343</v>
      </c>
      <c r="AN43" s="8" t="s">
        <v>2059</v>
      </c>
    </row>
    <row r="44" spans="13:40" ht="23">
      <c r="M44" s="8" t="s">
        <v>1480</v>
      </c>
      <c r="N44" s="8" t="s">
        <v>150</v>
      </c>
      <c r="O44" s="8"/>
      <c r="P44" s="8"/>
      <c r="Q44" s="8"/>
      <c r="R44" s="8"/>
      <c r="S44" s="8"/>
      <c r="T44" s="8"/>
      <c r="U44" s="8"/>
      <c r="V44" s="8"/>
      <c r="W44" s="8" t="s">
        <v>1480</v>
      </c>
      <c r="X44" s="8">
        <v>10.46</v>
      </c>
      <c r="Y44" s="8">
        <v>1.52</v>
      </c>
      <c r="Z44" s="9">
        <v>0.35</v>
      </c>
      <c r="AA44" s="8">
        <v>40.200000000000003</v>
      </c>
      <c r="AB44" s="8">
        <v>11509</v>
      </c>
      <c r="AC44" s="21" t="s">
        <v>1480</v>
      </c>
      <c r="AD44" s="8" t="s">
        <v>3683</v>
      </c>
      <c r="AE44" s="8" t="s">
        <v>4084</v>
      </c>
      <c r="AF44" s="9">
        <f t="shared" si="8"/>
        <v>61.104000000000006</v>
      </c>
      <c r="AG44" s="9">
        <f t="shared" si="9"/>
        <v>23.450000000000003</v>
      </c>
      <c r="AH44" s="9">
        <f t="shared" si="10"/>
        <v>0.1321533768146434</v>
      </c>
      <c r="AI44" s="9">
        <f t="shared" si="11"/>
        <v>1.7464515003513127E-2</v>
      </c>
      <c r="AJ44" s="9">
        <f t="shared" si="12"/>
        <v>2.8735942460093894E-2</v>
      </c>
      <c r="AK44" s="9">
        <f t="shared" si="13"/>
        <v>8.2575438906982708E-4</v>
      </c>
      <c r="AL44" s="9">
        <f t="shared" si="14"/>
        <v>1.27429392575866E-2</v>
      </c>
      <c r="AM44" s="9">
        <f t="shared" si="15"/>
        <v>1.6238250092254171E-4</v>
      </c>
      <c r="AN44" s="8" t="s">
        <v>1480</v>
      </c>
    </row>
    <row r="45" spans="13:40" ht="23">
      <c r="M45" s="9" t="s">
        <v>2923</v>
      </c>
      <c r="N45" s="8" t="s">
        <v>1717</v>
      </c>
      <c r="O45" s="8"/>
      <c r="P45" s="8"/>
      <c r="Q45" s="8"/>
      <c r="R45" s="8"/>
      <c r="S45" s="8"/>
      <c r="T45" s="8"/>
      <c r="U45" s="8"/>
      <c r="V45" s="8"/>
      <c r="W45" s="9" t="s">
        <v>2923</v>
      </c>
      <c r="X45" s="8">
        <v>17.68</v>
      </c>
      <c r="Y45" s="8">
        <v>2.33</v>
      </c>
      <c r="Z45" s="9">
        <v>0.21</v>
      </c>
      <c r="AA45" s="8">
        <v>37.799999999999997</v>
      </c>
      <c r="AB45" s="8">
        <v>60268</v>
      </c>
      <c r="AC45" s="22" t="s">
        <v>2923</v>
      </c>
      <c r="AD45" s="8" t="s">
        <v>3683</v>
      </c>
      <c r="AE45" s="8" t="s">
        <v>4084</v>
      </c>
      <c r="AF45" s="9">
        <f t="shared" si="8"/>
        <v>88.073999999999998</v>
      </c>
      <c r="AG45" s="9">
        <f t="shared" si="9"/>
        <v>13.229999999999999</v>
      </c>
      <c r="AH45" s="9">
        <f t="shared" si="10"/>
        <v>0.12426362297496317</v>
      </c>
      <c r="AI45" s="9">
        <f t="shared" si="11"/>
        <v>1.5441447994863794E-2</v>
      </c>
      <c r="AJ45" s="9">
        <f t="shared" si="12"/>
        <v>4.1419373465408305E-2</v>
      </c>
      <c r="AK45" s="9">
        <f t="shared" si="13"/>
        <v>1.7155644982669695E-3</v>
      </c>
      <c r="AL45" s="9">
        <f t="shared" si="14"/>
        <v>7.1893000587578103E-3</v>
      </c>
      <c r="AM45" s="9">
        <f t="shared" si="15"/>
        <v>5.1686035334855057E-5</v>
      </c>
      <c r="AN45" s="9" t="s">
        <v>2923</v>
      </c>
    </row>
    <row r="46" spans="13:40" ht="23">
      <c r="M46" s="8" t="s">
        <v>2039</v>
      </c>
      <c r="N46" s="8" t="s">
        <v>2032</v>
      </c>
      <c r="O46" s="8"/>
      <c r="P46" s="8"/>
      <c r="Q46" s="8"/>
      <c r="R46" s="8"/>
      <c r="S46" s="8"/>
      <c r="T46" s="8"/>
      <c r="U46" s="8"/>
      <c r="V46" s="8"/>
      <c r="W46" s="8" t="s">
        <v>2039</v>
      </c>
      <c r="X46" s="8">
        <v>15.92</v>
      </c>
      <c r="Y46" s="8">
        <v>3.05</v>
      </c>
      <c r="Z46" s="9">
        <v>1.36</v>
      </c>
      <c r="AA46" s="8">
        <v>28.6</v>
      </c>
      <c r="AB46" s="8">
        <v>7392</v>
      </c>
      <c r="AC46" s="21" t="s">
        <v>2039</v>
      </c>
      <c r="AD46" s="8" t="s">
        <v>3683</v>
      </c>
      <c r="AE46" s="8" t="s">
        <v>4084</v>
      </c>
      <c r="AF46" s="9">
        <f t="shared" si="8"/>
        <v>87.23</v>
      </c>
      <c r="AG46" s="9">
        <f t="shared" si="9"/>
        <v>45.760000000000005</v>
      </c>
      <c r="AH46" s="9">
        <f t="shared" si="10"/>
        <v>9.4019566589522402E-2</v>
      </c>
      <c r="AI46" s="9">
        <f t="shared" si="11"/>
        <v>8.8396789016816375E-3</v>
      </c>
      <c r="AJ46" s="9">
        <f t="shared" si="12"/>
        <v>4.1022457789899026E-2</v>
      </c>
      <c r="AK46" s="9">
        <f t="shared" si="13"/>
        <v>1.6828420431240472E-3</v>
      </c>
      <c r="AL46" s="9">
        <f t="shared" si="14"/>
        <v>2.4866392342309713E-2</v>
      </c>
      <c r="AM46" s="9">
        <f t="shared" si="15"/>
        <v>6.1833746812167917E-4</v>
      </c>
      <c r="AN46" s="8" t="s">
        <v>2039</v>
      </c>
    </row>
    <row r="47" spans="13:40" ht="23">
      <c r="M47" s="8" t="s">
        <v>1145</v>
      </c>
      <c r="N47" s="8" t="s">
        <v>150</v>
      </c>
      <c r="O47" s="8"/>
      <c r="P47" s="8"/>
      <c r="Q47" s="8"/>
      <c r="R47" s="8"/>
      <c r="S47" s="8"/>
      <c r="T47" s="8"/>
      <c r="U47" s="8"/>
      <c r="V47" s="8"/>
      <c r="W47" s="8" t="s">
        <v>1145</v>
      </c>
      <c r="X47" s="8">
        <v>49.82</v>
      </c>
      <c r="Y47" s="8">
        <v>1.24</v>
      </c>
      <c r="Z47" s="9">
        <v>0.25</v>
      </c>
      <c r="AA47" s="8">
        <v>27.5</v>
      </c>
      <c r="AB47" s="8">
        <v>12584</v>
      </c>
      <c r="AC47" s="21" t="s">
        <v>1145</v>
      </c>
      <c r="AD47" s="8" t="s">
        <v>3683</v>
      </c>
      <c r="AE47" s="8" t="s">
        <v>4084</v>
      </c>
      <c r="AF47" s="9">
        <f t="shared" si="8"/>
        <v>34.1</v>
      </c>
      <c r="AG47" s="9">
        <f t="shared" si="9"/>
        <v>11.458333333333334</v>
      </c>
      <c r="AH47" s="9">
        <f t="shared" si="10"/>
        <v>9.040342941300232E-2</v>
      </c>
      <c r="AI47" s="9">
        <f t="shared" si="11"/>
        <v>8.1727800496316939E-3</v>
      </c>
      <c r="AJ47" s="9">
        <f t="shared" si="12"/>
        <v>1.6036521960742369E-2</v>
      </c>
      <c r="AK47" s="9">
        <f t="shared" si="13"/>
        <v>2.571700365973723E-4</v>
      </c>
      <c r="AL47" s="9">
        <f t="shared" si="14"/>
        <v>6.2265605825094425E-3</v>
      </c>
      <c r="AM47" s="9">
        <f t="shared" si="15"/>
        <v>3.8770056687660327E-5</v>
      </c>
      <c r="AN47" s="8" t="s">
        <v>1145</v>
      </c>
    </row>
    <row r="48" spans="13:40" ht="23">
      <c r="M48" s="9" t="s">
        <v>3343</v>
      </c>
      <c r="N48" s="8" t="s">
        <v>1964</v>
      </c>
      <c r="O48" s="8"/>
      <c r="P48" s="8" t="s">
        <v>3691</v>
      </c>
      <c r="Q48" s="8"/>
      <c r="R48" s="8"/>
      <c r="S48" s="8"/>
      <c r="T48" s="8"/>
      <c r="U48" s="8"/>
      <c r="V48" s="8"/>
      <c r="W48" s="9" t="s">
        <v>3343</v>
      </c>
      <c r="X48" s="8">
        <v>19.54</v>
      </c>
      <c r="Y48" s="8">
        <v>1.26</v>
      </c>
      <c r="Z48" s="9">
        <v>0.38</v>
      </c>
      <c r="AA48" s="8">
        <v>27.4</v>
      </c>
      <c r="AB48" s="8">
        <v>21529</v>
      </c>
      <c r="AC48" s="22" t="s">
        <v>3343</v>
      </c>
      <c r="AD48" s="8" t="s">
        <v>3683</v>
      </c>
      <c r="AE48" s="8" t="s">
        <v>4084</v>
      </c>
      <c r="AF48" s="9">
        <f t="shared" si="8"/>
        <v>34.524000000000001</v>
      </c>
      <c r="AG48" s="9">
        <f t="shared" si="9"/>
        <v>17.353333333333332</v>
      </c>
      <c r="AH48" s="9">
        <f t="shared" si="10"/>
        <v>9.0074689669682309E-2</v>
      </c>
      <c r="AI48" s="9">
        <f t="shared" si="11"/>
        <v>8.1134497190895726E-3</v>
      </c>
      <c r="AJ48" s="9">
        <f t="shared" si="12"/>
        <v>1.6235920356969781E-2</v>
      </c>
      <c r="AK48" s="9">
        <f t="shared" si="13"/>
        <v>2.6360510983786573E-4</v>
      </c>
      <c r="AL48" s="9">
        <f t="shared" si="14"/>
        <v>9.429956186921936E-3</v>
      </c>
      <c r="AM48" s="9">
        <f t="shared" si="15"/>
        <v>8.8924073687267298E-5</v>
      </c>
      <c r="AN48" s="9" t="s">
        <v>3343</v>
      </c>
    </row>
    <row r="49" spans="13:40" ht="23">
      <c r="M49" s="9" t="s">
        <v>2472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9" t="s">
        <v>2472</v>
      </c>
      <c r="X49" s="8">
        <v>44.42</v>
      </c>
      <c r="Y49" s="8">
        <v>2.89</v>
      </c>
      <c r="Z49" s="9">
        <v>6.2</v>
      </c>
      <c r="AA49" s="8">
        <v>21.6</v>
      </c>
      <c r="AB49" s="8">
        <v>5772</v>
      </c>
      <c r="AC49" s="22" t="s">
        <v>2472</v>
      </c>
      <c r="AD49" s="8" t="s">
        <v>3683</v>
      </c>
      <c r="AE49" s="8" t="s">
        <v>4084</v>
      </c>
      <c r="AF49" s="9">
        <f t="shared" si="8"/>
        <v>62.424000000000007</v>
      </c>
      <c r="AG49" s="9">
        <f t="shared" si="9"/>
        <v>129.672</v>
      </c>
      <c r="AH49" s="9">
        <f t="shared" si="10"/>
        <v>7.1007784557121825E-2</v>
      </c>
      <c r="AI49" s="9">
        <f t="shared" si="11"/>
        <v>5.0421054677106288E-3</v>
      </c>
      <c r="AJ49" s="9">
        <f t="shared" si="12"/>
        <v>2.935671105212263E-2</v>
      </c>
      <c r="AK49" s="9">
        <f t="shared" si="13"/>
        <v>8.6181648379781892E-4</v>
      </c>
      <c r="AL49" s="9">
        <f t="shared" si="14"/>
        <v>7.0464921936450708E-2</v>
      </c>
      <c r="AM49" s="9">
        <f t="shared" si="15"/>
        <v>4.9653052235100921E-3</v>
      </c>
      <c r="AN49" s="9" t="s">
        <v>2472</v>
      </c>
    </row>
    <row r="50" spans="13:40" ht="23">
      <c r="M50" s="8" t="s">
        <v>2097</v>
      </c>
      <c r="N50" s="8" t="s">
        <v>2093</v>
      </c>
      <c r="O50" s="8"/>
      <c r="P50" s="8"/>
      <c r="Q50" s="8"/>
      <c r="R50" s="8"/>
      <c r="S50" s="8"/>
      <c r="T50" s="8"/>
      <c r="U50" s="8"/>
      <c r="V50" s="8"/>
      <c r="W50" s="8" t="s">
        <v>2097</v>
      </c>
      <c r="X50" s="8">
        <v>2.0499999999999998</v>
      </c>
      <c r="Y50" s="8">
        <v>2.0499999999999998</v>
      </c>
      <c r="Z50" s="9">
        <v>0.11</v>
      </c>
      <c r="AA50" s="8">
        <v>21.1</v>
      </c>
      <c r="AB50" s="8">
        <v>55813</v>
      </c>
      <c r="AC50" s="21" t="s">
        <v>2097</v>
      </c>
      <c r="AD50" s="8" t="s">
        <v>3683</v>
      </c>
      <c r="AE50" s="8" t="s">
        <v>4084</v>
      </c>
      <c r="AF50" s="9">
        <f t="shared" si="8"/>
        <v>43.255000000000003</v>
      </c>
      <c r="AG50" s="9">
        <f t="shared" si="9"/>
        <v>3.8683333333333332</v>
      </c>
      <c r="AH50" s="9">
        <f t="shared" si="10"/>
        <v>6.9364085840521783E-2</v>
      </c>
      <c r="AI50" s="9">
        <f t="shared" si="11"/>
        <v>4.8113764044912747E-3</v>
      </c>
      <c r="AJ50" s="9">
        <f t="shared" si="12"/>
        <v>2.0341928369850767E-2</v>
      </c>
      <c r="AK50" s="9">
        <f t="shared" si="13"/>
        <v>4.1379404980413948E-4</v>
      </c>
      <c r="AL50" s="9">
        <f t="shared" si="14"/>
        <v>2.1020868526551877E-3</v>
      </c>
      <c r="AM50" s="9">
        <f t="shared" si="15"/>
        <v>4.4187691361057934E-6</v>
      </c>
      <c r="AN50" s="8" t="s">
        <v>2097</v>
      </c>
    </row>
    <row r="51" spans="13:40" ht="23">
      <c r="M51" s="8" t="s">
        <v>321</v>
      </c>
      <c r="N51" s="8" t="s">
        <v>150</v>
      </c>
      <c r="O51" s="8"/>
      <c r="P51" s="8"/>
      <c r="Q51" s="8"/>
      <c r="R51" s="8"/>
      <c r="S51" s="8"/>
      <c r="T51" s="8"/>
      <c r="U51" s="8"/>
      <c r="V51" s="8"/>
      <c r="W51" s="8" t="s">
        <v>321</v>
      </c>
      <c r="X51" s="8">
        <v>22.6</v>
      </c>
      <c r="Y51" s="8">
        <v>2.04</v>
      </c>
      <c r="Z51" s="9">
        <v>0.24</v>
      </c>
      <c r="AA51" s="8">
        <v>18.899999999999999</v>
      </c>
      <c r="AB51" s="8">
        <v>14908</v>
      </c>
      <c r="AC51" s="21" t="s">
        <v>321</v>
      </c>
      <c r="AD51" s="8" t="s">
        <v>3683</v>
      </c>
      <c r="AE51" s="8" t="s">
        <v>4084</v>
      </c>
      <c r="AF51" s="9">
        <f t="shared" si="8"/>
        <v>38.555999999999997</v>
      </c>
      <c r="AG51" s="9">
        <f t="shared" si="9"/>
        <v>7.56</v>
      </c>
      <c r="AH51" s="9">
        <f t="shared" si="10"/>
        <v>6.2131811487481585E-2</v>
      </c>
      <c r="AI51" s="9">
        <f t="shared" si="11"/>
        <v>3.8603619987159486E-3</v>
      </c>
      <c r="AJ51" s="9">
        <f t="shared" si="12"/>
        <v>1.8132086238075738E-2</v>
      </c>
      <c r="AK51" s="9">
        <f t="shared" si="13"/>
        <v>3.2877255134501556E-4</v>
      </c>
      <c r="AL51" s="9">
        <f t="shared" si="14"/>
        <v>4.1081714621473203E-3</v>
      </c>
      <c r="AM51" s="9">
        <f t="shared" si="15"/>
        <v>1.6877072762401652E-5</v>
      </c>
      <c r="AN51" s="8" t="s">
        <v>321</v>
      </c>
    </row>
    <row r="52" spans="13:40" ht="23">
      <c r="M52" s="8" t="s">
        <v>1416</v>
      </c>
      <c r="N52" s="8" t="s">
        <v>150</v>
      </c>
      <c r="O52" s="8"/>
      <c r="P52" s="8"/>
      <c r="Q52" s="8"/>
      <c r="R52" s="8"/>
      <c r="S52" s="8"/>
      <c r="T52" s="8"/>
      <c r="U52" s="8"/>
      <c r="V52" s="8"/>
      <c r="W52" s="8" t="s">
        <v>1416</v>
      </c>
      <c r="X52" s="8">
        <v>42.47</v>
      </c>
      <c r="Y52" s="8">
        <v>2.1800000000000002</v>
      </c>
      <c r="Z52" s="9">
        <v>1.04</v>
      </c>
      <c r="AA52" s="8">
        <v>18.3</v>
      </c>
      <c r="AB52" s="8">
        <v>11386</v>
      </c>
      <c r="AC52" s="21" t="s">
        <v>1416</v>
      </c>
      <c r="AD52" s="8" t="s">
        <v>3683</v>
      </c>
      <c r="AE52" s="8" t="s">
        <v>4084</v>
      </c>
      <c r="AF52" s="9">
        <f t="shared" si="8"/>
        <v>39.894000000000005</v>
      </c>
      <c r="AG52" s="9">
        <f t="shared" si="9"/>
        <v>19.52</v>
      </c>
      <c r="AH52" s="9">
        <f t="shared" si="10"/>
        <v>6.0159373027561545E-2</v>
      </c>
      <c r="AI52" s="9">
        <f t="shared" si="11"/>
        <v>3.6191501630692996E-3</v>
      </c>
      <c r="AJ52" s="9">
        <f t="shared" si="12"/>
        <v>1.8761319856359416E-2</v>
      </c>
      <c r="AK52" s="9">
        <f t="shared" si="13"/>
        <v>3.519871227526261E-4</v>
      </c>
      <c r="AL52" s="9">
        <f t="shared" si="14"/>
        <v>1.0607342187978269E-2</v>
      </c>
      <c r="AM52" s="9">
        <f t="shared" si="15"/>
        <v>1.1251570829286361E-4</v>
      </c>
      <c r="AN52" s="8" t="s">
        <v>1416</v>
      </c>
    </row>
    <row r="53" spans="13:40" ht="23">
      <c r="M53" s="9" t="s">
        <v>3430</v>
      </c>
      <c r="N53" s="8" t="s">
        <v>2003</v>
      </c>
      <c r="O53" s="8"/>
      <c r="P53" s="8"/>
      <c r="Q53" s="8"/>
      <c r="R53" s="8"/>
      <c r="S53" s="8"/>
      <c r="T53" s="8"/>
      <c r="U53" s="8"/>
      <c r="V53" s="8"/>
      <c r="W53" s="9" t="s">
        <v>3430</v>
      </c>
      <c r="X53" s="8">
        <v>10.07</v>
      </c>
      <c r="Y53" s="8">
        <v>1.24</v>
      </c>
      <c r="Z53" s="9">
        <v>0.51</v>
      </c>
      <c r="AA53" s="8">
        <v>17.899999999999999</v>
      </c>
      <c r="AB53" s="8">
        <v>26152</v>
      </c>
      <c r="AC53" s="22" t="s">
        <v>3430</v>
      </c>
      <c r="AD53" s="8" t="s">
        <v>3683</v>
      </c>
      <c r="AE53" s="8" t="s">
        <v>4084</v>
      </c>
      <c r="AF53" s="9">
        <f t="shared" si="8"/>
        <v>22.195999999999998</v>
      </c>
      <c r="AG53" s="9">
        <f t="shared" si="9"/>
        <v>15.214999999999998</v>
      </c>
      <c r="AH53" s="9">
        <f t="shared" si="10"/>
        <v>5.8844414054281508E-2</v>
      </c>
      <c r="AI53" s="9">
        <f t="shared" si="11"/>
        <v>3.462665065391723E-3</v>
      </c>
      <c r="AJ53" s="9">
        <f t="shared" si="12"/>
        <v>1.0438317930810485E-2</v>
      </c>
      <c r="AK53" s="9">
        <f t="shared" si="13"/>
        <v>1.0895848122467969E-4</v>
      </c>
      <c r="AL53" s="9">
        <f t="shared" si="14"/>
        <v>8.2679667720332653E-3</v>
      </c>
      <c r="AM53" s="9">
        <f t="shared" si="15"/>
        <v>6.8359274543446178E-5</v>
      </c>
      <c r="AN53" s="9" t="s">
        <v>3430</v>
      </c>
    </row>
    <row r="54" spans="13:40" ht="23">
      <c r="M54" s="9" t="s">
        <v>3482</v>
      </c>
      <c r="N54" s="8" t="s">
        <v>2017</v>
      </c>
      <c r="O54" s="8"/>
      <c r="P54" s="8"/>
      <c r="Q54" s="8"/>
      <c r="R54" s="8"/>
      <c r="S54" s="8"/>
      <c r="T54" s="8"/>
      <c r="U54" s="8"/>
      <c r="V54" s="8"/>
      <c r="W54" s="9" t="s">
        <v>3482</v>
      </c>
      <c r="X54" s="8">
        <v>34.619999999999997</v>
      </c>
      <c r="Y54" s="8">
        <v>3.26</v>
      </c>
      <c r="Z54" s="9">
        <v>8.4</v>
      </c>
      <c r="AA54" s="8">
        <v>17.399999999999999</v>
      </c>
      <c r="AB54" s="8">
        <v>5929</v>
      </c>
      <c r="AC54" s="22" t="s">
        <v>3482</v>
      </c>
      <c r="AD54" s="8" t="s">
        <v>3683</v>
      </c>
      <c r="AE54" s="8" t="s">
        <v>4084</v>
      </c>
      <c r="AF54" s="9">
        <f t="shared" si="8"/>
        <v>56.72399999999999</v>
      </c>
      <c r="AG54" s="9">
        <f t="shared" si="9"/>
        <v>139.31599999999997</v>
      </c>
      <c r="AH54" s="9">
        <f t="shared" si="10"/>
        <v>5.7200715337681451E-2</v>
      </c>
      <c r="AI54" s="9">
        <f t="shared" si="11"/>
        <v>3.2719218351424662E-3</v>
      </c>
      <c r="AJ54" s="9">
        <f t="shared" si="12"/>
        <v>2.6676119404725803E-2</v>
      </c>
      <c r="AK54" s="9">
        <f t="shared" si="13"/>
        <v>7.1161534649518852E-4</v>
      </c>
      <c r="AL54" s="9">
        <f t="shared" si="14"/>
        <v>7.5705557595306353E-2</v>
      </c>
      <c r="AM54" s="9">
        <f t="shared" si="15"/>
        <v>5.7313314508162473E-3</v>
      </c>
      <c r="AN54" s="9" t="s">
        <v>3482</v>
      </c>
    </row>
    <row r="55" spans="13:40" ht="23">
      <c r="M55" s="9" t="s">
        <v>2736</v>
      </c>
      <c r="N55" s="8" t="s">
        <v>1614</v>
      </c>
      <c r="O55" s="8"/>
      <c r="P55" s="8" t="s">
        <v>3691</v>
      </c>
      <c r="Q55" s="8"/>
      <c r="R55" s="8"/>
      <c r="S55" s="8"/>
      <c r="T55" s="8"/>
      <c r="U55" s="8"/>
      <c r="V55" s="8"/>
      <c r="W55" s="9" t="s">
        <v>2736</v>
      </c>
      <c r="X55" s="8">
        <v>33.67</v>
      </c>
      <c r="Y55" s="8">
        <v>1.46</v>
      </c>
      <c r="Z55" s="9">
        <v>0.43</v>
      </c>
      <c r="AA55" s="8">
        <v>13.7</v>
      </c>
      <c r="AB55" s="8">
        <v>29623</v>
      </c>
      <c r="AC55" s="22" t="s">
        <v>2736</v>
      </c>
      <c r="AD55" s="8" t="s">
        <v>3683</v>
      </c>
      <c r="AE55" s="8" t="s">
        <v>4084</v>
      </c>
      <c r="AF55" s="9">
        <f t="shared" si="8"/>
        <v>20.001999999999999</v>
      </c>
      <c r="AG55" s="9">
        <f t="shared" si="9"/>
        <v>9.8183333333333334</v>
      </c>
      <c r="AH55" s="9">
        <f t="shared" si="10"/>
        <v>4.5037344834841155E-2</v>
      </c>
      <c r="AI55" s="9">
        <f t="shared" si="11"/>
        <v>2.0283624297723932E-3</v>
      </c>
      <c r="AJ55" s="9">
        <f t="shared" si="12"/>
        <v>9.4065252861809043E-3</v>
      </c>
      <c r="AK55" s="9">
        <f t="shared" si="13"/>
        <v>8.8482717959560738E-5</v>
      </c>
      <c r="AL55" s="9">
        <f t="shared" si="14"/>
        <v>5.3353699478637271E-3</v>
      </c>
      <c r="AM55" s="9">
        <f t="shared" si="15"/>
        <v>2.8466172480567391E-5</v>
      </c>
      <c r="AN55" s="9" t="s">
        <v>2736</v>
      </c>
    </row>
    <row r="56" spans="13:40" ht="23">
      <c r="M56" s="9" t="s">
        <v>3351</v>
      </c>
      <c r="N56" s="8" t="s">
        <v>1964</v>
      </c>
      <c r="O56" s="8"/>
      <c r="P56" s="8"/>
      <c r="Q56" s="8"/>
      <c r="R56" s="8"/>
      <c r="S56" s="8"/>
      <c r="T56" s="8"/>
      <c r="U56" s="8"/>
      <c r="V56" s="8"/>
      <c r="W56" s="9" t="s">
        <v>3351</v>
      </c>
      <c r="X56" s="8">
        <v>28.75</v>
      </c>
      <c r="Y56" s="8">
        <v>1.62</v>
      </c>
      <c r="Z56" s="9">
        <v>0.44</v>
      </c>
      <c r="AA56" s="8">
        <v>12.5</v>
      </c>
      <c r="AB56" s="8">
        <v>17925</v>
      </c>
      <c r="AC56" s="22" t="s">
        <v>3351</v>
      </c>
      <c r="AD56" s="8" t="s">
        <v>3683</v>
      </c>
      <c r="AE56" s="8" t="s">
        <v>4084</v>
      </c>
      <c r="AF56" s="9">
        <f t="shared" si="8"/>
        <v>20.25</v>
      </c>
      <c r="AG56" s="9">
        <f t="shared" si="9"/>
        <v>9.1666666666666661</v>
      </c>
      <c r="AH56" s="9">
        <f t="shared" si="10"/>
        <v>4.1092467915001048E-2</v>
      </c>
      <c r="AI56" s="9">
        <f t="shared" si="11"/>
        <v>1.6885909193453906E-3</v>
      </c>
      <c r="AJ56" s="9">
        <f t="shared" si="12"/>
        <v>9.5231545368044852E-3</v>
      </c>
      <c r="AK56" s="9">
        <f t="shared" si="13"/>
        <v>9.069047233185985E-5</v>
      </c>
      <c r="AL56" s="9">
        <f t="shared" si="14"/>
        <v>4.9812484660075535E-3</v>
      </c>
      <c r="AM56" s="9">
        <f t="shared" si="15"/>
        <v>2.4812836280102604E-5</v>
      </c>
      <c r="AN56" s="9" t="s">
        <v>3351</v>
      </c>
    </row>
    <row r="57" spans="13:40" ht="23">
      <c r="M57" s="8" t="s">
        <v>722</v>
      </c>
      <c r="N57" s="8" t="s">
        <v>150</v>
      </c>
      <c r="O57" s="8"/>
      <c r="P57" s="8"/>
      <c r="Q57" s="8"/>
      <c r="R57" s="8"/>
      <c r="S57" s="8"/>
      <c r="T57" s="8"/>
      <c r="U57" s="8"/>
      <c r="V57" s="8"/>
      <c r="W57" s="8" t="s">
        <v>722</v>
      </c>
      <c r="X57" s="8">
        <v>55.4</v>
      </c>
      <c r="Y57" s="8">
        <v>1.47</v>
      </c>
      <c r="Z57" s="9">
        <v>0.08</v>
      </c>
      <c r="AA57" s="8">
        <v>12.4</v>
      </c>
      <c r="AB57" s="8">
        <v>18529</v>
      </c>
      <c r="AC57" s="21" t="s">
        <v>722</v>
      </c>
      <c r="AD57" s="8" t="s">
        <v>3683</v>
      </c>
      <c r="AE57" s="8" t="s">
        <v>4084</v>
      </c>
      <c r="AF57" s="9">
        <f t="shared" si="8"/>
        <v>18.228000000000002</v>
      </c>
      <c r="AG57" s="9">
        <f t="shared" si="9"/>
        <v>1.6533333333333333</v>
      </c>
      <c r="AH57" s="9">
        <f t="shared" si="10"/>
        <v>4.0763728171681043E-2</v>
      </c>
      <c r="AI57" s="9">
        <f t="shared" si="11"/>
        <v>1.6616815344547026E-3</v>
      </c>
      <c r="AJ57" s="9">
        <f t="shared" si="12"/>
        <v>8.572249920833195E-3</v>
      </c>
      <c r="AK57" s="9">
        <f t="shared" si="13"/>
        <v>7.3483468705224712E-5</v>
      </c>
      <c r="AL57" s="9">
        <f t="shared" si="14"/>
        <v>8.9843608695990799E-4</v>
      </c>
      <c r="AM57" s="9">
        <f t="shared" si="15"/>
        <v>8.0718740235183135E-7</v>
      </c>
      <c r="AN57" s="8" t="s">
        <v>722</v>
      </c>
    </row>
    <row r="58" spans="13:40" ht="23">
      <c r="M58" s="8" t="s">
        <v>575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8" t="s">
        <v>575</v>
      </c>
      <c r="X58" s="8">
        <v>43.72</v>
      </c>
      <c r="Y58" s="8">
        <v>3.75</v>
      </c>
      <c r="Z58" s="9">
        <v>1.1200000000000001</v>
      </c>
      <c r="AA58" s="8">
        <v>12</v>
      </c>
      <c r="AB58" s="8">
        <v>9051</v>
      </c>
      <c r="AC58" s="21" t="s">
        <v>575</v>
      </c>
      <c r="AD58" s="8" t="s">
        <v>3683</v>
      </c>
      <c r="AE58" s="8" t="s">
        <v>4084</v>
      </c>
      <c r="AF58" s="9">
        <f t="shared" si="8"/>
        <v>45</v>
      </c>
      <c r="AG58" s="9">
        <f t="shared" si="9"/>
        <v>14.399999999999999</v>
      </c>
      <c r="AH58" s="9">
        <f t="shared" si="10"/>
        <v>3.9448769198401006E-2</v>
      </c>
      <c r="AI58" s="9">
        <f t="shared" si="11"/>
        <v>1.5562053912687118E-3</v>
      </c>
      <c r="AJ58" s="9">
        <f t="shared" si="12"/>
        <v>2.1162565637343301E-2</v>
      </c>
      <c r="AK58" s="9">
        <f t="shared" si="13"/>
        <v>4.4785418435486349E-4</v>
      </c>
      <c r="AL58" s="9">
        <f t="shared" si="14"/>
        <v>7.8250884993282289E-3</v>
      </c>
      <c r="AM58" s="9">
        <f t="shared" si="15"/>
        <v>6.1232010022318911E-5</v>
      </c>
      <c r="AN58" s="8" t="s">
        <v>575</v>
      </c>
    </row>
    <row r="59" spans="13:40" ht="23">
      <c r="M59" s="9" t="s">
        <v>2924</v>
      </c>
      <c r="N59" s="8" t="s">
        <v>1717</v>
      </c>
      <c r="O59" s="8"/>
      <c r="P59" s="8"/>
      <c r="Q59" s="8"/>
      <c r="R59" s="8"/>
      <c r="S59" s="8"/>
      <c r="T59" s="8"/>
      <c r="U59" s="8"/>
      <c r="V59" s="8"/>
      <c r="W59" s="9" t="s">
        <v>2924</v>
      </c>
      <c r="X59" s="8">
        <v>11.33</v>
      </c>
      <c r="Y59" s="8">
        <v>1.75</v>
      </c>
      <c r="Z59" s="9">
        <v>0.48</v>
      </c>
      <c r="AA59" s="8">
        <v>10.6</v>
      </c>
      <c r="AB59" s="8">
        <v>26802</v>
      </c>
      <c r="AC59" s="22" t="s">
        <v>2924</v>
      </c>
      <c r="AD59" s="8" t="s">
        <v>3683</v>
      </c>
      <c r="AE59" s="8" t="s">
        <v>4084</v>
      </c>
      <c r="AF59" s="9">
        <f t="shared" si="8"/>
        <v>18.55</v>
      </c>
      <c r="AG59" s="9">
        <f t="shared" si="9"/>
        <v>8.48</v>
      </c>
      <c r="AH59" s="9">
        <f t="shared" si="10"/>
        <v>3.484641279192089E-2</v>
      </c>
      <c r="AI59" s="9">
        <f t="shared" si="11"/>
        <v>1.2142724844649479E-3</v>
      </c>
      <c r="AJ59" s="9">
        <f t="shared" si="12"/>
        <v>8.7236798349492935E-3</v>
      </c>
      <c r="AK59" s="9">
        <f t="shared" si="13"/>
        <v>7.6102589862700931E-5</v>
      </c>
      <c r="AL59" s="9">
        <f t="shared" si="14"/>
        <v>4.6081076718266249E-3</v>
      </c>
      <c r="AM59" s="9">
        <f t="shared" si="15"/>
        <v>2.1234656315147398E-5</v>
      </c>
      <c r="AN59" s="9" t="s">
        <v>2924</v>
      </c>
    </row>
    <row r="60" spans="13:40" ht="23">
      <c r="M60" s="8" t="s">
        <v>308</v>
      </c>
      <c r="N60" s="8" t="s">
        <v>150</v>
      </c>
      <c r="O60" s="8"/>
      <c r="P60" s="8"/>
      <c r="Q60" s="8"/>
      <c r="R60" s="8"/>
      <c r="S60" s="8"/>
      <c r="T60" s="8"/>
      <c r="U60" s="8"/>
      <c r="V60" s="8"/>
      <c r="W60" s="8" t="s">
        <v>308</v>
      </c>
      <c r="X60" s="8">
        <v>41.24</v>
      </c>
      <c r="Y60" s="8">
        <v>4.05</v>
      </c>
      <c r="Z60" s="9">
        <v>1.46</v>
      </c>
      <c r="AA60" s="8">
        <v>9</v>
      </c>
      <c r="AB60" s="8">
        <v>10725</v>
      </c>
      <c r="AC60" s="21" t="s">
        <v>308</v>
      </c>
      <c r="AD60" s="8" t="s">
        <v>3683</v>
      </c>
      <c r="AE60" s="8" t="s">
        <v>4084</v>
      </c>
      <c r="AF60" s="9">
        <f t="shared" si="8"/>
        <v>36.449999999999996</v>
      </c>
      <c r="AG60" s="9">
        <f t="shared" si="9"/>
        <v>15.899999999999999</v>
      </c>
      <c r="AH60" s="9">
        <f t="shared" si="10"/>
        <v>2.9586576898800759E-2</v>
      </c>
      <c r="AI60" s="9">
        <f t="shared" si="11"/>
        <v>8.7536553258865072E-4</v>
      </c>
      <c r="AJ60" s="9">
        <f t="shared" si="12"/>
        <v>1.7141678166248071E-2</v>
      </c>
      <c r="AK60" s="9">
        <f t="shared" si="13"/>
        <v>2.9383713035522583E-4</v>
      </c>
      <c r="AL60" s="9">
        <f t="shared" si="14"/>
        <v>8.6402018846749203E-3</v>
      </c>
      <c r="AM60" s="9">
        <f t="shared" si="15"/>
        <v>7.4653088607940041E-5</v>
      </c>
      <c r="AN60" s="8" t="s">
        <v>308</v>
      </c>
    </row>
    <row r="61" spans="13:40" ht="23">
      <c r="M61" s="8" t="s">
        <v>2054</v>
      </c>
      <c r="N61" s="8" t="s">
        <v>2041</v>
      </c>
      <c r="O61" s="8"/>
      <c r="P61" s="8"/>
      <c r="Q61" s="8"/>
      <c r="R61" s="8"/>
      <c r="S61" s="8"/>
      <c r="T61" s="8"/>
      <c r="U61" s="8"/>
      <c r="V61" s="8"/>
      <c r="W61" s="8" t="s">
        <v>2054</v>
      </c>
      <c r="X61" s="8">
        <v>50.04</v>
      </c>
      <c r="Y61" s="8">
        <v>1.37</v>
      </c>
      <c r="Z61" s="9">
        <v>0.08</v>
      </c>
      <c r="AA61" s="8">
        <v>8.4</v>
      </c>
      <c r="AB61" s="8">
        <v>25946</v>
      </c>
      <c r="AC61" s="21" t="s">
        <v>2054</v>
      </c>
      <c r="AD61" s="8" t="s">
        <v>3683</v>
      </c>
      <c r="AE61" s="8" t="s">
        <v>4084</v>
      </c>
      <c r="AF61" s="9">
        <f t="shared" si="8"/>
        <v>11.508000000000001</v>
      </c>
      <c r="AG61" s="9">
        <f t="shared" si="9"/>
        <v>1.1200000000000001</v>
      </c>
      <c r="AH61" s="9">
        <f t="shared" si="10"/>
        <v>2.7614138438880706E-2</v>
      </c>
      <c r="AI61" s="9">
        <f t="shared" si="11"/>
        <v>7.62540641721669E-4</v>
      </c>
      <c r="AJ61" s="9">
        <f t="shared" si="12"/>
        <v>5.4119734523232601E-3</v>
      </c>
      <c r="AK61" s="9">
        <f t="shared" si="13"/>
        <v>2.9289456648651747E-5</v>
      </c>
      <c r="AL61" s="9">
        <f t="shared" si="14"/>
        <v>6.0861799439219575E-4</v>
      </c>
      <c r="AM61" s="9">
        <f t="shared" si="15"/>
        <v>3.7041586309797882E-7</v>
      </c>
      <c r="AN61" s="8" t="s">
        <v>2054</v>
      </c>
    </row>
    <row r="62" spans="13:40" ht="23">
      <c r="M62" s="9" t="s">
        <v>3357</v>
      </c>
      <c r="N62" s="8" t="s">
        <v>1964</v>
      </c>
      <c r="O62" s="8"/>
      <c r="P62" s="8"/>
      <c r="Q62" s="8"/>
      <c r="R62" s="8"/>
      <c r="S62" s="8"/>
      <c r="T62" s="8"/>
      <c r="U62" s="8"/>
      <c r="V62" s="8"/>
      <c r="W62" s="9" t="s">
        <v>3357</v>
      </c>
      <c r="X62" s="8">
        <v>11.59</v>
      </c>
      <c r="Y62" s="8">
        <v>1.18</v>
      </c>
      <c r="Z62" s="9">
        <v>0.03</v>
      </c>
      <c r="AA62" s="8">
        <v>8</v>
      </c>
      <c r="AB62" s="8">
        <v>64714</v>
      </c>
      <c r="AC62" s="22" t="s">
        <v>3357</v>
      </c>
      <c r="AD62" s="8" t="s">
        <v>3683</v>
      </c>
      <c r="AE62" s="8" t="s">
        <v>4084</v>
      </c>
      <c r="AF62" s="9">
        <f t="shared" si="8"/>
        <v>9.44</v>
      </c>
      <c r="AG62" s="9">
        <f t="shared" si="9"/>
        <v>0.4</v>
      </c>
      <c r="AH62" s="9">
        <f t="shared" si="10"/>
        <v>2.6299179465600672E-2</v>
      </c>
      <c r="AI62" s="9">
        <f t="shared" si="11"/>
        <v>6.9164684056387206E-4</v>
      </c>
      <c r="AJ62" s="9">
        <f t="shared" si="12"/>
        <v>4.4394359914782383E-3</v>
      </c>
      <c r="AK62" s="9">
        <f t="shared" si="13"/>
        <v>1.9708591922432369E-5</v>
      </c>
      <c r="AL62" s="9">
        <f t="shared" si="14"/>
        <v>2.1736356942578418E-4</v>
      </c>
      <c r="AM62" s="9">
        <f t="shared" si="15"/>
        <v>4.7246921313517702E-8</v>
      </c>
      <c r="AN62" s="9" t="s">
        <v>3357</v>
      </c>
    </row>
    <row r="63" spans="13:40" ht="23">
      <c r="M63" s="8" t="s">
        <v>4894</v>
      </c>
      <c r="N63" s="8" t="s">
        <v>150</v>
      </c>
      <c r="O63" s="8"/>
      <c r="P63" s="8"/>
      <c r="Q63" s="8"/>
      <c r="R63" s="8"/>
      <c r="S63" s="8"/>
      <c r="T63" s="8"/>
      <c r="U63" s="8"/>
      <c r="V63" s="8"/>
      <c r="W63" s="8" t="s">
        <v>4894</v>
      </c>
      <c r="X63" s="8">
        <v>6.84</v>
      </c>
      <c r="Y63" s="8">
        <v>3.64</v>
      </c>
      <c r="Z63" s="9">
        <v>1.26</v>
      </c>
      <c r="AA63" s="8">
        <v>7.8</v>
      </c>
      <c r="AB63" s="8">
        <v>29798</v>
      </c>
      <c r="AC63" s="21" t="s">
        <v>4894</v>
      </c>
      <c r="AD63" s="8" t="s">
        <v>3683</v>
      </c>
      <c r="AE63" s="8" t="s">
        <v>4084</v>
      </c>
      <c r="AF63" s="9">
        <f t="shared" si="8"/>
        <v>28.391999999999999</v>
      </c>
      <c r="AG63" s="9">
        <f t="shared" si="9"/>
        <v>11.18</v>
      </c>
      <c r="AH63" s="9">
        <f t="shared" si="10"/>
        <v>2.5641699978960656E-2</v>
      </c>
      <c r="AI63" s="9">
        <f t="shared" si="11"/>
        <v>6.574967778110309E-4</v>
      </c>
      <c r="AJ63" s="9">
        <f t="shared" si="12"/>
        <v>1.3352168079454465E-2</v>
      </c>
      <c r="AK63" s="9">
        <f t="shared" si="13"/>
        <v>1.7828039242200272E-4</v>
      </c>
      <c r="AL63" s="9">
        <f t="shared" si="14"/>
        <v>6.0753117654506672E-3</v>
      </c>
      <c r="AM63" s="9">
        <f t="shared" si="15"/>
        <v>3.6909413047423299E-5</v>
      </c>
      <c r="AN63" s="8" t="s">
        <v>4894</v>
      </c>
    </row>
    <row r="64" spans="13:40" ht="23">
      <c r="M64" s="9" t="s">
        <v>3421</v>
      </c>
      <c r="N64" s="8" t="s">
        <v>2003</v>
      </c>
      <c r="O64" s="8"/>
      <c r="P64" s="8" t="s">
        <v>3691</v>
      </c>
      <c r="Q64" s="8"/>
      <c r="R64" s="8"/>
      <c r="S64" s="8"/>
      <c r="T64" s="8"/>
      <c r="U64" s="8"/>
      <c r="V64" s="8"/>
      <c r="W64" s="9" t="s">
        <v>3421</v>
      </c>
      <c r="X64" s="8">
        <v>23.35</v>
      </c>
      <c r="Y64" s="8">
        <v>8.3699999999999992</v>
      </c>
      <c r="Z64" s="9">
        <v>17</v>
      </c>
      <c r="AA64" s="8">
        <v>7.7</v>
      </c>
      <c r="AB64" s="8">
        <v>11277</v>
      </c>
      <c r="AC64" s="22" t="s">
        <v>3421</v>
      </c>
      <c r="AD64" s="8" t="s">
        <v>3683</v>
      </c>
      <c r="AE64" s="8" t="s">
        <v>4084</v>
      </c>
      <c r="AF64" s="9">
        <f t="shared" si="8"/>
        <v>64.448999999999998</v>
      </c>
      <c r="AG64" s="9">
        <f t="shared" si="9"/>
        <v>133.08166666666668</v>
      </c>
      <c r="AH64" s="9">
        <f t="shared" si="10"/>
        <v>2.5312960235640652E-2</v>
      </c>
      <c r="AI64" s="9">
        <f t="shared" si="11"/>
        <v>6.4074595589112479E-4</v>
      </c>
      <c r="AJ64" s="9">
        <f t="shared" si="12"/>
        <v>3.0309026505803076E-2</v>
      </c>
      <c r="AK64" s="9">
        <f t="shared" si="13"/>
        <v>9.1863708772947346E-4</v>
      </c>
      <c r="AL64" s="9">
        <f t="shared" si="14"/>
        <v>7.2317765229497677E-2</v>
      </c>
      <c r="AM64" s="9">
        <f t="shared" si="15"/>
        <v>5.2298591677887429E-3</v>
      </c>
      <c r="AN64" s="9" t="s">
        <v>3421</v>
      </c>
    </row>
    <row r="65" spans="13:40" ht="23">
      <c r="M65" s="9" t="s">
        <v>2287</v>
      </c>
      <c r="N65" s="8" t="s">
        <v>150</v>
      </c>
      <c r="O65" s="8"/>
      <c r="P65" s="8"/>
      <c r="Q65" s="8"/>
      <c r="R65" s="8"/>
      <c r="S65" s="8"/>
      <c r="T65" s="8"/>
      <c r="U65" s="8"/>
      <c r="V65" s="8"/>
      <c r="W65" s="9" t="s">
        <v>2287</v>
      </c>
      <c r="X65" s="8">
        <v>22.29</v>
      </c>
      <c r="Y65" s="8">
        <v>4.22</v>
      </c>
      <c r="Z65" s="9">
        <v>2.3199999999999998</v>
      </c>
      <c r="AA65" s="8">
        <v>7.6</v>
      </c>
      <c r="AB65" s="8">
        <v>11168</v>
      </c>
      <c r="AC65" s="22" t="s">
        <v>2287</v>
      </c>
      <c r="AD65" s="8" t="s">
        <v>3683</v>
      </c>
      <c r="AE65" s="8" t="s">
        <v>4084</v>
      </c>
      <c r="AF65" s="9">
        <f t="shared" si="8"/>
        <v>32.071999999999996</v>
      </c>
      <c r="AG65" s="9">
        <f t="shared" si="9"/>
        <v>19.25333333333333</v>
      </c>
      <c r="AH65" s="9">
        <f t="shared" si="10"/>
        <v>2.4984220492320641E-2</v>
      </c>
      <c r="AI65" s="9">
        <f t="shared" si="11"/>
        <v>6.2421127360889461E-4</v>
      </c>
      <c r="AJ65" s="9">
        <f t="shared" si="12"/>
        <v>1.5082795669352762E-2</v>
      </c>
      <c r="AK65" s="9">
        <f t="shared" si="13"/>
        <v>2.2749072520344643E-4</v>
      </c>
      <c r="AL65" s="9">
        <f t="shared" si="14"/>
        <v>1.046243314169441E-2</v>
      </c>
      <c r="AM65" s="9">
        <f t="shared" si="15"/>
        <v>1.0946250724442556E-4</v>
      </c>
      <c r="AN65" s="9" t="s">
        <v>2287</v>
      </c>
    </row>
    <row r="66" spans="13:40" ht="23">
      <c r="M66" s="9" t="s">
        <v>3590</v>
      </c>
      <c r="N66" s="8" t="s">
        <v>2084</v>
      </c>
      <c r="O66" s="8"/>
      <c r="P66" s="8"/>
      <c r="Q66" s="8"/>
      <c r="R66" s="8"/>
      <c r="S66" s="8"/>
      <c r="T66" s="8"/>
      <c r="U66" s="8"/>
      <c r="V66" s="8"/>
      <c r="W66" s="9" t="s">
        <v>3590</v>
      </c>
      <c r="X66" s="8">
        <v>16.489999999999998</v>
      </c>
      <c r="Y66" s="8">
        <v>4.21</v>
      </c>
      <c r="Z66" s="9">
        <v>0.23</v>
      </c>
      <c r="AA66" s="8">
        <v>6.9</v>
      </c>
      <c r="AB66" s="8">
        <v>42471</v>
      </c>
      <c r="AC66" s="22" t="s">
        <v>3590</v>
      </c>
      <c r="AD66" s="8" t="s">
        <v>3683</v>
      </c>
      <c r="AE66" s="8" t="s">
        <v>4084</v>
      </c>
      <c r="AF66" s="9">
        <f t="shared" ref="AF66:AF90" si="16">(AA66*Y66)</f>
        <v>29.048999999999999</v>
      </c>
      <c r="AG66" s="9">
        <f t="shared" ref="AG66:AG90" si="17">((((RIGHT(Z66,2))/60)+(LEFT(Z66,2)))*AA66)</f>
        <v>2.6450000000000005</v>
      </c>
      <c r="AH66" s="9">
        <f t="shared" ref="AH66:AH90" si="18">(AA66/$AA$91)*100</f>
        <v>2.2683042289080579E-2</v>
      </c>
      <c r="AI66" s="9">
        <f t="shared" ref="AI66:AI90" si="19">(AH66*AH66)</f>
        <v>5.1452040748821795E-4</v>
      </c>
      <c r="AJ66" s="9">
        <f t="shared" ref="AJ66:AJ90" si="20">(AF66/$AF$91)*100</f>
        <v>1.3661141537759679E-2</v>
      </c>
      <c r="AK66" s="9">
        <f t="shared" ref="AK66:AK90" si="21">(AJ66*AJ66)</f>
        <v>1.8662678811470288E-4</v>
      </c>
      <c r="AL66" s="9">
        <f t="shared" ref="AL66:AL90" si="22">(AG66/$AG$91)*100</f>
        <v>1.4373166028279981E-3</v>
      </c>
      <c r="AM66" s="9">
        <f t="shared" ref="AM66:AM90" si="23">(AL66*AL66)</f>
        <v>2.0658790167650174E-6</v>
      </c>
      <c r="AN66" s="9" t="s">
        <v>3590</v>
      </c>
    </row>
    <row r="67" spans="13:40" ht="23">
      <c r="M67" s="8" t="s">
        <v>1913</v>
      </c>
      <c r="N67" s="8" t="s">
        <v>1902</v>
      </c>
      <c r="O67" s="8"/>
      <c r="P67" s="8"/>
      <c r="Q67" s="8"/>
      <c r="R67" s="8"/>
      <c r="S67" s="8"/>
      <c r="T67" s="8"/>
      <c r="U67" s="8"/>
      <c r="V67" s="8"/>
      <c r="W67" s="8" t="s">
        <v>1913</v>
      </c>
      <c r="X67" s="8">
        <v>35.67</v>
      </c>
      <c r="Y67" s="8">
        <v>2.88</v>
      </c>
      <c r="Z67" s="9">
        <v>2.2999999999999998</v>
      </c>
      <c r="AA67" s="8">
        <v>6.7</v>
      </c>
      <c r="AB67" s="8">
        <v>15015</v>
      </c>
      <c r="AC67" s="21" t="s">
        <v>1913</v>
      </c>
      <c r="AD67" s="8" t="s">
        <v>3683</v>
      </c>
      <c r="AE67" s="8" t="s">
        <v>4084</v>
      </c>
      <c r="AF67" s="9">
        <f t="shared" si="16"/>
        <v>19.295999999999999</v>
      </c>
      <c r="AG67" s="9">
        <f t="shared" si="17"/>
        <v>13.4335</v>
      </c>
      <c r="AH67" s="9">
        <f t="shared" si="18"/>
        <v>2.2025562802440564E-2</v>
      </c>
      <c r="AI67" s="9">
        <f t="shared" si="19"/>
        <v>4.8512541676425341E-4</v>
      </c>
      <c r="AJ67" s="9">
        <f t="shared" si="20"/>
        <v>9.0745081452928075E-3</v>
      </c>
      <c r="AK67" s="9">
        <f t="shared" si="21"/>
        <v>8.2346698078985514E-5</v>
      </c>
      <c r="AL67" s="9">
        <f t="shared" si="22"/>
        <v>7.2998837747031801E-3</v>
      </c>
      <c r="AM67" s="9">
        <f t="shared" si="23"/>
        <v>5.328830312417475E-5</v>
      </c>
      <c r="AN67" s="8" t="s">
        <v>1913</v>
      </c>
    </row>
    <row r="68" spans="13:40" ht="23">
      <c r="M68" s="8" t="s">
        <v>1693</v>
      </c>
      <c r="N68" s="8" t="s">
        <v>1614</v>
      </c>
      <c r="O68" s="8"/>
      <c r="P68" s="8"/>
      <c r="Q68" s="8"/>
      <c r="R68" s="8"/>
      <c r="S68" s="8"/>
      <c r="T68" s="8"/>
      <c r="U68" s="8"/>
      <c r="V68" s="8"/>
      <c r="W68" s="8" t="s">
        <v>1693</v>
      </c>
      <c r="X68" s="8">
        <v>59.76</v>
      </c>
      <c r="Y68" s="8">
        <v>4.4000000000000004</v>
      </c>
      <c r="Z68" s="9">
        <v>2.11</v>
      </c>
      <c r="AA68" s="8">
        <v>5.4</v>
      </c>
      <c r="AB68" s="8">
        <v>17554</v>
      </c>
      <c r="AC68" s="21" t="s">
        <v>1693</v>
      </c>
      <c r="AD68" s="8" t="s">
        <v>3683</v>
      </c>
      <c r="AE68" s="8" t="s">
        <v>4084</v>
      </c>
      <c r="AF68" s="9">
        <f t="shared" si="16"/>
        <v>23.760000000000005</v>
      </c>
      <c r="AG68" s="9">
        <f t="shared" si="17"/>
        <v>11.79</v>
      </c>
      <c r="AH68" s="9">
        <f t="shared" si="18"/>
        <v>1.7751946139280456E-2</v>
      </c>
      <c r="AI68" s="9">
        <f t="shared" si="19"/>
        <v>3.151315917319143E-4</v>
      </c>
      <c r="AJ68" s="9">
        <f t="shared" si="20"/>
        <v>1.1173834656517266E-2</v>
      </c>
      <c r="AK68" s="9">
        <f t="shared" si="21"/>
        <v>1.2485458093118633E-4</v>
      </c>
      <c r="AL68" s="9">
        <f t="shared" si="22"/>
        <v>6.4067912088249879E-3</v>
      </c>
      <c r="AM68" s="9">
        <f t="shared" si="23"/>
        <v>4.1046973593477153E-5</v>
      </c>
      <c r="AN68" s="8" t="s">
        <v>1693</v>
      </c>
    </row>
    <row r="69" spans="13:40" ht="23">
      <c r="M69" s="8" t="s">
        <v>390</v>
      </c>
      <c r="N69" s="8" t="s">
        <v>150</v>
      </c>
      <c r="O69" s="8"/>
      <c r="P69" s="8" t="s">
        <v>3691</v>
      </c>
      <c r="Q69" s="8"/>
      <c r="R69" s="8"/>
      <c r="S69" s="8"/>
      <c r="T69" s="8"/>
      <c r="U69" s="8"/>
      <c r="V69" s="8"/>
      <c r="W69" s="8" t="s">
        <v>390</v>
      </c>
      <c r="X69" s="8">
        <v>34.700000000000003</v>
      </c>
      <c r="Y69" s="8">
        <v>3.04</v>
      </c>
      <c r="Z69" s="9">
        <v>1.51</v>
      </c>
      <c r="AA69" s="8">
        <v>5.4</v>
      </c>
      <c r="AB69" s="8">
        <v>25590</v>
      </c>
      <c r="AC69" s="21" t="s">
        <v>390</v>
      </c>
      <c r="AD69" s="8" t="s">
        <v>3683</v>
      </c>
      <c r="AE69" s="8" t="s">
        <v>4084</v>
      </c>
      <c r="AF69" s="9">
        <f t="shared" si="16"/>
        <v>16.416</v>
      </c>
      <c r="AG69" s="9">
        <f t="shared" si="17"/>
        <v>9.990000000000002</v>
      </c>
      <c r="AH69" s="9">
        <f t="shared" si="18"/>
        <v>1.7751946139280456E-2</v>
      </c>
      <c r="AI69" s="9">
        <f t="shared" si="19"/>
        <v>3.151315917319143E-4</v>
      </c>
      <c r="AJ69" s="9">
        <f t="shared" si="20"/>
        <v>7.720103944502836E-3</v>
      </c>
      <c r="AK69" s="9">
        <f t="shared" si="21"/>
        <v>5.9600004913928251E-5</v>
      </c>
      <c r="AL69" s="9">
        <f t="shared" si="22"/>
        <v>5.4286551464089615E-3</v>
      </c>
      <c r="AM69" s="9">
        <f t="shared" si="23"/>
        <v>2.9470296698632504E-5</v>
      </c>
      <c r="AN69" s="8" t="s">
        <v>390</v>
      </c>
    </row>
    <row r="70" spans="13:40" ht="23">
      <c r="M70" s="8" t="s">
        <v>88</v>
      </c>
      <c r="N70" s="8" t="s">
        <v>90</v>
      </c>
      <c r="O70" s="8"/>
      <c r="P70" s="8"/>
      <c r="Q70" s="8"/>
      <c r="R70" s="8"/>
      <c r="S70" s="8"/>
      <c r="T70" s="8"/>
      <c r="U70" s="8"/>
      <c r="V70" s="8"/>
      <c r="W70" s="8" t="s">
        <v>88</v>
      </c>
      <c r="X70" s="8">
        <v>55.61</v>
      </c>
      <c r="Y70" s="8">
        <v>1.97</v>
      </c>
      <c r="Z70" s="9">
        <v>0.44</v>
      </c>
      <c r="AA70" s="8">
        <v>5.4</v>
      </c>
      <c r="AB70" s="8"/>
      <c r="AC70" s="21" t="s">
        <v>88</v>
      </c>
      <c r="AD70" s="8" t="s">
        <v>3683</v>
      </c>
      <c r="AE70" s="8" t="s">
        <v>4084</v>
      </c>
      <c r="AF70" s="9">
        <f t="shared" si="16"/>
        <v>10.638</v>
      </c>
      <c r="AG70" s="9">
        <f t="shared" si="17"/>
        <v>3.96</v>
      </c>
      <c r="AH70" s="9">
        <f t="shared" si="18"/>
        <v>1.7751946139280456E-2</v>
      </c>
      <c r="AI70" s="9">
        <f t="shared" si="19"/>
        <v>3.151315917319143E-4</v>
      </c>
      <c r="AJ70" s="9">
        <f t="shared" si="20"/>
        <v>5.0028305166679565E-3</v>
      </c>
      <c r="AK70" s="9">
        <f t="shared" si="21"/>
        <v>2.5028313178504172E-5</v>
      </c>
      <c r="AL70" s="9">
        <f t="shared" si="22"/>
        <v>2.151899337315263E-3</v>
      </c>
      <c r="AM70" s="9">
        <f t="shared" si="23"/>
        <v>4.630670757937868E-6</v>
      </c>
      <c r="AN70" s="8" t="s">
        <v>88</v>
      </c>
    </row>
    <row r="71" spans="13:40" ht="23">
      <c r="M71" s="8" t="s">
        <v>81</v>
      </c>
      <c r="N71" s="8" t="s">
        <v>82</v>
      </c>
      <c r="O71" s="8"/>
      <c r="P71" s="8"/>
      <c r="Q71" s="8"/>
      <c r="R71" s="8"/>
      <c r="S71" s="8"/>
      <c r="T71" s="8"/>
      <c r="U71" s="8"/>
      <c r="V71" s="8"/>
      <c r="W71" s="8" t="s">
        <v>81</v>
      </c>
      <c r="X71" s="8">
        <v>27.15</v>
      </c>
      <c r="Y71" s="8">
        <v>2.31</v>
      </c>
      <c r="Z71" s="9">
        <v>1.38</v>
      </c>
      <c r="AA71" s="8">
        <v>4.0999999999999996</v>
      </c>
      <c r="AB71" s="8">
        <v>23036</v>
      </c>
      <c r="AC71" s="21" t="s">
        <v>81</v>
      </c>
      <c r="AD71" s="8" t="s">
        <v>3683</v>
      </c>
      <c r="AE71" s="8" t="s">
        <v>4084</v>
      </c>
      <c r="AF71" s="9">
        <f t="shared" si="16"/>
        <v>9.4710000000000001</v>
      </c>
      <c r="AG71" s="9">
        <f t="shared" si="17"/>
        <v>6.6966666666666663</v>
      </c>
      <c r="AH71" s="9">
        <f t="shared" si="18"/>
        <v>1.3478329476120344E-2</v>
      </c>
      <c r="AI71" s="9">
        <f t="shared" si="19"/>
        <v>1.816653654668545E-4</v>
      </c>
      <c r="AJ71" s="9">
        <f t="shared" si="20"/>
        <v>4.4540146478061872E-3</v>
      </c>
      <c r="AK71" s="9">
        <f t="shared" si="21"/>
        <v>1.9838246482872075E-5</v>
      </c>
      <c r="AL71" s="9">
        <f t="shared" si="22"/>
        <v>3.6390284248033365E-3</v>
      </c>
      <c r="AM71" s="9">
        <f t="shared" si="23"/>
        <v>1.3242527876526653E-5</v>
      </c>
      <c r="AN71" s="8" t="s">
        <v>81</v>
      </c>
    </row>
    <row r="72" spans="13:40" ht="23">
      <c r="M72" s="9" t="s">
        <v>2715</v>
      </c>
      <c r="N72" s="8" t="s">
        <v>1614</v>
      </c>
      <c r="O72" s="8"/>
      <c r="P72" s="8"/>
      <c r="Q72" s="8"/>
      <c r="R72" s="8"/>
      <c r="S72" s="8"/>
      <c r="T72" s="8"/>
      <c r="U72" s="8"/>
      <c r="V72" s="8"/>
      <c r="W72" s="9" t="s">
        <v>2715</v>
      </c>
      <c r="X72" s="8">
        <v>14.47</v>
      </c>
      <c r="Y72" s="8">
        <v>5.0199999999999996</v>
      </c>
      <c r="Z72" s="9">
        <v>2.12</v>
      </c>
      <c r="AA72" s="8">
        <v>4</v>
      </c>
      <c r="AB72" s="8">
        <v>16793</v>
      </c>
      <c r="AC72" s="22" t="s">
        <v>2715</v>
      </c>
      <c r="AD72" s="8" t="s">
        <v>3683</v>
      </c>
      <c r="AE72" s="8" t="s">
        <v>4084</v>
      </c>
      <c r="AF72" s="9">
        <f t="shared" si="16"/>
        <v>20.079999999999998</v>
      </c>
      <c r="AG72" s="9">
        <f t="shared" si="17"/>
        <v>8.8000000000000007</v>
      </c>
      <c r="AH72" s="9">
        <f t="shared" si="18"/>
        <v>1.3149589732800336E-2</v>
      </c>
      <c r="AI72" s="9">
        <f t="shared" si="19"/>
        <v>1.7291171014096801E-4</v>
      </c>
      <c r="AJ72" s="9">
        <f t="shared" si="20"/>
        <v>9.4432070666189642E-3</v>
      </c>
      <c r="AK72" s="9">
        <f t="shared" si="21"/>
        <v>8.9174159703042346E-5</v>
      </c>
      <c r="AL72" s="9">
        <f t="shared" si="22"/>
        <v>4.7819985273672523E-3</v>
      </c>
      <c r="AM72" s="9">
        <f t="shared" si="23"/>
        <v>2.2867509915742568E-5</v>
      </c>
      <c r="AN72" s="9" t="s">
        <v>2715</v>
      </c>
    </row>
    <row r="73" spans="13:40" ht="23">
      <c r="M73" s="8" t="s">
        <v>1971</v>
      </c>
      <c r="N73" s="8" t="s">
        <v>1964</v>
      </c>
      <c r="O73" s="8"/>
      <c r="P73" s="8"/>
      <c r="Q73" s="8"/>
      <c r="R73" s="8"/>
      <c r="S73" s="8"/>
      <c r="T73" s="8"/>
      <c r="U73" s="8"/>
      <c r="V73" s="8"/>
      <c r="W73" s="8" t="s">
        <v>1971</v>
      </c>
      <c r="X73" s="8">
        <v>56.46</v>
      </c>
      <c r="Y73" s="8">
        <v>7.65</v>
      </c>
      <c r="Z73" s="9">
        <v>4.4400000000000004</v>
      </c>
      <c r="AA73" s="8">
        <v>3.4</v>
      </c>
      <c r="AB73" s="8">
        <v>18712</v>
      </c>
      <c r="AC73" s="21" t="s">
        <v>1971</v>
      </c>
      <c r="AD73" s="8" t="s">
        <v>3683</v>
      </c>
      <c r="AE73" s="8" t="s">
        <v>4084</v>
      </c>
      <c r="AF73" s="9">
        <f t="shared" si="16"/>
        <v>26.01</v>
      </c>
      <c r="AG73" s="9">
        <f t="shared" si="17"/>
        <v>16.093333333333334</v>
      </c>
      <c r="AH73" s="9">
        <f t="shared" si="18"/>
        <v>1.1177151272880286E-2</v>
      </c>
      <c r="AI73" s="9">
        <f t="shared" si="19"/>
        <v>1.249287105768494E-4</v>
      </c>
      <c r="AJ73" s="9">
        <f t="shared" si="20"/>
        <v>1.223196293838443E-2</v>
      </c>
      <c r="AK73" s="9">
        <f t="shared" si="21"/>
        <v>1.4962091732601026E-4</v>
      </c>
      <c r="AL73" s="9">
        <f t="shared" si="22"/>
        <v>8.745260943230717E-3</v>
      </c>
      <c r="AM73" s="9">
        <f t="shared" si="23"/>
        <v>7.6479588965196611E-5</v>
      </c>
      <c r="AN73" s="8" t="s">
        <v>1971</v>
      </c>
    </row>
    <row r="74" spans="13:40" ht="23">
      <c r="M74" s="8" t="s">
        <v>1832</v>
      </c>
      <c r="N74" s="8" t="s">
        <v>1814</v>
      </c>
      <c r="O74" s="8"/>
      <c r="P74" s="8"/>
      <c r="Q74" s="8"/>
      <c r="R74" s="8"/>
      <c r="S74" s="8"/>
      <c r="T74" s="8"/>
      <c r="U74" s="8"/>
      <c r="V74" s="8"/>
      <c r="W74" s="8" t="s">
        <v>1832</v>
      </c>
      <c r="X74" s="8">
        <v>22.24</v>
      </c>
      <c r="Y74" s="8">
        <v>44.81</v>
      </c>
      <c r="Z74" s="9">
        <v>11.37</v>
      </c>
      <c r="AA74" s="8">
        <v>3.1</v>
      </c>
      <c r="AB74" s="8">
        <v>8519</v>
      </c>
      <c r="AC74" s="21" t="s">
        <v>1832</v>
      </c>
      <c r="AD74" s="8" t="s">
        <v>3683</v>
      </c>
      <c r="AE74" s="8" t="s">
        <v>4084</v>
      </c>
      <c r="AF74" s="9">
        <f t="shared" si="16"/>
        <v>138.911</v>
      </c>
      <c r="AG74" s="9">
        <f t="shared" si="17"/>
        <v>36.01166666666667</v>
      </c>
      <c r="AH74" s="9">
        <f t="shared" si="18"/>
        <v>1.0190932042920261E-2</v>
      </c>
      <c r="AI74" s="9">
        <f t="shared" si="19"/>
        <v>1.0385509590341891E-4</v>
      </c>
      <c r="AJ74" s="9">
        <f t="shared" si="20"/>
        <v>6.5326959005533217E-2</v>
      </c>
      <c r="AK74" s="9">
        <f t="shared" si="21"/>
        <v>4.2676115729106175E-3</v>
      </c>
      <c r="AL74" s="9">
        <f t="shared" si="22"/>
        <v>1.9569061019095498E-2</v>
      </c>
      <c r="AM74" s="9">
        <f t="shared" si="23"/>
        <v>3.8294814916908294E-4</v>
      </c>
      <c r="AN74" s="8" t="s">
        <v>1832</v>
      </c>
    </row>
    <row r="75" spans="13:40" ht="23">
      <c r="M75" s="8" t="s">
        <v>1255</v>
      </c>
      <c r="N75" s="8" t="s">
        <v>150</v>
      </c>
      <c r="O75" s="8"/>
      <c r="P75" s="8"/>
      <c r="Q75" s="8"/>
      <c r="R75" s="8"/>
      <c r="S75" s="8"/>
      <c r="T75" s="8"/>
      <c r="U75" s="8"/>
      <c r="V75" s="8"/>
      <c r="W75" s="8" t="s">
        <v>1255</v>
      </c>
      <c r="X75" s="8">
        <v>56.53</v>
      </c>
      <c r="Y75" s="8">
        <v>1.99</v>
      </c>
      <c r="Z75" s="9">
        <v>0.28000000000000003</v>
      </c>
      <c r="AA75" s="8">
        <v>3</v>
      </c>
      <c r="AB75" s="8">
        <v>38573</v>
      </c>
      <c r="AC75" s="21" t="s">
        <v>1255</v>
      </c>
      <c r="AD75" s="8" t="s">
        <v>3683</v>
      </c>
      <c r="AE75" s="8" t="s">
        <v>4084</v>
      </c>
      <c r="AF75" s="9">
        <f t="shared" si="16"/>
        <v>5.97</v>
      </c>
      <c r="AG75" s="9">
        <f t="shared" si="17"/>
        <v>1.4</v>
      </c>
      <c r="AH75" s="9">
        <f t="shared" si="18"/>
        <v>9.8621922996002514E-3</v>
      </c>
      <c r="AI75" s="9">
        <f t="shared" si="19"/>
        <v>9.726283695429449E-5</v>
      </c>
      <c r="AJ75" s="9">
        <f t="shared" si="20"/>
        <v>2.8075670412208778E-3</v>
      </c>
      <c r="AK75" s="9">
        <f t="shared" si="21"/>
        <v>7.8824326909497542E-6</v>
      </c>
      <c r="AL75" s="9">
        <f t="shared" si="22"/>
        <v>7.607724929902446E-4</v>
      </c>
      <c r="AM75" s="9">
        <f t="shared" si="23"/>
        <v>5.7877478609059175E-7</v>
      </c>
      <c r="AN75" s="8" t="s">
        <v>1255</v>
      </c>
    </row>
    <row r="76" spans="13:40" ht="23">
      <c r="M76" s="9" t="s">
        <v>2994</v>
      </c>
      <c r="N76" s="8" t="s">
        <v>1717</v>
      </c>
      <c r="O76" s="8"/>
      <c r="P76" s="8" t="s">
        <v>3691</v>
      </c>
      <c r="Q76" s="8"/>
      <c r="R76" s="8"/>
      <c r="S76" s="8"/>
      <c r="T76" s="8"/>
      <c r="U76" s="8"/>
      <c r="V76" s="8"/>
      <c r="W76" s="9" t="s">
        <v>2994</v>
      </c>
      <c r="X76" s="8">
        <v>20.77</v>
      </c>
      <c r="Y76" s="8">
        <v>9.84</v>
      </c>
      <c r="Z76" s="9">
        <v>14.12</v>
      </c>
      <c r="AA76" s="8">
        <v>2.7</v>
      </c>
      <c r="AB76" s="8">
        <v>20704</v>
      </c>
      <c r="AC76" s="22" t="s">
        <v>2994</v>
      </c>
      <c r="AD76" s="8" t="s">
        <v>3683</v>
      </c>
      <c r="AE76" s="8" t="s">
        <v>4084</v>
      </c>
      <c r="AF76" s="9">
        <f t="shared" si="16"/>
        <v>26.568000000000001</v>
      </c>
      <c r="AG76" s="9">
        <f t="shared" si="17"/>
        <v>38.340000000000003</v>
      </c>
      <c r="AH76" s="9">
        <f t="shared" si="18"/>
        <v>8.8759730696402282E-3</v>
      </c>
      <c r="AI76" s="9">
        <f t="shared" si="19"/>
        <v>7.8782897932978574E-5</v>
      </c>
      <c r="AJ76" s="9">
        <f t="shared" si="20"/>
        <v>1.2494378752287484E-2</v>
      </c>
      <c r="AK76" s="9">
        <f t="shared" si="21"/>
        <v>1.5610950040561295E-4</v>
      </c>
      <c r="AL76" s="9">
        <f t="shared" si="22"/>
        <v>2.0834298129461415E-2</v>
      </c>
      <c r="AM76" s="9">
        <f t="shared" si="23"/>
        <v>4.340679785472794E-4</v>
      </c>
      <c r="AN76" s="9" t="s">
        <v>2994</v>
      </c>
    </row>
    <row r="77" spans="13:40" ht="23">
      <c r="M77" s="9" t="s">
        <v>3011</v>
      </c>
      <c r="N77" s="8" t="s">
        <v>1717</v>
      </c>
      <c r="O77" s="8"/>
      <c r="P77" s="8"/>
      <c r="Q77" s="8"/>
      <c r="R77" s="8"/>
      <c r="S77" s="8"/>
      <c r="T77" s="8"/>
      <c r="U77" s="8"/>
      <c r="V77" s="8"/>
      <c r="W77" s="9" t="s">
        <v>3011</v>
      </c>
      <c r="X77" s="8">
        <v>38.159999999999997</v>
      </c>
      <c r="Y77" s="8">
        <v>12.21</v>
      </c>
      <c r="Z77" s="9">
        <v>8.42</v>
      </c>
      <c r="AA77" s="8">
        <v>2.6</v>
      </c>
      <c r="AB77" s="8">
        <v>18399</v>
      </c>
      <c r="AC77" s="22" t="s">
        <v>3011</v>
      </c>
      <c r="AD77" s="8" t="s">
        <v>3683</v>
      </c>
      <c r="AE77" s="8" t="s">
        <v>4084</v>
      </c>
      <c r="AF77" s="9">
        <f t="shared" si="16"/>
        <v>31.746000000000002</v>
      </c>
      <c r="AG77" s="9">
        <f t="shared" si="17"/>
        <v>22.619999999999997</v>
      </c>
      <c r="AH77" s="9">
        <f t="shared" si="18"/>
        <v>8.5472333263202187E-3</v>
      </c>
      <c r="AI77" s="9">
        <f t="shared" si="19"/>
        <v>7.3055197534558993E-5</v>
      </c>
      <c r="AJ77" s="9">
        <f t="shared" si="20"/>
        <v>1.4929484638291123E-2</v>
      </c>
      <c r="AK77" s="9">
        <f t="shared" si="21"/>
        <v>2.2288951156497063E-4</v>
      </c>
      <c r="AL77" s="9">
        <f t="shared" si="22"/>
        <v>1.2291909851028094E-2</v>
      </c>
      <c r="AM77" s="9">
        <f t="shared" si="23"/>
        <v>1.510910477858015E-4</v>
      </c>
      <c r="AN77" s="9" t="s">
        <v>3011</v>
      </c>
    </row>
    <row r="78" spans="13:40" ht="23">
      <c r="M78" s="8" t="s">
        <v>96</v>
      </c>
      <c r="N78" s="8" t="s">
        <v>82</v>
      </c>
      <c r="O78" s="8"/>
      <c r="P78" s="8"/>
      <c r="Q78" s="8"/>
      <c r="R78" s="8"/>
      <c r="S78" s="8"/>
      <c r="T78" s="8"/>
      <c r="U78" s="8"/>
      <c r="V78" s="8"/>
      <c r="W78" s="8" t="s">
        <v>96</v>
      </c>
      <c r="X78" s="8">
        <v>23.28</v>
      </c>
      <c r="Y78" s="8">
        <v>3.12</v>
      </c>
      <c r="Z78" s="9">
        <v>2.02</v>
      </c>
      <c r="AA78" s="8">
        <v>2.6</v>
      </c>
      <c r="AB78" s="8">
        <v>31874</v>
      </c>
      <c r="AC78" s="21" t="s">
        <v>96</v>
      </c>
      <c r="AD78" s="8" t="s">
        <v>3683</v>
      </c>
      <c r="AE78" s="8" t="s">
        <v>4084</v>
      </c>
      <c r="AF78" s="9">
        <f t="shared" si="16"/>
        <v>8.1120000000000001</v>
      </c>
      <c r="AG78" s="9">
        <f t="shared" si="17"/>
        <v>5.2866666666666662</v>
      </c>
      <c r="AH78" s="9">
        <f t="shared" si="18"/>
        <v>8.5472333263202187E-3</v>
      </c>
      <c r="AI78" s="9">
        <f t="shared" si="19"/>
        <v>7.3055197534558993E-5</v>
      </c>
      <c r="AJ78" s="9">
        <f t="shared" si="20"/>
        <v>3.8149051655584193E-3</v>
      </c>
      <c r="AK78" s="9">
        <f t="shared" si="21"/>
        <v>1.4553501422204311E-5</v>
      </c>
      <c r="AL78" s="9">
        <f t="shared" si="22"/>
        <v>2.8728218425774473E-3</v>
      </c>
      <c r="AM78" s="9">
        <f t="shared" si="23"/>
        <v>8.2531053391900791E-6</v>
      </c>
      <c r="AN78" s="8" t="s">
        <v>96</v>
      </c>
    </row>
    <row r="79" spans="13:40" ht="23">
      <c r="M79" s="8" t="s">
        <v>2007</v>
      </c>
      <c r="N79" s="8" t="s">
        <v>2003</v>
      </c>
      <c r="O79" s="8"/>
      <c r="P79" s="8" t="s">
        <v>3691</v>
      </c>
      <c r="Q79" s="8"/>
      <c r="R79" s="8"/>
      <c r="S79" s="8"/>
      <c r="T79" s="8"/>
      <c r="U79" s="8"/>
      <c r="V79" s="8"/>
      <c r="W79" s="8" t="s">
        <v>2007</v>
      </c>
      <c r="X79" s="8">
        <v>38.25</v>
      </c>
      <c r="Y79" s="8">
        <v>3.57</v>
      </c>
      <c r="Z79" s="9">
        <v>1.3</v>
      </c>
      <c r="AA79" s="8">
        <v>2.6</v>
      </c>
      <c r="AB79" s="8">
        <v>29823</v>
      </c>
      <c r="AC79" s="21" t="s">
        <v>2007</v>
      </c>
      <c r="AD79" s="8" t="s">
        <v>3683</v>
      </c>
      <c r="AE79" s="8" t="s">
        <v>4084</v>
      </c>
      <c r="AF79" s="9">
        <f t="shared" si="16"/>
        <v>9.282</v>
      </c>
      <c r="AG79" s="9">
        <f t="shared" si="17"/>
        <v>2.613</v>
      </c>
      <c r="AH79" s="9">
        <f t="shared" si="18"/>
        <v>8.5472333263202187E-3</v>
      </c>
      <c r="AI79" s="9">
        <f t="shared" si="19"/>
        <v>7.3055197534558993E-5</v>
      </c>
      <c r="AJ79" s="9">
        <f t="shared" si="20"/>
        <v>4.3651318721293448E-3</v>
      </c>
      <c r="AK79" s="9">
        <f t="shared" si="21"/>
        <v>1.905437626107944E-5</v>
      </c>
      <c r="AL79" s="9">
        <f t="shared" si="22"/>
        <v>1.4199275172739351E-3</v>
      </c>
      <c r="AM79" s="9">
        <f t="shared" si="23"/>
        <v>2.0161941543117213E-6</v>
      </c>
      <c r="AN79" s="8" t="s">
        <v>2007</v>
      </c>
    </row>
    <row r="80" spans="13:40" ht="23">
      <c r="M80" s="8" t="s">
        <v>1516</v>
      </c>
      <c r="N80" s="8" t="s">
        <v>150</v>
      </c>
      <c r="O80" s="8"/>
      <c r="P80" s="8"/>
      <c r="Q80" s="8"/>
      <c r="R80" s="8"/>
      <c r="S80" s="8"/>
      <c r="T80" s="8"/>
      <c r="U80" s="8"/>
      <c r="V80" s="8"/>
      <c r="W80" s="8" t="s">
        <v>1516</v>
      </c>
      <c r="X80" s="8">
        <v>38.200000000000003</v>
      </c>
      <c r="Y80" s="8">
        <v>3.68</v>
      </c>
      <c r="Z80" s="9">
        <v>1.25</v>
      </c>
      <c r="AA80" s="8">
        <v>2.5</v>
      </c>
      <c r="AB80" s="8">
        <v>38224</v>
      </c>
      <c r="AC80" s="21" t="s">
        <v>1516</v>
      </c>
      <c r="AD80" s="8" t="s">
        <v>3683</v>
      </c>
      <c r="AE80" s="8" t="s">
        <v>4084</v>
      </c>
      <c r="AF80" s="9">
        <f t="shared" si="16"/>
        <v>9.2000000000000011</v>
      </c>
      <c r="AG80" s="9">
        <f t="shared" si="17"/>
        <v>3.541666666666667</v>
      </c>
      <c r="AH80" s="9">
        <f t="shared" si="18"/>
        <v>8.2184935830002092E-3</v>
      </c>
      <c r="AI80" s="9">
        <f t="shared" si="19"/>
        <v>6.7543636773815616E-5</v>
      </c>
      <c r="AJ80" s="9">
        <f t="shared" si="20"/>
        <v>4.3265689747457418E-3</v>
      </c>
      <c r="AK80" s="9">
        <f t="shared" si="21"/>
        <v>1.8719199093232421E-5</v>
      </c>
      <c r="AL80" s="9">
        <f t="shared" si="22"/>
        <v>1.9245732709574643E-3</v>
      </c>
      <c r="AM80" s="9">
        <f t="shared" si="23"/>
        <v>3.7039822752839134E-6</v>
      </c>
      <c r="AN80" s="8" t="s">
        <v>1516</v>
      </c>
    </row>
    <row r="81" spans="13:40" ht="23">
      <c r="M81" s="8" t="s">
        <v>2106</v>
      </c>
      <c r="N81" s="8" t="s">
        <v>2100</v>
      </c>
      <c r="O81" s="8"/>
      <c r="P81" s="8"/>
      <c r="Q81" s="8"/>
      <c r="R81" s="8"/>
      <c r="S81" s="8"/>
      <c r="T81" s="8"/>
      <c r="U81" s="8"/>
      <c r="V81" s="8"/>
      <c r="W81" s="8" t="s">
        <v>2106</v>
      </c>
      <c r="X81" s="8">
        <v>17.25</v>
      </c>
      <c r="Y81" s="8">
        <v>2.69</v>
      </c>
      <c r="Z81" s="9">
        <v>0.55000000000000004</v>
      </c>
      <c r="AA81" s="8">
        <v>2.5</v>
      </c>
      <c r="AB81" s="8">
        <v>32721</v>
      </c>
      <c r="AC81" s="21" t="s">
        <v>2106</v>
      </c>
      <c r="AD81" s="8" t="s">
        <v>3683</v>
      </c>
      <c r="AE81" s="8" t="s">
        <v>4084</v>
      </c>
      <c r="AF81" s="9">
        <f t="shared" si="16"/>
        <v>6.7249999999999996</v>
      </c>
      <c r="AG81" s="9">
        <f t="shared" si="17"/>
        <v>2.2916666666666665</v>
      </c>
      <c r="AH81" s="9">
        <f t="shared" si="18"/>
        <v>8.2184935830002092E-3</v>
      </c>
      <c r="AI81" s="9">
        <f t="shared" si="19"/>
        <v>6.7543636773815616E-5</v>
      </c>
      <c r="AJ81" s="9">
        <f t="shared" si="20"/>
        <v>3.1626278646918601E-3</v>
      </c>
      <c r="AK81" s="9">
        <f t="shared" si="21"/>
        <v>1.0002215010525394E-5</v>
      </c>
      <c r="AL81" s="9">
        <f t="shared" si="22"/>
        <v>1.2453121165018884E-3</v>
      </c>
      <c r="AM81" s="9">
        <f t="shared" si="23"/>
        <v>1.5508022675064127E-6</v>
      </c>
      <c r="AN81" s="8" t="s">
        <v>2106</v>
      </c>
    </row>
    <row r="82" spans="13:40" ht="23">
      <c r="M82" s="8" t="s">
        <v>2045</v>
      </c>
      <c r="N82" s="8" t="s">
        <v>2041</v>
      </c>
      <c r="O82" s="8"/>
      <c r="P82" s="8"/>
      <c r="Q82" s="8"/>
      <c r="R82" s="8"/>
      <c r="S82" s="8"/>
      <c r="T82" s="8"/>
      <c r="U82" s="8"/>
      <c r="V82" s="8"/>
      <c r="W82" s="8" t="s">
        <v>2045</v>
      </c>
      <c r="X82" s="8">
        <v>38.47</v>
      </c>
      <c r="Y82" s="8">
        <v>1.71</v>
      </c>
      <c r="Z82" s="9">
        <v>0.45</v>
      </c>
      <c r="AA82" s="8">
        <v>2.5</v>
      </c>
      <c r="AB82" s="8">
        <v>53981</v>
      </c>
      <c r="AC82" s="21" t="s">
        <v>2045</v>
      </c>
      <c r="AD82" s="8" t="s">
        <v>3683</v>
      </c>
      <c r="AE82" s="8" t="s">
        <v>4084</v>
      </c>
      <c r="AF82" s="9">
        <f t="shared" si="16"/>
        <v>4.2750000000000004</v>
      </c>
      <c r="AG82" s="9">
        <f t="shared" si="17"/>
        <v>1.875</v>
      </c>
      <c r="AH82" s="9">
        <f t="shared" si="18"/>
        <v>8.2184935830002092E-3</v>
      </c>
      <c r="AI82" s="9">
        <f t="shared" si="19"/>
        <v>6.7543636773815616E-5</v>
      </c>
      <c r="AJ82" s="9">
        <f t="shared" si="20"/>
        <v>2.0104437355476139E-3</v>
      </c>
      <c r="AK82" s="9">
        <f t="shared" si="21"/>
        <v>4.0418840138026439E-6</v>
      </c>
      <c r="AL82" s="9">
        <f t="shared" si="22"/>
        <v>1.0188917316833633E-3</v>
      </c>
      <c r="AM82" s="9">
        <f t="shared" si="23"/>
        <v>1.0381403608927227E-6</v>
      </c>
      <c r="AN82" s="8" t="s">
        <v>2045</v>
      </c>
    </row>
    <row r="83" spans="13:40" ht="23">
      <c r="M83" s="8" t="s">
        <v>95</v>
      </c>
      <c r="N83" s="8" t="s">
        <v>82</v>
      </c>
      <c r="O83" s="8"/>
      <c r="P83" s="8" t="s">
        <v>3691</v>
      </c>
      <c r="Q83" s="8"/>
      <c r="R83" s="8"/>
      <c r="S83" s="8"/>
      <c r="T83" s="8"/>
      <c r="U83" s="8"/>
      <c r="V83" s="8"/>
      <c r="W83" s="8" t="s">
        <v>95</v>
      </c>
      <c r="X83" s="8">
        <v>31.99</v>
      </c>
      <c r="Y83" s="8">
        <v>4.55</v>
      </c>
      <c r="Z83" s="9">
        <v>5.53</v>
      </c>
      <c r="AA83" s="8">
        <v>2</v>
      </c>
      <c r="AB83" s="8">
        <v>35117</v>
      </c>
      <c r="AC83" s="21" t="s">
        <v>95</v>
      </c>
      <c r="AD83" s="8" t="s">
        <v>3683</v>
      </c>
      <c r="AE83" s="8" t="s">
        <v>4084</v>
      </c>
      <c r="AF83" s="9">
        <f t="shared" si="16"/>
        <v>9.1</v>
      </c>
      <c r="AG83" s="9">
        <f t="shared" si="17"/>
        <v>11.766666666666666</v>
      </c>
      <c r="AH83" s="9">
        <f t="shared" si="18"/>
        <v>6.5747948664001679E-3</v>
      </c>
      <c r="AI83" s="9">
        <f t="shared" si="19"/>
        <v>4.3227927535242004E-5</v>
      </c>
      <c r="AJ83" s="9">
        <f t="shared" si="20"/>
        <v>4.2795410511072005E-3</v>
      </c>
      <c r="AK83" s="9">
        <f t="shared" si="21"/>
        <v>1.8314471608111722E-5</v>
      </c>
      <c r="AL83" s="9">
        <f t="shared" si="22"/>
        <v>6.3941116672751501E-3</v>
      </c>
      <c r="AM83" s="9">
        <f t="shared" si="23"/>
        <v>4.0884664013584199E-5</v>
      </c>
      <c r="AN83" s="8" t="s">
        <v>95</v>
      </c>
    </row>
    <row r="84" spans="13:40" ht="23">
      <c r="M84" s="9" t="s">
        <v>2141</v>
      </c>
      <c r="N84" s="8" t="s">
        <v>150</v>
      </c>
      <c r="O84" s="8"/>
      <c r="P84" s="8"/>
      <c r="Q84" s="8"/>
      <c r="R84" s="8"/>
      <c r="S84" s="8"/>
      <c r="T84" s="8"/>
      <c r="U84" s="8"/>
      <c r="V84" s="8"/>
      <c r="W84" s="9" t="s">
        <v>2141</v>
      </c>
      <c r="X84" s="8">
        <v>39.130000000000003</v>
      </c>
      <c r="Y84" s="8">
        <v>4.21</v>
      </c>
      <c r="Z84" s="9">
        <v>5.43</v>
      </c>
      <c r="AA84" s="8">
        <v>1.9</v>
      </c>
      <c r="AB84" s="8">
        <v>35459</v>
      </c>
      <c r="AC84" s="22" t="s">
        <v>2141</v>
      </c>
      <c r="AD84" s="8" t="s">
        <v>3683</v>
      </c>
      <c r="AE84" s="8" t="s">
        <v>4084</v>
      </c>
      <c r="AF84" s="9">
        <f t="shared" si="16"/>
        <v>7.9989999999999997</v>
      </c>
      <c r="AG84" s="9">
        <f t="shared" si="17"/>
        <v>10.861666666666666</v>
      </c>
      <c r="AH84" s="9">
        <f t="shared" si="18"/>
        <v>6.2460551230801601E-3</v>
      </c>
      <c r="AI84" s="9">
        <f t="shared" si="19"/>
        <v>3.9013204600555913E-5</v>
      </c>
      <c r="AJ84" s="9">
        <f t="shared" si="20"/>
        <v>3.7617636118468679E-3</v>
      </c>
      <c r="AK84" s="9">
        <f t="shared" si="21"/>
        <v>1.4150865471415194E-5</v>
      </c>
      <c r="AL84" s="9">
        <f t="shared" si="22"/>
        <v>5.9023265914493143E-3</v>
      </c>
      <c r="AM84" s="9">
        <f t="shared" si="23"/>
        <v>3.4837459192129679E-5</v>
      </c>
      <c r="AN84" s="9" t="s">
        <v>2141</v>
      </c>
    </row>
    <row r="85" spans="13:40" ht="23">
      <c r="M85" s="8" t="s">
        <v>1360</v>
      </c>
      <c r="N85" s="8" t="s">
        <v>150</v>
      </c>
      <c r="O85" s="8"/>
      <c r="P85" s="8"/>
      <c r="Q85" s="8"/>
      <c r="R85" s="8"/>
      <c r="S85" s="8"/>
      <c r="T85" s="8"/>
      <c r="U85" s="8"/>
      <c r="V85" s="8"/>
      <c r="W85" s="8" t="s">
        <v>1360</v>
      </c>
      <c r="X85" s="8">
        <v>59.14</v>
      </c>
      <c r="Y85" s="8">
        <v>1.73</v>
      </c>
      <c r="Z85" s="9">
        <v>0.05</v>
      </c>
      <c r="AA85" s="8">
        <v>1.8</v>
      </c>
      <c r="AB85" s="8">
        <v>68932</v>
      </c>
      <c r="AC85" s="21" t="s">
        <v>1360</v>
      </c>
      <c r="AD85" s="8" t="s">
        <v>3683</v>
      </c>
      <c r="AE85" s="8" t="s">
        <v>4084</v>
      </c>
      <c r="AF85" s="9">
        <f t="shared" si="16"/>
        <v>3.1139999999999999</v>
      </c>
      <c r="AG85" s="9">
        <f t="shared" si="17"/>
        <v>0.15</v>
      </c>
      <c r="AH85" s="9">
        <f t="shared" si="18"/>
        <v>5.9173153797601515E-3</v>
      </c>
      <c r="AI85" s="9">
        <f t="shared" si="19"/>
        <v>3.5014621303546026E-5</v>
      </c>
      <c r="AJ85" s="9">
        <f t="shared" si="20"/>
        <v>1.4644495421041563E-3</v>
      </c>
      <c r="AK85" s="9">
        <f t="shared" si="21"/>
        <v>2.144612461369073E-6</v>
      </c>
      <c r="AL85" s="9">
        <f t="shared" si="22"/>
        <v>8.1511338534669061E-5</v>
      </c>
      <c r="AM85" s="9">
        <f t="shared" si="23"/>
        <v>6.6440983097134253E-9</v>
      </c>
      <c r="AN85" s="8" t="s">
        <v>1360</v>
      </c>
    </row>
    <row r="86" spans="13:40" ht="23">
      <c r="M86" s="8" t="s">
        <v>1296</v>
      </c>
      <c r="N86" s="8" t="s">
        <v>150</v>
      </c>
      <c r="O86" s="8"/>
      <c r="P86" s="8"/>
      <c r="Q86" s="8"/>
      <c r="R86" s="8"/>
      <c r="S86" s="8"/>
      <c r="T86" s="8"/>
      <c r="U86" s="8"/>
      <c r="V86" s="8"/>
      <c r="W86" s="8" t="s">
        <v>1296</v>
      </c>
      <c r="X86" s="8">
        <v>44.75</v>
      </c>
      <c r="Y86" s="8">
        <v>2.15</v>
      </c>
      <c r="Z86" s="9">
        <v>0.22</v>
      </c>
      <c r="AA86" s="8">
        <v>1.5</v>
      </c>
      <c r="AB86" s="8">
        <v>51712</v>
      </c>
      <c r="AC86" s="21" t="s">
        <v>1296</v>
      </c>
      <c r="AD86" s="8" t="s">
        <v>3683</v>
      </c>
      <c r="AE86" s="8" t="s">
        <v>4084</v>
      </c>
      <c r="AF86" s="9">
        <f t="shared" si="16"/>
        <v>3.2249999999999996</v>
      </c>
      <c r="AG86" s="9">
        <f t="shared" si="17"/>
        <v>0.54999999999999993</v>
      </c>
      <c r="AH86" s="9">
        <f t="shared" si="18"/>
        <v>4.9310961498001257E-3</v>
      </c>
      <c r="AI86" s="9">
        <f t="shared" si="19"/>
        <v>2.4315709238573622E-5</v>
      </c>
      <c r="AJ86" s="9">
        <f t="shared" si="20"/>
        <v>1.5166505373429365E-3</v>
      </c>
      <c r="AK86" s="9">
        <f t="shared" si="21"/>
        <v>2.3002288524226178E-6</v>
      </c>
      <c r="AL86" s="9">
        <f t="shared" si="22"/>
        <v>2.9887490796045321E-4</v>
      </c>
      <c r="AM86" s="9">
        <f t="shared" si="23"/>
        <v>8.932621060836938E-8</v>
      </c>
      <c r="AN86" s="8" t="s">
        <v>1296</v>
      </c>
    </row>
    <row r="87" spans="13:40" ht="23">
      <c r="M87" s="8" t="s">
        <v>1965</v>
      </c>
      <c r="N87" s="8" t="s">
        <v>1964</v>
      </c>
      <c r="O87" s="8"/>
      <c r="P87" s="8"/>
      <c r="Q87" s="8"/>
      <c r="R87" s="8"/>
      <c r="S87" s="8"/>
      <c r="T87" s="8"/>
      <c r="U87" s="8"/>
      <c r="V87" s="8"/>
      <c r="W87" s="8" t="s">
        <v>1965</v>
      </c>
      <c r="X87" s="8">
        <v>44.26</v>
      </c>
      <c r="Y87" s="8">
        <v>1.38</v>
      </c>
      <c r="Z87" s="9">
        <v>0.15</v>
      </c>
      <c r="AA87" s="8">
        <v>1.5</v>
      </c>
      <c r="AB87" s="8">
        <v>82612</v>
      </c>
      <c r="AC87" s="21" t="s">
        <v>1965</v>
      </c>
      <c r="AD87" s="8" t="s">
        <v>3683</v>
      </c>
      <c r="AE87" s="8" t="s">
        <v>4084</v>
      </c>
      <c r="AF87" s="9">
        <f t="shared" si="16"/>
        <v>2.0699999999999998</v>
      </c>
      <c r="AG87" s="9">
        <f t="shared" si="17"/>
        <v>0.375</v>
      </c>
      <c r="AH87" s="9">
        <f t="shared" si="18"/>
        <v>4.9310961498001257E-3</v>
      </c>
      <c r="AI87" s="9">
        <f t="shared" si="19"/>
        <v>2.4315709238573622E-5</v>
      </c>
      <c r="AJ87" s="9">
        <f t="shared" si="20"/>
        <v>9.7347801931779178E-4</v>
      </c>
      <c r="AK87" s="9">
        <f t="shared" si="21"/>
        <v>9.4765945409489102E-7</v>
      </c>
      <c r="AL87" s="9">
        <f t="shared" si="22"/>
        <v>2.0377834633667266E-4</v>
      </c>
      <c r="AM87" s="9">
        <f t="shared" si="23"/>
        <v>4.1525614435708911E-8</v>
      </c>
      <c r="AN87" s="8" t="s">
        <v>1965</v>
      </c>
    </row>
    <row r="88" spans="13:40" ht="23">
      <c r="M88" s="9" t="s">
        <v>2444</v>
      </c>
      <c r="N88" s="8" t="s">
        <v>150</v>
      </c>
      <c r="O88" s="8"/>
      <c r="P88" s="8"/>
      <c r="Q88" s="8"/>
      <c r="R88" s="8"/>
      <c r="S88" s="8"/>
      <c r="T88" s="8"/>
      <c r="U88" s="8"/>
      <c r="V88" s="8"/>
      <c r="W88" s="9" t="s">
        <v>2444</v>
      </c>
      <c r="X88" s="8">
        <v>84.2</v>
      </c>
      <c r="Y88" s="8">
        <v>1.2</v>
      </c>
      <c r="Z88" s="9">
        <v>0.04</v>
      </c>
      <c r="AA88" s="8">
        <v>1.5</v>
      </c>
      <c r="AB88" s="8">
        <v>74732</v>
      </c>
      <c r="AC88" s="22" t="s">
        <v>2444</v>
      </c>
      <c r="AD88" s="8" t="s">
        <v>3683</v>
      </c>
      <c r="AE88" s="8" t="s">
        <v>4084</v>
      </c>
      <c r="AF88" s="9">
        <f t="shared" si="16"/>
        <v>1.7999999999999998</v>
      </c>
      <c r="AG88" s="9">
        <f t="shared" si="17"/>
        <v>0.1</v>
      </c>
      <c r="AH88" s="9">
        <f t="shared" si="18"/>
        <v>4.9310961498001257E-3</v>
      </c>
      <c r="AI88" s="9">
        <f t="shared" si="19"/>
        <v>2.4315709238573622E-5</v>
      </c>
      <c r="AJ88" s="9">
        <f t="shared" si="20"/>
        <v>8.4650262549373196E-4</v>
      </c>
      <c r="AK88" s="9">
        <f t="shared" si="21"/>
        <v>7.1656669496778145E-7</v>
      </c>
      <c r="AL88" s="9">
        <f t="shared" si="22"/>
        <v>5.4340892356446045E-5</v>
      </c>
      <c r="AM88" s="9">
        <f t="shared" si="23"/>
        <v>2.9529325820948564E-9</v>
      </c>
      <c r="AN88" s="9" t="s">
        <v>2444</v>
      </c>
    </row>
    <row r="89" spans="13:40" ht="23">
      <c r="M89" s="8" t="s">
        <v>1623</v>
      </c>
      <c r="N89" s="8" t="s">
        <v>1614</v>
      </c>
      <c r="O89" s="8"/>
      <c r="P89" s="8"/>
      <c r="Q89" s="8"/>
      <c r="R89" s="8"/>
      <c r="S89" s="8"/>
      <c r="T89" s="8"/>
      <c r="U89" s="8"/>
      <c r="V89" s="8"/>
      <c r="W89" s="8" t="s">
        <v>1623</v>
      </c>
      <c r="X89" s="8">
        <v>30.82</v>
      </c>
      <c r="Y89" s="8">
        <v>5.0599999999999996</v>
      </c>
      <c r="Z89" s="9">
        <v>5.33</v>
      </c>
      <c r="AA89" s="8">
        <v>1.4</v>
      </c>
      <c r="AB89" s="8">
        <v>43141</v>
      </c>
      <c r="AC89" s="21" t="s">
        <v>1623</v>
      </c>
      <c r="AD89" s="8" t="s">
        <v>3683</v>
      </c>
      <c r="AE89" s="8" t="s">
        <v>4084</v>
      </c>
      <c r="AF89" s="9">
        <f t="shared" si="16"/>
        <v>7.0839999999999987</v>
      </c>
      <c r="AG89" s="9">
        <f t="shared" si="17"/>
        <v>7.77</v>
      </c>
      <c r="AH89" s="9">
        <f t="shared" si="18"/>
        <v>4.6023564064801179E-3</v>
      </c>
      <c r="AI89" s="9">
        <f t="shared" si="19"/>
        <v>2.1181684492268583E-5</v>
      </c>
      <c r="AJ89" s="9">
        <f t="shared" si="20"/>
        <v>3.3314581105542205E-3</v>
      </c>
      <c r="AK89" s="9">
        <f t="shared" si="21"/>
        <v>1.1098613142377497E-5</v>
      </c>
      <c r="AL89" s="9">
        <f t="shared" si="22"/>
        <v>4.2222873360958577E-3</v>
      </c>
      <c r="AM89" s="9">
        <f t="shared" si="23"/>
        <v>1.7827710348555453E-5</v>
      </c>
      <c r="AN89" s="8" t="s">
        <v>1623</v>
      </c>
    </row>
    <row r="90" spans="13:40" ht="23">
      <c r="M90" s="8" t="s">
        <v>1485</v>
      </c>
      <c r="N90" s="8" t="s">
        <v>150</v>
      </c>
      <c r="O90" s="8"/>
      <c r="P90" s="8"/>
      <c r="Q90" s="8"/>
      <c r="R90" s="8"/>
      <c r="S90" s="8"/>
      <c r="T90" s="8"/>
      <c r="U90" s="8"/>
      <c r="V90" s="8"/>
      <c r="W90" s="8" t="s">
        <v>1485</v>
      </c>
      <c r="X90" s="8">
        <v>10.119999999999999</v>
      </c>
      <c r="Y90" s="8">
        <v>4.5599999999999996</v>
      </c>
      <c r="Z90" s="9">
        <v>2.1800000000000002</v>
      </c>
      <c r="AA90" s="8">
        <v>1.1000000000000001</v>
      </c>
      <c r="AB90" s="8">
        <v>55260</v>
      </c>
      <c r="AC90" s="21" t="s">
        <v>1485</v>
      </c>
      <c r="AD90" s="8" t="s">
        <v>3683</v>
      </c>
      <c r="AE90" s="8" t="s">
        <v>4084</v>
      </c>
      <c r="AF90" s="9">
        <f t="shared" si="16"/>
        <v>5.016</v>
      </c>
      <c r="AG90" s="9">
        <f t="shared" si="17"/>
        <v>2.5299999999999998</v>
      </c>
      <c r="AH90" s="9">
        <f t="shared" si="18"/>
        <v>3.616137176520093E-3</v>
      </c>
      <c r="AI90" s="9">
        <f t="shared" si="19"/>
        <v>1.307644807941071E-5</v>
      </c>
      <c r="AJ90" s="9">
        <f t="shared" si="20"/>
        <v>2.3589206497092001E-3</v>
      </c>
      <c r="AK90" s="9">
        <f t="shared" si="21"/>
        <v>5.5645066316244749E-6</v>
      </c>
      <c r="AL90" s="9">
        <f t="shared" si="22"/>
        <v>1.3748245766180848E-3</v>
      </c>
      <c r="AM90" s="9">
        <f t="shared" si="23"/>
        <v>1.8901426164730962E-6</v>
      </c>
      <c r="AN90" s="8" t="s">
        <v>1485</v>
      </c>
    </row>
    <row r="91" spans="13:40" ht="23"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9"/>
      <c r="AA91" s="8">
        <f>SUBTOTAL(109,Table1369111215[ترافیک کل])</f>
        <v>30419.200000000001</v>
      </c>
      <c r="AB91" s="8"/>
      <c r="AC91" s="21"/>
      <c r="AD91" s="8"/>
      <c r="AE91" s="8"/>
      <c r="AF91" s="9">
        <f>SUBTOTAL(109,Table1369111215[[مجموع صفحات  مشاهده شده   ]])</f>
        <v>212639.62400000001</v>
      </c>
      <c r="AG91" s="9">
        <f>SUBTOTAL(109,Table1369111215[[مجموع زمان حضور در سایت ]])</f>
        <v>184023.47783333331</v>
      </c>
      <c r="AH91" s="9">
        <f>SUBTOTAL(109,Table1369111215[سهم سایت از کل ترافیک طبقه بندی])</f>
        <v>100.00000000000003</v>
      </c>
      <c r="AI91" s="9">
        <f>SUBTOTAL(109,Table1369111215[شاخص هرفیندال هیرشمن (ترافیک)])</f>
        <v>1571.8299060784548</v>
      </c>
      <c r="AJ91" s="9">
        <f>SUBTOTAL(109,Table1369111215[سهم سایت از کل صفحات مشاهده شده در طبقه بندی])</f>
        <v>99.999999999999972</v>
      </c>
      <c r="AK91" s="9">
        <f>SUBTOTAL(109,Table1369111215[شاخص هرفیندال -هیرشمن (صفحات مشاهده شده )])</f>
        <v>3757.111472615793</v>
      </c>
      <c r="AL91" s="9">
        <f>SUBTOTAL(109,Table1369111215[سهم سایت از کل زمان حضور در طبقه بندی])</f>
        <v>99.999999999999986</v>
      </c>
      <c r="AM91" s="9">
        <f>SUBTOTAL(109,Table1369111215[شاخص هرفیندال هیرشمن (زمان حضور)])</f>
        <v>4010.7150686347895</v>
      </c>
      <c r="AN91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{8C5B16AD-E199-43EF-9B47-34B83F1C8F2A}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{583C9258-1D24-49FF-A743-2825A8F0F5DC}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{4EFD9243-F3DC-4E6A-9DB4-4B5B815F8E83}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{655EB700-A897-4C53-81DE-F65ACB2E1D90}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{721B443C-8874-4755-B0B5-71CDC6731925}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{0B2B7FE9-2167-4526-BF1E-60A6298878A4}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5B16AD-E199-43EF-9B47-34B83F1C8F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83C9258-1D24-49FF-A743-2825A8F0F5D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4EFD9243-F3DC-4E6A-9DB4-4B5B815F8E8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55EB700-A897-4C53-81DE-F65ACB2E1D9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21B443C-8874-4755-B0B5-71CDC673192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0B2B7FE9-2167-4526-BF1E-60A6298878A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8"/>
  <sheetViews>
    <sheetView showGridLines="0" rightToLeft="1" topLeftCell="Z1" zoomScale="70" zoomScaleNormal="70" workbookViewId="0">
      <selection activeCell="AC28" sqref="AC28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5.16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4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4243</v>
      </c>
      <c r="N2" s="8" t="s">
        <v>150</v>
      </c>
      <c r="O2" s="8"/>
      <c r="P2" s="8" t="s">
        <v>3691</v>
      </c>
      <c r="Q2" s="8"/>
      <c r="R2" s="8"/>
      <c r="S2" s="8"/>
      <c r="T2" s="8"/>
      <c r="U2" s="8"/>
      <c r="V2" s="8"/>
      <c r="W2" s="8" t="s">
        <v>4243</v>
      </c>
      <c r="X2" s="8">
        <v>25.23</v>
      </c>
      <c r="Y2" s="8">
        <v>10.9</v>
      </c>
      <c r="Z2" s="9">
        <v>7.53</v>
      </c>
      <c r="AA2" s="8">
        <v>7078.2</v>
      </c>
      <c r="AB2" s="8">
        <v>20</v>
      </c>
      <c r="AC2" s="21" t="s">
        <v>4243</v>
      </c>
      <c r="AD2" s="8" t="s">
        <v>3721</v>
      </c>
      <c r="AE2" s="8" t="s">
        <v>3708</v>
      </c>
      <c r="AF2" s="9">
        <f t="shared" ref="AF2:AF27" si="0">(AA2*Y2)</f>
        <v>77152.38</v>
      </c>
      <c r="AG2" s="9">
        <f t="shared" ref="AG2:AG27" si="1">((((RIGHT(Z2,2))/60)+(LEFT(Z2,2)))*AA2)</f>
        <v>55799.81</v>
      </c>
      <c r="AH2" s="9">
        <f t="shared" ref="AH2:AH27" si="2">(AA2/$AA$28)*100</f>
        <v>62.746106181354001</v>
      </c>
      <c r="AI2" s="9">
        <f t="shared" ref="AI2:AI27" si="3">(AH2*AH2)</f>
        <v>3937.0738409217506</v>
      </c>
      <c r="AJ2" s="9">
        <f t="shared" ref="AJ2:AJ27" si="4">(AF2/$AF$28)*100</f>
        <v>86.250021967085516</v>
      </c>
      <c r="AK2" s="9">
        <f t="shared" ref="AK2:AK27" si="5">(AJ2*AJ2)</f>
        <v>7439.0662893227336</v>
      </c>
      <c r="AL2" s="9">
        <f t="shared" ref="AL2:AL27" si="6">(AG2/$AG$28)*100</f>
        <v>84.646264231606168</v>
      </c>
      <c r="AM2" s="9">
        <f t="shared" ref="AM2:AM27" si="7">(AL2*AL2)</f>
        <v>7164.9900483668898</v>
      </c>
      <c r="AN2" s="8" t="s">
        <v>4243</v>
      </c>
    </row>
    <row r="3" spans="8:40" ht="23">
      <c r="M3" s="9" t="s">
        <v>3211</v>
      </c>
      <c r="N3" s="8" t="s">
        <v>1902</v>
      </c>
      <c r="O3" s="8"/>
      <c r="P3" s="8"/>
      <c r="Q3" s="8"/>
      <c r="R3" s="8"/>
      <c r="S3" s="8"/>
      <c r="T3" s="8"/>
      <c r="U3" s="8"/>
      <c r="V3" s="8"/>
      <c r="W3" s="9" t="s">
        <v>3211</v>
      </c>
      <c r="X3" s="8">
        <v>54.22</v>
      </c>
      <c r="Y3" s="8">
        <v>3.41</v>
      </c>
      <c r="Z3" s="9">
        <v>4.4800000000000004</v>
      </c>
      <c r="AA3" s="8">
        <v>703.8</v>
      </c>
      <c r="AB3" s="8">
        <v>720</v>
      </c>
      <c r="AC3" s="22" t="s">
        <v>3211</v>
      </c>
      <c r="AD3" s="8" t="s">
        <v>3721</v>
      </c>
      <c r="AE3" s="8" t="s">
        <v>3708</v>
      </c>
      <c r="AF3" s="9">
        <f t="shared" si="0"/>
        <v>2399.9580000000001</v>
      </c>
      <c r="AG3" s="9">
        <f t="shared" si="1"/>
        <v>3378.24</v>
      </c>
      <c r="AH3" s="9">
        <f t="shared" si="2"/>
        <v>6.238974531722322</v>
      </c>
      <c r="AI3" s="9">
        <f t="shared" si="3"/>
        <v>38.924803207479769</v>
      </c>
      <c r="AJ3" s="9">
        <f t="shared" si="4"/>
        <v>2.682955862412574</v>
      </c>
      <c r="AK3" s="9">
        <f t="shared" si="5"/>
        <v>7.1982521596539986</v>
      </c>
      <c r="AL3" s="9">
        <f t="shared" si="6"/>
        <v>5.1246661176405661</v>
      </c>
      <c r="AM3" s="9">
        <f t="shared" si="7"/>
        <v>26.262202817293232</v>
      </c>
      <c r="AN3" s="9" t="s">
        <v>3211</v>
      </c>
    </row>
    <row r="4" spans="8:40" ht="23">
      <c r="M4" s="8" t="s">
        <v>1333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1333</v>
      </c>
      <c r="X4" s="8">
        <v>38.9</v>
      </c>
      <c r="Y4" s="8">
        <v>3.96</v>
      </c>
      <c r="Z4" s="9">
        <v>3.43</v>
      </c>
      <c r="AA4" s="8">
        <v>663.8</v>
      </c>
      <c r="AB4" s="8">
        <v>1202</v>
      </c>
      <c r="AC4" s="21" t="s">
        <v>1333</v>
      </c>
      <c r="AD4" s="8" t="s">
        <v>3721</v>
      </c>
      <c r="AE4" s="8" t="s">
        <v>3708</v>
      </c>
      <c r="AF4" s="9">
        <f t="shared" si="0"/>
        <v>2628.6479999999997</v>
      </c>
      <c r="AG4" s="9">
        <f t="shared" si="1"/>
        <v>2467.1233333333334</v>
      </c>
      <c r="AH4" s="9">
        <f t="shared" si="2"/>
        <v>5.8843866072140916</v>
      </c>
      <c r="AI4" s="9">
        <f t="shared" si="3"/>
        <v>34.626005743160569</v>
      </c>
      <c r="AJ4" s="9">
        <f t="shared" si="4"/>
        <v>2.9386124931432498</v>
      </c>
      <c r="AK4" s="9">
        <f t="shared" si="5"/>
        <v>8.6354433848575862</v>
      </c>
      <c r="AL4" s="9">
        <f t="shared" si="6"/>
        <v>3.7425355671514713</v>
      </c>
      <c r="AM4" s="9">
        <f t="shared" si="7"/>
        <v>14.006572471393785</v>
      </c>
      <c r="AN4" s="8" t="s">
        <v>1333</v>
      </c>
    </row>
    <row r="5" spans="8:40" ht="23">
      <c r="M5" s="8" t="s">
        <v>1479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1479</v>
      </c>
      <c r="X5" s="8">
        <v>43.18</v>
      </c>
      <c r="Y5" s="8">
        <v>2.69</v>
      </c>
      <c r="Z5" s="9">
        <v>2.09</v>
      </c>
      <c r="AA5" s="8">
        <v>432.8</v>
      </c>
      <c r="AB5" s="8">
        <v>2141</v>
      </c>
      <c r="AC5" s="21" t="s">
        <v>1479</v>
      </c>
      <c r="AD5" s="8" t="s">
        <v>3721</v>
      </c>
      <c r="AE5" s="8" t="s">
        <v>3708</v>
      </c>
      <c r="AF5" s="9">
        <f t="shared" si="0"/>
        <v>1164.232</v>
      </c>
      <c r="AG5" s="9">
        <f t="shared" si="1"/>
        <v>930.52</v>
      </c>
      <c r="AH5" s="9">
        <f t="shared" si="2"/>
        <v>3.8366413431790583</v>
      </c>
      <c r="AI5" s="9">
        <f t="shared" si="3"/>
        <v>14.719816796190809</v>
      </c>
      <c r="AJ5" s="9">
        <f t="shared" si="4"/>
        <v>1.30151572219527</v>
      </c>
      <c r="AK5" s="9">
        <f t="shared" si="5"/>
        <v>1.6939431751214753</v>
      </c>
      <c r="AL5" s="9">
        <f t="shared" si="6"/>
        <v>1.4115646951628362</v>
      </c>
      <c r="AM5" s="9">
        <f t="shared" si="7"/>
        <v>1.9925148886301507</v>
      </c>
      <c r="AN5" s="8" t="s">
        <v>1479</v>
      </c>
    </row>
    <row r="6" spans="8:40" ht="23">
      <c r="M6" s="8" t="s">
        <v>1082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1082</v>
      </c>
      <c r="X6" s="8">
        <v>42.41</v>
      </c>
      <c r="Y6" s="8">
        <v>2.69</v>
      </c>
      <c r="Z6" s="9">
        <v>1.44</v>
      </c>
      <c r="AA6" s="8">
        <v>419</v>
      </c>
      <c r="AB6" s="8">
        <v>2511</v>
      </c>
      <c r="AC6" s="21" t="s">
        <v>1082</v>
      </c>
      <c r="AD6" s="8" t="s">
        <v>3721</v>
      </c>
      <c r="AE6" s="8" t="s">
        <v>3708</v>
      </c>
      <c r="AF6" s="9">
        <f t="shared" si="0"/>
        <v>1127.1099999999999</v>
      </c>
      <c r="AG6" s="9">
        <f t="shared" si="1"/>
        <v>726.26666666666665</v>
      </c>
      <c r="AH6" s="9">
        <f t="shared" si="2"/>
        <v>3.7143085092237191</v>
      </c>
      <c r="AI6" s="9">
        <f t="shared" si="3"/>
        <v>13.796087701691727</v>
      </c>
      <c r="AJ6" s="9">
        <f t="shared" si="4"/>
        <v>1.2600163761548477</v>
      </c>
      <c r="AK6" s="9">
        <f t="shared" si="5"/>
        <v>1.5876412681783947</v>
      </c>
      <c r="AL6" s="9">
        <f t="shared" si="6"/>
        <v>1.1017198834417987</v>
      </c>
      <c r="AM6" s="9">
        <f t="shared" si="7"/>
        <v>1.2137867015710107</v>
      </c>
      <c r="AN6" s="8" t="s">
        <v>1082</v>
      </c>
    </row>
    <row r="7" spans="8:40" ht="23">
      <c r="M7" s="8" t="s">
        <v>388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388</v>
      </c>
      <c r="X7" s="8">
        <v>25.88</v>
      </c>
      <c r="Y7" s="8">
        <v>4.4000000000000004</v>
      </c>
      <c r="Z7" s="9">
        <v>3.57</v>
      </c>
      <c r="AA7" s="8">
        <v>289.3</v>
      </c>
      <c r="AB7" s="8">
        <v>2033</v>
      </c>
      <c r="AC7" s="21" t="s">
        <v>388</v>
      </c>
      <c r="AD7" s="8" t="s">
        <v>3721</v>
      </c>
      <c r="AE7" s="8" t="s">
        <v>3708</v>
      </c>
      <c r="AF7" s="9">
        <f t="shared" si="0"/>
        <v>1272.92</v>
      </c>
      <c r="AG7" s="9">
        <f t="shared" si="1"/>
        <v>1142.7350000000001</v>
      </c>
      <c r="AH7" s="9">
        <f t="shared" si="2"/>
        <v>2.5645571640057803</v>
      </c>
      <c r="AI7" s="9">
        <f t="shared" si="3"/>
        <v>6.5769534474533708</v>
      </c>
      <c r="AJ7" s="9">
        <f t="shared" si="4"/>
        <v>1.4230199763421749</v>
      </c>
      <c r="AK7" s="9">
        <f t="shared" si="5"/>
        <v>2.024985853068884</v>
      </c>
      <c r="AL7" s="9">
        <f t="shared" si="6"/>
        <v>1.7334870630689332</v>
      </c>
      <c r="AM7" s="9">
        <f t="shared" si="7"/>
        <v>3.0049773978273557</v>
      </c>
      <c r="AN7" s="8" t="s">
        <v>388</v>
      </c>
    </row>
    <row r="8" spans="8:40" ht="23">
      <c r="M8" s="8" t="s">
        <v>1016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1016</v>
      </c>
      <c r="X8" s="8">
        <v>38.01</v>
      </c>
      <c r="Y8" s="8">
        <v>1.77</v>
      </c>
      <c r="Z8" s="9">
        <v>1.1499999999999999</v>
      </c>
      <c r="AA8" s="8">
        <v>222.2</v>
      </c>
      <c r="AB8" s="8"/>
      <c r="AC8" s="21" t="s">
        <v>1016</v>
      </c>
      <c r="AD8" s="8" t="s">
        <v>3721</v>
      </c>
      <c r="AE8" s="8" t="s">
        <v>3708</v>
      </c>
      <c r="AF8" s="9">
        <f t="shared" si="0"/>
        <v>393.29399999999998</v>
      </c>
      <c r="AG8" s="9">
        <f t="shared" si="1"/>
        <v>277.75</v>
      </c>
      <c r="AH8" s="9">
        <f t="shared" si="2"/>
        <v>1.9697359206432226</v>
      </c>
      <c r="AI8" s="9">
        <f t="shared" si="3"/>
        <v>3.8798595970722034</v>
      </c>
      <c r="AJ8" s="9">
        <f t="shared" si="4"/>
        <v>0.43967037879483345</v>
      </c>
      <c r="AK8" s="9">
        <f t="shared" si="5"/>
        <v>0.19331004198959234</v>
      </c>
      <c r="AL8" s="9">
        <f t="shared" si="6"/>
        <v>0.42133655814112303</v>
      </c>
      <c r="AM8" s="9">
        <f t="shared" si="7"/>
        <v>0.17752449522620795</v>
      </c>
      <c r="AN8" s="8" t="s">
        <v>1016</v>
      </c>
    </row>
    <row r="9" spans="8:40" ht="23">
      <c r="M9" s="8" t="s">
        <v>1515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1515</v>
      </c>
      <c r="X9" s="8">
        <v>41.28</v>
      </c>
      <c r="Y9" s="8">
        <v>1.44</v>
      </c>
      <c r="Z9" s="9">
        <v>0.37</v>
      </c>
      <c r="AA9" s="8">
        <v>214.2</v>
      </c>
      <c r="AB9" s="8">
        <v>4786</v>
      </c>
      <c r="AC9" s="21" t="s">
        <v>1515</v>
      </c>
      <c r="AD9" s="8" t="s">
        <v>3721</v>
      </c>
      <c r="AE9" s="8" t="s">
        <v>3708</v>
      </c>
      <c r="AF9" s="9">
        <f t="shared" si="0"/>
        <v>308.44799999999998</v>
      </c>
      <c r="AG9" s="9">
        <f t="shared" si="1"/>
        <v>132.09</v>
      </c>
      <c r="AH9" s="9">
        <f t="shared" si="2"/>
        <v>1.8988183357415762</v>
      </c>
      <c r="AI9" s="9">
        <f t="shared" si="3"/>
        <v>3.6055110721484094</v>
      </c>
      <c r="AJ9" s="9">
        <f t="shared" si="4"/>
        <v>0.34481952177889513</v>
      </c>
      <c r="AK9" s="9">
        <f t="shared" si="5"/>
        <v>0.11890050259982593</v>
      </c>
      <c r="AL9" s="9">
        <f t="shared" si="6"/>
        <v>0.20037568304180353</v>
      </c>
      <c r="AM9" s="9">
        <f t="shared" si="7"/>
        <v>4.015041435446931E-2</v>
      </c>
      <c r="AN9" s="8" t="s">
        <v>1515</v>
      </c>
    </row>
    <row r="10" spans="8:40" ht="23">
      <c r="M10" s="8" t="s">
        <v>4785</v>
      </c>
      <c r="N10" s="8" t="s">
        <v>150</v>
      </c>
      <c r="O10" s="8"/>
      <c r="P10" s="8" t="s">
        <v>3691</v>
      </c>
      <c r="Q10" s="8"/>
      <c r="R10" s="8"/>
      <c r="S10" s="8"/>
      <c r="T10" s="8"/>
      <c r="U10" s="8"/>
      <c r="V10" s="8"/>
      <c r="W10" s="8" t="s">
        <v>4785</v>
      </c>
      <c r="X10" s="8">
        <v>23.63</v>
      </c>
      <c r="Y10" s="8">
        <v>3.24</v>
      </c>
      <c r="Z10" s="9">
        <v>1.03</v>
      </c>
      <c r="AA10" s="8">
        <v>200.1</v>
      </c>
      <c r="AB10" s="8">
        <v>2884</v>
      </c>
      <c r="AC10" s="21" t="s">
        <v>4785</v>
      </c>
      <c r="AD10" s="8" t="s">
        <v>3721</v>
      </c>
      <c r="AE10" s="8" t="s">
        <v>3708</v>
      </c>
      <c r="AF10" s="9">
        <f t="shared" si="0"/>
        <v>648.32400000000007</v>
      </c>
      <c r="AG10" s="9">
        <f t="shared" si="1"/>
        <v>210.10499999999999</v>
      </c>
      <c r="AH10" s="9">
        <f t="shared" si="2"/>
        <v>1.7738260923524249</v>
      </c>
      <c r="AI10" s="9">
        <f t="shared" si="3"/>
        <v>3.1464590059102737</v>
      </c>
      <c r="AJ10" s="9">
        <f t="shared" si="4"/>
        <v>0.72477296541971559</v>
      </c>
      <c r="AK10" s="9">
        <f t="shared" si="5"/>
        <v>0.52529585140328827</v>
      </c>
      <c r="AL10" s="9">
        <f t="shared" si="6"/>
        <v>0.31872157533119944</v>
      </c>
      <c r="AM10" s="9">
        <f t="shared" si="7"/>
        <v>0.10158344258160144</v>
      </c>
      <c r="AN10" s="8" t="s">
        <v>4785</v>
      </c>
    </row>
    <row r="11" spans="8:40" ht="23">
      <c r="M11" s="9" t="s">
        <v>2576</v>
      </c>
      <c r="N11" s="8" t="s">
        <v>150</v>
      </c>
      <c r="O11" s="8"/>
      <c r="P11" s="8" t="s">
        <v>3693</v>
      </c>
      <c r="Q11" s="8"/>
      <c r="R11" s="8"/>
      <c r="S11" s="8"/>
      <c r="T11" s="8"/>
      <c r="U11" s="8"/>
      <c r="V11" s="8"/>
      <c r="W11" s="9" t="s">
        <v>2576</v>
      </c>
      <c r="X11" s="8">
        <v>38.29</v>
      </c>
      <c r="Y11" s="8">
        <v>1.93</v>
      </c>
      <c r="Z11" s="9">
        <v>1.44</v>
      </c>
      <c r="AA11" s="8">
        <v>197</v>
      </c>
      <c r="AB11" s="8">
        <v>7415</v>
      </c>
      <c r="AC11" s="22" t="s">
        <v>2576</v>
      </c>
      <c r="AD11" s="8" t="s">
        <v>3721</v>
      </c>
      <c r="AE11" s="8" t="s">
        <v>3708</v>
      </c>
      <c r="AF11" s="9">
        <f t="shared" si="0"/>
        <v>380.21</v>
      </c>
      <c r="AG11" s="9">
        <f t="shared" si="1"/>
        <v>341.4666666666667</v>
      </c>
      <c r="AH11" s="9">
        <f t="shared" si="2"/>
        <v>1.7463455282030371</v>
      </c>
      <c r="AI11" s="9">
        <f t="shared" si="3"/>
        <v>3.0497227038747448</v>
      </c>
      <c r="AJ11" s="9">
        <f t="shared" si="4"/>
        <v>0.42504354178193315</v>
      </c>
      <c r="AK11" s="9">
        <f t="shared" si="5"/>
        <v>0.18066201241052995</v>
      </c>
      <c r="AL11" s="9">
        <f t="shared" si="6"/>
        <v>0.51799240343206288</v>
      </c>
      <c r="AM11" s="9">
        <f t="shared" si="7"/>
        <v>0.26831613001332499</v>
      </c>
      <c r="AN11" s="9" t="s">
        <v>2576</v>
      </c>
    </row>
    <row r="12" spans="8:40" ht="23">
      <c r="M12" s="8" t="s">
        <v>1519</v>
      </c>
      <c r="N12" s="8" t="s">
        <v>150</v>
      </c>
      <c r="O12" s="8"/>
      <c r="P12" s="8" t="s">
        <v>4229</v>
      </c>
      <c r="Q12" s="8"/>
      <c r="R12" s="8"/>
      <c r="S12" s="8"/>
      <c r="T12" s="8"/>
      <c r="U12" s="8"/>
      <c r="V12" s="8"/>
      <c r="W12" s="8" t="s">
        <v>1519</v>
      </c>
      <c r="X12" s="8">
        <v>18.47</v>
      </c>
      <c r="Y12" s="8">
        <v>4.29</v>
      </c>
      <c r="Z12" s="9">
        <v>1.07</v>
      </c>
      <c r="AA12" s="8">
        <v>160.1</v>
      </c>
      <c r="AB12" s="8">
        <v>6920</v>
      </c>
      <c r="AC12" s="21" t="s">
        <v>1519</v>
      </c>
      <c r="AD12" s="8" t="s">
        <v>3721</v>
      </c>
      <c r="AE12" s="8" t="s">
        <v>3708</v>
      </c>
      <c r="AF12" s="9">
        <f t="shared" si="0"/>
        <v>686.82899999999995</v>
      </c>
      <c r="AG12" s="9">
        <f t="shared" si="1"/>
        <v>178.77833333333334</v>
      </c>
      <c r="AH12" s="9">
        <f t="shared" si="2"/>
        <v>1.4192381678441941</v>
      </c>
      <c r="AI12" s="9">
        <f t="shared" si="3"/>
        <v>2.0142369770657447</v>
      </c>
      <c r="AJ12" s="9">
        <f t="shared" si="4"/>
        <v>0.76781839183225942</v>
      </c>
      <c r="AK12" s="9">
        <f t="shared" si="5"/>
        <v>0.58954508283587703</v>
      </c>
      <c r="AL12" s="9">
        <f t="shared" si="6"/>
        <v>0.27120017150989401</v>
      </c>
      <c r="AM12" s="9">
        <f t="shared" si="7"/>
        <v>7.354953302699592E-2</v>
      </c>
      <c r="AN12" s="8" t="s">
        <v>1519</v>
      </c>
    </row>
    <row r="13" spans="8:40" ht="23">
      <c r="M13" s="9" t="s">
        <v>2199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9" t="s">
        <v>2199</v>
      </c>
      <c r="X13" s="8">
        <v>15.93</v>
      </c>
      <c r="Y13" s="8">
        <v>1.85</v>
      </c>
      <c r="Z13" s="9">
        <v>0.21</v>
      </c>
      <c r="AA13" s="8">
        <v>159.80000000000001</v>
      </c>
      <c r="AB13" s="8">
        <v>14202</v>
      </c>
      <c r="AC13" s="22" t="s">
        <v>2199</v>
      </c>
      <c r="AD13" s="8" t="s">
        <v>3721</v>
      </c>
      <c r="AE13" s="8" t="s">
        <v>3708</v>
      </c>
      <c r="AF13" s="9">
        <f t="shared" si="0"/>
        <v>295.63000000000005</v>
      </c>
      <c r="AG13" s="9">
        <f t="shared" si="1"/>
        <v>55.93</v>
      </c>
      <c r="AH13" s="9">
        <f t="shared" si="2"/>
        <v>1.4165787584103826</v>
      </c>
      <c r="AI13" s="9">
        <f t="shared" si="3"/>
        <v>2.0066953787795012</v>
      </c>
      <c r="AJ13" s="9">
        <f t="shared" si="4"/>
        <v>0.33049005091131983</v>
      </c>
      <c r="AK13" s="9">
        <f t="shared" si="5"/>
        <v>0.10922367375136678</v>
      </c>
      <c r="AL13" s="9">
        <f t="shared" si="6"/>
        <v>8.4843757684367263E-2</v>
      </c>
      <c r="AM13" s="9">
        <f t="shared" si="7"/>
        <v>7.1984632180036286E-3</v>
      </c>
      <c r="AN13" s="9" t="s">
        <v>2199</v>
      </c>
    </row>
    <row r="14" spans="8:40" ht="23">
      <c r="M14" s="8" t="s">
        <v>4263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4263</v>
      </c>
      <c r="X14" s="8">
        <v>42.34</v>
      </c>
      <c r="Y14" s="8">
        <v>1.63</v>
      </c>
      <c r="Z14" s="9">
        <v>0.11</v>
      </c>
      <c r="AA14" s="8">
        <v>124.8</v>
      </c>
      <c r="AB14" s="8">
        <v>6947</v>
      </c>
      <c r="AC14" s="21" t="s">
        <v>4263</v>
      </c>
      <c r="AD14" s="8" t="s">
        <v>3721</v>
      </c>
      <c r="AE14" s="8" t="s">
        <v>3708</v>
      </c>
      <c r="AF14" s="9">
        <f t="shared" si="0"/>
        <v>203.42399999999998</v>
      </c>
      <c r="AG14" s="9">
        <f t="shared" si="1"/>
        <v>22.88</v>
      </c>
      <c r="AH14" s="9">
        <f t="shared" si="2"/>
        <v>1.1063143244656803</v>
      </c>
      <c r="AI14" s="9">
        <f t="shared" si="3"/>
        <v>1.2239313845179547</v>
      </c>
      <c r="AJ14" s="9">
        <f t="shared" si="4"/>
        <v>0.22741131859616517</v>
      </c>
      <c r="AK14" s="9">
        <f t="shared" si="5"/>
        <v>5.1715907825646543E-2</v>
      </c>
      <c r="AL14" s="9">
        <f t="shared" si="6"/>
        <v>3.4708120433011316E-2</v>
      </c>
      <c r="AM14" s="9">
        <f t="shared" si="7"/>
        <v>1.2046536239924176E-3</v>
      </c>
      <c r="AN14" s="8" t="s">
        <v>4263</v>
      </c>
    </row>
    <row r="15" spans="8:40" ht="23">
      <c r="M15" s="9" t="s">
        <v>4264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9" t="s">
        <v>4264</v>
      </c>
      <c r="X15" s="8">
        <v>13.07</v>
      </c>
      <c r="Y15" s="8">
        <v>2.39</v>
      </c>
      <c r="Z15" s="9">
        <v>0.36</v>
      </c>
      <c r="AA15" s="8">
        <v>112.8</v>
      </c>
      <c r="AB15" s="8">
        <v>17621</v>
      </c>
      <c r="AC15" s="22" t="s">
        <v>4264</v>
      </c>
      <c r="AD15" s="8" t="s">
        <v>3721</v>
      </c>
      <c r="AE15" s="8" t="s">
        <v>3708</v>
      </c>
      <c r="AF15" s="9">
        <f t="shared" si="0"/>
        <v>269.59199999999998</v>
      </c>
      <c r="AG15" s="9">
        <f t="shared" si="1"/>
        <v>67.679999999999993</v>
      </c>
      <c r="AH15" s="9">
        <f t="shared" si="2"/>
        <v>0.99993794711321116</v>
      </c>
      <c r="AI15" s="9">
        <f t="shared" si="3"/>
        <v>0.99987589807698307</v>
      </c>
      <c r="AJ15" s="9">
        <f t="shared" si="4"/>
        <v>0.30138170620466298</v>
      </c>
      <c r="AK15" s="9">
        <f t="shared" si="5"/>
        <v>9.0830932834833789E-2</v>
      </c>
      <c r="AL15" s="9">
        <f t="shared" si="6"/>
        <v>0.10266807652562088</v>
      </c>
      <c r="AM15" s="9">
        <f t="shared" si="7"/>
        <v>1.0540733937470745E-2</v>
      </c>
      <c r="AN15" s="9" t="s">
        <v>4264</v>
      </c>
    </row>
    <row r="16" spans="8:40" ht="23">
      <c r="M16" s="9" t="s">
        <v>3017</v>
      </c>
      <c r="N16" s="8" t="s">
        <v>1814</v>
      </c>
      <c r="O16" s="8"/>
      <c r="P16" s="8"/>
      <c r="Q16" s="8"/>
      <c r="R16" s="8"/>
      <c r="S16" s="8"/>
      <c r="T16" s="8"/>
      <c r="U16" s="8"/>
      <c r="V16" s="8"/>
      <c r="W16" s="9" t="s">
        <v>3017</v>
      </c>
      <c r="X16" s="8">
        <v>42.34</v>
      </c>
      <c r="Y16" s="8">
        <v>1.37</v>
      </c>
      <c r="Z16" s="9">
        <v>0.17</v>
      </c>
      <c r="AA16" s="8">
        <v>76.2</v>
      </c>
      <c r="AB16" s="8"/>
      <c r="AC16" s="22" t="s">
        <v>3017</v>
      </c>
      <c r="AD16" s="8" t="s">
        <v>3721</v>
      </c>
      <c r="AE16" s="8" t="s">
        <v>3708</v>
      </c>
      <c r="AF16" s="9">
        <f t="shared" si="0"/>
        <v>104.39400000000001</v>
      </c>
      <c r="AG16" s="9">
        <f t="shared" si="1"/>
        <v>21.59</v>
      </c>
      <c r="AH16" s="9">
        <f t="shared" si="2"/>
        <v>0.67548999618817995</v>
      </c>
      <c r="AI16" s="9">
        <f t="shared" si="3"/>
        <v>0.45628673495030736</v>
      </c>
      <c r="AJ16" s="9">
        <f t="shared" si="4"/>
        <v>0.11670391494380246</v>
      </c>
      <c r="AK16" s="9">
        <f t="shared" si="5"/>
        <v>1.3619803763210279E-2</v>
      </c>
      <c r="AL16" s="9">
        <f t="shared" si="6"/>
        <v>3.2751237768737514E-2</v>
      </c>
      <c r="AM16" s="9">
        <f t="shared" si="7"/>
        <v>1.0726435753843787E-3</v>
      </c>
      <c r="AN16" s="9" t="s">
        <v>3017</v>
      </c>
    </row>
    <row r="17" spans="13:40" ht="23">
      <c r="M17" s="9" t="s">
        <v>4265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9" t="s">
        <v>4265</v>
      </c>
      <c r="X17" s="8">
        <v>29.67</v>
      </c>
      <c r="Y17" s="8">
        <v>2.0299999999999998</v>
      </c>
      <c r="Z17" s="9">
        <v>0.17</v>
      </c>
      <c r="AA17" s="8">
        <v>69.900000000000006</v>
      </c>
      <c r="AB17" s="8">
        <v>13064</v>
      </c>
      <c r="AC17" s="22" t="s">
        <v>4265</v>
      </c>
      <c r="AD17" s="8" t="s">
        <v>3721</v>
      </c>
      <c r="AE17" s="8" t="s">
        <v>3708</v>
      </c>
      <c r="AF17" s="9">
        <f t="shared" si="0"/>
        <v>141.89699999999999</v>
      </c>
      <c r="AG17" s="9">
        <f t="shared" si="1"/>
        <v>19.805</v>
      </c>
      <c r="AH17" s="9">
        <f t="shared" si="2"/>
        <v>0.61964239807813359</v>
      </c>
      <c r="AI17" s="9">
        <f t="shared" si="3"/>
        <v>0.38395670149602018</v>
      </c>
      <c r="AJ17" s="9">
        <f t="shared" si="4"/>
        <v>0.15862918768109982</v>
      </c>
      <c r="AK17" s="9">
        <f t="shared" si="5"/>
        <v>2.5163219184365589E-2</v>
      </c>
      <c r="AL17" s="9">
        <f t="shared" si="6"/>
        <v>3.0043458268172604E-2</v>
      </c>
      <c r="AM17" s="9">
        <f t="shared" si="7"/>
        <v>9.026093847114288E-4</v>
      </c>
      <c r="AN17" s="9" t="s">
        <v>4265</v>
      </c>
    </row>
    <row r="18" spans="13:40" ht="23">
      <c r="M18" s="8" t="s">
        <v>644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644</v>
      </c>
      <c r="X18" s="8">
        <v>25.92</v>
      </c>
      <c r="Y18" s="8">
        <v>1.1299999999999999</v>
      </c>
      <c r="Z18" s="9">
        <v>0.1</v>
      </c>
      <c r="AA18" s="8">
        <v>45</v>
      </c>
      <c r="AB18" s="8">
        <v>19592</v>
      </c>
      <c r="AC18" s="21" t="s">
        <v>644</v>
      </c>
      <c r="AD18" s="8" t="s">
        <v>3721</v>
      </c>
      <c r="AE18" s="8" t="s">
        <v>3708</v>
      </c>
      <c r="AF18" s="9">
        <f t="shared" si="0"/>
        <v>50.849999999999994</v>
      </c>
      <c r="AG18" s="9">
        <f t="shared" si="1"/>
        <v>7.5000000000000011E-2</v>
      </c>
      <c r="AH18" s="9">
        <f t="shared" si="2"/>
        <v>0.39891141507175976</v>
      </c>
      <c r="AI18" s="9">
        <f t="shared" si="3"/>
        <v>0.1591303170745538</v>
      </c>
      <c r="AJ18" s="9">
        <f t="shared" si="4"/>
        <v>5.6846122142003894E-2</v>
      </c>
      <c r="AK18" s="9">
        <f t="shared" si="5"/>
        <v>3.2314816025836254E-3</v>
      </c>
      <c r="AL18" s="9">
        <f t="shared" si="6"/>
        <v>1.1377224792289552E-4</v>
      </c>
      <c r="AM18" s="9">
        <f t="shared" si="7"/>
        <v>1.2944124397428803E-8</v>
      </c>
      <c r="AN18" s="8" t="s">
        <v>644</v>
      </c>
    </row>
    <row r="19" spans="13:40" ht="23">
      <c r="M19" s="8" t="s">
        <v>560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560</v>
      </c>
      <c r="X19" s="8">
        <v>95.41</v>
      </c>
      <c r="Y19" s="8">
        <v>1.0900000000000001</v>
      </c>
      <c r="Z19" s="9">
        <v>7.0000000000000007E-2</v>
      </c>
      <c r="AA19" s="8">
        <v>37.1</v>
      </c>
      <c r="AB19" s="8">
        <v>57609</v>
      </c>
      <c r="AC19" s="21" t="s">
        <v>560</v>
      </c>
      <c r="AD19" s="8" t="s">
        <v>3721</v>
      </c>
      <c r="AE19" s="8" t="s">
        <v>3708</v>
      </c>
      <c r="AF19" s="9">
        <f t="shared" si="0"/>
        <v>40.439000000000007</v>
      </c>
      <c r="AG19" s="9">
        <f t="shared" si="1"/>
        <v>4.3283333333333331</v>
      </c>
      <c r="AH19" s="9">
        <f t="shared" si="2"/>
        <v>0.32888029998138418</v>
      </c>
      <c r="AI19" s="9">
        <f t="shared" si="3"/>
        <v>0.10816225171584525</v>
      </c>
      <c r="AJ19" s="9">
        <f t="shared" si="4"/>
        <v>4.5207479514267374E-2</v>
      </c>
      <c r="AK19" s="9">
        <f t="shared" si="5"/>
        <v>2.0437162040329044E-3</v>
      </c>
      <c r="AL19" s="9">
        <f t="shared" si="6"/>
        <v>6.565922841239101E-3</v>
      </c>
      <c r="AM19" s="9">
        <f t="shared" si="7"/>
        <v>4.3111342757105346E-5</v>
      </c>
      <c r="AN19" s="8" t="s">
        <v>560</v>
      </c>
    </row>
    <row r="20" spans="13:40" ht="23">
      <c r="M20" s="8" t="s">
        <v>396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396</v>
      </c>
      <c r="X20" s="8">
        <v>26.61</v>
      </c>
      <c r="Y20" s="8">
        <v>1.69</v>
      </c>
      <c r="Z20" s="9">
        <v>0.28999999999999998</v>
      </c>
      <c r="AA20" s="8">
        <v>24.4</v>
      </c>
      <c r="AB20" s="8">
        <v>10359</v>
      </c>
      <c r="AC20" s="21" t="s">
        <v>396</v>
      </c>
      <c r="AD20" s="8" t="s">
        <v>3721</v>
      </c>
      <c r="AE20" s="8" t="s">
        <v>3708</v>
      </c>
      <c r="AF20" s="9">
        <f t="shared" si="0"/>
        <v>41.235999999999997</v>
      </c>
      <c r="AG20" s="9">
        <f t="shared" si="1"/>
        <v>11.793333333333333</v>
      </c>
      <c r="AH20" s="9">
        <f t="shared" si="2"/>
        <v>0.21629863395002083</v>
      </c>
      <c r="AI20" s="9">
        <f t="shared" si="3"/>
        <v>4.6785099048645105E-2</v>
      </c>
      <c r="AJ20" s="9">
        <f t="shared" si="4"/>
        <v>4.6098460032402609E-2</v>
      </c>
      <c r="AK20" s="9">
        <f t="shared" si="5"/>
        <v>2.1250680173590208E-3</v>
      </c>
      <c r="AL20" s="9">
        <f t="shared" si="6"/>
        <v>1.78900539178313E-2</v>
      </c>
      <c r="AM20" s="9">
        <f t="shared" si="7"/>
        <v>3.2005402918291103E-4</v>
      </c>
      <c r="AN20" s="8" t="s">
        <v>396</v>
      </c>
    </row>
    <row r="21" spans="13:40" ht="23">
      <c r="M21" s="8" t="s">
        <v>1795</v>
      </c>
      <c r="N21" s="8" t="s">
        <v>1717</v>
      </c>
      <c r="O21" s="8"/>
      <c r="P21" s="8" t="s">
        <v>3692</v>
      </c>
      <c r="Q21" s="8"/>
      <c r="R21" s="8"/>
      <c r="S21" s="8"/>
      <c r="T21" s="8"/>
      <c r="U21" s="8"/>
      <c r="V21" s="8"/>
      <c r="W21" s="8" t="s">
        <v>1795</v>
      </c>
      <c r="X21" s="8">
        <v>11.62</v>
      </c>
      <c r="Y21" s="8">
        <v>4.13</v>
      </c>
      <c r="Z21" s="9">
        <v>4.4000000000000004</v>
      </c>
      <c r="AA21" s="8">
        <v>19.399999999999999</v>
      </c>
      <c r="AB21" s="8">
        <v>7951</v>
      </c>
      <c r="AC21" s="21" t="s">
        <v>1795</v>
      </c>
      <c r="AD21" s="8" t="s">
        <v>3721</v>
      </c>
      <c r="AE21" s="8" t="s">
        <v>3708</v>
      </c>
      <c r="AF21" s="9">
        <f t="shared" si="0"/>
        <v>80.121999999999986</v>
      </c>
      <c r="AG21" s="9">
        <f t="shared" si="1"/>
        <v>77.729333333333329</v>
      </c>
      <c r="AH21" s="9">
        <f t="shared" si="2"/>
        <v>0.17197514338649197</v>
      </c>
      <c r="AI21" s="9">
        <f t="shared" si="3"/>
        <v>2.9575449942804474E-2</v>
      </c>
      <c r="AJ21" s="9">
        <f t="shared" si="4"/>
        <v>8.9569813141821733E-2</v>
      </c>
      <c r="AK21" s="9">
        <f t="shared" si="5"/>
        <v>8.0227514262608615E-3</v>
      </c>
      <c r="AL21" s="9">
        <f t="shared" si="6"/>
        <v>0.11791254643841846</v>
      </c>
      <c r="AM21" s="9">
        <f t="shared" si="7"/>
        <v>1.3903368607592189E-2</v>
      </c>
      <c r="AN21" s="8" t="s">
        <v>1795</v>
      </c>
    </row>
    <row r="22" spans="13:40" ht="23">
      <c r="M22" s="8" t="s">
        <v>2030</v>
      </c>
      <c r="N22" s="8" t="s">
        <v>2027</v>
      </c>
      <c r="O22" s="8"/>
      <c r="P22" s="8" t="s">
        <v>3693</v>
      </c>
      <c r="Q22" s="8"/>
      <c r="R22" s="8"/>
      <c r="S22" s="8"/>
      <c r="T22" s="8"/>
      <c r="U22" s="8"/>
      <c r="V22" s="8"/>
      <c r="W22" s="8" t="s">
        <v>2030</v>
      </c>
      <c r="X22" s="8">
        <v>4.42</v>
      </c>
      <c r="Y22" s="8">
        <v>2.4700000000000002</v>
      </c>
      <c r="Z22" s="9">
        <v>3.29</v>
      </c>
      <c r="AA22" s="8">
        <v>12.6</v>
      </c>
      <c r="AB22" s="8">
        <v>37103</v>
      </c>
      <c r="AC22" s="21" t="s">
        <v>2030</v>
      </c>
      <c r="AD22" s="8" t="s">
        <v>3721</v>
      </c>
      <c r="AE22" s="8" t="s">
        <v>3708</v>
      </c>
      <c r="AF22" s="9">
        <f t="shared" si="0"/>
        <v>31.122</v>
      </c>
      <c r="AG22" s="9">
        <f t="shared" si="1"/>
        <v>43.89</v>
      </c>
      <c r="AH22" s="9">
        <f t="shared" si="2"/>
        <v>0.11169519622009273</v>
      </c>
      <c r="AI22" s="9">
        <f t="shared" si="3"/>
        <v>1.2475816858645019E-2</v>
      </c>
      <c r="AJ22" s="9">
        <f t="shared" si="4"/>
        <v>3.4791839003017605E-2</v>
      </c>
      <c r="AK22" s="9">
        <f t="shared" si="5"/>
        <v>1.2104720612118971E-3</v>
      </c>
      <c r="AL22" s="9">
        <f t="shared" si="6"/>
        <v>6.6579519484478447E-2</v>
      </c>
      <c r="AM22" s="9">
        <f t="shared" si="7"/>
        <v>4.432832414784045E-3</v>
      </c>
      <c r="AN22" s="8" t="s">
        <v>2030</v>
      </c>
    </row>
    <row r="23" spans="13:40" ht="23">
      <c r="M23" s="8" t="s">
        <v>1560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1560</v>
      </c>
      <c r="X23" s="8">
        <v>24.93</v>
      </c>
      <c r="Y23" s="8">
        <v>1.63</v>
      </c>
      <c r="Z23" s="9">
        <v>0.27</v>
      </c>
      <c r="AA23" s="8">
        <v>11.9</v>
      </c>
      <c r="AB23" s="8">
        <v>33422</v>
      </c>
      <c r="AC23" s="21" t="s">
        <v>1560</v>
      </c>
      <c r="AD23" s="8" t="s">
        <v>3721</v>
      </c>
      <c r="AE23" s="8" t="s">
        <v>3708</v>
      </c>
      <c r="AF23" s="9">
        <f t="shared" si="0"/>
        <v>19.396999999999998</v>
      </c>
      <c r="AG23" s="9">
        <f t="shared" si="1"/>
        <v>5.3550000000000004</v>
      </c>
      <c r="AH23" s="9">
        <f t="shared" si="2"/>
        <v>0.10548990754119869</v>
      </c>
      <c r="AI23" s="9">
        <f t="shared" si="3"/>
        <v>1.1128120593050649E-2</v>
      </c>
      <c r="AJ23" s="9">
        <f t="shared" si="4"/>
        <v>2.1684252334089469E-2</v>
      </c>
      <c r="AK23" s="9">
        <f t="shared" si="5"/>
        <v>4.702067992884646E-4</v>
      </c>
      <c r="AL23" s="9">
        <f t="shared" si="6"/>
        <v>8.1233385016947386E-3</v>
      </c>
      <c r="AM23" s="9">
        <f t="shared" si="7"/>
        <v>6.5988628413116119E-5</v>
      </c>
      <c r="AN23" s="8" t="s">
        <v>1560</v>
      </c>
    </row>
    <row r="24" spans="13:40" ht="23">
      <c r="M24" s="9" t="s">
        <v>2586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9" t="s">
        <v>2586</v>
      </c>
      <c r="X24" s="8">
        <v>42.7</v>
      </c>
      <c r="Y24" s="8">
        <v>1.57</v>
      </c>
      <c r="Z24" s="9">
        <v>0.08</v>
      </c>
      <c r="AA24" s="8">
        <v>2.2000000000000002</v>
      </c>
      <c r="AB24" s="8">
        <v>42498</v>
      </c>
      <c r="AC24" s="22" t="s">
        <v>2586</v>
      </c>
      <c r="AD24" s="8" t="s">
        <v>3721</v>
      </c>
      <c r="AE24" s="8" t="s">
        <v>3708</v>
      </c>
      <c r="AF24" s="9">
        <f t="shared" si="0"/>
        <v>3.4540000000000006</v>
      </c>
      <c r="AG24" s="9">
        <f t="shared" si="1"/>
        <v>0.29333333333333333</v>
      </c>
      <c r="AH24" s="9">
        <f t="shared" si="2"/>
        <v>1.9502335847952704E-2</v>
      </c>
      <c r="AI24" s="9">
        <f t="shared" si="3"/>
        <v>3.8034110352634111E-4</v>
      </c>
      <c r="AJ24" s="9">
        <f t="shared" si="4"/>
        <v>3.861288217865909E-3</v>
      </c>
      <c r="AK24" s="9">
        <f t="shared" si="5"/>
        <v>1.4909546701430087E-5</v>
      </c>
      <c r="AL24" s="9">
        <f t="shared" si="6"/>
        <v>4.4497590298732458E-4</v>
      </c>
      <c r="AM24" s="9">
        <f t="shared" si="7"/>
        <v>1.9800355423938491E-7</v>
      </c>
      <c r="AN24" s="9" t="s">
        <v>2586</v>
      </c>
    </row>
    <row r="25" spans="13:40" ht="23">
      <c r="M25" s="8" t="s">
        <v>97</v>
      </c>
      <c r="N25" s="8" t="s">
        <v>82</v>
      </c>
      <c r="O25" s="8"/>
      <c r="P25" s="8"/>
      <c r="Q25" s="8"/>
      <c r="R25" s="8"/>
      <c r="S25" s="8"/>
      <c r="T25" s="8"/>
      <c r="U25" s="8"/>
      <c r="V25" s="8"/>
      <c r="W25" s="8" t="s">
        <v>97</v>
      </c>
      <c r="X25" s="8">
        <v>26.17</v>
      </c>
      <c r="Y25" s="8">
        <v>1.88</v>
      </c>
      <c r="Z25" s="9">
        <v>1.0900000000000001</v>
      </c>
      <c r="AA25" s="8">
        <v>1.8</v>
      </c>
      <c r="AB25" s="8">
        <v>74132</v>
      </c>
      <c r="AC25" s="21" t="s">
        <v>97</v>
      </c>
      <c r="AD25" s="8" t="s">
        <v>3721</v>
      </c>
      <c r="AE25" s="8" t="s">
        <v>3708</v>
      </c>
      <c r="AF25" s="9">
        <f t="shared" si="0"/>
        <v>3.3839999999999999</v>
      </c>
      <c r="AG25" s="9">
        <f t="shared" si="1"/>
        <v>2.0699999999999998</v>
      </c>
      <c r="AH25" s="9">
        <f t="shared" si="2"/>
        <v>1.5956456602870393E-2</v>
      </c>
      <c r="AI25" s="9">
        <f t="shared" si="3"/>
        <v>2.5460850731928616E-4</v>
      </c>
      <c r="AJ25" s="9">
        <f t="shared" si="4"/>
        <v>3.7830339690961886E-3</v>
      </c>
      <c r="AK25" s="9">
        <f t="shared" si="5"/>
        <v>1.4311346011335663E-5</v>
      </c>
      <c r="AL25" s="9">
        <f t="shared" si="6"/>
        <v>3.1401140426719158E-3</v>
      </c>
      <c r="AM25" s="9">
        <f t="shared" si="7"/>
        <v>9.8603162009853616E-6</v>
      </c>
      <c r="AN25" s="8" t="s">
        <v>97</v>
      </c>
    </row>
    <row r="26" spans="13:40" ht="23">
      <c r="M26" s="9" t="s">
        <v>2906</v>
      </c>
      <c r="N26" s="8" t="s">
        <v>1717</v>
      </c>
      <c r="O26" s="8"/>
      <c r="P26" s="8"/>
      <c r="Q26" s="8"/>
      <c r="R26" s="8"/>
      <c r="S26" s="8"/>
      <c r="T26" s="8"/>
      <c r="U26" s="8"/>
      <c r="V26" s="8"/>
      <c r="W26" s="9" t="s">
        <v>2906</v>
      </c>
      <c r="X26" s="8">
        <v>19.66</v>
      </c>
      <c r="Y26" s="8">
        <v>2.52</v>
      </c>
      <c r="Z26" s="9">
        <v>2.17</v>
      </c>
      <c r="AA26" s="8">
        <v>1.2</v>
      </c>
      <c r="AB26" s="8">
        <v>98031</v>
      </c>
      <c r="AC26" s="22" t="s">
        <v>2906</v>
      </c>
      <c r="AD26" s="8" t="s">
        <v>3721</v>
      </c>
      <c r="AE26" s="8" t="s">
        <v>3708</v>
      </c>
      <c r="AF26" s="9">
        <f t="shared" si="0"/>
        <v>3.024</v>
      </c>
      <c r="AG26" s="9">
        <f t="shared" si="1"/>
        <v>2.7399999999999998</v>
      </c>
      <c r="AH26" s="9">
        <f t="shared" si="2"/>
        <v>1.0637637735246928E-2</v>
      </c>
      <c r="AI26" s="9">
        <f t="shared" si="3"/>
        <v>1.1315933658634939E-4</v>
      </c>
      <c r="AJ26" s="9">
        <f t="shared" si="4"/>
        <v>3.3805835468519135E-3</v>
      </c>
      <c r="AK26" s="9">
        <f t="shared" si="5"/>
        <v>1.1428345117245864E-5</v>
      </c>
      <c r="AL26" s="9">
        <f t="shared" si="6"/>
        <v>4.1564794574497814E-3</v>
      </c>
      <c r="AM26" s="9">
        <f t="shared" si="7"/>
        <v>1.7276321480202029E-5</v>
      </c>
      <c r="AN26" s="9" t="s">
        <v>2906</v>
      </c>
    </row>
    <row r="27" spans="13:40" ht="23">
      <c r="M27" s="8" t="s">
        <v>220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220</v>
      </c>
      <c r="X27" s="8">
        <v>52.51</v>
      </c>
      <c r="Y27" s="8">
        <v>1.54</v>
      </c>
      <c r="Z27" s="9">
        <v>7.0000000000000007E-2</v>
      </c>
      <c r="AA27" s="8">
        <v>1.1000000000000001</v>
      </c>
      <c r="AB27" s="8">
        <v>77712</v>
      </c>
      <c r="AC27" s="21" t="s">
        <v>220</v>
      </c>
      <c r="AD27" s="8" t="s">
        <v>3721</v>
      </c>
      <c r="AE27" s="8" t="s">
        <v>3708</v>
      </c>
      <c r="AF27" s="9">
        <f t="shared" si="0"/>
        <v>1.6940000000000002</v>
      </c>
      <c r="AG27" s="9">
        <f t="shared" si="1"/>
        <v>0.12833333333333335</v>
      </c>
      <c r="AH27" s="9">
        <f t="shared" si="2"/>
        <v>9.7511679239763518E-3</v>
      </c>
      <c r="AI27" s="9">
        <f t="shared" si="3"/>
        <v>9.5085275881585279E-5</v>
      </c>
      <c r="AJ27" s="9">
        <f t="shared" si="4"/>
        <v>1.8937528202272293E-3</v>
      </c>
      <c r="AK27" s="9">
        <f t="shared" si="5"/>
        <v>3.5862997441185848E-6</v>
      </c>
      <c r="AL27" s="9">
        <f t="shared" si="6"/>
        <v>1.9467695755695454E-4</v>
      </c>
      <c r="AM27" s="9">
        <f t="shared" si="7"/>
        <v>3.7899117803632278E-8</v>
      </c>
      <c r="AN27" s="8" t="s">
        <v>220</v>
      </c>
    </row>
    <row r="28" spans="13:40" ht="23"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9"/>
      <c r="AA28" s="8">
        <f>SUBTOTAL(109,Table1369[ترافیک کل])</f>
        <v>11280.699999999999</v>
      </c>
      <c r="AB28" s="8"/>
      <c r="AC28" s="21"/>
      <c r="AD28" s="8"/>
      <c r="AE28" s="8"/>
      <c r="AF28" s="9">
        <f>SUBTOTAL(109,Table1369[[مجموع صفحات  مشاهده شده   ]])</f>
        <v>89452.012000000032</v>
      </c>
      <c r="AG28" s="9">
        <f>SUBTOTAL(109,Table1369[[مجموع زمان حضور در سایت ]])</f>
        <v>65921.172666666651</v>
      </c>
      <c r="AH28" s="9">
        <f>SUBTOTAL(109,Table1369[سهم سایت از کل ترافیک طبقه بندی])</f>
        <v>99.999999999999986</v>
      </c>
      <c r="AI28" s="9">
        <f>SUBTOTAL(109,Table1369[شاخص هرفیندال هیرشمن (ترافیک)])</f>
        <v>4066.8521435210764</v>
      </c>
      <c r="AJ28" s="9">
        <f>SUBTOTAL(109,Table1369[سهم سایت از کل صفحات مشاهده شده در طبقه بندی])</f>
        <v>99.999999999999972</v>
      </c>
      <c r="AK28" s="9">
        <f>SUBTOTAL(109,Table1369[شاخص هرفیندال -هیرشمن (صفحات مشاهده شده )])</f>
        <v>7462.1219701238579</v>
      </c>
      <c r="AL28" s="9">
        <f>SUBTOTAL(109,Table1369[سهم سایت از کل زمان حضور در طبقه بندی])</f>
        <v>100</v>
      </c>
      <c r="AM28" s="9">
        <f>SUBTOTAL(109,Table1369[شاخص هرفیندال هیرشمن (زمان حضور)])</f>
        <v>7212.1709385030563</v>
      </c>
      <c r="AN28" s="9"/>
    </row>
  </sheetData>
  <conditionalFormatting sqref="AA1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{9FF7D42B-4631-4728-AB12-99C7FC65D64E}</x14:id>
        </ext>
      </extLst>
    </cfRule>
  </conditionalFormatting>
  <conditionalFormatting sqref="AH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{0F96192B-D3C4-472A-883C-391EE42D51A5}</x14:id>
        </ext>
      </extLst>
    </cfRule>
  </conditionalFormatting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{CB6D5FC1-E0D0-4950-B88F-B83FE6321CCC}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{0F36A9B2-8424-49DD-AD10-6DC0FB5DCD99}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{3B0EEAA7-B1D6-4615-9EFC-A94515FBAADD}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{941B1F4B-4BFC-41AE-A932-487199DDB5A1}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FF7D42B-4631-4728-AB12-99C7FC65D64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0F96192B-D3C4-472A-883C-391EE42D51A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B6D5FC1-E0D0-4950-B88F-B83FE6321CC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0F36A9B2-8424-49DD-AD10-6DC0FB5DCD9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B0EEAA7-B1D6-4615-9EFC-A94515FBAAD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941B1F4B-4BFC-41AE-A932-487199DDB5A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8"/>
  <sheetViews>
    <sheetView showGridLines="0" rightToLeft="1" topLeftCell="Z1" zoomScale="70" zoomScaleNormal="70" workbookViewId="0">
      <selection activeCell="AC28" sqref="AC28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6.08203125" customWidth="1"/>
  </cols>
  <sheetData>
    <row r="1" spans="8:40" ht="66.5" customHeight="1">
      <c r="H1" s="2" t="s">
        <v>5277</v>
      </c>
      <c r="I1" s="3" t="s">
        <v>5282</v>
      </c>
      <c r="J1" s="3" t="s">
        <v>5281</v>
      </c>
      <c r="K1" s="3" t="s">
        <v>5280</v>
      </c>
      <c r="L1" s="3" t="s">
        <v>5279</v>
      </c>
      <c r="M1" s="4" t="s">
        <v>2121</v>
      </c>
      <c r="N1" s="4" t="s">
        <v>2120</v>
      </c>
      <c r="O1" s="4" t="s">
        <v>5278</v>
      </c>
      <c r="P1" s="4" t="s">
        <v>3690</v>
      </c>
      <c r="Q1" s="4" t="s">
        <v>4164</v>
      </c>
      <c r="R1" s="4" t="s">
        <v>5347</v>
      </c>
      <c r="S1" s="4" t="s">
        <v>5348</v>
      </c>
      <c r="T1" s="4" t="s">
        <v>5349</v>
      </c>
      <c r="U1" s="4" t="s">
        <v>5350</v>
      </c>
      <c r="V1" s="4" t="s">
        <v>5351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15"/>
      <c r="I2" s="15"/>
      <c r="J2" s="15"/>
      <c r="K2" s="15"/>
      <c r="L2" s="15"/>
      <c r="M2" s="8" t="s">
        <v>377</v>
      </c>
      <c r="N2" s="8" t="s">
        <v>150</v>
      </c>
      <c r="O2" s="8"/>
      <c r="P2" s="8" t="s">
        <v>3693</v>
      </c>
      <c r="Q2" s="8"/>
      <c r="R2" s="8"/>
      <c r="S2" s="8"/>
      <c r="T2" s="8"/>
      <c r="U2" s="8"/>
      <c r="V2" s="8"/>
      <c r="W2" s="8" t="s">
        <v>377</v>
      </c>
      <c r="X2" s="8">
        <v>90.39</v>
      </c>
      <c r="Y2" s="8">
        <v>1.1499999999999999</v>
      </c>
      <c r="Z2" s="9">
        <v>0.22</v>
      </c>
      <c r="AA2" s="8">
        <v>6283.9</v>
      </c>
      <c r="AB2" s="8">
        <v>443</v>
      </c>
      <c r="AC2" s="21" t="s">
        <v>377</v>
      </c>
      <c r="AD2" s="8" t="s">
        <v>4042</v>
      </c>
      <c r="AE2" s="8" t="s">
        <v>4363</v>
      </c>
      <c r="AF2" s="9">
        <f t="shared" ref="AF2:AF27" si="0">(AA2*Y2)</f>
        <v>7226.4849999999988</v>
      </c>
      <c r="AG2" s="9">
        <f t="shared" ref="AG2:AG27" si="1">((((RIGHT(Z2,2))/60)+(LEFT(Z2,2)))*AA2)</f>
        <v>2304.0966666666664</v>
      </c>
      <c r="AH2" s="9">
        <f t="shared" ref="AH2:AH27" si="2">(AA2/$AA$28)*100</f>
        <v>27.487544234916385</v>
      </c>
      <c r="AI2" s="9">
        <f t="shared" ref="AI2:AI27" si="3">(AH2*AH2)</f>
        <v>755.56508806648503</v>
      </c>
      <c r="AJ2" s="9">
        <f t="shared" ref="AJ2:AJ27" si="4">(AF2/$AF$28)*100</f>
        <v>9.7908469420607585</v>
      </c>
      <c r="AK2" s="9">
        <f t="shared" ref="AK2:AK27" si="5">(AJ2*AJ2)</f>
        <v>95.86068384286051</v>
      </c>
      <c r="AL2" s="9">
        <f t="shared" ref="AL2:AL27" si="6">(AG2/$AG$28)*100</f>
        <v>4.6349945869832672</v>
      </c>
      <c r="AM2" s="9">
        <f t="shared" ref="AM2:AM27" si="7">(AL2*AL2)</f>
        <v>21.483174821364187</v>
      </c>
      <c r="AN2" s="8" t="s">
        <v>377</v>
      </c>
    </row>
    <row r="3" spans="8:40" ht="23">
      <c r="H3" s="15"/>
      <c r="I3" s="15"/>
      <c r="J3" s="15"/>
      <c r="K3" s="15"/>
      <c r="L3" s="15"/>
      <c r="M3" s="8" t="s">
        <v>371</v>
      </c>
      <c r="N3" s="8" t="s">
        <v>150</v>
      </c>
      <c r="O3" s="8"/>
      <c r="P3" s="8" t="s">
        <v>3691</v>
      </c>
      <c r="Q3" s="8"/>
      <c r="R3" s="8"/>
      <c r="S3" s="8"/>
      <c r="T3" s="8"/>
      <c r="U3" s="8"/>
      <c r="V3" s="8"/>
      <c r="W3" s="8" t="s">
        <v>371</v>
      </c>
      <c r="X3" s="8">
        <v>37.78</v>
      </c>
      <c r="Y3" s="8">
        <v>3.46</v>
      </c>
      <c r="Z3" s="9">
        <v>2.56</v>
      </c>
      <c r="AA3" s="8">
        <v>6099</v>
      </c>
      <c r="AB3" s="8">
        <v>114</v>
      </c>
      <c r="AC3" s="21" t="s">
        <v>371</v>
      </c>
      <c r="AD3" s="8" t="s">
        <v>4042</v>
      </c>
      <c r="AE3" s="8" t="s">
        <v>4363</v>
      </c>
      <c r="AF3" s="9">
        <f t="shared" si="0"/>
        <v>21102.54</v>
      </c>
      <c r="AG3" s="9">
        <f t="shared" si="1"/>
        <v>17890.400000000001</v>
      </c>
      <c r="AH3" s="9">
        <f t="shared" si="2"/>
        <v>26.678739682164743</v>
      </c>
      <c r="AI3" s="9">
        <f t="shared" si="3"/>
        <v>711.75515102871168</v>
      </c>
      <c r="AJ3" s="9">
        <f t="shared" si="4"/>
        <v>28.590904046533673</v>
      </c>
      <c r="AK3" s="9">
        <f t="shared" si="5"/>
        <v>817.43979419809557</v>
      </c>
      <c r="AL3" s="9">
        <f t="shared" si="6"/>
        <v>35.988901142298197</v>
      </c>
      <c r="AM3" s="9">
        <f t="shared" si="7"/>
        <v>1295.2010054301124</v>
      </c>
      <c r="AN3" s="8" t="s">
        <v>371</v>
      </c>
    </row>
    <row r="4" spans="8:40" ht="23">
      <c r="H4" s="15"/>
      <c r="I4" s="15"/>
      <c r="J4" s="15"/>
      <c r="K4" s="15"/>
      <c r="L4" s="15"/>
      <c r="M4" s="9" t="s">
        <v>3174</v>
      </c>
      <c r="N4" s="8" t="s">
        <v>1869</v>
      </c>
      <c r="O4" s="8"/>
      <c r="P4" s="8"/>
      <c r="Q4" s="8"/>
      <c r="R4" s="8"/>
      <c r="S4" s="8"/>
      <c r="T4" s="8"/>
      <c r="U4" s="8"/>
      <c r="V4" s="8"/>
      <c r="W4" s="9" t="s">
        <v>3174</v>
      </c>
      <c r="X4" s="8">
        <v>40.630000000000003</v>
      </c>
      <c r="Y4" s="8">
        <v>5.1100000000000003</v>
      </c>
      <c r="Z4" s="9">
        <v>3.17</v>
      </c>
      <c r="AA4" s="8">
        <v>4843.5</v>
      </c>
      <c r="AB4" s="8">
        <v>171</v>
      </c>
      <c r="AC4" s="22" t="s">
        <v>3174</v>
      </c>
      <c r="AD4" s="8" t="s">
        <v>4042</v>
      </c>
      <c r="AE4" s="8" t="s">
        <v>4363</v>
      </c>
      <c r="AF4" s="9">
        <f t="shared" si="0"/>
        <v>24750.285</v>
      </c>
      <c r="AG4" s="9">
        <f t="shared" si="1"/>
        <v>15902.824999999999</v>
      </c>
      <c r="AH4" s="9">
        <f t="shared" si="2"/>
        <v>21.186829914832746</v>
      </c>
      <c r="AI4" s="9">
        <f t="shared" si="3"/>
        <v>448.88176184005175</v>
      </c>
      <c r="AJ4" s="9">
        <f t="shared" si="4"/>
        <v>33.533073438522642</v>
      </c>
      <c r="AK4" s="9">
        <f t="shared" si="5"/>
        <v>1124.4670142333528</v>
      </c>
      <c r="AL4" s="9">
        <f t="shared" si="6"/>
        <v>31.990631668842965</v>
      </c>
      <c r="AM4" s="9">
        <f t="shared" si="7"/>
        <v>1023.4005145715785</v>
      </c>
      <c r="AN4" s="9" t="s">
        <v>3174</v>
      </c>
    </row>
    <row r="5" spans="8:40" ht="23">
      <c r="H5" s="15"/>
      <c r="I5" s="15"/>
      <c r="J5" s="15"/>
      <c r="K5" s="15"/>
      <c r="L5" s="15"/>
      <c r="M5" s="9" t="s">
        <v>4654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9" t="s">
        <v>4654</v>
      </c>
      <c r="X5" s="8">
        <v>59.91</v>
      </c>
      <c r="Y5" s="8">
        <v>1.94</v>
      </c>
      <c r="Z5" s="9">
        <v>1.25</v>
      </c>
      <c r="AA5" s="8">
        <v>936.6</v>
      </c>
      <c r="AB5" s="8">
        <v>828</v>
      </c>
      <c r="AC5" s="22" t="s">
        <v>4654</v>
      </c>
      <c r="AD5" s="8" t="s">
        <v>4042</v>
      </c>
      <c r="AE5" s="8" t="s">
        <v>4363</v>
      </c>
      <c r="AF5" s="9">
        <f t="shared" si="0"/>
        <v>1817.0039999999999</v>
      </c>
      <c r="AG5" s="9">
        <f t="shared" si="1"/>
        <v>1326.8500000000001</v>
      </c>
      <c r="AH5" s="9">
        <f t="shared" si="2"/>
        <v>4.0969515635867353</v>
      </c>
      <c r="AI5" s="9">
        <f t="shared" si="3"/>
        <v>16.785012114375796</v>
      </c>
      <c r="AJ5" s="9">
        <f t="shared" si="4"/>
        <v>2.461778867196454</v>
      </c>
      <c r="AK5" s="9">
        <f t="shared" si="5"/>
        <v>6.0603551909750566</v>
      </c>
      <c r="AL5" s="9">
        <f t="shared" si="6"/>
        <v>2.6691339199044384</v>
      </c>
      <c r="AM5" s="9">
        <f t="shared" si="7"/>
        <v>7.124275882384433</v>
      </c>
      <c r="AN5" s="9" t="s">
        <v>4654</v>
      </c>
    </row>
    <row r="6" spans="8:40" ht="23">
      <c r="H6" s="15"/>
      <c r="I6" s="15"/>
      <c r="J6" s="15"/>
      <c r="K6" s="15"/>
      <c r="L6" s="15"/>
      <c r="M6" s="8" t="s">
        <v>4246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4246</v>
      </c>
      <c r="X6" s="8">
        <v>48.08</v>
      </c>
      <c r="Y6" s="8">
        <v>2.73</v>
      </c>
      <c r="Z6" s="9">
        <v>1.44</v>
      </c>
      <c r="AA6" s="8">
        <v>628.20000000000005</v>
      </c>
      <c r="AB6" s="8">
        <v>764</v>
      </c>
      <c r="AC6" s="21" t="s">
        <v>4246</v>
      </c>
      <c r="AD6" s="8" t="s">
        <v>4042</v>
      </c>
      <c r="AE6" s="8" t="s">
        <v>4363</v>
      </c>
      <c r="AF6" s="9">
        <f t="shared" si="0"/>
        <v>1714.9860000000001</v>
      </c>
      <c r="AG6" s="9">
        <f t="shared" si="1"/>
        <v>1088.8800000000001</v>
      </c>
      <c r="AH6" s="9">
        <f t="shared" si="2"/>
        <v>2.7479233101059015</v>
      </c>
      <c r="AI6" s="9">
        <f t="shared" si="3"/>
        <v>7.5510825182233745</v>
      </c>
      <c r="AJ6" s="9">
        <f t="shared" si="4"/>
        <v>2.3235591624111884</v>
      </c>
      <c r="AK6" s="9">
        <f t="shared" si="5"/>
        <v>5.3989271812249839</v>
      </c>
      <c r="AL6" s="9">
        <f t="shared" si="6"/>
        <v>2.1904258527380973</v>
      </c>
      <c r="AM6" s="9">
        <f t="shared" si="7"/>
        <v>4.7979654163434207</v>
      </c>
      <c r="AN6" s="8" t="s">
        <v>4246</v>
      </c>
    </row>
    <row r="7" spans="8:40" ht="23">
      <c r="H7" s="15"/>
      <c r="I7" s="15"/>
      <c r="J7" s="15"/>
      <c r="K7" s="15"/>
      <c r="L7" s="15"/>
      <c r="M7" s="8" t="s">
        <v>4245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4245</v>
      </c>
      <c r="X7" s="8">
        <v>20.45</v>
      </c>
      <c r="Y7" s="8">
        <v>8.31</v>
      </c>
      <c r="Z7" s="9">
        <v>5.05</v>
      </c>
      <c r="AA7" s="8">
        <v>590.4</v>
      </c>
      <c r="AB7" s="8">
        <v>375</v>
      </c>
      <c r="AC7" s="21" t="s">
        <v>4245</v>
      </c>
      <c r="AD7" s="8" t="s">
        <v>4042</v>
      </c>
      <c r="AE7" s="8" t="s">
        <v>4363</v>
      </c>
      <c r="AF7" s="9">
        <f t="shared" si="0"/>
        <v>4906.2240000000002</v>
      </c>
      <c r="AG7" s="9">
        <f t="shared" si="1"/>
        <v>3001.2</v>
      </c>
      <c r="AH7" s="9">
        <f t="shared" si="2"/>
        <v>2.5825754891539701</v>
      </c>
      <c r="AI7" s="9">
        <f t="shared" si="3"/>
        <v>6.6696961571788673</v>
      </c>
      <c r="AJ7" s="9">
        <f t="shared" si="4"/>
        <v>6.6472272823461349</v>
      </c>
      <c r="AK7" s="9">
        <f t="shared" si="5"/>
        <v>44.185630543166781</v>
      </c>
      <c r="AL7" s="9">
        <f t="shared" si="6"/>
        <v>6.0373099599933671</v>
      </c>
      <c r="AM7" s="9">
        <f t="shared" si="7"/>
        <v>36.44911155303511</v>
      </c>
      <c r="AN7" s="8" t="s">
        <v>4245</v>
      </c>
    </row>
    <row r="8" spans="8:40" ht="23">
      <c r="H8" s="15"/>
      <c r="I8" s="15"/>
      <c r="J8" s="15"/>
      <c r="K8" s="15"/>
      <c r="L8" s="15"/>
      <c r="M8" s="9" t="s">
        <v>2298</v>
      </c>
      <c r="N8" s="8" t="s">
        <v>150</v>
      </c>
      <c r="O8" s="8"/>
      <c r="P8" s="8" t="s">
        <v>3692</v>
      </c>
      <c r="Q8" s="8"/>
      <c r="R8" s="8"/>
      <c r="S8" s="8"/>
      <c r="T8" s="8"/>
      <c r="U8" s="8"/>
      <c r="V8" s="8"/>
      <c r="W8" s="9" t="s">
        <v>2298</v>
      </c>
      <c r="X8" s="8">
        <v>49</v>
      </c>
      <c r="Y8" s="8">
        <v>3.53</v>
      </c>
      <c r="Z8" s="9">
        <v>2.23</v>
      </c>
      <c r="AA8" s="8">
        <v>535.1</v>
      </c>
      <c r="AB8" s="8">
        <v>1039</v>
      </c>
      <c r="AC8" s="22" t="s">
        <v>2298</v>
      </c>
      <c r="AD8" s="8" t="s">
        <v>4042</v>
      </c>
      <c r="AE8" s="8" t="s">
        <v>4363</v>
      </c>
      <c r="AF8" s="9">
        <f t="shared" si="0"/>
        <v>1888.903</v>
      </c>
      <c r="AG8" s="9">
        <f t="shared" si="1"/>
        <v>1275.3216666666667</v>
      </c>
      <c r="AH8" s="9">
        <f t="shared" si="2"/>
        <v>2.3406777510946641</v>
      </c>
      <c r="AI8" s="9">
        <f t="shared" si="3"/>
        <v>5.4787723344695749</v>
      </c>
      <c r="AJ8" s="9">
        <f t="shared" si="4"/>
        <v>2.559191662530178</v>
      </c>
      <c r="AK8" s="9">
        <f t="shared" si="5"/>
        <v>6.5494619655639763</v>
      </c>
      <c r="AL8" s="9">
        <f t="shared" si="6"/>
        <v>2.5654778756370811</v>
      </c>
      <c r="AM8" s="9">
        <f t="shared" si="7"/>
        <v>6.5816767303833501</v>
      </c>
      <c r="AN8" s="9" t="s">
        <v>2298</v>
      </c>
    </row>
    <row r="9" spans="8:40" ht="23">
      <c r="H9" s="15"/>
      <c r="I9" s="15"/>
      <c r="J9" s="15"/>
      <c r="K9" s="15"/>
      <c r="L9" s="15"/>
      <c r="M9" s="8" t="s">
        <v>1722</v>
      </c>
      <c r="N9" s="8" t="s">
        <v>1717</v>
      </c>
      <c r="O9" s="8"/>
      <c r="P9" s="8" t="s">
        <v>4653</v>
      </c>
      <c r="Q9" s="8"/>
      <c r="R9" s="8"/>
      <c r="S9" s="8"/>
      <c r="T9" s="8"/>
      <c r="U9" s="8"/>
      <c r="V9" s="8"/>
      <c r="W9" s="8" t="s">
        <v>1722</v>
      </c>
      <c r="X9" s="8">
        <v>26.53</v>
      </c>
      <c r="Y9" s="8">
        <v>3.3</v>
      </c>
      <c r="Z9" s="9">
        <v>2.2200000000000002</v>
      </c>
      <c r="AA9" s="8">
        <v>450.5</v>
      </c>
      <c r="AB9" s="8">
        <v>1644</v>
      </c>
      <c r="AC9" s="21" t="s">
        <v>1722</v>
      </c>
      <c r="AD9" s="8" t="s">
        <v>4042</v>
      </c>
      <c r="AE9" s="8" t="s">
        <v>4363</v>
      </c>
      <c r="AF9" s="9">
        <f t="shared" si="0"/>
        <v>1486.6499999999999</v>
      </c>
      <c r="AG9" s="9">
        <f t="shared" si="1"/>
        <v>1066.1833333333334</v>
      </c>
      <c r="AH9" s="9">
        <f t="shared" si="2"/>
        <v>1.9706135803927227</v>
      </c>
      <c r="AI9" s="9">
        <f t="shared" si="3"/>
        <v>3.883317883228226</v>
      </c>
      <c r="AJ9" s="9">
        <f t="shared" si="4"/>
        <v>2.0141967507598268</v>
      </c>
      <c r="AK9" s="9">
        <f t="shared" si="5"/>
        <v>4.056988550771444</v>
      </c>
      <c r="AL9" s="9">
        <f t="shared" si="6"/>
        <v>2.1447685117660478</v>
      </c>
      <c r="AM9" s="9">
        <f t="shared" si="7"/>
        <v>4.6000319690631475</v>
      </c>
      <c r="AN9" s="8" t="s">
        <v>1722</v>
      </c>
    </row>
    <row r="10" spans="8:40" ht="23">
      <c r="H10" s="15"/>
      <c r="I10" s="15"/>
      <c r="J10" s="15"/>
      <c r="K10" s="15"/>
      <c r="L10" s="15"/>
      <c r="M10" s="9" t="s">
        <v>4248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9" t="s">
        <v>4248</v>
      </c>
      <c r="X10" s="8">
        <v>21.06</v>
      </c>
      <c r="Y10" s="8">
        <v>7.42</v>
      </c>
      <c r="Z10" s="9">
        <v>4.33</v>
      </c>
      <c r="AA10" s="8">
        <v>448.9</v>
      </c>
      <c r="AB10" s="8">
        <v>390</v>
      </c>
      <c r="AC10" s="22" t="s">
        <v>4248</v>
      </c>
      <c r="AD10" s="8" t="s">
        <v>4042</v>
      </c>
      <c r="AE10" s="8" t="s">
        <v>4363</v>
      </c>
      <c r="AF10" s="9">
        <f t="shared" si="0"/>
        <v>3330.8379999999997</v>
      </c>
      <c r="AG10" s="9">
        <f t="shared" si="1"/>
        <v>2042.4949999999999</v>
      </c>
      <c r="AH10" s="9">
        <f t="shared" si="2"/>
        <v>1.9636147308286198</v>
      </c>
      <c r="AI10" s="9">
        <f t="shared" si="3"/>
        <v>3.855782811127153</v>
      </c>
      <c r="AJ10" s="9">
        <f t="shared" si="4"/>
        <v>4.5128060248931217</v>
      </c>
      <c r="AK10" s="9">
        <f t="shared" si="5"/>
        <v>20.365418218311657</v>
      </c>
      <c r="AL10" s="9">
        <f t="shared" si="6"/>
        <v>4.108748302924381</v>
      </c>
      <c r="AM10" s="9">
        <f t="shared" si="7"/>
        <v>16.881812616783982</v>
      </c>
      <c r="AN10" s="9" t="s">
        <v>4248</v>
      </c>
    </row>
    <row r="11" spans="8:40" ht="23">
      <c r="H11" s="15"/>
      <c r="I11" s="15"/>
      <c r="J11" s="15"/>
      <c r="K11" s="15"/>
      <c r="L11" s="15"/>
      <c r="M11" s="8" t="s">
        <v>1805</v>
      </c>
      <c r="N11" s="8" t="s">
        <v>1717</v>
      </c>
      <c r="O11" s="8"/>
      <c r="P11" s="8"/>
      <c r="Q11" s="8"/>
      <c r="R11" s="8"/>
      <c r="S11" s="8"/>
      <c r="T11" s="8"/>
      <c r="U11" s="8"/>
      <c r="V11" s="8"/>
      <c r="W11" s="8" t="s">
        <v>1805</v>
      </c>
      <c r="X11" s="8">
        <v>47.99</v>
      </c>
      <c r="Y11" s="8">
        <v>2.42</v>
      </c>
      <c r="Z11" s="9">
        <v>1.07</v>
      </c>
      <c r="AA11" s="8">
        <v>412.2</v>
      </c>
      <c r="AB11" s="8">
        <v>2090</v>
      </c>
      <c r="AC11" s="21" t="s">
        <v>1805</v>
      </c>
      <c r="AD11" s="8" t="s">
        <v>4042</v>
      </c>
      <c r="AE11" s="8" t="s">
        <v>4363</v>
      </c>
      <c r="AF11" s="9">
        <f t="shared" si="0"/>
        <v>997.52399999999989</v>
      </c>
      <c r="AG11" s="9">
        <f t="shared" si="1"/>
        <v>460.29</v>
      </c>
      <c r="AH11" s="9">
        <f t="shared" si="2"/>
        <v>1.8030786189520098</v>
      </c>
      <c r="AI11" s="9">
        <f t="shared" si="3"/>
        <v>3.2510925061218869</v>
      </c>
      <c r="AJ11" s="9">
        <f t="shared" si="4"/>
        <v>1.3515014291224872</v>
      </c>
      <c r="AK11" s="9">
        <f t="shared" si="5"/>
        <v>1.8265561129201251</v>
      </c>
      <c r="AL11" s="9">
        <f t="shared" si="6"/>
        <v>0.92593409352437261</v>
      </c>
      <c r="AM11" s="9">
        <f t="shared" si="7"/>
        <v>0.85735394555080158</v>
      </c>
      <c r="AN11" s="8" t="s">
        <v>1805</v>
      </c>
    </row>
    <row r="12" spans="8:40" ht="23">
      <c r="H12" s="15"/>
      <c r="I12" s="15"/>
      <c r="J12" s="15"/>
      <c r="K12" s="15"/>
      <c r="L12" s="15"/>
      <c r="M12" s="9" t="s">
        <v>4655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9" t="s">
        <v>4655</v>
      </c>
      <c r="X12" s="8">
        <v>13.94</v>
      </c>
      <c r="Y12" s="8">
        <v>5.44</v>
      </c>
      <c r="Z12" s="9">
        <v>6.03</v>
      </c>
      <c r="AA12" s="8">
        <v>328.7</v>
      </c>
      <c r="AB12" s="8">
        <v>1415</v>
      </c>
      <c r="AC12" s="22" t="s">
        <v>4655</v>
      </c>
      <c r="AD12" s="8" t="s">
        <v>4042</v>
      </c>
      <c r="AE12" s="8" t="s">
        <v>4363</v>
      </c>
      <c r="AF12" s="9">
        <f t="shared" si="0"/>
        <v>1788.1280000000002</v>
      </c>
      <c r="AG12" s="9">
        <f t="shared" si="1"/>
        <v>1988.6349999999998</v>
      </c>
      <c r="AH12" s="9">
        <f t="shared" si="2"/>
        <v>1.4378261573253897</v>
      </c>
      <c r="AI12" s="9">
        <f t="shared" si="3"/>
        <v>2.0673440586890961</v>
      </c>
      <c r="AJ12" s="9">
        <f t="shared" si="4"/>
        <v>2.4226560438184297</v>
      </c>
      <c r="AK12" s="9">
        <f t="shared" si="5"/>
        <v>5.869262306649965</v>
      </c>
      <c r="AL12" s="9">
        <f t="shared" si="6"/>
        <v>4.0004018033757855</v>
      </c>
      <c r="AM12" s="9">
        <f t="shared" si="7"/>
        <v>16.003214588452238</v>
      </c>
      <c r="AN12" s="9" t="s">
        <v>4655</v>
      </c>
    </row>
    <row r="13" spans="8:40" ht="23">
      <c r="H13" s="15"/>
      <c r="I13" s="15"/>
      <c r="J13" s="15"/>
      <c r="K13" s="15"/>
      <c r="L13" s="15"/>
      <c r="M13" s="8" t="s">
        <v>2037</v>
      </c>
      <c r="N13" s="8" t="s">
        <v>2032</v>
      </c>
      <c r="O13" s="8"/>
      <c r="P13" s="8"/>
      <c r="Q13" s="8"/>
      <c r="R13" s="8"/>
      <c r="S13" s="8"/>
      <c r="T13" s="8"/>
      <c r="U13" s="8"/>
      <c r="V13" s="8"/>
      <c r="W13" s="8" t="s">
        <v>2037</v>
      </c>
      <c r="X13" s="8">
        <v>61.52</v>
      </c>
      <c r="Y13" s="8">
        <v>1.07</v>
      </c>
      <c r="Z13" s="9">
        <v>0.01</v>
      </c>
      <c r="AA13" s="8">
        <v>316.8</v>
      </c>
      <c r="AB13" s="8">
        <v>16242</v>
      </c>
      <c r="AC13" s="21" t="s">
        <v>2037</v>
      </c>
      <c r="AD13" s="8" t="s">
        <v>4042</v>
      </c>
      <c r="AE13" s="8" t="s">
        <v>4363</v>
      </c>
      <c r="AF13" s="9">
        <f t="shared" si="0"/>
        <v>338.97600000000006</v>
      </c>
      <c r="AG13" s="9">
        <f t="shared" si="1"/>
        <v>5.28</v>
      </c>
      <c r="AH13" s="9">
        <f t="shared" si="2"/>
        <v>1.3857722136923742</v>
      </c>
      <c r="AI13" s="9">
        <f t="shared" si="3"/>
        <v>1.9203646282418634</v>
      </c>
      <c r="AJ13" s="9">
        <f t="shared" si="4"/>
        <v>0.45926368532308426</v>
      </c>
      <c r="AK13" s="9">
        <f t="shared" si="5"/>
        <v>0.21092313265654095</v>
      </c>
      <c r="AL13" s="9">
        <f t="shared" si="6"/>
        <v>1.0621416962803207E-2</v>
      </c>
      <c r="AM13" s="9">
        <f t="shared" si="7"/>
        <v>1.128144982977237E-4</v>
      </c>
      <c r="AN13" s="8" t="s">
        <v>2037</v>
      </c>
    </row>
    <row r="14" spans="8:40" ht="23">
      <c r="H14" s="15"/>
      <c r="I14" s="15"/>
      <c r="J14" s="15"/>
      <c r="K14" s="15"/>
      <c r="L14" s="15"/>
      <c r="M14" s="8" t="s">
        <v>119</v>
      </c>
      <c r="N14" s="8" t="s">
        <v>125</v>
      </c>
      <c r="O14" s="8"/>
      <c r="P14" s="8"/>
      <c r="Q14" s="8"/>
      <c r="R14" s="8"/>
      <c r="S14" s="8"/>
      <c r="T14" s="8"/>
      <c r="U14" s="8"/>
      <c r="V14" s="8"/>
      <c r="W14" s="8" t="s">
        <v>119</v>
      </c>
      <c r="X14" s="8">
        <v>27.06</v>
      </c>
      <c r="Y14" s="8">
        <v>2.21</v>
      </c>
      <c r="Z14" s="9">
        <v>1.47</v>
      </c>
      <c r="AA14" s="8">
        <v>298.89999999999998</v>
      </c>
      <c r="AB14" s="8">
        <v>1726</v>
      </c>
      <c r="AC14" s="21" t="s">
        <v>119</v>
      </c>
      <c r="AD14" s="8" t="s">
        <v>4042</v>
      </c>
      <c r="AE14" s="8" t="s">
        <v>4363</v>
      </c>
      <c r="AF14" s="9">
        <f t="shared" si="0"/>
        <v>660.56899999999996</v>
      </c>
      <c r="AG14" s="9">
        <f t="shared" si="1"/>
        <v>533.0383333333333</v>
      </c>
      <c r="AH14" s="9">
        <f t="shared" si="2"/>
        <v>1.3074725841939729</v>
      </c>
      <c r="AI14" s="9">
        <f t="shared" si="3"/>
        <v>1.7094845584188656</v>
      </c>
      <c r="AJ14" s="9">
        <f t="shared" si="4"/>
        <v>0.89497590788192793</v>
      </c>
      <c r="AK14" s="9">
        <f t="shared" si="5"/>
        <v>0.80098187568908119</v>
      </c>
      <c r="AL14" s="9">
        <f t="shared" si="6"/>
        <v>1.0722769688429954</v>
      </c>
      <c r="AM14" s="9">
        <f t="shared" si="7"/>
        <v>1.1497778979111222</v>
      </c>
      <c r="AN14" s="8" t="s">
        <v>119</v>
      </c>
    </row>
    <row r="15" spans="8:40" ht="23">
      <c r="H15" s="15"/>
      <c r="I15" s="15"/>
      <c r="J15" s="15"/>
      <c r="K15" s="15"/>
      <c r="L15" s="15"/>
      <c r="M15" s="8" t="s">
        <v>1968</v>
      </c>
      <c r="N15" s="8" t="s">
        <v>1964</v>
      </c>
      <c r="O15" s="8"/>
      <c r="P15" s="8" t="s">
        <v>3692</v>
      </c>
      <c r="Q15" s="8"/>
      <c r="R15" s="8"/>
      <c r="S15" s="8"/>
      <c r="T15" s="8"/>
      <c r="U15" s="8"/>
      <c r="V15" s="8"/>
      <c r="W15" s="8" t="s">
        <v>1968</v>
      </c>
      <c r="X15" s="8">
        <v>30.63</v>
      </c>
      <c r="Y15" s="8">
        <v>1.72</v>
      </c>
      <c r="Z15" s="9">
        <v>0.31</v>
      </c>
      <c r="AA15" s="8">
        <v>130.6</v>
      </c>
      <c r="AB15" s="8">
        <v>6940</v>
      </c>
      <c r="AC15" s="21" t="s">
        <v>1968</v>
      </c>
      <c r="AD15" s="8" t="s">
        <v>4042</v>
      </c>
      <c r="AE15" s="8" t="s">
        <v>4363</v>
      </c>
      <c r="AF15" s="9">
        <f t="shared" si="0"/>
        <v>224.63199999999998</v>
      </c>
      <c r="AG15" s="9">
        <f t="shared" si="1"/>
        <v>67.476666666666674</v>
      </c>
      <c r="AH15" s="9">
        <f t="shared" si="2"/>
        <v>0.57128109566989926</v>
      </c>
      <c r="AI15" s="9">
        <f t="shared" si="3"/>
        <v>0.32636209026980062</v>
      </c>
      <c r="AJ15" s="9">
        <f t="shared" si="4"/>
        <v>0.30434402483212686</v>
      </c>
      <c r="AK15" s="9">
        <f t="shared" si="5"/>
        <v>9.2625285451018252E-2</v>
      </c>
      <c r="AL15" s="9">
        <f t="shared" si="6"/>
        <v>0.13573822195582405</v>
      </c>
      <c r="AM15" s="9">
        <f t="shared" si="7"/>
        <v>1.8424864899728555E-2</v>
      </c>
      <c r="AN15" s="8" t="s">
        <v>1968</v>
      </c>
    </row>
    <row r="16" spans="8:40" ht="23">
      <c r="H16" s="15"/>
      <c r="I16" s="15"/>
      <c r="J16" s="15"/>
      <c r="K16" s="15"/>
      <c r="L16" s="15"/>
      <c r="M16" s="8" t="s">
        <v>1589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8" t="s">
        <v>1589</v>
      </c>
      <c r="X16" s="8">
        <v>32.49</v>
      </c>
      <c r="Y16" s="8">
        <v>3.22</v>
      </c>
      <c r="Z16" s="9">
        <v>2.02</v>
      </c>
      <c r="AA16" s="8">
        <v>107.7</v>
      </c>
      <c r="AB16" s="8">
        <v>2259</v>
      </c>
      <c r="AC16" s="21" t="s">
        <v>1589</v>
      </c>
      <c r="AD16" s="8" t="s">
        <v>4042</v>
      </c>
      <c r="AE16" s="8" t="s">
        <v>4363</v>
      </c>
      <c r="AF16" s="9">
        <f t="shared" si="0"/>
        <v>346.79400000000004</v>
      </c>
      <c r="AG16" s="9">
        <f t="shared" si="1"/>
        <v>218.98999999999998</v>
      </c>
      <c r="AH16" s="9">
        <f t="shared" si="2"/>
        <v>0.4711100612836765</v>
      </c>
      <c r="AI16" s="9">
        <f t="shared" si="3"/>
        <v>0.22194468984270943</v>
      </c>
      <c r="AJ16" s="9">
        <f t="shared" si="4"/>
        <v>0.46985594994316321</v>
      </c>
      <c r="AK16" s="9">
        <f t="shared" si="5"/>
        <v>0.2207646136969923</v>
      </c>
      <c r="AL16" s="9">
        <f t="shared" si="6"/>
        <v>0.44052729179626399</v>
      </c>
      <c r="AM16" s="9">
        <f t="shared" si="7"/>
        <v>0.19406429481735071</v>
      </c>
      <c r="AN16" s="8" t="s">
        <v>1589</v>
      </c>
    </row>
    <row r="17" spans="8:40" ht="23">
      <c r="H17" s="15"/>
      <c r="I17" s="15"/>
      <c r="J17" s="15"/>
      <c r="K17" s="15"/>
      <c r="L17" s="15"/>
      <c r="M17" s="9" t="s">
        <v>3180</v>
      </c>
      <c r="N17" s="8" t="s">
        <v>1869</v>
      </c>
      <c r="O17" s="8"/>
      <c r="P17" s="8"/>
      <c r="Q17" s="8"/>
      <c r="R17" s="8"/>
      <c r="S17" s="8"/>
      <c r="T17" s="8"/>
      <c r="U17" s="8"/>
      <c r="V17" s="8"/>
      <c r="W17" s="9" t="s">
        <v>3180</v>
      </c>
      <c r="X17" s="8">
        <v>20.18</v>
      </c>
      <c r="Y17" s="8">
        <v>1.65</v>
      </c>
      <c r="Z17" s="9">
        <v>0.21</v>
      </c>
      <c r="AA17" s="8">
        <v>89</v>
      </c>
      <c r="AB17" s="8">
        <v>10058</v>
      </c>
      <c r="AC17" s="22" t="s">
        <v>3180</v>
      </c>
      <c r="AD17" s="8" t="s">
        <v>4042</v>
      </c>
      <c r="AE17" s="8" t="s">
        <v>4363</v>
      </c>
      <c r="AF17" s="9">
        <f t="shared" si="0"/>
        <v>146.85</v>
      </c>
      <c r="AG17" s="9">
        <f t="shared" si="1"/>
        <v>31.15</v>
      </c>
      <c r="AH17" s="9">
        <f t="shared" si="2"/>
        <v>0.3893110070032238</v>
      </c>
      <c r="AI17" s="9">
        <f t="shared" si="3"/>
        <v>0.15156306017386417</v>
      </c>
      <c r="AJ17" s="9">
        <f t="shared" si="4"/>
        <v>0.1989606113403159</v>
      </c>
      <c r="AK17" s="9">
        <f t="shared" si="5"/>
        <v>3.9585324864912237E-2</v>
      </c>
      <c r="AL17" s="9">
        <f t="shared" si="6"/>
        <v>6.266233681653785E-2</v>
      </c>
      <c r="AM17" s="9">
        <f t="shared" si="7"/>
        <v>3.9265684553092348E-3</v>
      </c>
      <c r="AN17" s="9" t="s">
        <v>3180</v>
      </c>
    </row>
    <row r="18" spans="8:40" ht="23">
      <c r="H18" s="15"/>
      <c r="I18" s="15"/>
      <c r="J18" s="15"/>
      <c r="K18" s="15"/>
      <c r="L18" s="15"/>
      <c r="M18" s="9" t="s">
        <v>2267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9" t="s">
        <v>2267</v>
      </c>
      <c r="X18" s="8">
        <v>33.380000000000003</v>
      </c>
      <c r="Y18" s="8">
        <v>1.1200000000000001</v>
      </c>
      <c r="Z18" s="9">
        <v>0.06</v>
      </c>
      <c r="AA18" s="8">
        <v>85</v>
      </c>
      <c r="AB18" s="8">
        <v>20015</v>
      </c>
      <c r="AC18" s="22" t="s">
        <v>2267</v>
      </c>
      <c r="AD18" s="8" t="s">
        <v>4042</v>
      </c>
      <c r="AE18" s="8" t="s">
        <v>4363</v>
      </c>
      <c r="AF18" s="9">
        <f t="shared" si="0"/>
        <v>95.2</v>
      </c>
      <c r="AG18" s="9">
        <f t="shared" si="1"/>
        <v>8.5</v>
      </c>
      <c r="AH18" s="9">
        <f t="shared" si="2"/>
        <v>0.37181388309296654</v>
      </c>
      <c r="AI18" s="9">
        <f t="shared" si="3"/>
        <v>0.13824556366067017</v>
      </c>
      <c r="AJ18" s="9">
        <f t="shared" si="4"/>
        <v>0.12898229621789631</v>
      </c>
      <c r="AK18" s="9">
        <f t="shared" si="5"/>
        <v>1.6636432737641149E-2</v>
      </c>
      <c r="AL18" s="9">
        <f t="shared" si="6"/>
        <v>1.7098872004512735E-2</v>
      </c>
      <c r="AM18" s="9">
        <f t="shared" si="7"/>
        <v>2.9237142382670933E-4</v>
      </c>
      <c r="AN18" s="9" t="s">
        <v>2267</v>
      </c>
    </row>
    <row r="19" spans="8:40" ht="23">
      <c r="H19" s="15"/>
      <c r="I19" s="15"/>
      <c r="J19" s="15"/>
      <c r="K19" s="15"/>
      <c r="L19" s="15"/>
      <c r="M19" s="9" t="s">
        <v>3372</v>
      </c>
      <c r="N19" s="8" t="s">
        <v>1964</v>
      </c>
      <c r="O19" s="8"/>
      <c r="P19" s="8"/>
      <c r="Q19" s="8"/>
      <c r="R19" s="8"/>
      <c r="S19" s="8"/>
      <c r="T19" s="8"/>
      <c r="U19" s="8"/>
      <c r="V19" s="8"/>
      <c r="W19" s="9" t="s">
        <v>3372</v>
      </c>
      <c r="X19" s="8">
        <v>22.45</v>
      </c>
      <c r="Y19" s="8">
        <v>1.7</v>
      </c>
      <c r="Z19" s="9">
        <v>0.31</v>
      </c>
      <c r="AA19" s="8">
        <v>80.3</v>
      </c>
      <c r="AB19" s="8">
        <v>11858</v>
      </c>
      <c r="AC19" s="22" t="s">
        <v>3372</v>
      </c>
      <c r="AD19" s="8" t="s">
        <v>4042</v>
      </c>
      <c r="AE19" s="8" t="s">
        <v>4363</v>
      </c>
      <c r="AF19" s="9">
        <f t="shared" si="0"/>
        <v>136.51</v>
      </c>
      <c r="AG19" s="9">
        <f t="shared" si="1"/>
        <v>41.488333333333337</v>
      </c>
      <c r="AH19" s="9">
        <f t="shared" si="2"/>
        <v>0.35125476249841431</v>
      </c>
      <c r="AI19" s="9">
        <f t="shared" si="3"/>
        <v>0.12337990817781744</v>
      </c>
      <c r="AJ19" s="9">
        <f t="shared" si="4"/>
        <v>0.18495139975530486</v>
      </c>
      <c r="AK19" s="9">
        <f t="shared" si="5"/>
        <v>3.4207020271446585E-2</v>
      </c>
      <c r="AL19" s="9">
        <f t="shared" si="6"/>
        <v>8.345925898202658E-2</v>
      </c>
      <c r="AM19" s="9">
        <f t="shared" si="7"/>
        <v>6.9654479098289843E-3</v>
      </c>
      <c r="AN19" s="9" t="s">
        <v>3372</v>
      </c>
    </row>
    <row r="20" spans="8:40" ht="23">
      <c r="H20" s="15"/>
      <c r="I20" s="15"/>
      <c r="J20" s="15"/>
      <c r="K20" s="15"/>
      <c r="L20" s="15"/>
      <c r="M20" s="9" t="s">
        <v>4247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9" t="s">
        <v>4247</v>
      </c>
      <c r="X20" s="8">
        <v>9.3699999999999992</v>
      </c>
      <c r="Y20" s="8">
        <v>3.09</v>
      </c>
      <c r="Z20" s="9">
        <v>3.32</v>
      </c>
      <c r="AA20" s="8">
        <v>72.3</v>
      </c>
      <c r="AB20" s="8">
        <v>5932</v>
      </c>
      <c r="AC20" s="22" t="s">
        <v>4247</v>
      </c>
      <c r="AD20" s="8" t="s">
        <v>4042</v>
      </c>
      <c r="AE20" s="8" t="s">
        <v>4363</v>
      </c>
      <c r="AF20" s="9">
        <f t="shared" si="0"/>
        <v>223.40699999999998</v>
      </c>
      <c r="AG20" s="9">
        <f t="shared" si="1"/>
        <v>255.45999999999998</v>
      </c>
      <c r="AH20" s="9">
        <f t="shared" si="2"/>
        <v>0.31626051467789978</v>
      </c>
      <c r="AI20" s="9">
        <f t="shared" si="3"/>
        <v>0.10002071314433006</v>
      </c>
      <c r="AJ20" s="9">
        <f t="shared" si="4"/>
        <v>0.30268432616755836</v>
      </c>
      <c r="AK20" s="9">
        <f t="shared" si="5"/>
        <v>9.161780130750885E-2</v>
      </c>
      <c r="AL20" s="9">
        <f t="shared" si="6"/>
        <v>0.51389151085562634</v>
      </c>
      <c r="AM20" s="9">
        <f t="shared" si="7"/>
        <v>0.26408448492947834</v>
      </c>
      <c r="AN20" s="9" t="s">
        <v>4247</v>
      </c>
    </row>
    <row r="21" spans="8:40" ht="23">
      <c r="H21" s="15"/>
      <c r="I21" s="15"/>
      <c r="J21" s="15"/>
      <c r="K21" s="15"/>
      <c r="L21" s="15"/>
      <c r="M21" s="9" t="s">
        <v>3201</v>
      </c>
      <c r="N21" s="8" t="s">
        <v>1869</v>
      </c>
      <c r="O21" s="8"/>
      <c r="P21" s="8"/>
      <c r="Q21" s="8"/>
      <c r="R21" s="8"/>
      <c r="S21" s="8"/>
      <c r="T21" s="8"/>
      <c r="U21" s="8"/>
      <c r="V21" s="8"/>
      <c r="W21" s="9" t="s">
        <v>3201</v>
      </c>
      <c r="X21" s="8">
        <v>1.59</v>
      </c>
      <c r="Y21" s="8">
        <v>4.45</v>
      </c>
      <c r="Z21" s="9">
        <v>0.22</v>
      </c>
      <c r="AA21" s="8">
        <v>52.2</v>
      </c>
      <c r="AB21" s="8">
        <v>21074</v>
      </c>
      <c r="AC21" s="22" t="s">
        <v>3201</v>
      </c>
      <c r="AD21" s="8" t="s">
        <v>4042</v>
      </c>
      <c r="AE21" s="8" t="s">
        <v>4363</v>
      </c>
      <c r="AF21" s="9">
        <f t="shared" si="0"/>
        <v>232.29000000000002</v>
      </c>
      <c r="AG21" s="9">
        <f t="shared" si="1"/>
        <v>19.14</v>
      </c>
      <c r="AH21" s="9">
        <f t="shared" si="2"/>
        <v>0.2283374670288571</v>
      </c>
      <c r="AI21" s="9">
        <f t="shared" si="3"/>
        <v>5.2137998849154404E-2</v>
      </c>
      <c r="AJ21" s="9">
        <f t="shared" si="4"/>
        <v>0.31471951248377239</v>
      </c>
      <c r="AK21" s="9">
        <f t="shared" si="5"/>
        <v>9.9048371538023372E-2</v>
      </c>
      <c r="AL21" s="9">
        <f t="shared" si="6"/>
        <v>3.8502636490161619E-2</v>
      </c>
      <c r="AM21" s="9">
        <f t="shared" si="7"/>
        <v>1.4824530166935251E-3</v>
      </c>
      <c r="AN21" s="9" t="s">
        <v>3201</v>
      </c>
    </row>
    <row r="22" spans="8:40" ht="23">
      <c r="H22" s="15"/>
      <c r="I22" s="15"/>
      <c r="J22" s="15"/>
      <c r="K22" s="15"/>
      <c r="L22" s="15"/>
      <c r="M22" s="8" t="s">
        <v>4249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8" t="s">
        <v>4249</v>
      </c>
      <c r="X22" s="8">
        <v>21.07</v>
      </c>
      <c r="Y22" s="8">
        <v>7.7</v>
      </c>
      <c r="Z22" s="9">
        <v>3.12</v>
      </c>
      <c r="AA22" s="8">
        <v>43.7</v>
      </c>
      <c r="AB22" s="8">
        <v>3049</v>
      </c>
      <c r="AC22" s="21" t="s">
        <v>4249</v>
      </c>
      <c r="AD22" s="8" t="s">
        <v>4042</v>
      </c>
      <c r="AE22" s="8" t="s">
        <v>4363</v>
      </c>
      <c r="AF22" s="9">
        <f t="shared" si="0"/>
        <v>336.49</v>
      </c>
      <c r="AG22" s="9">
        <f t="shared" si="1"/>
        <v>139.84</v>
      </c>
      <c r="AH22" s="9">
        <f t="shared" si="2"/>
        <v>0.19115607871956047</v>
      </c>
      <c r="AI22" s="9">
        <f t="shared" si="3"/>
        <v>3.6540646431438797E-2</v>
      </c>
      <c r="AJ22" s="9">
        <f t="shared" si="4"/>
        <v>0.45589551317604965</v>
      </c>
      <c r="AK22" s="9">
        <f t="shared" si="5"/>
        <v>0.20784071893405365</v>
      </c>
      <c r="AL22" s="9">
        <f t="shared" si="6"/>
        <v>0.28130661895424247</v>
      </c>
      <c r="AM22" s="9">
        <f t="shared" si="7"/>
        <v>7.9133413867467375E-2</v>
      </c>
      <c r="AN22" s="8" t="s">
        <v>4249</v>
      </c>
    </row>
    <row r="23" spans="8:40" ht="23">
      <c r="H23" s="15"/>
      <c r="I23" s="15"/>
      <c r="J23" s="15"/>
      <c r="K23" s="15"/>
      <c r="L23" s="15"/>
      <c r="M23" s="8" t="s">
        <v>1210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1210</v>
      </c>
      <c r="X23" s="8">
        <v>48.43</v>
      </c>
      <c r="Y23" s="8">
        <v>2.09</v>
      </c>
      <c r="Z23" s="9">
        <v>1.21</v>
      </c>
      <c r="AA23" s="8">
        <v>19.600000000000001</v>
      </c>
      <c r="AB23" s="8">
        <v>12741</v>
      </c>
      <c r="AC23" s="21" t="s">
        <v>1210</v>
      </c>
      <c r="AD23" s="8" t="s">
        <v>4042</v>
      </c>
      <c r="AE23" s="8" t="s">
        <v>4363</v>
      </c>
      <c r="AF23" s="9">
        <f t="shared" si="0"/>
        <v>40.963999999999999</v>
      </c>
      <c r="AG23" s="9">
        <f t="shared" si="1"/>
        <v>26.460000000000004</v>
      </c>
      <c r="AH23" s="9">
        <f t="shared" si="2"/>
        <v>8.5735907160260527E-2</v>
      </c>
      <c r="AI23" s="9">
        <f t="shared" si="3"/>
        <v>7.350645776592812E-3</v>
      </c>
      <c r="AJ23" s="9">
        <f t="shared" si="4"/>
        <v>5.5500323343171266E-2</v>
      </c>
      <c r="AK23" s="9">
        <f t="shared" si="5"/>
        <v>3.0802858911965613E-3</v>
      </c>
      <c r="AL23" s="9">
        <f t="shared" si="6"/>
        <v>5.3227782734047893E-2</v>
      </c>
      <c r="AM23" s="9">
        <f t="shared" si="7"/>
        <v>2.833196854783007E-3</v>
      </c>
      <c r="AN23" s="8" t="s">
        <v>1210</v>
      </c>
    </row>
    <row r="24" spans="8:40" ht="23">
      <c r="H24" s="15"/>
      <c r="I24" s="15"/>
      <c r="J24" s="15"/>
      <c r="K24" s="15"/>
      <c r="L24" s="15"/>
      <c r="M24" s="8" t="s">
        <v>4250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4250</v>
      </c>
      <c r="X24" s="8">
        <v>39.31</v>
      </c>
      <c r="Y24" s="8">
        <v>2.4300000000000002</v>
      </c>
      <c r="Z24" s="9">
        <v>2.54</v>
      </c>
      <c r="AA24" s="8">
        <v>2.8</v>
      </c>
      <c r="AB24" s="8">
        <v>34412</v>
      </c>
      <c r="AC24" s="21" t="s">
        <v>4250</v>
      </c>
      <c r="AD24" s="8" t="s">
        <v>4042</v>
      </c>
      <c r="AE24" s="8" t="s">
        <v>4363</v>
      </c>
      <c r="AF24" s="9">
        <f t="shared" si="0"/>
        <v>6.8040000000000003</v>
      </c>
      <c r="AG24" s="9">
        <f t="shared" si="1"/>
        <v>8.1199999999999992</v>
      </c>
      <c r="AH24" s="9">
        <f t="shared" si="2"/>
        <v>1.2247986737180076E-2</v>
      </c>
      <c r="AI24" s="9">
        <f t="shared" si="3"/>
        <v>1.5001317911413905E-4</v>
      </c>
      <c r="AJ24" s="9">
        <f t="shared" si="4"/>
        <v>9.2184405826319996E-3</v>
      </c>
      <c r="AK24" s="9">
        <f t="shared" si="5"/>
        <v>8.4979646775516595E-5</v>
      </c>
      <c r="AL24" s="9">
        <f t="shared" si="6"/>
        <v>1.6334451844310989E-2</v>
      </c>
      <c r="AM24" s="9">
        <f t="shared" si="7"/>
        <v>2.6681431705411466E-4</v>
      </c>
      <c r="AN24" s="8" t="s">
        <v>4250</v>
      </c>
    </row>
    <row r="25" spans="8:40" ht="23">
      <c r="H25" s="15"/>
      <c r="I25" s="15"/>
      <c r="J25" s="15"/>
      <c r="K25" s="15"/>
      <c r="L25" s="15"/>
      <c r="M25" s="9" t="s">
        <v>3223</v>
      </c>
      <c r="N25" s="8" t="s">
        <v>1902</v>
      </c>
      <c r="O25" s="8"/>
      <c r="P25" s="8"/>
      <c r="Q25" s="8"/>
      <c r="R25" s="8"/>
      <c r="S25" s="8"/>
      <c r="T25" s="8"/>
      <c r="U25" s="8"/>
      <c r="V25" s="8"/>
      <c r="W25" s="9" t="s">
        <v>3223</v>
      </c>
      <c r="X25" s="8">
        <v>51.04</v>
      </c>
      <c r="Y25" s="8">
        <v>1.6</v>
      </c>
      <c r="Z25" s="9">
        <v>1.1000000000000001</v>
      </c>
      <c r="AA25" s="8">
        <v>2.4</v>
      </c>
      <c r="AB25" s="8">
        <v>44048</v>
      </c>
      <c r="AC25" s="22" t="s">
        <v>3223</v>
      </c>
      <c r="AD25" s="8" t="s">
        <v>4042</v>
      </c>
      <c r="AE25" s="8" t="s">
        <v>4363</v>
      </c>
      <c r="AF25" s="9">
        <f t="shared" si="0"/>
        <v>3.84</v>
      </c>
      <c r="AG25" s="9">
        <f t="shared" si="1"/>
        <v>2.4039999999999999</v>
      </c>
      <c r="AH25" s="9">
        <f t="shared" si="2"/>
        <v>1.049827434615435E-2</v>
      </c>
      <c r="AI25" s="9">
        <f t="shared" si="3"/>
        <v>1.1021376424712255E-4</v>
      </c>
      <c r="AJ25" s="9">
        <f t="shared" si="4"/>
        <v>5.2026472424025394E-3</v>
      </c>
      <c r="AK25" s="9">
        <f t="shared" si="5"/>
        <v>2.7067538328878748E-5</v>
      </c>
      <c r="AL25" s="9">
        <f t="shared" si="6"/>
        <v>4.8359633292763072E-3</v>
      </c>
      <c r="AM25" s="9">
        <f t="shared" si="7"/>
        <v>2.3386541322105186E-5</v>
      </c>
      <c r="AN25" s="9" t="s">
        <v>3223</v>
      </c>
    </row>
    <row r="26" spans="8:40" ht="23">
      <c r="H26" s="15"/>
      <c r="I26" s="15"/>
      <c r="J26" s="15"/>
      <c r="K26" s="15"/>
      <c r="L26" s="15"/>
      <c r="M26" s="9" t="s">
        <v>2706</v>
      </c>
      <c r="N26" s="8" t="s">
        <v>1614</v>
      </c>
      <c r="O26" s="8"/>
      <c r="P26" s="8"/>
      <c r="Q26" s="8"/>
      <c r="R26" s="8"/>
      <c r="S26" s="8"/>
      <c r="T26" s="8"/>
      <c r="U26" s="8"/>
      <c r="V26" s="8"/>
      <c r="W26" s="9" t="s">
        <v>2706</v>
      </c>
      <c r="X26" s="8">
        <v>28.53</v>
      </c>
      <c r="Y26" s="8">
        <v>2.5</v>
      </c>
      <c r="Z26" s="9">
        <v>2.1</v>
      </c>
      <c r="AA26" s="8">
        <v>1.5</v>
      </c>
      <c r="AB26" s="8">
        <v>55153</v>
      </c>
      <c r="AC26" s="22" t="s">
        <v>2706</v>
      </c>
      <c r="AD26" s="8" t="s">
        <v>4042</v>
      </c>
      <c r="AE26" s="8" t="s">
        <v>4363</v>
      </c>
      <c r="AF26" s="9">
        <f t="shared" si="0"/>
        <v>3.75</v>
      </c>
      <c r="AG26" s="9">
        <f t="shared" si="1"/>
        <v>3.0024999999999995</v>
      </c>
      <c r="AH26" s="9">
        <f t="shared" si="2"/>
        <v>6.561421466346468E-3</v>
      </c>
      <c r="AI26" s="9">
        <f t="shared" si="3"/>
        <v>4.3052251659032237E-5</v>
      </c>
      <c r="AJ26" s="9">
        <f t="shared" si="4"/>
        <v>5.0807101976587301E-3</v>
      </c>
      <c r="AK26" s="9">
        <f t="shared" si="5"/>
        <v>2.5813616112593413E-5</v>
      </c>
      <c r="AL26" s="9">
        <f t="shared" si="6"/>
        <v>6.039925081594056E-3</v>
      </c>
      <c r="AM26" s="9">
        <f t="shared" si="7"/>
        <v>3.6480694991268965E-5</v>
      </c>
      <c r="AN26" s="9" t="s">
        <v>2706</v>
      </c>
    </row>
    <row r="27" spans="8:40" ht="23">
      <c r="H27" s="15"/>
      <c r="I27" s="15"/>
      <c r="J27" s="15"/>
      <c r="K27" s="15"/>
      <c r="L27" s="15"/>
      <c r="M27" s="9" t="s">
        <v>2859</v>
      </c>
      <c r="N27" s="8" t="s">
        <v>1717</v>
      </c>
      <c r="O27" s="8"/>
      <c r="P27" s="8"/>
      <c r="Q27" s="8"/>
      <c r="R27" s="8"/>
      <c r="S27" s="8"/>
      <c r="T27" s="8"/>
      <c r="U27" s="8"/>
      <c r="V27" s="8"/>
      <c r="W27" s="9" t="s">
        <v>2859</v>
      </c>
      <c r="X27" s="8">
        <v>35.76</v>
      </c>
      <c r="Y27" s="8">
        <v>1.76</v>
      </c>
      <c r="Z27" s="9">
        <v>3</v>
      </c>
      <c r="AA27" s="8">
        <v>1.1000000000000001</v>
      </c>
      <c r="AB27" s="8">
        <v>72096</v>
      </c>
      <c r="AC27" s="22" t="s">
        <v>2859</v>
      </c>
      <c r="AD27" s="8" t="s">
        <v>4042</v>
      </c>
      <c r="AE27" s="8" t="s">
        <v>4363</v>
      </c>
      <c r="AF27" s="9">
        <f t="shared" si="0"/>
        <v>1.9360000000000002</v>
      </c>
      <c r="AG27" s="9">
        <f t="shared" si="1"/>
        <v>3.355</v>
      </c>
      <c r="AH27" s="9">
        <f t="shared" si="2"/>
        <v>4.8117090753207435E-3</v>
      </c>
      <c r="AI27" s="9">
        <f t="shared" si="3"/>
        <v>2.3152544225524006E-5</v>
      </c>
      <c r="AJ27" s="9">
        <f t="shared" si="4"/>
        <v>2.6230013180446139E-3</v>
      </c>
      <c r="AK27" s="9">
        <f t="shared" si="5"/>
        <v>6.8801359144637819E-6</v>
      </c>
      <c r="AL27" s="9">
        <f t="shared" si="6"/>
        <v>6.7490253617812036E-3</v>
      </c>
      <c r="AM27" s="9">
        <f t="shared" si="7"/>
        <v>4.5549343333965906E-5</v>
      </c>
      <c r="AN27" s="9" t="s">
        <v>2859</v>
      </c>
    </row>
    <row r="28" spans="8:40" ht="23">
      <c r="H28" s="33"/>
      <c r="I28" s="33"/>
      <c r="J28" s="33"/>
      <c r="K28" s="33"/>
      <c r="L28" s="33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9"/>
      <c r="AA28" s="24">
        <f>SUBTOTAL(109,Table1367[ترافیک کل])</f>
        <v>22860.9</v>
      </c>
      <c r="AB28" s="24"/>
      <c r="AC28" s="21"/>
      <c r="AD28" s="24"/>
      <c r="AE28" s="24"/>
      <c r="AF28" s="25">
        <f>SUBTOTAL(109,Table1367[[مجموع صفحات  مشاهده شده   ]])</f>
        <v>73808.578999999998</v>
      </c>
      <c r="AG28" s="25">
        <f>SUBTOTAL(109,Table1367[[مجموع زمان حضور در سایت ]])</f>
        <v>49710.881499999996</v>
      </c>
      <c r="AH28" s="25">
        <f>SUBTOTAL(109,Table1367[سهم سایت از کل ترافیک طبقه بندی])</f>
        <v>100</v>
      </c>
      <c r="AI28" s="25">
        <f>SUBTOTAL(109,Table1367[شاخص هرفیندال هیرشمن (ترافیک)])</f>
        <v>1970.5318222533888</v>
      </c>
      <c r="AJ28" s="25">
        <f>SUBTOTAL(109,Table1367[سهم سایت از کل صفحات مشاهده شده در طبقه بندی])</f>
        <v>100.00000000000003</v>
      </c>
      <c r="AK28" s="25">
        <f>SUBTOTAL(109,Table1367[شاخص هرفیندال -هیرشمن (صفحات مشاهده شده )])</f>
        <v>2133.8975479478695</v>
      </c>
      <c r="AL28" s="25">
        <f>SUBTOTAL(109,Table1367[سهم سایت از کل زمان حضور در طبقه بندی])</f>
        <v>100.00000000000003</v>
      </c>
      <c r="AM28" s="25">
        <f>SUBTOTAL(109,Table1367[شاخص هرفیندال هیرشمن (زمان حضور)])</f>
        <v>2435.1016075645316</v>
      </c>
      <c r="AN28" s="25"/>
    </row>
  </sheetData>
  <conditionalFormatting sqref="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{85CD5BCB-3A7C-47B2-9E1B-A4AA09F490A2}</x14:id>
        </ext>
      </extLst>
    </cfRule>
  </conditionalFormatting>
  <conditionalFormatting sqref="AA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{3812DA26-BBC6-465B-9617-26B54F12039E}</x14:id>
        </ext>
      </extLst>
    </cfRule>
  </conditionalFormatting>
  <conditionalFormatting sqref="AH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{85DC54AD-901B-40B3-A9A9-C9C8E53E43C3}</x14:id>
        </ext>
      </extLst>
    </cfRule>
  </conditionalFormatting>
  <conditionalFormatting sqref="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{AA28F154-E38A-4B97-8CCB-FC5E7A002D7F}</x14:id>
        </ext>
      </extLst>
    </cfRule>
  </conditionalFormatting>
  <conditionalFormatting sqref="AA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{70BE4D99-40E2-4E96-BF33-4944B7045B66}</x14:id>
        </ext>
      </extLst>
    </cfRule>
  </conditionalFormatting>
  <conditionalFormatting sqref="A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{170C936A-8D9D-44C5-B974-1BD272D340B7}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CD5BCB-3A7C-47B2-9E1B-A4AA09F490A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3812DA26-BBC6-465B-9617-26B54F12039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5DC54AD-901B-40B3-A9A9-C9C8E53E43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A28F154-E38A-4B97-8CCB-FC5E7A002D7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70BE4D99-40E2-4E96-BF33-4944B7045B6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70C936A-8D9D-44C5-B974-1BD272D340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70"/>
  <sheetViews>
    <sheetView showGridLines="0" rightToLeft="1" topLeftCell="Z1" zoomScale="70" zoomScaleNormal="70" workbookViewId="0">
      <selection activeCell="AC70" sqref="AC70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0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937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937</v>
      </c>
      <c r="X2" s="8">
        <v>50.42</v>
      </c>
      <c r="Y2" s="8">
        <v>2.2200000000000002</v>
      </c>
      <c r="Z2" s="9">
        <v>2.2999999999999998</v>
      </c>
      <c r="AA2" s="8">
        <v>929.4</v>
      </c>
      <c r="AB2" s="8">
        <v>633</v>
      </c>
      <c r="AC2" s="21" t="s">
        <v>937</v>
      </c>
      <c r="AD2" s="8" t="s">
        <v>3729</v>
      </c>
      <c r="AE2" s="8" t="s">
        <v>4084</v>
      </c>
      <c r="AF2" s="9">
        <f t="shared" ref="AF2:AF33" si="0">(AA2*Y2)</f>
        <v>2063.268</v>
      </c>
      <c r="AG2" s="9">
        <f t="shared" ref="AG2:AG33" si="1">((((RIGHT(Z2,2))/60)+(LEFT(Z2,2)))*AA2)</f>
        <v>1863.4469999999999</v>
      </c>
      <c r="AH2" s="9">
        <f t="shared" ref="AH2:AH33" si="2">(AA2/$AA$70)*100</f>
        <v>11.886430489832463</v>
      </c>
      <c r="AI2" s="9">
        <f t="shared" ref="AI2:AI33" si="3">(AH2*AH2)</f>
        <v>141.28722978961881</v>
      </c>
      <c r="AJ2" s="9">
        <f t="shared" ref="AJ2:AJ33" si="4">(AF2/$AF$70)*100</f>
        <v>10.011182149086197</v>
      </c>
      <c r="AK2" s="9">
        <f t="shared" ref="AK2:AK33" si="5">(AJ2*AJ2)</f>
        <v>100.22376802218213</v>
      </c>
      <c r="AL2" s="9">
        <f t="shared" ref="AL2:AL33" si="6">(AG2/$AG$70)*100</f>
        <v>12.780047863274907</v>
      </c>
      <c r="AM2" s="9">
        <f t="shared" ref="AM2:AM33" si="7">(AL2*AL2)</f>
        <v>163.32962338759754</v>
      </c>
      <c r="AN2" s="8" t="s">
        <v>937</v>
      </c>
    </row>
    <row r="3" spans="8:40" ht="25" customHeight="1">
      <c r="M3" s="8" t="s">
        <v>4548</v>
      </c>
      <c r="N3" s="8"/>
      <c r="O3" s="8"/>
      <c r="P3" s="8"/>
      <c r="Q3" s="8"/>
      <c r="R3" s="8"/>
      <c r="S3" s="8"/>
      <c r="T3" s="8"/>
      <c r="U3" s="8"/>
      <c r="V3" s="8"/>
      <c r="W3" s="8" t="s">
        <v>4548</v>
      </c>
      <c r="X3" s="8">
        <v>72.72</v>
      </c>
      <c r="Y3" s="8">
        <v>1.31</v>
      </c>
      <c r="Z3" s="9">
        <v>0.21</v>
      </c>
      <c r="AA3" s="8">
        <v>817.2</v>
      </c>
      <c r="AB3" s="8">
        <v>1270</v>
      </c>
      <c r="AC3" s="21" t="s">
        <v>4548</v>
      </c>
      <c r="AD3" s="8" t="s">
        <v>3729</v>
      </c>
      <c r="AE3" s="8" t="s">
        <v>4084</v>
      </c>
      <c r="AF3" s="9">
        <f t="shared" si="0"/>
        <v>1070.5320000000002</v>
      </c>
      <c r="AG3" s="9">
        <f t="shared" si="1"/>
        <v>286.02</v>
      </c>
      <c r="AH3" s="9">
        <f t="shared" si="2"/>
        <v>10.451464381634484</v>
      </c>
      <c r="AI3" s="9">
        <f t="shared" si="3"/>
        <v>109.23310772057428</v>
      </c>
      <c r="AJ3" s="9">
        <f t="shared" si="4"/>
        <v>5.1943280506582505</v>
      </c>
      <c r="AK3" s="9">
        <f t="shared" si="5"/>
        <v>26.981043897855141</v>
      </c>
      <c r="AL3" s="9">
        <f t="shared" si="6"/>
        <v>1.9616062543522241</v>
      </c>
      <c r="AM3" s="9">
        <f t="shared" si="7"/>
        <v>3.8478990971137628</v>
      </c>
      <c r="AN3" s="8" t="s">
        <v>4548</v>
      </c>
    </row>
    <row r="4" spans="8:40" ht="23.5" customHeight="1">
      <c r="M4" s="8" t="s">
        <v>3901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3901</v>
      </c>
      <c r="X4" s="8">
        <v>55.31</v>
      </c>
      <c r="Y4" s="8">
        <v>2.41</v>
      </c>
      <c r="Z4" s="9">
        <v>0.52</v>
      </c>
      <c r="AA4" s="8">
        <v>723</v>
      </c>
      <c r="AB4" s="8">
        <v>941</v>
      </c>
      <c r="AC4" s="21" t="s">
        <v>3901</v>
      </c>
      <c r="AD4" s="8" t="s">
        <v>3729</v>
      </c>
      <c r="AE4" s="8" t="s">
        <v>4084</v>
      </c>
      <c r="AF4" s="9">
        <f t="shared" si="0"/>
        <v>1742.43</v>
      </c>
      <c r="AG4" s="9">
        <f t="shared" si="1"/>
        <v>626.6</v>
      </c>
      <c r="AH4" s="9">
        <f t="shared" si="2"/>
        <v>9.2467067399923302</v>
      </c>
      <c r="AI4" s="9">
        <f t="shared" si="3"/>
        <v>85.501585535419579</v>
      </c>
      <c r="AJ4" s="9">
        <f t="shared" si="4"/>
        <v>8.4544441691686512</v>
      </c>
      <c r="AK4" s="9">
        <f t="shared" si="5"/>
        <v>71.477626209589801</v>
      </c>
      <c r="AL4" s="9">
        <f t="shared" si="6"/>
        <v>4.2974004579298777</v>
      </c>
      <c r="AM4" s="9">
        <f t="shared" si="7"/>
        <v>18.467650695815923</v>
      </c>
      <c r="AN4" s="8" t="s">
        <v>3901</v>
      </c>
    </row>
    <row r="5" spans="8:40" ht="23">
      <c r="M5" s="8" t="s">
        <v>359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359</v>
      </c>
      <c r="X5" s="8">
        <v>60.67</v>
      </c>
      <c r="Y5" s="8">
        <v>1.97</v>
      </c>
      <c r="Z5" s="9">
        <v>1.38</v>
      </c>
      <c r="AA5" s="8">
        <v>689.2</v>
      </c>
      <c r="AB5" s="8">
        <v>1176</v>
      </c>
      <c r="AC5" s="21" t="s">
        <v>359</v>
      </c>
      <c r="AD5" s="8" t="s">
        <v>3729</v>
      </c>
      <c r="AE5" s="8" t="s">
        <v>4084</v>
      </c>
      <c r="AF5" s="9">
        <f t="shared" si="0"/>
        <v>1357.7240000000002</v>
      </c>
      <c r="AG5" s="9">
        <f t="shared" si="1"/>
        <v>1125.6933333333334</v>
      </c>
      <c r="AH5" s="9">
        <f t="shared" si="2"/>
        <v>8.8144263972375008</v>
      </c>
      <c r="AI5" s="9">
        <f t="shared" si="3"/>
        <v>77.694112712317263</v>
      </c>
      <c r="AJ5" s="9">
        <f t="shared" si="4"/>
        <v>6.587812282353001</v>
      </c>
      <c r="AK5" s="9">
        <f t="shared" si="5"/>
        <v>43.399270667521058</v>
      </c>
      <c r="AL5" s="9">
        <f t="shared" si="6"/>
        <v>7.7203240442950491</v>
      </c>
      <c r="AM5" s="9">
        <f t="shared" si="7"/>
        <v>59.603403348920267</v>
      </c>
      <c r="AN5" s="8" t="s">
        <v>359</v>
      </c>
    </row>
    <row r="6" spans="8:40" ht="23">
      <c r="M6" s="8" t="s">
        <v>239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239</v>
      </c>
      <c r="X6" s="8">
        <v>34.6</v>
      </c>
      <c r="Y6" s="8">
        <v>6.58</v>
      </c>
      <c r="Z6" s="9">
        <v>3.51</v>
      </c>
      <c r="AA6" s="8">
        <v>522.79999999999995</v>
      </c>
      <c r="AB6" s="8">
        <v>2705</v>
      </c>
      <c r="AC6" s="21" t="s">
        <v>239</v>
      </c>
      <c r="AD6" s="8" t="s">
        <v>3729</v>
      </c>
      <c r="AE6" s="8" t="s">
        <v>4084</v>
      </c>
      <c r="AF6" s="9">
        <f t="shared" si="0"/>
        <v>3440.0239999999999</v>
      </c>
      <c r="AG6" s="9">
        <f t="shared" si="1"/>
        <v>2012.78</v>
      </c>
      <c r="AH6" s="9">
        <f t="shared" si="2"/>
        <v>6.686277017521423</v>
      </c>
      <c r="AI6" s="9">
        <f t="shared" si="3"/>
        <v>44.706300355035175</v>
      </c>
      <c r="AJ6" s="9">
        <f t="shared" si="4"/>
        <v>16.691339593900597</v>
      </c>
      <c r="AK6" s="9">
        <f t="shared" si="5"/>
        <v>278.60081743891374</v>
      </c>
      <c r="AL6" s="9">
        <f t="shared" si="6"/>
        <v>13.804215917191348</v>
      </c>
      <c r="AM6" s="9">
        <f t="shared" si="7"/>
        <v>190.55637708843898</v>
      </c>
      <c r="AN6" s="8" t="s">
        <v>239</v>
      </c>
    </row>
    <row r="7" spans="8:40" ht="23">
      <c r="M7" s="8" t="s">
        <v>4656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4656</v>
      </c>
      <c r="X7" s="8">
        <v>19.66</v>
      </c>
      <c r="Y7" s="8">
        <v>2.88</v>
      </c>
      <c r="Z7" s="9">
        <v>1.31</v>
      </c>
      <c r="AA7" s="8">
        <v>483</v>
      </c>
      <c r="AB7" s="8">
        <v>1944</v>
      </c>
      <c r="AC7" s="21" t="s">
        <v>4656</v>
      </c>
      <c r="AD7" s="8" t="s">
        <v>3729</v>
      </c>
      <c r="AE7" s="8" t="s">
        <v>4084</v>
      </c>
      <c r="AF7" s="9">
        <f t="shared" si="0"/>
        <v>1391.04</v>
      </c>
      <c r="AG7" s="9">
        <f t="shared" si="1"/>
        <v>732.55</v>
      </c>
      <c r="AH7" s="9">
        <f t="shared" si="2"/>
        <v>6.1772605192479881</v>
      </c>
      <c r="AI7" s="9">
        <f t="shared" si="3"/>
        <v>38.158547522659923</v>
      </c>
      <c r="AJ7" s="9">
        <f t="shared" si="4"/>
        <v>6.7494648376579605</v>
      </c>
      <c r="AK7" s="9">
        <f t="shared" si="5"/>
        <v>45.5552755947812</v>
      </c>
      <c r="AL7" s="9">
        <f t="shared" si="6"/>
        <v>5.0240355976005935</v>
      </c>
      <c r="AM7" s="9">
        <f t="shared" si="7"/>
        <v>25.240933685957952</v>
      </c>
      <c r="AN7" s="8" t="s">
        <v>4656</v>
      </c>
    </row>
    <row r="8" spans="8:40" ht="23">
      <c r="M8" s="8" t="s">
        <v>395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395</v>
      </c>
      <c r="X8" s="8">
        <v>57.05</v>
      </c>
      <c r="Y8" s="8">
        <v>1.8</v>
      </c>
      <c r="Z8" s="9">
        <v>1.1200000000000001</v>
      </c>
      <c r="AA8" s="8">
        <v>473.5</v>
      </c>
      <c r="AB8" s="8">
        <v>4865</v>
      </c>
      <c r="AC8" s="21" t="s">
        <v>395</v>
      </c>
      <c r="AD8" s="8" t="s">
        <v>3729</v>
      </c>
      <c r="AE8" s="8" t="s">
        <v>4084</v>
      </c>
      <c r="AF8" s="9">
        <f t="shared" si="0"/>
        <v>852.30000000000007</v>
      </c>
      <c r="AG8" s="9">
        <f t="shared" si="1"/>
        <v>568.19999999999993</v>
      </c>
      <c r="AH8" s="9">
        <f t="shared" si="2"/>
        <v>6.0557616063435242</v>
      </c>
      <c r="AI8" s="9">
        <f t="shared" si="3"/>
        <v>36.672248632864303</v>
      </c>
      <c r="AJ8" s="9">
        <f t="shared" si="4"/>
        <v>4.1354446177937945</v>
      </c>
      <c r="AK8" s="9">
        <f t="shared" si="5"/>
        <v>17.101902186839663</v>
      </c>
      <c r="AL8" s="9">
        <f t="shared" si="6"/>
        <v>3.8968766999613087</v>
      </c>
      <c r="AM8" s="9">
        <f t="shared" si="7"/>
        <v>15.185648014701339</v>
      </c>
      <c r="AN8" s="8" t="s">
        <v>395</v>
      </c>
    </row>
    <row r="9" spans="8:40" ht="23">
      <c r="M9" s="8" t="s">
        <v>4334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4334</v>
      </c>
      <c r="X9" s="8">
        <v>52.48</v>
      </c>
      <c r="Y9" s="8">
        <v>1.35</v>
      </c>
      <c r="Z9" s="9">
        <v>0.53</v>
      </c>
      <c r="AA9" s="8">
        <v>407.7</v>
      </c>
      <c r="AB9" s="8">
        <v>1658</v>
      </c>
      <c r="AC9" s="21" t="s">
        <v>4334</v>
      </c>
      <c r="AD9" s="8" t="s">
        <v>3729</v>
      </c>
      <c r="AE9" s="8" t="s">
        <v>4084</v>
      </c>
      <c r="AF9" s="9">
        <f t="shared" si="0"/>
        <v>550.39499999999998</v>
      </c>
      <c r="AG9" s="9">
        <f t="shared" si="1"/>
        <v>360.13499999999999</v>
      </c>
      <c r="AH9" s="9">
        <f t="shared" si="2"/>
        <v>5.2142217674894509</v>
      </c>
      <c r="AI9" s="9">
        <f t="shared" si="3"/>
        <v>27.188108640560813</v>
      </c>
      <c r="AJ9" s="9">
        <f t="shared" si="4"/>
        <v>2.6705714424622968</v>
      </c>
      <c r="AK9" s="9">
        <f t="shared" si="5"/>
        <v>7.1319518292951525</v>
      </c>
      <c r="AL9" s="9">
        <f t="shared" si="6"/>
        <v>2.4699079379453823</v>
      </c>
      <c r="AM9" s="9">
        <f t="shared" si="7"/>
        <v>6.1004452219256109</v>
      </c>
      <c r="AN9" s="8" t="s">
        <v>4334</v>
      </c>
    </row>
    <row r="10" spans="8:40" ht="23">
      <c r="M10" s="8" t="s">
        <v>788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8" t="s">
        <v>788</v>
      </c>
      <c r="X10" s="8">
        <v>30.94</v>
      </c>
      <c r="Y10" s="8">
        <v>2.8</v>
      </c>
      <c r="Z10" s="9">
        <v>6.1</v>
      </c>
      <c r="AA10" s="8">
        <v>386.4</v>
      </c>
      <c r="AB10" s="8">
        <v>1924</v>
      </c>
      <c r="AC10" s="21" t="s">
        <v>788</v>
      </c>
      <c r="AD10" s="8" t="s">
        <v>3729</v>
      </c>
      <c r="AE10" s="8" t="s">
        <v>4084</v>
      </c>
      <c r="AF10" s="9">
        <f t="shared" si="0"/>
        <v>1081.9199999999998</v>
      </c>
      <c r="AG10" s="9">
        <f t="shared" si="1"/>
        <v>2319.0439999999999</v>
      </c>
      <c r="AH10" s="9">
        <f t="shared" si="2"/>
        <v>4.9418084153983903</v>
      </c>
      <c r="AI10" s="9">
        <f t="shared" si="3"/>
        <v>24.421470414502348</v>
      </c>
      <c r="AJ10" s="9">
        <f t="shared" si="4"/>
        <v>5.2495837626228576</v>
      </c>
      <c r="AK10" s="9">
        <f t="shared" si="5"/>
        <v>27.558129680793559</v>
      </c>
      <c r="AL10" s="9">
        <f t="shared" si="6"/>
        <v>15.904661263261307</v>
      </c>
      <c r="AM10" s="9">
        <f t="shared" si="7"/>
        <v>252.95824989908476</v>
      </c>
      <c r="AN10" s="8" t="s">
        <v>788</v>
      </c>
    </row>
    <row r="11" spans="8:40" ht="23">
      <c r="M11" s="8" t="s">
        <v>1229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1229</v>
      </c>
      <c r="X11" s="8">
        <v>35.04</v>
      </c>
      <c r="Y11" s="8">
        <v>2.34</v>
      </c>
      <c r="Z11" s="9">
        <v>2.59</v>
      </c>
      <c r="AA11" s="8">
        <v>241.3</v>
      </c>
      <c r="AB11" s="8">
        <v>2215</v>
      </c>
      <c r="AC11" s="21" t="s">
        <v>1229</v>
      </c>
      <c r="AD11" s="8" t="s">
        <v>3729</v>
      </c>
      <c r="AE11" s="8" t="s">
        <v>4084</v>
      </c>
      <c r="AF11" s="9">
        <f t="shared" si="0"/>
        <v>564.64199999999994</v>
      </c>
      <c r="AG11" s="9">
        <f t="shared" si="1"/>
        <v>719.87833333333333</v>
      </c>
      <c r="AH11" s="9">
        <f t="shared" si="2"/>
        <v>3.086072387773374</v>
      </c>
      <c r="AI11" s="9">
        <f t="shared" si="3"/>
        <v>9.5238427825772547</v>
      </c>
      <c r="AJ11" s="9">
        <f t="shared" si="4"/>
        <v>2.7396993076150693</v>
      </c>
      <c r="AK11" s="9">
        <f t="shared" si="5"/>
        <v>7.5059522961464902</v>
      </c>
      <c r="AL11" s="9">
        <f t="shared" si="6"/>
        <v>4.9371297148427447</v>
      </c>
      <c r="AM11" s="9">
        <f t="shared" si="7"/>
        <v>24.3752498211832</v>
      </c>
      <c r="AN11" s="8" t="s">
        <v>1229</v>
      </c>
    </row>
    <row r="12" spans="8:40" ht="23">
      <c r="M12" s="9" t="s">
        <v>3246</v>
      </c>
      <c r="N12" s="8" t="s">
        <v>1902</v>
      </c>
      <c r="O12" s="8"/>
      <c r="P12" s="8"/>
      <c r="Q12" s="8"/>
      <c r="R12" s="8"/>
      <c r="S12" s="8"/>
      <c r="T12" s="8"/>
      <c r="U12" s="8"/>
      <c r="V12" s="8"/>
      <c r="W12" s="9" t="s">
        <v>3246</v>
      </c>
      <c r="X12" s="8">
        <v>32.57</v>
      </c>
      <c r="Y12" s="8">
        <v>6.33</v>
      </c>
      <c r="Z12" s="9">
        <v>3.51</v>
      </c>
      <c r="AA12" s="8">
        <v>232.1</v>
      </c>
      <c r="AB12" s="8">
        <v>1315</v>
      </c>
      <c r="AC12" s="22" t="s">
        <v>3246</v>
      </c>
      <c r="AD12" s="8" t="s">
        <v>3729</v>
      </c>
      <c r="AE12" s="8" t="s">
        <v>4084</v>
      </c>
      <c r="AF12" s="9">
        <f t="shared" si="0"/>
        <v>1469.193</v>
      </c>
      <c r="AG12" s="9">
        <f t="shared" si="1"/>
        <v>893.58500000000004</v>
      </c>
      <c r="AH12" s="9">
        <f t="shared" si="2"/>
        <v>2.9684102826448404</v>
      </c>
      <c r="AI12" s="9">
        <f t="shared" si="3"/>
        <v>8.8114596061116206</v>
      </c>
      <c r="AJ12" s="9">
        <f t="shared" si="4"/>
        <v>7.1286709894993763</v>
      </c>
      <c r="AK12" s="9">
        <f t="shared" si="5"/>
        <v>50.817950076530018</v>
      </c>
      <c r="AL12" s="9">
        <f t="shared" si="6"/>
        <v>6.1284592853483399</v>
      </c>
      <c r="AM12" s="9">
        <f t="shared" si="7"/>
        <v>37.558013212172284</v>
      </c>
      <c r="AN12" s="9" t="s">
        <v>3246</v>
      </c>
    </row>
    <row r="13" spans="8:40" ht="23">
      <c r="M13" s="8" t="s">
        <v>151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151</v>
      </c>
      <c r="X13" s="8">
        <v>27.59</v>
      </c>
      <c r="Y13" s="8">
        <v>3.03</v>
      </c>
      <c r="Z13" s="9">
        <v>2.38</v>
      </c>
      <c r="AA13" s="8">
        <v>125.8</v>
      </c>
      <c r="AB13" s="8">
        <v>2906</v>
      </c>
      <c r="AC13" s="21" t="s">
        <v>151</v>
      </c>
      <c r="AD13" s="8" t="s">
        <v>3729</v>
      </c>
      <c r="AE13" s="8" t="s">
        <v>4084</v>
      </c>
      <c r="AF13" s="9">
        <f t="shared" si="0"/>
        <v>381.17399999999998</v>
      </c>
      <c r="AG13" s="9">
        <f t="shared" si="1"/>
        <v>331.27333333333331</v>
      </c>
      <c r="AH13" s="9">
        <f t="shared" si="2"/>
        <v>1.6089013940401593</v>
      </c>
      <c r="AI13" s="9">
        <f t="shared" si="3"/>
        <v>2.5885636957443681</v>
      </c>
      <c r="AJ13" s="9">
        <f t="shared" si="4"/>
        <v>1.8494942704950508</v>
      </c>
      <c r="AK13" s="9">
        <f t="shared" si="5"/>
        <v>3.4206290565940201</v>
      </c>
      <c r="AL13" s="9">
        <f t="shared" si="6"/>
        <v>2.2719664448876853</v>
      </c>
      <c r="AM13" s="9">
        <f t="shared" si="7"/>
        <v>5.1618315266955879</v>
      </c>
      <c r="AN13" s="8" t="s">
        <v>151</v>
      </c>
    </row>
    <row r="14" spans="8:40" ht="23">
      <c r="M14" s="8" t="s">
        <v>4449</v>
      </c>
      <c r="N14" s="8" t="s">
        <v>150</v>
      </c>
      <c r="O14" s="8"/>
      <c r="P14" s="8" t="s">
        <v>3691</v>
      </c>
      <c r="Q14" s="8"/>
      <c r="R14" s="8"/>
      <c r="S14" s="8"/>
      <c r="T14" s="8"/>
      <c r="U14" s="8"/>
      <c r="V14" s="8"/>
      <c r="W14" s="8" t="s">
        <v>4449</v>
      </c>
      <c r="X14" s="8">
        <v>17.260000000000002</v>
      </c>
      <c r="Y14" s="8">
        <v>2.4700000000000002</v>
      </c>
      <c r="Z14" s="9">
        <v>0.54</v>
      </c>
      <c r="AA14" s="8">
        <v>125.3</v>
      </c>
      <c r="AB14" s="8">
        <v>3520</v>
      </c>
      <c r="AC14" s="21" t="s">
        <v>4449</v>
      </c>
      <c r="AD14" s="8" t="s">
        <v>3729</v>
      </c>
      <c r="AE14" s="8" t="s">
        <v>4084</v>
      </c>
      <c r="AF14" s="9">
        <f t="shared" si="0"/>
        <v>309.49100000000004</v>
      </c>
      <c r="AG14" s="9">
        <f t="shared" si="1"/>
        <v>112.77</v>
      </c>
      <c r="AH14" s="9">
        <f t="shared" si="2"/>
        <v>1.6025067144136085</v>
      </c>
      <c r="AI14" s="9">
        <f t="shared" si="3"/>
        <v>2.5680277697406986</v>
      </c>
      <c r="AJ14" s="9">
        <f t="shared" si="4"/>
        <v>1.5016812040427308</v>
      </c>
      <c r="AK14" s="9">
        <f t="shared" si="5"/>
        <v>2.2550464385752256</v>
      </c>
      <c r="AL14" s="9">
        <f t="shared" si="6"/>
        <v>0.77340863332389453</v>
      </c>
      <c r="AM14" s="9">
        <f t="shared" si="7"/>
        <v>0.59816091409993433</v>
      </c>
      <c r="AN14" s="8" t="s">
        <v>4449</v>
      </c>
    </row>
    <row r="15" spans="8:40" ht="23">
      <c r="M15" s="9" t="s">
        <v>3155</v>
      </c>
      <c r="N15" s="8" t="s">
        <v>1869</v>
      </c>
      <c r="O15" s="8"/>
      <c r="P15" s="8"/>
      <c r="Q15" s="8"/>
      <c r="R15" s="8"/>
      <c r="S15" s="8"/>
      <c r="T15" s="8"/>
      <c r="U15" s="8"/>
      <c r="V15" s="8"/>
      <c r="W15" s="9" t="s">
        <v>3155</v>
      </c>
      <c r="X15" s="8">
        <v>40.99</v>
      </c>
      <c r="Y15" s="8">
        <v>4.91</v>
      </c>
      <c r="Z15" s="9">
        <v>2.16</v>
      </c>
      <c r="AA15" s="8">
        <v>124.4</v>
      </c>
      <c r="AB15" s="8">
        <v>2677</v>
      </c>
      <c r="AC15" s="22" t="s">
        <v>3155</v>
      </c>
      <c r="AD15" s="8" t="s">
        <v>3729</v>
      </c>
      <c r="AE15" s="8" t="s">
        <v>4084</v>
      </c>
      <c r="AF15" s="9">
        <f t="shared" si="0"/>
        <v>610.80400000000009</v>
      </c>
      <c r="AG15" s="9">
        <f t="shared" si="1"/>
        <v>281.97333333333336</v>
      </c>
      <c r="AH15" s="9">
        <f t="shared" si="2"/>
        <v>1.5909962910858173</v>
      </c>
      <c r="AI15" s="9">
        <f t="shared" si="3"/>
        <v>2.5312691982488267</v>
      </c>
      <c r="AJ15" s="9">
        <f t="shared" si="4"/>
        <v>2.9636819363216254</v>
      </c>
      <c r="AK15" s="9">
        <f t="shared" si="5"/>
        <v>8.7834106196790991</v>
      </c>
      <c r="AL15" s="9">
        <f t="shared" si="6"/>
        <v>1.9338530670135345</v>
      </c>
      <c r="AM15" s="9">
        <f t="shared" si="7"/>
        <v>3.7397876847976543</v>
      </c>
      <c r="AN15" s="9" t="s">
        <v>3155</v>
      </c>
    </row>
    <row r="16" spans="8:40" ht="23">
      <c r="M16" s="8" t="s">
        <v>1734</v>
      </c>
      <c r="N16" s="8" t="s">
        <v>1717</v>
      </c>
      <c r="O16" s="8"/>
      <c r="P16" s="8"/>
      <c r="Q16" s="8"/>
      <c r="R16" s="8"/>
      <c r="S16" s="8"/>
      <c r="T16" s="8"/>
      <c r="U16" s="8"/>
      <c r="V16" s="8"/>
      <c r="W16" s="8" t="s">
        <v>1734</v>
      </c>
      <c r="X16" s="8">
        <v>18.54</v>
      </c>
      <c r="Y16" s="8">
        <v>1.7</v>
      </c>
      <c r="Z16" s="9">
        <v>2.46</v>
      </c>
      <c r="AA16" s="8">
        <v>115.7</v>
      </c>
      <c r="AB16" s="8">
        <v>4759</v>
      </c>
      <c r="AC16" s="21" t="s">
        <v>1734</v>
      </c>
      <c r="AD16" s="8" t="s">
        <v>3729</v>
      </c>
      <c r="AE16" s="8" t="s">
        <v>4084</v>
      </c>
      <c r="AF16" s="9">
        <f t="shared" si="0"/>
        <v>196.69</v>
      </c>
      <c r="AG16" s="9">
        <f t="shared" si="1"/>
        <v>320.10333333333335</v>
      </c>
      <c r="AH16" s="9">
        <f t="shared" si="2"/>
        <v>1.4797288655838348</v>
      </c>
      <c r="AI16" s="9">
        <f t="shared" si="3"/>
        <v>2.1895975156420224</v>
      </c>
      <c r="AJ16" s="9">
        <f t="shared" si="4"/>
        <v>0.95435950002799652</v>
      </c>
      <c r="AK16" s="9">
        <f t="shared" si="5"/>
        <v>0.91080205529368752</v>
      </c>
      <c r="AL16" s="9">
        <f t="shared" si="6"/>
        <v>2.1953594178926701</v>
      </c>
      <c r="AM16" s="9">
        <f t="shared" si="7"/>
        <v>4.819602973730043</v>
      </c>
      <c r="AN16" s="8" t="s">
        <v>1734</v>
      </c>
    </row>
    <row r="17" spans="13:40" ht="23">
      <c r="M17" s="9" t="s">
        <v>2880</v>
      </c>
      <c r="N17" s="8" t="s">
        <v>1717</v>
      </c>
      <c r="O17" s="8"/>
      <c r="P17" s="8"/>
      <c r="Q17" s="8"/>
      <c r="R17" s="8"/>
      <c r="S17" s="8"/>
      <c r="T17" s="8"/>
      <c r="U17" s="8"/>
      <c r="V17" s="8"/>
      <c r="W17" s="9" t="s">
        <v>2880</v>
      </c>
      <c r="X17" s="8">
        <v>17.12</v>
      </c>
      <c r="Y17" s="8">
        <v>2.14</v>
      </c>
      <c r="Z17" s="9">
        <v>6.12</v>
      </c>
      <c r="AA17" s="8">
        <v>114</v>
      </c>
      <c r="AB17" s="8">
        <v>5366</v>
      </c>
      <c r="AC17" s="22" t="s">
        <v>2880</v>
      </c>
      <c r="AD17" s="8" t="s">
        <v>3729</v>
      </c>
      <c r="AE17" s="8" t="s">
        <v>4084</v>
      </c>
      <c r="AF17" s="9">
        <f t="shared" si="0"/>
        <v>243.96</v>
      </c>
      <c r="AG17" s="9">
        <f t="shared" si="1"/>
        <v>706.80000000000007</v>
      </c>
      <c r="AH17" s="9">
        <f t="shared" si="2"/>
        <v>1.4579869548535624</v>
      </c>
      <c r="AI17" s="9">
        <f t="shared" si="3"/>
        <v>2.1257259605231638</v>
      </c>
      <c r="AJ17" s="9">
        <f t="shared" si="4"/>
        <v>1.1837182552586814</v>
      </c>
      <c r="AK17" s="9">
        <f t="shared" si="5"/>
        <v>1.4011889078326567</v>
      </c>
      <c r="AL17" s="9">
        <f t="shared" si="6"/>
        <v>4.8474347967839737</v>
      </c>
      <c r="AM17" s="9">
        <f t="shared" si="7"/>
        <v>23.497624109072085</v>
      </c>
      <c r="AN17" s="9" t="s">
        <v>2880</v>
      </c>
    </row>
    <row r="18" spans="13:40" ht="23">
      <c r="M18" s="8" t="s">
        <v>4416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4416</v>
      </c>
      <c r="X18" s="8">
        <v>8.91</v>
      </c>
      <c r="Y18" s="8">
        <v>2.06</v>
      </c>
      <c r="Z18" s="9">
        <v>0.17</v>
      </c>
      <c r="AA18" s="8">
        <v>96</v>
      </c>
      <c r="AB18" s="8">
        <v>11295</v>
      </c>
      <c r="AC18" s="21" t="s">
        <v>4416</v>
      </c>
      <c r="AD18" s="8" t="s">
        <v>3729</v>
      </c>
      <c r="AE18" s="8" t="s">
        <v>4084</v>
      </c>
      <c r="AF18" s="9">
        <f t="shared" si="0"/>
        <v>197.76</v>
      </c>
      <c r="AG18" s="9">
        <f t="shared" si="1"/>
        <v>27.2</v>
      </c>
      <c r="AH18" s="9">
        <f t="shared" si="2"/>
        <v>1.2277784882977367</v>
      </c>
      <c r="AI18" s="9">
        <f t="shared" si="3"/>
        <v>1.5074400163266757</v>
      </c>
      <c r="AJ18" s="9">
        <f t="shared" si="4"/>
        <v>0.95955124676158721</v>
      </c>
      <c r="AK18" s="9">
        <f t="shared" si="5"/>
        <v>0.92073859516171641</v>
      </c>
      <c r="AL18" s="9">
        <f t="shared" si="6"/>
        <v>0.18654531193056603</v>
      </c>
      <c r="AM18" s="9">
        <f t="shared" si="7"/>
        <v>3.4799153403272179E-2</v>
      </c>
      <c r="AN18" s="8" t="s">
        <v>4416</v>
      </c>
    </row>
    <row r="19" spans="13:40" ht="23">
      <c r="M19" s="8" t="s">
        <v>99</v>
      </c>
      <c r="N19" s="8" t="s">
        <v>82</v>
      </c>
      <c r="O19" s="8"/>
      <c r="P19" s="8"/>
      <c r="Q19" s="8"/>
      <c r="R19" s="8"/>
      <c r="S19" s="8"/>
      <c r="T19" s="8"/>
      <c r="U19" s="8"/>
      <c r="V19" s="8"/>
      <c r="W19" s="8" t="s">
        <v>99</v>
      </c>
      <c r="X19" s="8">
        <v>41.81</v>
      </c>
      <c r="Y19" s="8">
        <v>1.63</v>
      </c>
      <c r="Z19" s="9">
        <v>0.08</v>
      </c>
      <c r="AA19" s="8">
        <v>94.1</v>
      </c>
      <c r="AB19" s="8">
        <v>7520</v>
      </c>
      <c r="AC19" s="21" t="s">
        <v>99</v>
      </c>
      <c r="AD19" s="8" t="s">
        <v>3729</v>
      </c>
      <c r="AE19" s="8" t="s">
        <v>4084</v>
      </c>
      <c r="AF19" s="9">
        <f t="shared" si="0"/>
        <v>153.38299999999998</v>
      </c>
      <c r="AG19" s="9">
        <f t="shared" si="1"/>
        <v>12.546666666666665</v>
      </c>
      <c r="AH19" s="9">
        <f t="shared" si="2"/>
        <v>1.2034787057168439</v>
      </c>
      <c r="AI19" s="9">
        <f t="shared" si="3"/>
        <v>1.4483609951138898</v>
      </c>
      <c r="AJ19" s="9">
        <f t="shared" si="4"/>
        <v>0.74422961611060134</v>
      </c>
      <c r="AK19" s="9">
        <f t="shared" si="5"/>
        <v>0.55387772149613301</v>
      </c>
      <c r="AL19" s="9">
        <f t="shared" si="6"/>
        <v>8.6048597316991479E-2</v>
      </c>
      <c r="AM19" s="9">
        <f t="shared" si="7"/>
        <v>7.4043611002217536E-3</v>
      </c>
      <c r="AN19" s="8" t="s">
        <v>99</v>
      </c>
    </row>
    <row r="20" spans="13:40" ht="23">
      <c r="M20" s="8" t="s">
        <v>1192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1192</v>
      </c>
      <c r="X20" s="8">
        <v>24.89</v>
      </c>
      <c r="Y20" s="8">
        <v>4.6900000000000004</v>
      </c>
      <c r="Z20" s="9">
        <v>0.46</v>
      </c>
      <c r="AA20" s="8">
        <v>74.3</v>
      </c>
      <c r="AB20" s="8">
        <v>11468</v>
      </c>
      <c r="AC20" s="21" t="s">
        <v>1192</v>
      </c>
      <c r="AD20" s="8" t="s">
        <v>3729</v>
      </c>
      <c r="AE20" s="8" t="s">
        <v>4084</v>
      </c>
      <c r="AF20" s="9">
        <f t="shared" si="0"/>
        <v>348.46700000000004</v>
      </c>
      <c r="AG20" s="9">
        <f t="shared" si="1"/>
        <v>56.963333333333338</v>
      </c>
      <c r="AH20" s="9">
        <f t="shared" si="2"/>
        <v>0.95024939250543583</v>
      </c>
      <c r="AI20" s="9">
        <f t="shared" si="3"/>
        <v>0.90297390795694987</v>
      </c>
      <c r="AJ20" s="9">
        <f t="shared" si="4"/>
        <v>1.6907966439384612</v>
      </c>
      <c r="AK20" s="9">
        <f t="shared" si="5"/>
        <v>2.8587932911535634</v>
      </c>
      <c r="AL20" s="9">
        <f t="shared" si="6"/>
        <v>0.39067069063498078</v>
      </c>
      <c r="AM20" s="9">
        <f t="shared" si="7"/>
        <v>0.15262358852121286</v>
      </c>
      <c r="AN20" s="8" t="s">
        <v>1192</v>
      </c>
    </row>
    <row r="21" spans="13:40" ht="23">
      <c r="M21" s="8" t="s">
        <v>1374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1374</v>
      </c>
      <c r="X21" s="8">
        <v>22.63</v>
      </c>
      <c r="Y21" s="8">
        <v>1.74</v>
      </c>
      <c r="Z21" s="9">
        <v>1.45</v>
      </c>
      <c r="AA21" s="8">
        <v>73.8</v>
      </c>
      <c r="AB21" s="8">
        <v>6694</v>
      </c>
      <c r="AC21" s="21" t="s">
        <v>1374</v>
      </c>
      <c r="AD21" s="8" t="s">
        <v>3729</v>
      </c>
      <c r="AE21" s="8" t="s">
        <v>4084</v>
      </c>
      <c r="AF21" s="9">
        <f t="shared" si="0"/>
        <v>128.41200000000001</v>
      </c>
      <c r="AG21" s="9">
        <f t="shared" si="1"/>
        <v>129.15</v>
      </c>
      <c r="AH21" s="9">
        <f t="shared" si="2"/>
        <v>0.94385471287888512</v>
      </c>
      <c r="AI21" s="9">
        <f t="shared" si="3"/>
        <v>0.89086171902368261</v>
      </c>
      <c r="AJ21" s="9">
        <f t="shared" si="4"/>
        <v>0.62306783322789716</v>
      </c>
      <c r="AK21" s="9">
        <f t="shared" si="5"/>
        <v>0.38821352480330668</v>
      </c>
      <c r="AL21" s="9">
        <f t="shared" si="6"/>
        <v>0.88574731749384572</v>
      </c>
      <c r="AM21" s="9">
        <f t="shared" si="7"/>
        <v>0.78454831044754358</v>
      </c>
      <c r="AN21" s="8" t="s">
        <v>1374</v>
      </c>
    </row>
    <row r="22" spans="13:40" ht="23">
      <c r="M22" s="9" t="s">
        <v>3370</v>
      </c>
      <c r="N22" s="8" t="s">
        <v>1964</v>
      </c>
      <c r="O22" s="8"/>
      <c r="P22" s="8" t="s">
        <v>4657</v>
      </c>
      <c r="Q22" s="8"/>
      <c r="R22" s="8"/>
      <c r="S22" s="8"/>
      <c r="T22" s="8"/>
      <c r="U22" s="8"/>
      <c r="V22" s="8"/>
      <c r="W22" s="9" t="s">
        <v>3370</v>
      </c>
      <c r="X22" s="8">
        <v>30.44</v>
      </c>
      <c r="Y22" s="8">
        <v>1.92</v>
      </c>
      <c r="Z22" s="9">
        <v>0.52</v>
      </c>
      <c r="AA22" s="8">
        <v>71.2</v>
      </c>
      <c r="AB22" s="8">
        <v>13261</v>
      </c>
      <c r="AC22" s="22" t="s">
        <v>3370</v>
      </c>
      <c r="AD22" s="8" t="s">
        <v>3729</v>
      </c>
      <c r="AE22" s="8" t="s">
        <v>4084</v>
      </c>
      <c r="AF22" s="9">
        <f t="shared" si="0"/>
        <v>136.70400000000001</v>
      </c>
      <c r="AG22" s="9">
        <f t="shared" si="1"/>
        <v>61.706666666666671</v>
      </c>
      <c r="AH22" s="9">
        <f t="shared" si="2"/>
        <v>0.9106023788208214</v>
      </c>
      <c r="AI22" s="9">
        <f t="shared" si="3"/>
        <v>0.82919669231413873</v>
      </c>
      <c r="AJ22" s="9">
        <f t="shared" si="4"/>
        <v>0.6633014443633497</v>
      </c>
      <c r="AK22" s="9">
        <f t="shared" si="5"/>
        <v>0.43996880609450589</v>
      </c>
      <c r="AL22" s="9">
        <f t="shared" si="6"/>
        <v>0.42320181549738217</v>
      </c>
      <c r="AM22" s="9">
        <f t="shared" si="7"/>
        <v>0.17909977664028029</v>
      </c>
      <c r="AN22" s="9" t="s">
        <v>3370</v>
      </c>
    </row>
    <row r="23" spans="13:40" ht="23">
      <c r="M23" s="8" t="s">
        <v>4417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4417</v>
      </c>
      <c r="X23" s="8">
        <v>35.159999999999997</v>
      </c>
      <c r="Y23" s="8">
        <v>1.22</v>
      </c>
      <c r="Z23" s="9">
        <v>0.06</v>
      </c>
      <c r="AA23" s="8">
        <v>70.7</v>
      </c>
      <c r="AB23" s="8">
        <v>15441</v>
      </c>
      <c r="AC23" s="21" t="s">
        <v>4417</v>
      </c>
      <c r="AD23" s="8" t="s">
        <v>3729</v>
      </c>
      <c r="AE23" s="8" t="s">
        <v>4084</v>
      </c>
      <c r="AF23" s="9">
        <f t="shared" si="0"/>
        <v>86.254000000000005</v>
      </c>
      <c r="AG23" s="9">
        <f t="shared" si="1"/>
        <v>7.07</v>
      </c>
      <c r="AH23" s="9">
        <f t="shared" si="2"/>
        <v>0.90420769919427069</v>
      </c>
      <c r="AI23" s="9">
        <f t="shared" si="3"/>
        <v>0.81759156328219673</v>
      </c>
      <c r="AJ23" s="9">
        <f t="shared" si="4"/>
        <v>0.41851301192442331</v>
      </c>
      <c r="AK23" s="9">
        <f t="shared" si="5"/>
        <v>0.17515314115005248</v>
      </c>
      <c r="AL23" s="9">
        <f t="shared" si="6"/>
        <v>4.8488064534893453E-2</v>
      </c>
      <c r="AM23" s="9">
        <f t="shared" si="7"/>
        <v>2.3510924023399924E-3</v>
      </c>
      <c r="AN23" s="8" t="s">
        <v>4417</v>
      </c>
    </row>
    <row r="24" spans="13:40" ht="23">
      <c r="M24" s="9" t="s">
        <v>2168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9" t="s">
        <v>2168</v>
      </c>
      <c r="X24" s="8">
        <v>21.07</v>
      </c>
      <c r="Y24" s="8">
        <v>2.31</v>
      </c>
      <c r="Z24" s="9">
        <v>0.45</v>
      </c>
      <c r="AA24" s="8">
        <v>67.900000000000006</v>
      </c>
      <c r="AB24" s="8">
        <v>4850</v>
      </c>
      <c r="AC24" s="22" t="s">
        <v>2168</v>
      </c>
      <c r="AD24" s="8" t="s">
        <v>3729</v>
      </c>
      <c r="AE24" s="8" t="s">
        <v>4084</v>
      </c>
      <c r="AF24" s="9">
        <f t="shared" si="0"/>
        <v>156.84900000000002</v>
      </c>
      <c r="AG24" s="9">
        <f t="shared" si="1"/>
        <v>50.925000000000004</v>
      </c>
      <c r="AH24" s="9">
        <f t="shared" si="2"/>
        <v>0.8683974932855868</v>
      </c>
      <c r="AI24" s="9">
        <f t="shared" si="3"/>
        <v>0.75411420634469073</v>
      </c>
      <c r="AJ24" s="9">
        <f t="shared" si="4"/>
        <v>0.76104699384763463</v>
      </c>
      <c r="AK24" s="9">
        <f t="shared" si="5"/>
        <v>0.5791925268445216</v>
      </c>
      <c r="AL24" s="9">
        <f t="shared" si="6"/>
        <v>0.34925808860529695</v>
      </c>
      <c r="AM24" s="9">
        <f t="shared" si="7"/>
        <v>0.12198121245622545</v>
      </c>
      <c r="AN24" s="9" t="s">
        <v>2168</v>
      </c>
    </row>
    <row r="25" spans="13:40" ht="23">
      <c r="M25" s="8" t="s">
        <v>292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8" t="s">
        <v>292</v>
      </c>
      <c r="X25" s="8">
        <v>29.97</v>
      </c>
      <c r="Y25" s="8">
        <v>1.1100000000000001</v>
      </c>
      <c r="Z25" s="9">
        <v>0.1</v>
      </c>
      <c r="AA25" s="8">
        <v>63.2</v>
      </c>
      <c r="AB25" s="8">
        <v>21693</v>
      </c>
      <c r="AC25" s="21" t="s">
        <v>292</v>
      </c>
      <c r="AD25" s="8" t="s">
        <v>3729</v>
      </c>
      <c r="AE25" s="8" t="s">
        <v>4084</v>
      </c>
      <c r="AF25" s="9">
        <f t="shared" si="0"/>
        <v>70.152000000000015</v>
      </c>
      <c r="AG25" s="9">
        <f t="shared" si="1"/>
        <v>0.10533333333333335</v>
      </c>
      <c r="AH25" s="9">
        <f t="shared" si="2"/>
        <v>0.80828750479601008</v>
      </c>
      <c r="AI25" s="9">
        <f t="shared" si="3"/>
        <v>0.65332869040936004</v>
      </c>
      <c r="AJ25" s="9">
        <f t="shared" si="4"/>
        <v>0.3403845017335097</v>
      </c>
      <c r="AK25" s="9">
        <f t="shared" si="5"/>
        <v>0.11586160902036967</v>
      </c>
      <c r="AL25" s="9">
        <f t="shared" si="6"/>
        <v>7.2240586482915292E-4</v>
      </c>
      <c r="AM25" s="9">
        <f t="shared" si="7"/>
        <v>5.2187023353955633E-7</v>
      </c>
      <c r="AN25" s="8" t="s">
        <v>292</v>
      </c>
    </row>
    <row r="26" spans="13:40" ht="23">
      <c r="M26" s="8" t="s">
        <v>2012</v>
      </c>
      <c r="N26" s="8" t="s">
        <v>2003</v>
      </c>
      <c r="O26" s="8"/>
      <c r="P26" s="8"/>
      <c r="Q26" s="8"/>
      <c r="R26" s="8"/>
      <c r="S26" s="8"/>
      <c r="T26" s="8"/>
      <c r="U26" s="8"/>
      <c r="V26" s="8"/>
      <c r="W26" s="8" t="s">
        <v>2012</v>
      </c>
      <c r="X26" s="8">
        <v>13.7</v>
      </c>
      <c r="Y26" s="8">
        <v>4.42</v>
      </c>
      <c r="Z26" s="9">
        <v>0.33</v>
      </c>
      <c r="AA26" s="8">
        <v>62.4</v>
      </c>
      <c r="AB26" s="8">
        <v>13986</v>
      </c>
      <c r="AC26" s="21" t="s">
        <v>2012</v>
      </c>
      <c r="AD26" s="8" t="s">
        <v>3729</v>
      </c>
      <c r="AE26" s="8" t="s">
        <v>4084</v>
      </c>
      <c r="AF26" s="9">
        <f t="shared" si="0"/>
        <v>275.80799999999999</v>
      </c>
      <c r="AG26" s="9">
        <f t="shared" si="1"/>
        <v>34.32</v>
      </c>
      <c r="AH26" s="9">
        <f t="shared" si="2"/>
        <v>0.79805601739352894</v>
      </c>
      <c r="AI26" s="9">
        <f t="shared" si="3"/>
        <v>0.63689340689802054</v>
      </c>
      <c r="AJ26" s="9">
        <f t="shared" si="4"/>
        <v>1.3382479281291457</v>
      </c>
      <c r="AK26" s="9">
        <f t="shared" si="5"/>
        <v>1.7909075171419513</v>
      </c>
      <c r="AL26" s="9">
        <f t="shared" si="6"/>
        <v>0.23537629064180246</v>
      </c>
      <c r="AM26" s="9">
        <f t="shared" si="7"/>
        <v>5.5401998196294266E-2</v>
      </c>
      <c r="AN26" s="8" t="s">
        <v>2012</v>
      </c>
    </row>
    <row r="27" spans="13:40" ht="23">
      <c r="M27" s="8" t="s">
        <v>1659</v>
      </c>
      <c r="N27" s="8" t="s">
        <v>1614</v>
      </c>
      <c r="O27" s="8"/>
      <c r="P27" s="8"/>
      <c r="Q27" s="8"/>
      <c r="R27" s="8"/>
      <c r="S27" s="8"/>
      <c r="T27" s="8"/>
      <c r="U27" s="8"/>
      <c r="V27" s="8"/>
      <c r="W27" s="8" t="s">
        <v>1659</v>
      </c>
      <c r="X27" s="8">
        <v>18.190000000000001</v>
      </c>
      <c r="Y27" s="8">
        <v>2.14</v>
      </c>
      <c r="Z27" s="9">
        <v>0.51</v>
      </c>
      <c r="AA27" s="8">
        <v>60.5</v>
      </c>
      <c r="AB27" s="8">
        <v>4998</v>
      </c>
      <c r="AC27" s="21" t="s">
        <v>1659</v>
      </c>
      <c r="AD27" s="8" t="s">
        <v>3729</v>
      </c>
      <c r="AE27" s="8" t="s">
        <v>4084</v>
      </c>
      <c r="AF27" s="9">
        <f t="shared" si="0"/>
        <v>129.47</v>
      </c>
      <c r="AG27" s="9">
        <f t="shared" si="1"/>
        <v>51.424999999999997</v>
      </c>
      <c r="AH27" s="9">
        <f t="shared" si="2"/>
        <v>0.77375623481263622</v>
      </c>
      <c r="AI27" s="9">
        <f t="shared" si="3"/>
        <v>0.59869871091142746</v>
      </c>
      <c r="AJ27" s="9">
        <f t="shared" si="4"/>
        <v>0.62820135476447558</v>
      </c>
      <c r="AK27" s="9">
        <f t="shared" si="5"/>
        <v>0.3946369421279225</v>
      </c>
      <c r="AL27" s="9">
        <f t="shared" si="6"/>
        <v>0.3526872303687264</v>
      </c>
      <c r="AM27" s="9">
        <f t="shared" si="7"/>
        <v>0.12438828246516309</v>
      </c>
      <c r="AN27" s="8" t="s">
        <v>1659</v>
      </c>
    </row>
    <row r="28" spans="13:40" ht="23">
      <c r="M28" s="8" t="s">
        <v>628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628</v>
      </c>
      <c r="X28" s="8">
        <v>21.06</v>
      </c>
      <c r="Y28" s="8">
        <v>1.59</v>
      </c>
      <c r="Z28" s="9">
        <v>0.22</v>
      </c>
      <c r="AA28" s="8">
        <v>57.3</v>
      </c>
      <c r="AB28" s="8">
        <v>7583</v>
      </c>
      <c r="AC28" s="21" t="s">
        <v>628</v>
      </c>
      <c r="AD28" s="8" t="s">
        <v>3729</v>
      </c>
      <c r="AE28" s="8" t="s">
        <v>4084</v>
      </c>
      <c r="AF28" s="9">
        <f t="shared" si="0"/>
        <v>91.106999999999999</v>
      </c>
      <c r="AG28" s="9">
        <f t="shared" si="1"/>
        <v>21.009999999999998</v>
      </c>
      <c r="AH28" s="9">
        <f t="shared" si="2"/>
        <v>0.73283028520271154</v>
      </c>
      <c r="AI28" s="9">
        <f t="shared" si="3"/>
        <v>0.53704022691028752</v>
      </c>
      <c r="AJ28" s="9">
        <f t="shared" si="4"/>
        <v>0.44206025201612015</v>
      </c>
      <c r="AK28" s="9">
        <f t="shared" si="5"/>
        <v>0.19541726641255566</v>
      </c>
      <c r="AL28" s="9">
        <f t="shared" si="6"/>
        <v>0.14409253689930851</v>
      </c>
      <c r="AM28" s="9">
        <f t="shared" si="7"/>
        <v>2.0762659190078584E-2</v>
      </c>
      <c r="AN28" s="8" t="s">
        <v>628</v>
      </c>
    </row>
    <row r="29" spans="13:40" ht="23">
      <c r="M29" s="9" t="s">
        <v>3063</v>
      </c>
      <c r="N29" s="8" t="s">
        <v>1814</v>
      </c>
      <c r="O29" s="8"/>
      <c r="P29" s="8"/>
      <c r="Q29" s="8"/>
      <c r="R29" s="8"/>
      <c r="S29" s="8"/>
      <c r="T29" s="8"/>
      <c r="U29" s="8"/>
      <c r="V29" s="8"/>
      <c r="W29" s="9" t="s">
        <v>3063</v>
      </c>
      <c r="X29" s="8">
        <v>34.18</v>
      </c>
      <c r="Y29" s="8">
        <v>1.64</v>
      </c>
      <c r="Z29" s="9">
        <v>0.41</v>
      </c>
      <c r="AA29" s="8">
        <v>48.5</v>
      </c>
      <c r="AB29" s="8">
        <v>7052</v>
      </c>
      <c r="AC29" s="22" t="s">
        <v>3063</v>
      </c>
      <c r="AD29" s="8" t="s">
        <v>3729</v>
      </c>
      <c r="AE29" s="8" t="s">
        <v>4084</v>
      </c>
      <c r="AF29" s="9">
        <f t="shared" si="0"/>
        <v>79.539999999999992</v>
      </c>
      <c r="AG29" s="9">
        <f t="shared" si="1"/>
        <v>33.141666666666666</v>
      </c>
      <c r="AH29" s="9">
        <f t="shared" si="2"/>
        <v>0.62028392377541908</v>
      </c>
      <c r="AI29" s="9">
        <f t="shared" si="3"/>
        <v>0.38475214609422992</v>
      </c>
      <c r="AJ29" s="9">
        <f t="shared" si="4"/>
        <v>0.38593601419607931</v>
      </c>
      <c r="AK29" s="9">
        <f t="shared" si="5"/>
        <v>0.14894660705355633</v>
      </c>
      <c r="AL29" s="9">
        <f t="shared" si="6"/>
        <v>0.2272949465526535</v>
      </c>
      <c r="AM29" s="9">
        <f t="shared" si="7"/>
        <v>5.1662992728373616E-2</v>
      </c>
      <c r="AN29" s="9" t="s">
        <v>3063</v>
      </c>
    </row>
    <row r="30" spans="13:40" ht="23">
      <c r="M30" s="8" t="s">
        <v>1180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1180</v>
      </c>
      <c r="X30" s="8">
        <v>47</v>
      </c>
      <c r="Y30" s="8">
        <v>1.22</v>
      </c>
      <c r="Z30" s="9">
        <v>0.02</v>
      </c>
      <c r="AA30" s="8">
        <v>41.7</v>
      </c>
      <c r="AB30" s="8">
        <v>28673</v>
      </c>
      <c r="AC30" s="21" t="s">
        <v>1180</v>
      </c>
      <c r="AD30" s="8" t="s">
        <v>3729</v>
      </c>
      <c r="AE30" s="8" t="s">
        <v>4084</v>
      </c>
      <c r="AF30" s="9">
        <f t="shared" si="0"/>
        <v>50.874000000000002</v>
      </c>
      <c r="AG30" s="9">
        <f t="shared" si="1"/>
        <v>1.3900000000000001</v>
      </c>
      <c r="AH30" s="9">
        <f t="shared" si="2"/>
        <v>0.53331628085432947</v>
      </c>
      <c r="AI30" s="9">
        <f t="shared" si="3"/>
        <v>0.28442625542429401</v>
      </c>
      <c r="AJ30" s="9">
        <f t="shared" si="4"/>
        <v>0.24684572273335859</v>
      </c>
      <c r="AK30" s="9">
        <f t="shared" si="5"/>
        <v>6.0932810831754142E-2</v>
      </c>
      <c r="AL30" s="9">
        <f t="shared" si="6"/>
        <v>9.5330141023340729E-3</v>
      </c>
      <c r="AM30" s="9">
        <f t="shared" si="7"/>
        <v>9.087835787530031E-5</v>
      </c>
      <c r="AN30" s="8" t="s">
        <v>1180</v>
      </c>
    </row>
    <row r="31" spans="13:40" ht="23">
      <c r="M31" s="8" t="s">
        <v>797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8" t="s">
        <v>797</v>
      </c>
      <c r="X31" s="8">
        <v>17.66</v>
      </c>
      <c r="Y31" s="8">
        <v>4.17</v>
      </c>
      <c r="Z31" s="9">
        <v>1.38</v>
      </c>
      <c r="AA31" s="8">
        <v>40.9</v>
      </c>
      <c r="AB31" s="8">
        <v>6201</v>
      </c>
      <c r="AC31" s="21" t="s">
        <v>797</v>
      </c>
      <c r="AD31" s="8" t="s">
        <v>3729</v>
      </c>
      <c r="AE31" s="8" t="s">
        <v>4084</v>
      </c>
      <c r="AF31" s="9">
        <f t="shared" si="0"/>
        <v>170.553</v>
      </c>
      <c r="AG31" s="9">
        <f t="shared" si="1"/>
        <v>66.803333333333327</v>
      </c>
      <c r="AH31" s="9">
        <f t="shared" si="2"/>
        <v>0.52308479345184822</v>
      </c>
      <c r="AI31" s="9">
        <f t="shared" si="3"/>
        <v>0.27361770114056272</v>
      </c>
      <c r="AJ31" s="9">
        <f t="shared" si="4"/>
        <v>0.82754016883560366</v>
      </c>
      <c r="AK31" s="9">
        <f t="shared" si="5"/>
        <v>0.68482273103645941</v>
      </c>
      <c r="AL31" s="9">
        <f t="shared" si="6"/>
        <v>0.45815620053927375</v>
      </c>
      <c r="AM31" s="9">
        <f t="shared" si="7"/>
        <v>0.20990710409258323</v>
      </c>
      <c r="AN31" s="8" t="s">
        <v>797</v>
      </c>
    </row>
    <row r="32" spans="13:40" ht="23">
      <c r="M32" s="9" t="s">
        <v>3558</v>
      </c>
      <c r="N32" s="8" t="s">
        <v>2066</v>
      </c>
      <c r="O32" s="8"/>
      <c r="P32" s="8"/>
      <c r="Q32" s="8"/>
      <c r="R32" s="8"/>
      <c r="S32" s="8"/>
      <c r="T32" s="8"/>
      <c r="U32" s="8"/>
      <c r="V32" s="8"/>
      <c r="W32" s="9" t="s">
        <v>3558</v>
      </c>
      <c r="X32" s="8">
        <v>5.69</v>
      </c>
      <c r="Y32" s="8">
        <v>1.97</v>
      </c>
      <c r="Z32" s="9">
        <v>0.01</v>
      </c>
      <c r="AA32" s="8">
        <v>39.1</v>
      </c>
      <c r="AB32" s="8">
        <v>30422</v>
      </c>
      <c r="AC32" s="22" t="s">
        <v>3558</v>
      </c>
      <c r="AD32" s="8" t="s">
        <v>3729</v>
      </c>
      <c r="AE32" s="8" t="s">
        <v>4084</v>
      </c>
      <c r="AF32" s="9">
        <f t="shared" si="0"/>
        <v>77.027000000000001</v>
      </c>
      <c r="AG32" s="9">
        <f t="shared" si="1"/>
        <v>0.65166666666666673</v>
      </c>
      <c r="AH32" s="9">
        <f t="shared" si="2"/>
        <v>0.50006394679626565</v>
      </c>
      <c r="AI32" s="9">
        <f t="shared" si="3"/>
        <v>0.25006395088545841</v>
      </c>
      <c r="AJ32" s="9">
        <f t="shared" si="4"/>
        <v>0.3737426875217677</v>
      </c>
      <c r="AK32" s="9">
        <f t="shared" si="5"/>
        <v>0.13968359647599368</v>
      </c>
      <c r="AL32" s="9">
        <f t="shared" si="6"/>
        <v>4.4693147650031453E-3</v>
      </c>
      <c r="AM32" s="9">
        <f t="shared" si="7"/>
        <v>1.997477446867512E-5</v>
      </c>
      <c r="AN32" s="9" t="s">
        <v>3558</v>
      </c>
    </row>
    <row r="33" spans="13:40" ht="23">
      <c r="M33" s="8" t="s">
        <v>1821</v>
      </c>
      <c r="N33" s="8" t="s">
        <v>1814</v>
      </c>
      <c r="O33" s="8"/>
      <c r="P33" s="8"/>
      <c r="Q33" s="8"/>
      <c r="R33" s="8"/>
      <c r="S33" s="8"/>
      <c r="T33" s="8"/>
      <c r="U33" s="8"/>
      <c r="V33" s="8"/>
      <c r="W33" s="8" t="s">
        <v>1821</v>
      </c>
      <c r="X33" s="8">
        <v>1.1499999999999999</v>
      </c>
      <c r="Y33" s="8">
        <v>1.42</v>
      </c>
      <c r="Z33" s="9">
        <v>0.28000000000000003</v>
      </c>
      <c r="AA33" s="8">
        <v>35</v>
      </c>
      <c r="AB33" s="8">
        <v>23140</v>
      </c>
      <c r="AC33" s="21" t="s">
        <v>1821</v>
      </c>
      <c r="AD33" s="8" t="s">
        <v>3729</v>
      </c>
      <c r="AE33" s="8" t="s">
        <v>4084</v>
      </c>
      <c r="AF33" s="9">
        <f t="shared" si="0"/>
        <v>49.699999999999996</v>
      </c>
      <c r="AG33" s="9">
        <f t="shared" si="1"/>
        <v>16.333333333333332</v>
      </c>
      <c r="AH33" s="9">
        <f t="shared" si="2"/>
        <v>0.44762757385854984</v>
      </c>
      <c r="AI33" s="9">
        <f t="shared" si="3"/>
        <v>0.20037044487849148</v>
      </c>
      <c r="AJ33" s="9">
        <f t="shared" si="4"/>
        <v>0.24114935762566181</v>
      </c>
      <c r="AK33" s="9">
        <f t="shared" si="5"/>
        <v>5.8153012683269334E-2</v>
      </c>
      <c r="AL33" s="9">
        <f t="shared" si="6"/>
        <v>0.11201863093869774</v>
      </c>
      <c r="AM33" s="9">
        <f t="shared" si="7"/>
        <v>1.254817367738017E-2</v>
      </c>
      <c r="AN33" s="8" t="s">
        <v>1821</v>
      </c>
    </row>
    <row r="34" spans="13:40" ht="23">
      <c r="M34" s="9" t="s">
        <v>2805</v>
      </c>
      <c r="N34" s="8" t="s">
        <v>1614</v>
      </c>
      <c r="O34" s="8"/>
      <c r="P34" s="8"/>
      <c r="Q34" s="8"/>
      <c r="R34" s="8"/>
      <c r="S34" s="8"/>
      <c r="T34" s="8"/>
      <c r="U34" s="8"/>
      <c r="V34" s="8"/>
      <c r="W34" s="9" t="s">
        <v>2805</v>
      </c>
      <c r="X34" s="8">
        <v>12.98</v>
      </c>
      <c r="Y34" s="8">
        <v>5.54</v>
      </c>
      <c r="Z34" s="9">
        <v>1.32</v>
      </c>
      <c r="AA34" s="8">
        <v>30.4</v>
      </c>
      <c r="AB34" s="8">
        <v>5517</v>
      </c>
      <c r="AC34" s="22" t="s">
        <v>2805</v>
      </c>
      <c r="AD34" s="8" t="s">
        <v>3729</v>
      </c>
      <c r="AE34" s="8" t="s">
        <v>4084</v>
      </c>
      <c r="AF34" s="9">
        <f t="shared" ref="AF34:AF69" si="8">(AA34*Y34)</f>
        <v>168.416</v>
      </c>
      <c r="AG34" s="9">
        <f t="shared" ref="AG34:AG69" si="9">((((RIGHT(Z34,2))/60)+(LEFT(Z34,2)))*AA34)</f>
        <v>46.61333333333333</v>
      </c>
      <c r="AH34" s="9">
        <f t="shared" ref="AH34:AH69" si="10">(AA34/$AA$70)*100</f>
        <v>0.38879652129428327</v>
      </c>
      <c r="AI34" s="9">
        <f t="shared" ref="AI34:AI65" si="11">(AH34*AH34)</f>
        <v>0.15116273497053606</v>
      </c>
      <c r="AJ34" s="9">
        <f t="shared" ref="AJ34:AJ69" si="12">(AF34/$AF$70)*100</f>
        <v>0.81717123166767536</v>
      </c>
      <c r="AK34" s="9">
        <f t="shared" ref="AK34:AK65" si="13">(AJ34*AJ34)</f>
        <v>0.66776882186526554</v>
      </c>
      <c r="AL34" s="9">
        <f t="shared" ref="AL34:AL69" si="14">(AG34/$AG$70)*100</f>
        <v>0.31968745613198962</v>
      </c>
      <c r="AM34" s="9">
        <f t="shared" ref="AM34:AM65" si="15">(AL34*AL34)</f>
        <v>0.10220006960814279</v>
      </c>
      <c r="AN34" s="9" t="s">
        <v>2805</v>
      </c>
    </row>
    <row r="35" spans="13:40" ht="23">
      <c r="M35" s="8" t="s">
        <v>187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8" t="s">
        <v>187</v>
      </c>
      <c r="X35" s="8">
        <v>13.34</v>
      </c>
      <c r="Y35" s="8">
        <v>5.14</v>
      </c>
      <c r="Z35" s="9">
        <v>5.36</v>
      </c>
      <c r="AA35" s="8">
        <v>26.8</v>
      </c>
      <c r="AB35" s="8">
        <v>7270</v>
      </c>
      <c r="AC35" s="21" t="s">
        <v>187</v>
      </c>
      <c r="AD35" s="8" t="s">
        <v>3729</v>
      </c>
      <c r="AE35" s="8" t="s">
        <v>4084</v>
      </c>
      <c r="AF35" s="9">
        <f t="shared" si="8"/>
        <v>137.75199999999998</v>
      </c>
      <c r="AG35" s="9">
        <f t="shared" si="9"/>
        <v>150.07999999999998</v>
      </c>
      <c r="AH35" s="9">
        <f t="shared" si="10"/>
        <v>0.34275482798311818</v>
      </c>
      <c r="AI35" s="9">
        <f t="shared" si="11"/>
        <v>0.11748087210573693</v>
      </c>
      <c r="AJ35" s="9">
        <f t="shared" si="12"/>
        <v>0.66838644490241783</v>
      </c>
      <c r="AK35" s="9">
        <f t="shared" si="13"/>
        <v>0.44674043972929284</v>
      </c>
      <c r="AL35" s="9">
        <f t="shared" si="14"/>
        <v>1.0292911917110055</v>
      </c>
      <c r="AM35" s="9">
        <f t="shared" si="15"/>
        <v>1.0594403573338618</v>
      </c>
      <c r="AN35" s="8" t="s">
        <v>187</v>
      </c>
    </row>
    <row r="36" spans="13:40" ht="23">
      <c r="M36" s="9" t="s">
        <v>3520</v>
      </c>
      <c r="N36" s="8" t="s">
        <v>2041</v>
      </c>
      <c r="O36" s="8"/>
      <c r="P36" s="8"/>
      <c r="Q36" s="8"/>
      <c r="R36" s="8"/>
      <c r="S36" s="8"/>
      <c r="T36" s="8"/>
      <c r="U36" s="8"/>
      <c r="V36" s="8"/>
      <c r="W36" s="9" t="s">
        <v>3520</v>
      </c>
      <c r="X36" s="8">
        <v>41.8</v>
      </c>
      <c r="Y36" s="8">
        <v>1.17</v>
      </c>
      <c r="Z36" s="9">
        <v>0.05</v>
      </c>
      <c r="AA36" s="8">
        <v>26.4</v>
      </c>
      <c r="AB36" s="8">
        <v>35454</v>
      </c>
      <c r="AC36" s="22" t="s">
        <v>3520</v>
      </c>
      <c r="AD36" s="8" t="s">
        <v>3729</v>
      </c>
      <c r="AE36" s="8" t="s">
        <v>4084</v>
      </c>
      <c r="AF36" s="9">
        <f t="shared" si="8"/>
        <v>30.887999999999998</v>
      </c>
      <c r="AG36" s="9">
        <f t="shared" si="9"/>
        <v>2.1999999999999997</v>
      </c>
      <c r="AH36" s="9">
        <f t="shared" si="10"/>
        <v>0.33763908428187756</v>
      </c>
      <c r="AI36" s="9">
        <f t="shared" si="11"/>
        <v>0.11400015123470482</v>
      </c>
      <c r="AJ36" s="9">
        <f t="shared" si="12"/>
        <v>0.14987165710948575</v>
      </c>
      <c r="AK36" s="9">
        <f t="shared" si="13"/>
        <v>2.2461513604743268E-2</v>
      </c>
      <c r="AL36" s="9">
        <f t="shared" si="14"/>
        <v>1.50882237590899E-2</v>
      </c>
      <c r="AM36" s="9">
        <f t="shared" si="15"/>
        <v>2.2765449620436494E-4</v>
      </c>
      <c r="AN36" s="9" t="s">
        <v>3520</v>
      </c>
    </row>
    <row r="37" spans="13:40" ht="23">
      <c r="M37" s="8" t="s">
        <v>798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8" t="s">
        <v>798</v>
      </c>
      <c r="X37" s="8">
        <v>29.48</v>
      </c>
      <c r="Y37" s="8">
        <v>2.16</v>
      </c>
      <c r="Z37" s="9">
        <v>2.29</v>
      </c>
      <c r="AA37" s="8">
        <v>24.6</v>
      </c>
      <c r="AB37" s="8">
        <v>9245</v>
      </c>
      <c r="AC37" s="21" t="s">
        <v>798</v>
      </c>
      <c r="AD37" s="8" t="s">
        <v>3729</v>
      </c>
      <c r="AE37" s="8" t="s">
        <v>4084</v>
      </c>
      <c r="AF37" s="9">
        <f t="shared" si="8"/>
        <v>53.13600000000001</v>
      </c>
      <c r="AG37" s="9">
        <f t="shared" si="9"/>
        <v>61.09</v>
      </c>
      <c r="AH37" s="9">
        <f t="shared" si="10"/>
        <v>0.31461823762629504</v>
      </c>
      <c r="AI37" s="9">
        <f t="shared" si="11"/>
        <v>9.898463544707585E-2</v>
      </c>
      <c r="AJ37" s="9">
        <f t="shared" si="12"/>
        <v>0.25782117237016439</v>
      </c>
      <c r="AK37" s="9">
        <f t="shared" si="13"/>
        <v>6.6471756922326014E-2</v>
      </c>
      <c r="AL37" s="9">
        <f t="shared" si="14"/>
        <v>0.41897254065581907</v>
      </c>
      <c r="AM37" s="9">
        <f t="shared" si="15"/>
        <v>0.17553798982359195</v>
      </c>
      <c r="AN37" s="8" t="s">
        <v>798</v>
      </c>
    </row>
    <row r="38" spans="13:40" ht="23">
      <c r="M38" s="9" t="s">
        <v>2527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9" t="s">
        <v>2527</v>
      </c>
      <c r="X38" s="8">
        <v>7.81</v>
      </c>
      <c r="Y38" s="8">
        <v>7.16</v>
      </c>
      <c r="Z38" s="9">
        <v>0.03</v>
      </c>
      <c r="AA38" s="8">
        <v>23.2</v>
      </c>
      <c r="AB38" s="8">
        <v>35231</v>
      </c>
      <c r="AC38" s="22" t="s">
        <v>2527</v>
      </c>
      <c r="AD38" s="8" t="s">
        <v>3729</v>
      </c>
      <c r="AE38" s="8" t="s">
        <v>4084</v>
      </c>
      <c r="AF38" s="9">
        <f t="shared" si="8"/>
        <v>166.11199999999999</v>
      </c>
      <c r="AG38" s="9">
        <f t="shared" si="9"/>
        <v>1.1599999999999999</v>
      </c>
      <c r="AH38" s="9">
        <f t="shared" si="10"/>
        <v>0.29671313467195304</v>
      </c>
      <c r="AI38" s="9">
        <f t="shared" si="11"/>
        <v>8.8038684286856544E-2</v>
      </c>
      <c r="AJ38" s="9">
        <f t="shared" si="12"/>
        <v>0.8059919938413268</v>
      </c>
      <c r="AK38" s="9">
        <f t="shared" si="13"/>
        <v>0.64962309413631736</v>
      </c>
      <c r="AL38" s="9">
        <f t="shared" si="14"/>
        <v>7.9556088911564935E-3</v>
      </c>
      <c r="AM38" s="9">
        <f t="shared" si="15"/>
        <v>6.3291712829048258E-5</v>
      </c>
      <c r="AN38" s="9" t="s">
        <v>2527</v>
      </c>
    </row>
    <row r="39" spans="13:40" ht="23">
      <c r="M39" s="9" t="s">
        <v>2348</v>
      </c>
      <c r="N39" s="8" t="s">
        <v>150</v>
      </c>
      <c r="O39" s="8"/>
      <c r="P39" s="8"/>
      <c r="Q39" s="8"/>
      <c r="R39" s="8"/>
      <c r="S39" s="8"/>
      <c r="T39" s="8"/>
      <c r="U39" s="8"/>
      <c r="V39" s="8"/>
      <c r="W39" s="9" t="s">
        <v>2348</v>
      </c>
      <c r="X39" s="8">
        <v>34.74</v>
      </c>
      <c r="Y39" s="8">
        <v>1.26</v>
      </c>
      <c r="Z39" s="9">
        <v>0.17</v>
      </c>
      <c r="AA39" s="8">
        <v>18.399999999999999</v>
      </c>
      <c r="AB39" s="8">
        <v>55798</v>
      </c>
      <c r="AC39" s="22" t="s">
        <v>4357</v>
      </c>
      <c r="AD39" s="8" t="s">
        <v>3729</v>
      </c>
      <c r="AE39" s="8" t="s">
        <v>4084</v>
      </c>
      <c r="AF39" s="9">
        <f t="shared" si="8"/>
        <v>23.183999999999997</v>
      </c>
      <c r="AG39" s="9">
        <f t="shared" si="9"/>
        <v>5.2133333333333329</v>
      </c>
      <c r="AH39" s="9">
        <f t="shared" si="10"/>
        <v>0.23532421025706618</v>
      </c>
      <c r="AI39" s="9">
        <f t="shared" si="11"/>
        <v>5.5377483933111891E-2</v>
      </c>
      <c r="AJ39" s="9">
        <f t="shared" si="12"/>
        <v>0.11249108062763268</v>
      </c>
      <c r="AK39" s="9">
        <f t="shared" si="13"/>
        <v>1.2654243220772556E-2</v>
      </c>
      <c r="AL39" s="9">
        <f t="shared" si="14"/>
        <v>3.5754518120025156E-2</v>
      </c>
      <c r="AM39" s="9">
        <f t="shared" si="15"/>
        <v>1.2783855659952072E-3</v>
      </c>
      <c r="AN39" s="9" t="s">
        <v>4357</v>
      </c>
    </row>
    <row r="40" spans="13:40" ht="23">
      <c r="M40" s="9" t="s">
        <v>3248</v>
      </c>
      <c r="N40" s="8" t="s">
        <v>1902</v>
      </c>
      <c r="O40" s="8"/>
      <c r="P40" s="8"/>
      <c r="Q40" s="8"/>
      <c r="R40" s="8"/>
      <c r="S40" s="8"/>
      <c r="T40" s="8"/>
      <c r="U40" s="8"/>
      <c r="V40" s="8"/>
      <c r="W40" s="9" t="s">
        <v>3248</v>
      </c>
      <c r="X40" s="8">
        <v>21.44</v>
      </c>
      <c r="Y40" s="8">
        <v>4.03</v>
      </c>
      <c r="Z40" s="9">
        <v>6.49</v>
      </c>
      <c r="AA40" s="8">
        <v>16</v>
      </c>
      <c r="AB40" s="8">
        <v>6545</v>
      </c>
      <c r="AC40" s="22" t="s">
        <v>3248</v>
      </c>
      <c r="AD40" s="8" t="s">
        <v>3729</v>
      </c>
      <c r="AE40" s="8" t="s">
        <v>4084</v>
      </c>
      <c r="AF40" s="9">
        <f t="shared" si="8"/>
        <v>64.48</v>
      </c>
      <c r="AG40" s="9">
        <f t="shared" si="9"/>
        <v>109.06666666666666</v>
      </c>
      <c r="AH40" s="9">
        <f t="shared" si="10"/>
        <v>0.20462974804962278</v>
      </c>
      <c r="AI40" s="9">
        <f t="shared" si="11"/>
        <v>4.1873333786852096E-2</v>
      </c>
      <c r="AJ40" s="9">
        <f t="shared" si="12"/>
        <v>0.31286339194572788</v>
      </c>
      <c r="AK40" s="9">
        <f t="shared" si="13"/>
        <v>9.7883502019786142E-2</v>
      </c>
      <c r="AL40" s="9">
        <f t="shared" si="14"/>
        <v>0.74801012332942651</v>
      </c>
      <c r="AM40" s="9">
        <f t="shared" si="15"/>
        <v>0.55951914460330388</v>
      </c>
      <c r="AN40" s="9" t="s">
        <v>3248</v>
      </c>
    </row>
    <row r="41" spans="13:40" ht="23">
      <c r="M41" s="8" t="s">
        <v>1894</v>
      </c>
      <c r="N41" s="8" t="s">
        <v>1869</v>
      </c>
      <c r="O41" s="8"/>
      <c r="P41" s="8"/>
      <c r="Q41" s="8"/>
      <c r="R41" s="8"/>
      <c r="S41" s="8"/>
      <c r="T41" s="8"/>
      <c r="U41" s="8"/>
      <c r="V41" s="8"/>
      <c r="W41" s="8" t="s">
        <v>1894</v>
      </c>
      <c r="X41" s="8">
        <v>25.79</v>
      </c>
      <c r="Y41" s="8">
        <v>6.48</v>
      </c>
      <c r="Z41" s="9">
        <v>13.05</v>
      </c>
      <c r="AA41" s="8">
        <v>14.5</v>
      </c>
      <c r="AB41" s="8">
        <v>7478</v>
      </c>
      <c r="AC41" s="21" t="s">
        <v>1894</v>
      </c>
      <c r="AD41" s="8" t="s">
        <v>3729</v>
      </c>
      <c r="AE41" s="8" t="s">
        <v>4084</v>
      </c>
      <c r="AF41" s="9">
        <f t="shared" si="8"/>
        <v>93.960000000000008</v>
      </c>
      <c r="AG41" s="9">
        <f t="shared" si="9"/>
        <v>189.70833333333334</v>
      </c>
      <c r="AH41" s="9">
        <f t="shared" si="10"/>
        <v>0.18544570916997066</v>
      </c>
      <c r="AI41" s="9">
        <f t="shared" si="11"/>
        <v>3.4390111049553342E-2</v>
      </c>
      <c r="AJ41" s="9">
        <f t="shared" si="12"/>
        <v>0.45590329260577844</v>
      </c>
      <c r="AK41" s="9">
        <f t="shared" si="13"/>
        <v>0.20784781220879003</v>
      </c>
      <c r="AL41" s="9">
        <f t="shared" si="14"/>
        <v>1.3010735374078848</v>
      </c>
      <c r="AM41" s="9">
        <f t="shared" si="15"/>
        <v>1.6927923497430666</v>
      </c>
      <c r="AN41" s="8" t="s">
        <v>1894</v>
      </c>
    </row>
    <row r="42" spans="13:40" ht="23">
      <c r="M42" s="9" t="s">
        <v>3353</v>
      </c>
      <c r="N42" s="8" t="s">
        <v>1964</v>
      </c>
      <c r="O42" s="8"/>
      <c r="P42" s="8"/>
      <c r="Q42" s="8"/>
      <c r="R42" s="8"/>
      <c r="S42" s="8"/>
      <c r="T42" s="8"/>
      <c r="U42" s="8"/>
      <c r="V42" s="8"/>
      <c r="W42" s="9" t="s">
        <v>3353</v>
      </c>
      <c r="X42" s="8">
        <v>11.1</v>
      </c>
      <c r="Y42" s="8">
        <v>3.46</v>
      </c>
      <c r="Z42" s="9">
        <v>0.32</v>
      </c>
      <c r="AA42" s="8">
        <v>13.6</v>
      </c>
      <c r="AB42" s="8">
        <v>36455</v>
      </c>
      <c r="AC42" s="22" t="s">
        <v>3353</v>
      </c>
      <c r="AD42" s="8" t="s">
        <v>3729</v>
      </c>
      <c r="AE42" s="8" t="s">
        <v>4084</v>
      </c>
      <c r="AF42" s="9">
        <f t="shared" si="8"/>
        <v>47.055999999999997</v>
      </c>
      <c r="AG42" s="9">
        <f t="shared" si="9"/>
        <v>7.253333333333333</v>
      </c>
      <c r="AH42" s="9">
        <f t="shared" si="10"/>
        <v>0.17393528584217938</v>
      </c>
      <c r="AI42" s="9">
        <f t="shared" si="11"/>
        <v>3.0253483661000644E-2</v>
      </c>
      <c r="AJ42" s="9">
        <f t="shared" si="12"/>
        <v>0.22832040588396668</v>
      </c>
      <c r="AK42" s="9">
        <f t="shared" si="13"/>
        <v>5.213020774301929E-2</v>
      </c>
      <c r="AL42" s="9">
        <f t="shared" si="14"/>
        <v>4.9745416514817613E-2</v>
      </c>
      <c r="AM42" s="9">
        <f t="shared" si="15"/>
        <v>2.474606464232689E-3</v>
      </c>
      <c r="AN42" s="9" t="s">
        <v>3353</v>
      </c>
    </row>
    <row r="43" spans="13:40" ht="23">
      <c r="M43" s="8" t="s">
        <v>477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8" t="s">
        <v>477</v>
      </c>
      <c r="X43" s="8">
        <v>39.17</v>
      </c>
      <c r="Y43" s="8">
        <v>2.4300000000000002</v>
      </c>
      <c r="Z43" s="9">
        <v>1.1599999999999999</v>
      </c>
      <c r="AA43" s="8">
        <v>12.7</v>
      </c>
      <c r="AB43" s="8">
        <v>10153</v>
      </c>
      <c r="AC43" s="21" t="s">
        <v>477</v>
      </c>
      <c r="AD43" s="8" t="s">
        <v>3729</v>
      </c>
      <c r="AE43" s="8" t="s">
        <v>4084</v>
      </c>
      <c r="AF43" s="9">
        <f t="shared" si="8"/>
        <v>30.861000000000001</v>
      </c>
      <c r="AG43" s="9">
        <f t="shared" si="9"/>
        <v>16.086666666666666</v>
      </c>
      <c r="AH43" s="9">
        <f t="shared" si="10"/>
        <v>0.16242486251438806</v>
      </c>
      <c r="AI43" s="9">
        <f t="shared" si="11"/>
        <v>2.6381835962817863E-2</v>
      </c>
      <c r="AJ43" s="9">
        <f t="shared" si="12"/>
        <v>0.14974065041620824</v>
      </c>
      <c r="AK43" s="9">
        <f t="shared" si="13"/>
        <v>2.2422262387069083E-2</v>
      </c>
      <c r="AL43" s="9">
        <f t="shared" si="14"/>
        <v>0.1103269210020725</v>
      </c>
      <c r="AM43" s="9">
        <f t="shared" si="15"/>
        <v>1.2172029497797547E-2</v>
      </c>
      <c r="AN43" s="8" t="s">
        <v>477</v>
      </c>
    </row>
    <row r="44" spans="13:40" ht="23">
      <c r="M44" s="8" t="s">
        <v>1571</v>
      </c>
      <c r="N44" s="8" t="s">
        <v>150</v>
      </c>
      <c r="O44" s="8"/>
      <c r="P44" s="8"/>
      <c r="Q44" s="8"/>
      <c r="R44" s="8"/>
      <c r="S44" s="8"/>
      <c r="T44" s="8"/>
      <c r="U44" s="8"/>
      <c r="V44" s="8"/>
      <c r="W44" s="8" t="s">
        <v>1571</v>
      </c>
      <c r="X44" s="8">
        <v>31.31</v>
      </c>
      <c r="Y44" s="8">
        <v>2.64</v>
      </c>
      <c r="Z44" s="9">
        <v>1.57</v>
      </c>
      <c r="AA44" s="8">
        <v>11.9</v>
      </c>
      <c r="AB44" s="8">
        <v>9785</v>
      </c>
      <c r="AC44" s="21" t="s">
        <v>1571</v>
      </c>
      <c r="AD44" s="8" t="s">
        <v>3729</v>
      </c>
      <c r="AE44" s="8" t="s">
        <v>4084</v>
      </c>
      <c r="AF44" s="9">
        <f t="shared" si="8"/>
        <v>31.416000000000004</v>
      </c>
      <c r="AG44" s="9">
        <f t="shared" si="9"/>
        <v>23.205000000000002</v>
      </c>
      <c r="AH44" s="9">
        <f t="shared" si="10"/>
        <v>0.15219337511190695</v>
      </c>
      <c r="AI44" s="9">
        <f t="shared" si="11"/>
        <v>2.3162823427953616E-2</v>
      </c>
      <c r="AJ44" s="9">
        <f t="shared" si="12"/>
        <v>0.15243356577802403</v>
      </c>
      <c r="AK44" s="9">
        <f t="shared" si="13"/>
        <v>2.3235991975803179E-2</v>
      </c>
      <c r="AL44" s="9">
        <f t="shared" si="14"/>
        <v>0.15914646924076414</v>
      </c>
      <c r="AM44" s="9">
        <f t="shared" si="15"/>
        <v>2.5327598671801489E-2</v>
      </c>
      <c r="AN44" s="8" t="s">
        <v>1571</v>
      </c>
    </row>
    <row r="45" spans="13:40" ht="23">
      <c r="M45" s="8" t="s">
        <v>1395</v>
      </c>
      <c r="N45" s="8" t="s">
        <v>150</v>
      </c>
      <c r="O45" s="8"/>
      <c r="P45" s="8"/>
      <c r="Q45" s="8"/>
      <c r="R45" s="8"/>
      <c r="S45" s="8"/>
      <c r="T45" s="8"/>
      <c r="U45" s="8"/>
      <c r="V45" s="8"/>
      <c r="W45" s="8" t="s">
        <v>1395</v>
      </c>
      <c r="X45" s="8">
        <v>65.569999999999993</v>
      </c>
      <c r="Y45" s="8">
        <v>1.63</v>
      </c>
      <c r="Z45" s="9">
        <v>0.4</v>
      </c>
      <c r="AA45" s="8">
        <v>11.7</v>
      </c>
      <c r="AB45" s="8">
        <v>17178</v>
      </c>
      <c r="AC45" s="21" t="s">
        <v>1395</v>
      </c>
      <c r="AD45" s="8" t="s">
        <v>3729</v>
      </c>
      <c r="AE45" s="8" t="s">
        <v>4084</v>
      </c>
      <c r="AF45" s="9">
        <f t="shared" si="8"/>
        <v>19.070999999999998</v>
      </c>
      <c r="AG45" s="9">
        <f t="shared" si="9"/>
        <v>7.8E-2</v>
      </c>
      <c r="AH45" s="9">
        <f t="shared" si="10"/>
        <v>0.14963550326128666</v>
      </c>
      <c r="AI45" s="9">
        <f t="shared" si="11"/>
        <v>2.2390783836258532E-2</v>
      </c>
      <c r="AJ45" s="9">
        <f t="shared" si="12"/>
        <v>9.2534394351690072E-2</v>
      </c>
      <c r="AK45" s="9">
        <f t="shared" si="13"/>
        <v>8.5626141380340907E-3</v>
      </c>
      <c r="AL45" s="9">
        <f t="shared" si="14"/>
        <v>5.3494611509500548E-4</v>
      </c>
      <c r="AM45" s="9">
        <f t="shared" si="15"/>
        <v>2.8616734605523887E-7</v>
      </c>
      <c r="AN45" s="8" t="s">
        <v>1395</v>
      </c>
    </row>
    <row r="46" spans="13:40" ht="23">
      <c r="M46" s="9" t="s">
        <v>3635</v>
      </c>
      <c r="N46" s="8" t="s">
        <v>2100</v>
      </c>
      <c r="O46" s="8"/>
      <c r="P46" s="8"/>
      <c r="Q46" s="8"/>
      <c r="R46" s="8"/>
      <c r="S46" s="8"/>
      <c r="T46" s="8"/>
      <c r="U46" s="8"/>
      <c r="V46" s="8"/>
      <c r="W46" s="9" t="s">
        <v>3635</v>
      </c>
      <c r="X46" s="8">
        <v>7.74</v>
      </c>
      <c r="Y46" s="8">
        <v>3.51</v>
      </c>
      <c r="Z46" s="9">
        <v>1.53</v>
      </c>
      <c r="AA46" s="8">
        <v>9.6</v>
      </c>
      <c r="AB46" s="8">
        <v>23256</v>
      </c>
      <c r="AC46" s="22" t="s">
        <v>3635</v>
      </c>
      <c r="AD46" s="8" t="s">
        <v>3729</v>
      </c>
      <c r="AE46" s="8" t="s">
        <v>4084</v>
      </c>
      <c r="AF46" s="9">
        <f t="shared" si="8"/>
        <v>33.695999999999998</v>
      </c>
      <c r="AG46" s="9">
        <f t="shared" si="9"/>
        <v>18.079999999999998</v>
      </c>
      <c r="AH46" s="9">
        <f t="shared" si="10"/>
        <v>0.12277784882977366</v>
      </c>
      <c r="AI46" s="9">
        <f t="shared" si="11"/>
        <v>1.5074400163266754E-2</v>
      </c>
      <c r="AJ46" s="9">
        <f t="shared" si="12"/>
        <v>0.16349635321034811</v>
      </c>
      <c r="AK46" s="9">
        <f t="shared" si="13"/>
        <v>2.6731057513082909E-2</v>
      </c>
      <c r="AL46" s="9">
        <f t="shared" si="14"/>
        <v>0.12399776616561153</v>
      </c>
      <c r="AM46" s="9">
        <f t="shared" si="15"/>
        <v>1.5375446014061676E-2</v>
      </c>
      <c r="AN46" s="9" t="s">
        <v>3635</v>
      </c>
    </row>
    <row r="47" spans="13:40" ht="23">
      <c r="M47" s="8" t="s">
        <v>254</v>
      </c>
      <c r="N47" s="8" t="s">
        <v>150</v>
      </c>
      <c r="O47" s="8"/>
      <c r="P47" s="8"/>
      <c r="Q47" s="8"/>
      <c r="R47" s="8"/>
      <c r="S47" s="8"/>
      <c r="T47" s="8"/>
      <c r="U47" s="8"/>
      <c r="V47" s="8"/>
      <c r="W47" s="8" t="s">
        <v>254</v>
      </c>
      <c r="X47" s="8">
        <v>33.25</v>
      </c>
      <c r="Y47" s="8">
        <v>1.81</v>
      </c>
      <c r="Z47" s="9">
        <v>0.3</v>
      </c>
      <c r="AA47" s="8">
        <v>6.7</v>
      </c>
      <c r="AB47" s="8">
        <v>26393</v>
      </c>
      <c r="AC47" s="21" t="s">
        <v>254</v>
      </c>
      <c r="AD47" s="8" t="s">
        <v>3729</v>
      </c>
      <c r="AE47" s="8" t="s">
        <v>4084</v>
      </c>
      <c r="AF47" s="9">
        <f t="shared" si="8"/>
        <v>12.127000000000001</v>
      </c>
      <c r="AG47" s="9">
        <f t="shared" si="9"/>
        <v>3.3500000000000002E-2</v>
      </c>
      <c r="AH47" s="9">
        <f t="shared" si="10"/>
        <v>8.5688706995779546E-2</v>
      </c>
      <c r="AI47" s="9">
        <f t="shared" si="11"/>
        <v>7.3425545066085583E-3</v>
      </c>
      <c r="AJ47" s="9">
        <f t="shared" si="12"/>
        <v>5.8841413680611701E-2</v>
      </c>
      <c r="AK47" s="9">
        <f t="shared" si="13"/>
        <v>3.462311963932878E-3</v>
      </c>
      <c r="AL47" s="9">
        <f t="shared" si="14"/>
        <v>2.2975249814977805E-4</v>
      </c>
      <c r="AM47" s="9">
        <f t="shared" si="15"/>
        <v>5.2786210406063764E-8</v>
      </c>
      <c r="AN47" s="8" t="s">
        <v>254</v>
      </c>
    </row>
    <row r="48" spans="13:40" ht="23">
      <c r="M48" s="8" t="s">
        <v>1853</v>
      </c>
      <c r="N48" s="8" t="s">
        <v>1814</v>
      </c>
      <c r="O48" s="8"/>
      <c r="P48" s="8" t="s">
        <v>4167</v>
      </c>
      <c r="Q48" s="8"/>
      <c r="R48" s="8"/>
      <c r="S48" s="8"/>
      <c r="T48" s="8"/>
      <c r="U48" s="8"/>
      <c r="V48" s="8"/>
      <c r="W48" s="8" t="s">
        <v>1853</v>
      </c>
      <c r="X48" s="8">
        <v>30.04</v>
      </c>
      <c r="Y48" s="8">
        <v>4.28</v>
      </c>
      <c r="Z48" s="9">
        <v>5.04</v>
      </c>
      <c r="AA48" s="8">
        <v>5.5</v>
      </c>
      <c r="AB48" s="8">
        <v>26568</v>
      </c>
      <c r="AC48" s="21" t="s">
        <v>1853</v>
      </c>
      <c r="AD48" s="8" t="s">
        <v>3729</v>
      </c>
      <c r="AE48" s="8" t="s">
        <v>4084</v>
      </c>
      <c r="AF48" s="9">
        <f t="shared" si="8"/>
        <v>23.540000000000003</v>
      </c>
      <c r="AG48" s="9">
        <f t="shared" si="9"/>
        <v>27.866666666666667</v>
      </c>
      <c r="AH48" s="9">
        <f t="shared" si="10"/>
        <v>7.0341475892057831E-2</v>
      </c>
      <c r="AI48" s="9">
        <f t="shared" si="11"/>
        <v>4.9479232306729529E-3</v>
      </c>
      <c r="AJ48" s="9">
        <f t="shared" si="12"/>
        <v>0.11421842813899559</v>
      </c>
      <c r="AK48" s="9">
        <f t="shared" si="13"/>
        <v>1.30458493265429E-2</v>
      </c>
      <c r="AL48" s="9">
        <f t="shared" si="14"/>
        <v>0.19111750094847207</v>
      </c>
      <c r="AM48" s="9">
        <f t="shared" si="15"/>
        <v>3.6525899168789226E-2</v>
      </c>
      <c r="AN48" s="8" t="s">
        <v>1853</v>
      </c>
    </row>
    <row r="49" spans="13:40" ht="23">
      <c r="M49" s="9" t="s">
        <v>2490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9" t="s">
        <v>2490</v>
      </c>
      <c r="X49" s="8">
        <v>15.06</v>
      </c>
      <c r="Y49" s="8">
        <v>1.73</v>
      </c>
      <c r="Z49" s="9">
        <v>0.32</v>
      </c>
      <c r="AA49" s="8">
        <v>4.9000000000000004</v>
      </c>
      <c r="AB49" s="8">
        <v>27401</v>
      </c>
      <c r="AC49" s="22" t="s">
        <v>2490</v>
      </c>
      <c r="AD49" s="8" t="s">
        <v>3729</v>
      </c>
      <c r="AE49" s="8" t="s">
        <v>4084</v>
      </c>
      <c r="AF49" s="9">
        <f t="shared" si="8"/>
        <v>8.4770000000000003</v>
      </c>
      <c r="AG49" s="9">
        <f t="shared" si="9"/>
        <v>2.6133333333333333</v>
      </c>
      <c r="AH49" s="9">
        <f t="shared" si="10"/>
        <v>6.2667860340196987E-2</v>
      </c>
      <c r="AI49" s="9">
        <f t="shared" si="11"/>
        <v>3.9272607196184344E-3</v>
      </c>
      <c r="AJ49" s="9">
        <f t="shared" si="12"/>
        <v>4.1131249589391058E-2</v>
      </c>
      <c r="AK49" s="9">
        <f t="shared" si="13"/>
        <v>1.691779692784782E-3</v>
      </c>
      <c r="AL49" s="9">
        <f t="shared" si="14"/>
        <v>1.7922980950191639E-2</v>
      </c>
      <c r="AM49" s="9">
        <f t="shared" si="15"/>
        <v>3.2123324614093238E-4</v>
      </c>
      <c r="AN49" s="9" t="s">
        <v>2490</v>
      </c>
    </row>
    <row r="50" spans="13:40" ht="23">
      <c r="M50" s="9" t="s">
        <v>2161</v>
      </c>
      <c r="N50" s="8" t="s">
        <v>150</v>
      </c>
      <c r="O50" s="8"/>
      <c r="P50" s="8" t="s">
        <v>3691</v>
      </c>
      <c r="Q50" s="8"/>
      <c r="R50" s="8"/>
      <c r="S50" s="8"/>
      <c r="T50" s="8"/>
      <c r="U50" s="8"/>
      <c r="V50" s="8"/>
      <c r="W50" s="9" t="s">
        <v>2161</v>
      </c>
      <c r="X50" s="8">
        <v>18.91</v>
      </c>
      <c r="Y50" s="8">
        <v>2.97</v>
      </c>
      <c r="Z50" s="9">
        <v>2.58</v>
      </c>
      <c r="AA50" s="8">
        <v>4.4000000000000004</v>
      </c>
      <c r="AB50" s="8">
        <v>24502</v>
      </c>
      <c r="AC50" s="22" t="s">
        <v>2161</v>
      </c>
      <c r="AD50" s="8" t="s">
        <v>3729</v>
      </c>
      <c r="AE50" s="8" t="s">
        <v>4084</v>
      </c>
      <c r="AF50" s="9">
        <f t="shared" si="8"/>
        <v>13.068000000000001</v>
      </c>
      <c r="AG50" s="9">
        <f t="shared" si="9"/>
        <v>13.053333333333335</v>
      </c>
      <c r="AH50" s="9">
        <f t="shared" si="10"/>
        <v>5.6273180713646273E-2</v>
      </c>
      <c r="AI50" s="9">
        <f t="shared" si="11"/>
        <v>3.1666708676306907E-3</v>
      </c>
      <c r="AJ50" s="9">
        <f t="shared" si="12"/>
        <v>6.3407239546320909E-2</v>
      </c>
      <c r="AK50" s="9">
        <f t="shared" si="13"/>
        <v>4.0204780268845225E-3</v>
      </c>
      <c r="AL50" s="9">
        <f t="shared" si="14"/>
        <v>8.9523460970600086E-2</v>
      </c>
      <c r="AM50" s="9">
        <f t="shared" si="15"/>
        <v>8.014450064154556E-3</v>
      </c>
      <c r="AN50" s="9" t="s">
        <v>2161</v>
      </c>
    </row>
    <row r="51" spans="13:40" ht="23">
      <c r="M51" s="8" t="s">
        <v>1435</v>
      </c>
      <c r="N51" s="8" t="s">
        <v>150</v>
      </c>
      <c r="O51" s="8"/>
      <c r="P51" s="8"/>
      <c r="Q51" s="8"/>
      <c r="R51" s="8"/>
      <c r="S51" s="8"/>
      <c r="T51" s="8"/>
      <c r="U51" s="8"/>
      <c r="V51" s="8"/>
      <c r="W51" s="8" t="s">
        <v>1435</v>
      </c>
      <c r="X51" s="8">
        <v>24.15</v>
      </c>
      <c r="Y51" s="8">
        <v>2.38</v>
      </c>
      <c r="Z51" s="9">
        <v>1.32</v>
      </c>
      <c r="AA51" s="8">
        <v>4.4000000000000004</v>
      </c>
      <c r="AB51" s="8">
        <v>24419</v>
      </c>
      <c r="AC51" s="21" t="s">
        <v>1435</v>
      </c>
      <c r="AD51" s="8" t="s">
        <v>3729</v>
      </c>
      <c r="AE51" s="8" t="s">
        <v>4084</v>
      </c>
      <c r="AF51" s="9">
        <f t="shared" si="8"/>
        <v>10.472</v>
      </c>
      <c r="AG51" s="9">
        <f t="shared" si="9"/>
        <v>6.746666666666667</v>
      </c>
      <c r="AH51" s="9">
        <f t="shared" si="10"/>
        <v>5.6273180713646273E-2</v>
      </c>
      <c r="AI51" s="9">
        <f t="shared" si="11"/>
        <v>3.1666708676306907E-3</v>
      </c>
      <c r="AJ51" s="9">
        <f t="shared" si="12"/>
        <v>5.081118859267466E-2</v>
      </c>
      <c r="AK51" s="9">
        <f t="shared" si="13"/>
        <v>2.5817768862003514E-3</v>
      </c>
      <c r="AL51" s="9">
        <f t="shared" si="14"/>
        <v>4.6270552861209027E-2</v>
      </c>
      <c r="AM51" s="9">
        <f t="shared" si="15"/>
        <v>2.140964062081939E-3</v>
      </c>
      <c r="AN51" s="8" t="s">
        <v>1435</v>
      </c>
    </row>
    <row r="52" spans="13:40" ht="23">
      <c r="M52" s="9" t="s">
        <v>2740</v>
      </c>
      <c r="N52" s="8" t="s">
        <v>1614</v>
      </c>
      <c r="O52" s="8"/>
      <c r="P52" s="8"/>
      <c r="Q52" s="8"/>
      <c r="R52" s="8"/>
      <c r="S52" s="8"/>
      <c r="T52" s="8"/>
      <c r="U52" s="8"/>
      <c r="V52" s="8"/>
      <c r="W52" s="9" t="s">
        <v>2740</v>
      </c>
      <c r="X52" s="8">
        <v>23.4</v>
      </c>
      <c r="Y52" s="8">
        <v>3.83</v>
      </c>
      <c r="Z52" s="9">
        <v>1.37</v>
      </c>
      <c r="AA52" s="8">
        <v>4.2</v>
      </c>
      <c r="AB52" s="8">
        <v>26733</v>
      </c>
      <c r="AC52" s="22" t="s">
        <v>2740</v>
      </c>
      <c r="AD52" s="8" t="s">
        <v>3729</v>
      </c>
      <c r="AE52" s="8" t="s">
        <v>4084</v>
      </c>
      <c r="AF52" s="9">
        <f t="shared" si="8"/>
        <v>16.086000000000002</v>
      </c>
      <c r="AG52" s="9">
        <f t="shared" si="9"/>
        <v>6.79</v>
      </c>
      <c r="AH52" s="9">
        <f t="shared" si="10"/>
        <v>5.3715308863025987E-2</v>
      </c>
      <c r="AI52" s="9">
        <f t="shared" si="11"/>
        <v>2.885334406250278E-3</v>
      </c>
      <c r="AJ52" s="9">
        <f t="shared" si="12"/>
        <v>7.8050876594897331E-2</v>
      </c>
      <c r="AK52" s="9">
        <f t="shared" si="13"/>
        <v>6.0919393372318919E-3</v>
      </c>
      <c r="AL52" s="9">
        <f t="shared" si="14"/>
        <v>4.656774514737292E-2</v>
      </c>
      <c r="AM52" s="9">
        <f t="shared" si="15"/>
        <v>2.168554888110674E-3</v>
      </c>
      <c r="AN52" s="9" t="s">
        <v>2740</v>
      </c>
    </row>
    <row r="53" spans="13:40" ht="23">
      <c r="M53" s="9" t="s">
        <v>3083</v>
      </c>
      <c r="N53" s="8" t="s">
        <v>1814</v>
      </c>
      <c r="O53" s="8"/>
      <c r="P53" s="8"/>
      <c r="Q53" s="8"/>
      <c r="R53" s="8"/>
      <c r="S53" s="8"/>
      <c r="T53" s="8"/>
      <c r="U53" s="8"/>
      <c r="V53" s="8"/>
      <c r="W53" s="9" t="s">
        <v>3083</v>
      </c>
      <c r="X53" s="8">
        <v>43.63</v>
      </c>
      <c r="Y53" s="8">
        <v>2.14</v>
      </c>
      <c r="Z53" s="9">
        <v>1.23</v>
      </c>
      <c r="AA53" s="8">
        <v>4.2</v>
      </c>
      <c r="AB53" s="8">
        <v>28961</v>
      </c>
      <c r="AC53" s="22" t="s">
        <v>3083</v>
      </c>
      <c r="AD53" s="8" t="s">
        <v>3729</v>
      </c>
      <c r="AE53" s="8" t="s">
        <v>4084</v>
      </c>
      <c r="AF53" s="9">
        <f t="shared" si="8"/>
        <v>8.9880000000000013</v>
      </c>
      <c r="AG53" s="9">
        <f t="shared" si="9"/>
        <v>5.8100000000000005</v>
      </c>
      <c r="AH53" s="9">
        <f t="shared" si="10"/>
        <v>5.3715308863025987E-2</v>
      </c>
      <c r="AI53" s="9">
        <f t="shared" si="11"/>
        <v>2.885334406250278E-3</v>
      </c>
      <c r="AJ53" s="9">
        <f t="shared" si="12"/>
        <v>4.3610672562161952E-2</v>
      </c>
      <c r="AK53" s="9">
        <f t="shared" si="13"/>
        <v>1.9018907613241054E-3</v>
      </c>
      <c r="AL53" s="9">
        <f t="shared" si="14"/>
        <v>3.9846627291051061E-2</v>
      </c>
      <c r="AM53" s="9">
        <f t="shared" si="15"/>
        <v>1.5877537064719351E-3</v>
      </c>
      <c r="AN53" s="9" t="s">
        <v>3083</v>
      </c>
    </row>
    <row r="54" spans="13:40" ht="23">
      <c r="M54" s="9" t="s">
        <v>2597</v>
      </c>
      <c r="N54" s="8" t="s">
        <v>150</v>
      </c>
      <c r="O54" s="8"/>
      <c r="P54" s="8"/>
      <c r="Q54" s="8"/>
      <c r="R54" s="8"/>
      <c r="S54" s="8"/>
      <c r="T54" s="8"/>
      <c r="U54" s="8"/>
      <c r="V54" s="8"/>
      <c r="W54" s="9" t="s">
        <v>2597</v>
      </c>
      <c r="X54" s="8">
        <v>84.52</v>
      </c>
      <c r="Y54" s="8">
        <v>1.39</v>
      </c>
      <c r="Z54" s="9">
        <v>1.55</v>
      </c>
      <c r="AA54" s="8">
        <v>3.3</v>
      </c>
      <c r="AB54" s="8">
        <v>65576</v>
      </c>
      <c r="AC54" s="22" t="s">
        <v>2597</v>
      </c>
      <c r="AD54" s="8" t="s">
        <v>3729</v>
      </c>
      <c r="AE54" s="8" t="s">
        <v>4084</v>
      </c>
      <c r="AF54" s="9">
        <f t="shared" si="8"/>
        <v>4.5869999999999997</v>
      </c>
      <c r="AG54" s="9">
        <f t="shared" si="9"/>
        <v>6.3249999999999993</v>
      </c>
      <c r="AH54" s="9">
        <f t="shared" si="10"/>
        <v>4.2204885535234694E-2</v>
      </c>
      <c r="AI54" s="9">
        <f t="shared" si="11"/>
        <v>1.7812523630422628E-3</v>
      </c>
      <c r="AJ54" s="9">
        <f t="shared" si="12"/>
        <v>2.2256581557925769E-2</v>
      </c>
      <c r="AK54" s="9">
        <f t="shared" si="13"/>
        <v>4.9535542264460145E-4</v>
      </c>
      <c r="AL54" s="9">
        <f t="shared" si="14"/>
        <v>4.337864330738346E-2</v>
      </c>
      <c r="AM54" s="9">
        <f t="shared" si="15"/>
        <v>1.8817066951892039E-3</v>
      </c>
      <c r="AN54" s="9" t="s">
        <v>2597</v>
      </c>
    </row>
    <row r="55" spans="13:40" ht="23">
      <c r="M55" s="8" t="s">
        <v>487</v>
      </c>
      <c r="N55" s="8" t="s">
        <v>150</v>
      </c>
      <c r="O55" s="8"/>
      <c r="P55" s="8"/>
      <c r="Q55" s="8"/>
      <c r="R55" s="8"/>
      <c r="S55" s="8"/>
      <c r="T55" s="8"/>
      <c r="U55" s="8"/>
      <c r="V55" s="8"/>
      <c r="W55" s="8" t="s">
        <v>487</v>
      </c>
      <c r="X55" s="8">
        <v>25.36</v>
      </c>
      <c r="Y55" s="8">
        <v>2.0299999999999998</v>
      </c>
      <c r="Z55" s="9">
        <v>1.27</v>
      </c>
      <c r="AA55" s="8">
        <v>3.3</v>
      </c>
      <c r="AB55" s="8">
        <v>37545</v>
      </c>
      <c r="AC55" s="21" t="s">
        <v>487</v>
      </c>
      <c r="AD55" s="8" t="s">
        <v>3729</v>
      </c>
      <c r="AE55" s="8" t="s">
        <v>4084</v>
      </c>
      <c r="AF55" s="9">
        <f t="shared" si="8"/>
        <v>6.698999999999999</v>
      </c>
      <c r="AG55" s="9">
        <f t="shared" si="9"/>
        <v>4.7849999999999993</v>
      </c>
      <c r="AH55" s="9">
        <f t="shared" si="10"/>
        <v>4.2204885535234694E-2</v>
      </c>
      <c r="AI55" s="9">
        <f t="shared" si="11"/>
        <v>1.7812523630422628E-3</v>
      </c>
      <c r="AJ55" s="9">
        <f t="shared" si="12"/>
        <v>3.2504216232078643E-2</v>
      </c>
      <c r="AK55" s="9">
        <f t="shared" si="13"/>
        <v>1.0565240728617248E-3</v>
      </c>
      <c r="AL55" s="9">
        <f t="shared" si="14"/>
        <v>3.2816886676020528E-2</v>
      </c>
      <c r="AM55" s="9">
        <f t="shared" si="15"/>
        <v>1.0769480511067736E-3</v>
      </c>
      <c r="AN55" s="8" t="s">
        <v>487</v>
      </c>
    </row>
    <row r="56" spans="13:40" ht="23">
      <c r="M56" s="8" t="s">
        <v>460</v>
      </c>
      <c r="N56" s="8" t="s">
        <v>150</v>
      </c>
      <c r="O56" s="8"/>
      <c r="P56" s="8"/>
      <c r="Q56" s="8"/>
      <c r="R56" s="8"/>
      <c r="S56" s="8"/>
      <c r="T56" s="8"/>
      <c r="U56" s="8"/>
      <c r="V56" s="8"/>
      <c r="W56" s="8" t="s">
        <v>460</v>
      </c>
      <c r="X56" s="8">
        <v>47.94</v>
      </c>
      <c r="Y56" s="8">
        <v>2.72</v>
      </c>
      <c r="Z56" s="9">
        <v>2.09</v>
      </c>
      <c r="AA56" s="8">
        <v>2.7</v>
      </c>
      <c r="AB56" s="8">
        <v>36372</v>
      </c>
      <c r="AC56" s="21" t="s">
        <v>460</v>
      </c>
      <c r="AD56" s="8" t="s">
        <v>3729</v>
      </c>
      <c r="AE56" s="8" t="s">
        <v>4084</v>
      </c>
      <c r="AF56" s="9">
        <f t="shared" si="8"/>
        <v>7.3440000000000012</v>
      </c>
      <c r="AG56" s="9">
        <f t="shared" si="9"/>
        <v>5.8049999999999997</v>
      </c>
      <c r="AH56" s="9">
        <f t="shared" si="10"/>
        <v>3.4531269983373844E-2</v>
      </c>
      <c r="AI56" s="9">
        <f t="shared" si="11"/>
        <v>1.1924086066646554E-3</v>
      </c>
      <c r="AJ56" s="9">
        <f t="shared" si="12"/>
        <v>3.5633820571486133E-2</v>
      </c>
      <c r="AK56" s="9">
        <f t="shared" si="13"/>
        <v>1.2697691685208683E-3</v>
      </c>
      <c r="AL56" s="9">
        <f t="shared" si="14"/>
        <v>3.9812335873416753E-2</v>
      </c>
      <c r="AM56" s="9">
        <f t="shared" si="15"/>
        <v>1.5850220876977466E-3</v>
      </c>
      <c r="AN56" s="8" t="s">
        <v>460</v>
      </c>
    </row>
    <row r="57" spans="13:40" ht="23">
      <c r="M57" s="9" t="s">
        <v>3153</v>
      </c>
      <c r="N57" s="8" t="s">
        <v>1869</v>
      </c>
      <c r="O57" s="8"/>
      <c r="P57" s="8"/>
      <c r="Q57" s="8"/>
      <c r="R57" s="8"/>
      <c r="S57" s="8"/>
      <c r="T57" s="8"/>
      <c r="U57" s="8"/>
      <c r="V57" s="8"/>
      <c r="W57" s="9" t="s">
        <v>3153</v>
      </c>
      <c r="X57" s="8">
        <v>25.87</v>
      </c>
      <c r="Y57" s="8">
        <v>5.36</v>
      </c>
      <c r="Z57" s="9">
        <v>0.47</v>
      </c>
      <c r="AA57" s="8">
        <v>2.7</v>
      </c>
      <c r="AB57" s="8">
        <v>23010</v>
      </c>
      <c r="AC57" s="22" t="s">
        <v>3153</v>
      </c>
      <c r="AD57" s="8" t="s">
        <v>3729</v>
      </c>
      <c r="AE57" s="8" t="s">
        <v>4084</v>
      </c>
      <c r="AF57" s="9">
        <f t="shared" si="8"/>
        <v>14.472000000000001</v>
      </c>
      <c r="AG57" s="9">
        <f t="shared" si="9"/>
        <v>2.1150000000000002</v>
      </c>
      <c r="AH57" s="9">
        <f t="shared" si="10"/>
        <v>3.4531269983373844E-2</v>
      </c>
      <c r="AI57" s="9">
        <f t="shared" si="11"/>
        <v>1.1924086066646554E-3</v>
      </c>
      <c r="AJ57" s="9">
        <f t="shared" si="12"/>
        <v>7.0219587596752078E-2</v>
      </c>
      <c r="AK57" s="9">
        <f t="shared" si="13"/>
        <v>4.9307904822579384E-3</v>
      </c>
      <c r="AL57" s="9">
        <f t="shared" si="14"/>
        <v>1.4505269659306883E-2</v>
      </c>
      <c r="AM57" s="9">
        <f t="shared" si="15"/>
        <v>2.1040284788920882E-4</v>
      </c>
      <c r="AN57" s="9" t="s">
        <v>3153</v>
      </c>
    </row>
    <row r="58" spans="13:40" ht="23">
      <c r="M58" s="8" t="s">
        <v>1199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8" t="s">
        <v>1199</v>
      </c>
      <c r="X58" s="8">
        <v>36.409999999999997</v>
      </c>
      <c r="Y58" s="8">
        <v>2.1800000000000002</v>
      </c>
      <c r="Z58" s="9">
        <v>0.27</v>
      </c>
      <c r="AA58" s="8">
        <v>2.7</v>
      </c>
      <c r="AB58" s="8">
        <v>33266</v>
      </c>
      <c r="AC58" s="21" t="s">
        <v>1199</v>
      </c>
      <c r="AD58" s="8" t="s">
        <v>3729</v>
      </c>
      <c r="AE58" s="8" t="s">
        <v>4084</v>
      </c>
      <c r="AF58" s="9">
        <f t="shared" si="8"/>
        <v>5.886000000000001</v>
      </c>
      <c r="AG58" s="9">
        <f t="shared" si="9"/>
        <v>1.2150000000000001</v>
      </c>
      <c r="AH58" s="9">
        <f t="shared" si="10"/>
        <v>3.4531269983373844E-2</v>
      </c>
      <c r="AI58" s="9">
        <f t="shared" si="11"/>
        <v>1.1924086066646554E-3</v>
      </c>
      <c r="AJ58" s="9">
        <f t="shared" si="12"/>
        <v>2.855945913449992E-2</v>
      </c>
      <c r="AK58" s="9">
        <f t="shared" si="13"/>
        <v>8.1564270605517092E-4</v>
      </c>
      <c r="AL58" s="9">
        <f t="shared" si="14"/>
        <v>8.3328144851337414E-3</v>
      </c>
      <c r="AM58" s="9">
        <f t="shared" si="15"/>
        <v>6.9435797243654694E-5</v>
      </c>
      <c r="AN58" s="8" t="s">
        <v>1199</v>
      </c>
    </row>
    <row r="59" spans="13:40" ht="23">
      <c r="M59" s="9" t="s">
        <v>2731</v>
      </c>
      <c r="N59" s="8" t="s">
        <v>1614</v>
      </c>
      <c r="O59" s="8"/>
      <c r="P59" s="8"/>
      <c r="Q59" s="8"/>
      <c r="R59" s="8"/>
      <c r="S59" s="8"/>
      <c r="T59" s="8"/>
      <c r="U59" s="8"/>
      <c r="V59" s="8"/>
      <c r="W59" s="9" t="s">
        <v>2731</v>
      </c>
      <c r="X59" s="8">
        <v>61.33</v>
      </c>
      <c r="Y59" s="8">
        <v>1.64</v>
      </c>
      <c r="Z59" s="9">
        <v>2.0499999999999998</v>
      </c>
      <c r="AA59" s="8">
        <v>2.6</v>
      </c>
      <c r="AB59" s="8">
        <v>43524</v>
      </c>
      <c r="AC59" s="22" t="s">
        <v>2731</v>
      </c>
      <c r="AD59" s="8" t="s">
        <v>3729</v>
      </c>
      <c r="AE59" s="8" t="s">
        <v>4084</v>
      </c>
      <c r="AF59" s="9">
        <f t="shared" si="8"/>
        <v>4.2640000000000002</v>
      </c>
      <c r="AG59" s="9">
        <f t="shared" si="9"/>
        <v>5.416666666666667</v>
      </c>
      <c r="AH59" s="9">
        <f t="shared" si="10"/>
        <v>3.3252334058063701E-2</v>
      </c>
      <c r="AI59" s="9">
        <f t="shared" si="11"/>
        <v>1.1057177203090632E-3</v>
      </c>
      <c r="AJ59" s="9">
        <f t="shared" si="12"/>
        <v>2.0689353338346522E-2</v>
      </c>
      <c r="AK59" s="9">
        <f t="shared" si="13"/>
        <v>4.2804934155895035E-4</v>
      </c>
      <c r="AL59" s="9">
        <f t="shared" si="14"/>
        <v>3.7149035770486498E-2</v>
      </c>
      <c r="AM59" s="9">
        <f t="shared" si="15"/>
        <v>1.3800508586768853E-3</v>
      </c>
      <c r="AN59" s="9" t="s">
        <v>2731</v>
      </c>
    </row>
    <row r="60" spans="13:40" ht="23">
      <c r="M60" s="8" t="s">
        <v>401</v>
      </c>
      <c r="N60" s="8" t="s">
        <v>150</v>
      </c>
      <c r="O60" s="8"/>
      <c r="P60" s="8"/>
      <c r="Q60" s="8"/>
      <c r="R60" s="8"/>
      <c r="S60" s="8"/>
      <c r="T60" s="8"/>
      <c r="U60" s="8"/>
      <c r="V60" s="8"/>
      <c r="W60" s="8" t="s">
        <v>401</v>
      </c>
      <c r="X60" s="8">
        <v>32.909999999999997</v>
      </c>
      <c r="Y60" s="8">
        <v>1.89</v>
      </c>
      <c r="Z60" s="9">
        <v>0.42</v>
      </c>
      <c r="AA60" s="8">
        <v>2.6</v>
      </c>
      <c r="AB60" s="8">
        <v>46797</v>
      </c>
      <c r="AC60" s="21" t="s">
        <v>401</v>
      </c>
      <c r="AD60" s="8" t="s">
        <v>3729</v>
      </c>
      <c r="AE60" s="8" t="s">
        <v>4084</v>
      </c>
      <c r="AF60" s="9">
        <f t="shared" si="8"/>
        <v>4.9139999999999997</v>
      </c>
      <c r="AG60" s="9">
        <f t="shared" si="9"/>
        <v>1.8199999999999998</v>
      </c>
      <c r="AH60" s="9">
        <f t="shared" si="10"/>
        <v>3.3252334058063701E-2</v>
      </c>
      <c r="AI60" s="9">
        <f t="shared" si="11"/>
        <v>1.1057177203090632E-3</v>
      </c>
      <c r="AJ60" s="9">
        <f t="shared" si="12"/>
        <v>2.3843218176509098E-2</v>
      </c>
      <c r="AK60" s="9">
        <f t="shared" si="13"/>
        <v>5.6849905301261381E-4</v>
      </c>
      <c r="AL60" s="9">
        <f t="shared" si="14"/>
        <v>1.2482076018883461E-2</v>
      </c>
      <c r="AM60" s="9">
        <f t="shared" si="15"/>
        <v>1.5580222174118558E-4</v>
      </c>
      <c r="AN60" s="8" t="s">
        <v>401</v>
      </c>
    </row>
    <row r="61" spans="13:40" ht="23">
      <c r="M61" s="9" t="s">
        <v>2703</v>
      </c>
      <c r="N61" s="8" t="s">
        <v>1614</v>
      </c>
      <c r="O61" s="8"/>
      <c r="P61" s="8"/>
      <c r="Q61" s="8"/>
      <c r="R61" s="8"/>
      <c r="S61" s="8"/>
      <c r="T61" s="8"/>
      <c r="U61" s="8"/>
      <c r="V61" s="8"/>
      <c r="W61" s="9" t="s">
        <v>2703</v>
      </c>
      <c r="X61" s="8">
        <v>34.61</v>
      </c>
      <c r="Y61" s="8">
        <v>5.53</v>
      </c>
      <c r="Z61" s="9">
        <v>3.26</v>
      </c>
      <c r="AA61" s="8">
        <v>2.5</v>
      </c>
      <c r="AB61" s="8">
        <v>23787</v>
      </c>
      <c r="AC61" s="22" t="s">
        <v>2703</v>
      </c>
      <c r="AD61" s="8" t="s">
        <v>3729</v>
      </c>
      <c r="AE61" s="8" t="s">
        <v>4084</v>
      </c>
      <c r="AF61" s="9">
        <f t="shared" si="8"/>
        <v>13.825000000000001</v>
      </c>
      <c r="AG61" s="9">
        <f t="shared" si="9"/>
        <v>8.5833333333333339</v>
      </c>
      <c r="AH61" s="9">
        <f t="shared" si="10"/>
        <v>3.1973398132753558E-2</v>
      </c>
      <c r="AI61" s="9">
        <f t="shared" si="11"/>
        <v>1.0222981881555686E-3</v>
      </c>
      <c r="AJ61" s="9">
        <f t="shared" si="12"/>
        <v>6.7080279057842557E-2</v>
      </c>
      <c r="AK61" s="9">
        <f t="shared" si="13"/>
        <v>4.4997638384780304E-3</v>
      </c>
      <c r="AL61" s="9">
        <f t="shared" si="14"/>
        <v>5.8866933605540149E-2</v>
      </c>
      <c r="AM61" s="9">
        <f t="shared" si="15"/>
        <v>3.4653158721190723E-3</v>
      </c>
      <c r="AN61" s="9" t="s">
        <v>2703</v>
      </c>
    </row>
    <row r="62" spans="13:40" ht="23">
      <c r="M62" s="9" t="s">
        <v>2591</v>
      </c>
      <c r="N62" s="8" t="s">
        <v>150</v>
      </c>
      <c r="O62" s="8"/>
      <c r="P62" s="8"/>
      <c r="Q62" s="8"/>
      <c r="R62" s="8"/>
      <c r="S62" s="8"/>
      <c r="T62" s="8"/>
      <c r="U62" s="8"/>
      <c r="V62" s="8"/>
      <c r="W62" s="9" t="s">
        <v>2591</v>
      </c>
      <c r="X62" s="8">
        <v>56.04</v>
      </c>
      <c r="Y62" s="8">
        <v>2.0099999999999998</v>
      </c>
      <c r="Z62" s="9">
        <v>0.56000000000000005</v>
      </c>
      <c r="AA62" s="8">
        <v>2.4</v>
      </c>
      <c r="AB62" s="8">
        <v>44323</v>
      </c>
      <c r="AC62" s="22" t="s">
        <v>2591</v>
      </c>
      <c r="AD62" s="8" t="s">
        <v>3729</v>
      </c>
      <c r="AE62" s="8" t="s">
        <v>4084</v>
      </c>
      <c r="AF62" s="9">
        <f t="shared" si="8"/>
        <v>4.823999999999999</v>
      </c>
      <c r="AG62" s="9">
        <f t="shared" si="9"/>
        <v>2.2399999999999998</v>
      </c>
      <c r="AH62" s="9">
        <f t="shared" si="10"/>
        <v>3.0694462207443415E-2</v>
      </c>
      <c r="AI62" s="9">
        <f t="shared" si="11"/>
        <v>9.4215001020417214E-4</v>
      </c>
      <c r="AJ62" s="9">
        <f t="shared" si="12"/>
        <v>2.3406529198917354E-2</v>
      </c>
      <c r="AK62" s="9">
        <f t="shared" si="13"/>
        <v>5.4786560913977066E-4</v>
      </c>
      <c r="AL62" s="9">
        <f t="shared" si="14"/>
        <v>1.5362555100164259E-2</v>
      </c>
      <c r="AM62" s="9">
        <f t="shared" si="15"/>
        <v>2.3600809920558288E-4</v>
      </c>
      <c r="AN62" s="9" t="s">
        <v>2591</v>
      </c>
    </row>
    <row r="63" spans="13:40" ht="23">
      <c r="M63" s="9" t="s">
        <v>2181</v>
      </c>
      <c r="N63" s="8" t="s">
        <v>150</v>
      </c>
      <c r="O63" s="8"/>
      <c r="P63" s="8"/>
      <c r="Q63" s="8"/>
      <c r="R63" s="8"/>
      <c r="S63" s="8"/>
      <c r="T63" s="8"/>
      <c r="U63" s="8"/>
      <c r="V63" s="8"/>
      <c r="W63" s="9" t="s">
        <v>2181</v>
      </c>
      <c r="X63" s="8">
        <v>58.69</v>
      </c>
      <c r="Y63" s="8">
        <v>1.84</v>
      </c>
      <c r="Z63" s="9">
        <v>2.06</v>
      </c>
      <c r="AA63" s="8">
        <v>2.2999999999999998</v>
      </c>
      <c r="AB63" s="8">
        <v>46004</v>
      </c>
      <c r="AC63" s="22" t="s">
        <v>2181</v>
      </c>
      <c r="AD63" s="8" t="s">
        <v>3729</v>
      </c>
      <c r="AE63" s="8" t="s">
        <v>4084</v>
      </c>
      <c r="AF63" s="9">
        <f t="shared" si="8"/>
        <v>4.2320000000000002</v>
      </c>
      <c r="AG63" s="9">
        <f t="shared" si="9"/>
        <v>4.83</v>
      </c>
      <c r="AH63" s="9">
        <f t="shared" si="10"/>
        <v>2.9415526282133272E-2</v>
      </c>
      <c r="AI63" s="9">
        <f t="shared" si="11"/>
        <v>8.652731864548733E-4</v>
      </c>
      <c r="AJ63" s="9">
        <f t="shared" si="12"/>
        <v>2.0534086146313902E-2</v>
      </c>
      <c r="AK63" s="9">
        <f t="shared" si="13"/>
        <v>4.2164869386424053E-4</v>
      </c>
      <c r="AL63" s="9">
        <f t="shared" si="14"/>
        <v>3.3125509434729188E-2</v>
      </c>
      <c r="AM63" s="9">
        <f t="shared" si="15"/>
        <v>1.0972993753103324E-3</v>
      </c>
      <c r="AN63" s="9" t="s">
        <v>2181</v>
      </c>
    </row>
    <row r="64" spans="13:40" ht="23">
      <c r="M64" s="8" t="s">
        <v>274</v>
      </c>
      <c r="N64" s="8" t="s">
        <v>150</v>
      </c>
      <c r="O64" s="8"/>
      <c r="P64" s="8"/>
      <c r="Q64" s="8"/>
      <c r="R64" s="8"/>
      <c r="S64" s="8"/>
      <c r="T64" s="8"/>
      <c r="U64" s="8"/>
      <c r="V64" s="8"/>
      <c r="W64" s="8" t="s">
        <v>274</v>
      </c>
      <c r="X64" s="8">
        <v>46.42</v>
      </c>
      <c r="Y64" s="8">
        <v>2.36</v>
      </c>
      <c r="Z64" s="9">
        <v>3.56</v>
      </c>
      <c r="AA64" s="8">
        <v>2</v>
      </c>
      <c r="AB64" s="8">
        <v>45057</v>
      </c>
      <c r="AC64" s="21" t="s">
        <v>274</v>
      </c>
      <c r="AD64" s="8" t="s">
        <v>3729</v>
      </c>
      <c r="AE64" s="8" t="s">
        <v>4084</v>
      </c>
      <c r="AF64" s="9">
        <f t="shared" si="8"/>
        <v>4.72</v>
      </c>
      <c r="AG64" s="9">
        <f t="shared" si="9"/>
        <v>7.8666666666666671</v>
      </c>
      <c r="AH64" s="9">
        <f t="shared" si="10"/>
        <v>2.5578718506202847E-2</v>
      </c>
      <c r="AI64" s="9">
        <f t="shared" si="11"/>
        <v>6.54270840419564E-4</v>
      </c>
      <c r="AJ64" s="9">
        <f t="shared" si="12"/>
        <v>2.2901910824811345E-2</v>
      </c>
      <c r="AK64" s="9">
        <f t="shared" si="13"/>
        <v>5.2449751942761102E-4</v>
      </c>
      <c r="AL64" s="9">
        <f t="shared" si="14"/>
        <v>5.395183041129116E-2</v>
      </c>
      <c r="AM64" s="9">
        <f t="shared" si="15"/>
        <v>2.9108000047287216E-3</v>
      </c>
      <c r="AN64" s="8" t="s">
        <v>274</v>
      </c>
    </row>
    <row r="65" spans="13:40" ht="23">
      <c r="M65" s="8" t="s">
        <v>1039</v>
      </c>
      <c r="N65" s="8" t="s">
        <v>150</v>
      </c>
      <c r="O65" s="8"/>
      <c r="P65" s="8"/>
      <c r="Q65" s="8"/>
      <c r="R65" s="8"/>
      <c r="S65" s="8"/>
      <c r="T65" s="8"/>
      <c r="U65" s="8"/>
      <c r="V65" s="8"/>
      <c r="W65" s="8" t="s">
        <v>1039</v>
      </c>
      <c r="X65" s="8">
        <v>48.47</v>
      </c>
      <c r="Y65" s="8">
        <v>1.83</v>
      </c>
      <c r="Z65" s="9">
        <v>0.33</v>
      </c>
      <c r="AA65" s="8">
        <v>2</v>
      </c>
      <c r="AB65" s="8">
        <v>45633</v>
      </c>
      <c r="AC65" s="21" t="s">
        <v>1039</v>
      </c>
      <c r="AD65" s="8" t="s">
        <v>3729</v>
      </c>
      <c r="AE65" s="8" t="s">
        <v>4084</v>
      </c>
      <c r="AF65" s="9">
        <f t="shared" si="8"/>
        <v>3.66</v>
      </c>
      <c r="AG65" s="9">
        <f t="shared" si="9"/>
        <v>1.1000000000000001</v>
      </c>
      <c r="AH65" s="9">
        <f t="shared" si="10"/>
        <v>2.5578718506202847E-2</v>
      </c>
      <c r="AI65" s="9">
        <f t="shared" si="11"/>
        <v>6.54270840419564E-4</v>
      </c>
      <c r="AJ65" s="9">
        <f t="shared" si="12"/>
        <v>1.7758685088730831E-2</v>
      </c>
      <c r="AK65" s="9">
        <f t="shared" si="13"/>
        <v>3.1537089608071076E-4</v>
      </c>
      <c r="AL65" s="9">
        <f t="shared" si="14"/>
        <v>7.5441118795449508E-3</v>
      </c>
      <c r="AM65" s="9">
        <f t="shared" si="15"/>
        <v>5.6913624051091248E-5</v>
      </c>
      <c r="AN65" s="8" t="s">
        <v>1039</v>
      </c>
    </row>
    <row r="66" spans="13:40" ht="23">
      <c r="M66" s="8" t="s">
        <v>1399</v>
      </c>
      <c r="N66" s="8" t="s">
        <v>150</v>
      </c>
      <c r="O66" s="8"/>
      <c r="P66" s="8"/>
      <c r="Q66" s="8"/>
      <c r="R66" s="8"/>
      <c r="S66" s="8"/>
      <c r="T66" s="8"/>
      <c r="U66" s="8"/>
      <c r="V66" s="8"/>
      <c r="W66" s="8" t="s">
        <v>1399</v>
      </c>
      <c r="X66" s="8">
        <v>48.14</v>
      </c>
      <c r="Y66" s="8">
        <v>1.71</v>
      </c>
      <c r="Z66" s="9">
        <v>0.43</v>
      </c>
      <c r="AA66" s="8">
        <v>1.9</v>
      </c>
      <c r="AB66" s="8">
        <v>46388</v>
      </c>
      <c r="AC66" s="21" t="s">
        <v>1399</v>
      </c>
      <c r="AD66" s="8" t="s">
        <v>3729</v>
      </c>
      <c r="AE66" s="8" t="s">
        <v>4084</v>
      </c>
      <c r="AF66" s="9">
        <f t="shared" si="8"/>
        <v>3.2489999999999997</v>
      </c>
      <c r="AG66" s="9">
        <f t="shared" si="9"/>
        <v>1.3616666666666666</v>
      </c>
      <c r="AH66" s="9">
        <f t="shared" si="10"/>
        <v>2.4299782580892704E-2</v>
      </c>
      <c r="AI66" s="9">
        <f t="shared" ref="AI66:AI69" si="16">(AH66*AH66)</f>
        <v>5.9047943347865649E-4</v>
      </c>
      <c r="AJ66" s="9">
        <f t="shared" si="12"/>
        <v>1.5764472091061878E-2</v>
      </c>
      <c r="AK66" s="9">
        <f t="shared" ref="AK66:AK69" si="17">(AJ66*AJ66)</f>
        <v>2.4851858030986888E-4</v>
      </c>
      <c r="AL66" s="9">
        <f t="shared" si="14"/>
        <v>9.3386960690730672E-3</v>
      </c>
      <c r="AM66" s="9">
        <f t="shared" ref="AM66:AM69" si="18">(AL66*AL66)</f>
        <v>8.7211244270520751E-5</v>
      </c>
      <c r="AN66" s="8" t="s">
        <v>1399</v>
      </c>
    </row>
    <row r="67" spans="13:40" ht="23">
      <c r="M67" s="8" t="s">
        <v>1923</v>
      </c>
      <c r="N67" s="8" t="s">
        <v>1902</v>
      </c>
      <c r="O67" s="8"/>
      <c r="P67" s="8"/>
      <c r="Q67" s="8"/>
      <c r="R67" s="8"/>
      <c r="S67" s="8"/>
      <c r="T67" s="8"/>
      <c r="U67" s="8"/>
      <c r="V67" s="8"/>
      <c r="W67" s="8" t="s">
        <v>1923</v>
      </c>
      <c r="X67" s="8">
        <v>26.19</v>
      </c>
      <c r="Y67" s="8">
        <v>1.29</v>
      </c>
      <c r="Z67" s="9">
        <v>0.14000000000000001</v>
      </c>
      <c r="AA67" s="8">
        <v>1.8</v>
      </c>
      <c r="AB67" s="8">
        <v>100683</v>
      </c>
      <c r="AC67" s="21" t="s">
        <v>1923</v>
      </c>
      <c r="AD67" s="8" t="s">
        <v>3729</v>
      </c>
      <c r="AE67" s="8" t="s">
        <v>4084</v>
      </c>
      <c r="AF67" s="9">
        <f t="shared" si="8"/>
        <v>2.3220000000000001</v>
      </c>
      <c r="AG67" s="9">
        <f t="shared" si="9"/>
        <v>0.42000000000000004</v>
      </c>
      <c r="AH67" s="9">
        <f t="shared" si="10"/>
        <v>2.3020846655582565E-2</v>
      </c>
      <c r="AI67" s="9">
        <f t="shared" si="16"/>
        <v>5.2995938073984697E-4</v>
      </c>
      <c r="AJ67" s="9">
        <f t="shared" si="12"/>
        <v>1.1266575621866939E-2</v>
      </c>
      <c r="AK67" s="9">
        <f t="shared" si="17"/>
        <v>1.269357262432464E-4</v>
      </c>
      <c r="AL67" s="9">
        <f t="shared" si="14"/>
        <v>2.8804790812807994E-3</v>
      </c>
      <c r="AM67" s="9">
        <f t="shared" si="18"/>
        <v>8.2971597376962779E-6</v>
      </c>
      <c r="AN67" s="8" t="s">
        <v>1923</v>
      </c>
    </row>
    <row r="68" spans="13:40" ht="23">
      <c r="M68" s="9" t="s">
        <v>2754</v>
      </c>
      <c r="N68" s="8" t="s">
        <v>1614</v>
      </c>
      <c r="O68" s="8"/>
      <c r="P68" s="8" t="s">
        <v>3691</v>
      </c>
      <c r="Q68" s="8"/>
      <c r="R68" s="8"/>
      <c r="S68" s="8"/>
      <c r="T68" s="8"/>
      <c r="U68" s="8"/>
      <c r="V68" s="8"/>
      <c r="W68" s="9" t="s">
        <v>2754</v>
      </c>
      <c r="X68" s="8">
        <v>68.61</v>
      </c>
      <c r="Y68" s="8">
        <v>1.86</v>
      </c>
      <c r="Z68" s="9">
        <v>1.54</v>
      </c>
      <c r="AA68" s="8">
        <v>1.4</v>
      </c>
      <c r="AB68" s="8">
        <v>61258</v>
      </c>
      <c r="AC68" s="22" t="s">
        <v>2754</v>
      </c>
      <c r="AD68" s="8" t="s">
        <v>3729</v>
      </c>
      <c r="AE68" s="8" t="s">
        <v>4084</v>
      </c>
      <c r="AF68" s="9">
        <f t="shared" si="8"/>
        <v>2.6040000000000001</v>
      </c>
      <c r="AG68" s="9">
        <f t="shared" si="9"/>
        <v>2.6599999999999997</v>
      </c>
      <c r="AH68" s="9">
        <f t="shared" si="10"/>
        <v>1.7905102954341993E-2</v>
      </c>
      <c r="AI68" s="9">
        <f t="shared" si="16"/>
        <v>3.2059271180558639E-4</v>
      </c>
      <c r="AJ68" s="9">
        <f t="shared" si="12"/>
        <v>1.2634867751654396E-2</v>
      </c>
      <c r="AK68" s="9">
        <f t="shared" si="17"/>
        <v>1.5963988310179622E-4</v>
      </c>
      <c r="AL68" s="9">
        <f t="shared" si="14"/>
        <v>1.8243034181445059E-2</v>
      </c>
      <c r="AM68" s="9">
        <f t="shared" si="18"/>
        <v>3.3280829614537279E-4</v>
      </c>
      <c r="AN68" s="9" t="s">
        <v>2754</v>
      </c>
    </row>
    <row r="69" spans="13:40" ht="23">
      <c r="M69" s="9" t="s">
        <v>3548</v>
      </c>
      <c r="N69" s="8" t="s">
        <v>2041</v>
      </c>
      <c r="O69" s="8"/>
      <c r="P69" s="8"/>
      <c r="Q69" s="8"/>
      <c r="R69" s="8"/>
      <c r="S69" s="8"/>
      <c r="T69" s="8"/>
      <c r="U69" s="8"/>
      <c r="V69" s="8"/>
      <c r="W69" s="9" t="s">
        <v>3548</v>
      </c>
      <c r="X69" s="8">
        <v>75.37</v>
      </c>
      <c r="Y69" s="8">
        <v>1.23</v>
      </c>
      <c r="Z69" s="9">
        <v>0.01</v>
      </c>
      <c r="AA69" s="8">
        <v>1.3</v>
      </c>
      <c r="AB69" s="8">
        <v>71875</v>
      </c>
      <c r="AC69" s="22" t="s">
        <v>3548</v>
      </c>
      <c r="AD69" s="8" t="s">
        <v>3729</v>
      </c>
      <c r="AE69" s="8" t="s">
        <v>4084</v>
      </c>
      <c r="AF69" s="9">
        <f t="shared" si="8"/>
        <v>1.599</v>
      </c>
      <c r="AG69" s="9">
        <f t="shared" si="9"/>
        <v>2.1666666666666667E-2</v>
      </c>
      <c r="AH69" s="9">
        <f t="shared" si="10"/>
        <v>1.6626167029031851E-2</v>
      </c>
      <c r="AI69" s="9">
        <f t="shared" si="16"/>
        <v>2.7642943007726581E-4</v>
      </c>
      <c r="AJ69" s="9">
        <f t="shared" si="12"/>
        <v>7.7585075018799451E-3</v>
      </c>
      <c r="AK69" s="9">
        <f t="shared" si="17"/>
        <v>6.019443865672739E-5</v>
      </c>
      <c r="AL69" s="9">
        <f t="shared" si="14"/>
        <v>1.4859614308194597E-4</v>
      </c>
      <c r="AM69" s="9">
        <f t="shared" si="18"/>
        <v>2.208081373883016E-8</v>
      </c>
      <c r="AN69" s="9" t="s">
        <v>3548</v>
      </c>
    </row>
    <row r="70" spans="13:40" ht="23"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9"/>
      <c r="AA70" s="8">
        <f>SUBTOTAL(109,Table136911121516[ترافیک کل])</f>
        <v>7818.9999999999973</v>
      </c>
      <c r="AB70" s="8"/>
      <c r="AC70" s="21"/>
      <c r="AD70" s="8"/>
      <c r="AE70" s="8"/>
      <c r="AF70" s="9">
        <f>SUBTOTAL(109,Table136911121516[[مجموع صفحات  مشاهده شده   ]])</f>
        <v>20609.634000000002</v>
      </c>
      <c r="AG70" s="9">
        <f>SUBTOTAL(109,Table136911121516[[مجموع زمان حضور در سایت ]])</f>
        <v>14580.907833333331</v>
      </c>
      <c r="AH70" s="9">
        <f>SUBTOTAL(109,Table136911121516[سهم سایت از کل ترافیک طبقه بندی])</f>
        <v>100.00000000000001</v>
      </c>
      <c r="AI70" s="9">
        <f>SUBTOTAL(109,Table136911121516[شاخص هرفیندال هیرشمن (ترافیک)])</f>
        <v>627.03302845893359</v>
      </c>
      <c r="AJ70" s="9">
        <f>SUBTOTAL(109,Table136911121516[سهم سایت از کل صفحات مشاهده شده در طبقه بندی])</f>
        <v>100</v>
      </c>
      <c r="AK70" s="9">
        <f>SUBTOTAL(109,Table136911121516[شاخص هرفیندال -هیرشمن (صفحات مشاهده شده )])</f>
        <v>704.98386308680188</v>
      </c>
      <c r="AL70" s="9">
        <f>SUBTOTAL(109,Table136911121516[سهم سایت از کل زمان حضور در طبقه بندی])</f>
        <v>99.999999999999972</v>
      </c>
      <c r="AM70" s="9">
        <f>SUBTOTAL(109,Table136911121516[شاخص هرفیندال هیرشمن (زمان حضور)])</f>
        <v>840.50981292357062</v>
      </c>
      <c r="AN70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{B26EE0DF-2120-4DD8-AD2D-9B6BB904A25B}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{C7795110-D1CF-4BFB-BB66-FBA26563EC54}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{4DC7CEE0-FF90-4574-9273-2ED562A4C48F}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{BFCE532B-5997-4C45-9DAC-D5D93B5C3273}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{6592B5D3-016D-4B9B-BFF8-B9C18963C499}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{26712C2B-BBEF-4049-9079-510F1CAAC49E}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26EE0DF-2120-4DD8-AD2D-9B6BB904A25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7795110-D1CF-4BFB-BB66-FBA26563EC5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4DC7CEE0-FF90-4574-9273-2ED562A4C48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FCE532B-5997-4C45-9DAC-D5D93B5C327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592B5D3-016D-4B9B-BFF8-B9C18963C49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26712C2B-BBEF-4049-9079-510F1CAAC49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47"/>
  <sheetViews>
    <sheetView showGridLines="0" rightToLeft="1" topLeftCell="Y1" zoomScale="70" zoomScaleNormal="70" workbookViewId="0">
      <selection activeCell="AC47" sqref="AC47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136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136</v>
      </c>
      <c r="X2" s="8">
        <v>33.590000000000003</v>
      </c>
      <c r="Y2" s="8">
        <v>5.15</v>
      </c>
      <c r="Z2" s="9">
        <v>4.34</v>
      </c>
      <c r="AA2" s="8">
        <v>902.3</v>
      </c>
      <c r="AB2" s="8">
        <v>602</v>
      </c>
      <c r="AC2" s="21" t="s">
        <v>136</v>
      </c>
      <c r="AD2" s="8" t="s">
        <v>4010</v>
      </c>
      <c r="AE2" s="8" t="s">
        <v>4084</v>
      </c>
      <c r="AF2" s="9">
        <f t="shared" ref="AF2:AF46" si="0">(AA2*Y2)</f>
        <v>4646.8450000000003</v>
      </c>
      <c r="AG2" s="9">
        <f t="shared" ref="AG2:AG46" si="1">((((RIGHT(Z2,2))/60)+(LEFT(Z2,2)))*AA2)</f>
        <v>4120.5033333333331</v>
      </c>
      <c r="AH2" s="9">
        <f t="shared" ref="AH2:AH46" si="2">(AA2/$AA$47)*100</f>
        <v>15.47764035885208</v>
      </c>
      <c r="AI2" s="9">
        <f t="shared" ref="AI2:AI46" si="3">(AH2*AH2)</f>
        <v>239.55735107796673</v>
      </c>
      <c r="AJ2" s="9">
        <f t="shared" ref="AJ2:AJ46" si="4">(AF2/$AF$47)*100</f>
        <v>19.220003334556392</v>
      </c>
      <c r="AK2" s="9">
        <f t="shared" ref="AK2:AK46" si="5">(AJ2*AJ2)</f>
        <v>369.40852818035881</v>
      </c>
      <c r="AL2" s="9">
        <f t="shared" ref="AL2:AL46" si="6">(AG2/$AG$47)*100</f>
        <v>24.002665679156589</v>
      </c>
      <c r="AM2" s="9">
        <f t="shared" ref="AM2:AM46" si="7">(AL2*AL2)</f>
        <v>576.1279597053616</v>
      </c>
      <c r="AN2" s="8" t="s">
        <v>136</v>
      </c>
    </row>
    <row r="3" spans="8:40" ht="23">
      <c r="M3" s="9" t="s">
        <v>4254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9" t="s">
        <v>4254</v>
      </c>
      <c r="X3" s="8">
        <v>42.27</v>
      </c>
      <c r="Y3" s="8">
        <v>2.66</v>
      </c>
      <c r="Z3" s="9">
        <v>2</v>
      </c>
      <c r="AA3" s="8">
        <v>454.7</v>
      </c>
      <c r="AB3" s="8">
        <v>1211</v>
      </c>
      <c r="AC3" s="22" t="s">
        <v>4254</v>
      </c>
      <c r="AD3" s="8" t="s">
        <v>4010</v>
      </c>
      <c r="AE3" s="8" t="s">
        <v>4084</v>
      </c>
      <c r="AF3" s="9">
        <f t="shared" si="0"/>
        <v>1209.502</v>
      </c>
      <c r="AG3" s="9">
        <f t="shared" si="1"/>
        <v>924.55666666666662</v>
      </c>
      <c r="AH3" s="9">
        <f t="shared" si="2"/>
        <v>7.7997152512136108</v>
      </c>
      <c r="AI3" s="9">
        <f t="shared" si="3"/>
        <v>60.835558000014203</v>
      </c>
      <c r="AJ3" s="9">
        <f t="shared" si="4"/>
        <v>5.0026700854348762</v>
      </c>
      <c r="AK3" s="9">
        <f t="shared" si="5"/>
        <v>25.026707983704991</v>
      </c>
      <c r="AL3" s="9">
        <f t="shared" si="6"/>
        <v>5.3857072246275948</v>
      </c>
      <c r="AM3" s="9">
        <f t="shared" si="7"/>
        <v>29.005842309405871</v>
      </c>
      <c r="AN3" s="9" t="s">
        <v>4254</v>
      </c>
    </row>
    <row r="4" spans="8:40" ht="23">
      <c r="M4" s="8" t="s">
        <v>1438</v>
      </c>
      <c r="N4" s="8" t="s">
        <v>150</v>
      </c>
      <c r="O4" s="8"/>
      <c r="P4" s="8" t="s">
        <v>3691</v>
      </c>
      <c r="Q4" s="8"/>
      <c r="R4" s="8"/>
      <c r="S4" s="8"/>
      <c r="T4" s="8"/>
      <c r="U4" s="8"/>
      <c r="V4" s="8"/>
      <c r="W4" s="8" t="s">
        <v>1438</v>
      </c>
      <c r="X4" s="8">
        <v>11.01</v>
      </c>
      <c r="Y4" s="8">
        <v>5.33</v>
      </c>
      <c r="Z4" s="9">
        <v>5.23</v>
      </c>
      <c r="AA4" s="8">
        <v>404.4</v>
      </c>
      <c r="AB4" s="8">
        <v>1544</v>
      </c>
      <c r="AC4" s="21" t="s">
        <v>1438</v>
      </c>
      <c r="AD4" s="8" t="s">
        <v>4010</v>
      </c>
      <c r="AE4" s="8" t="s">
        <v>4084</v>
      </c>
      <c r="AF4" s="9">
        <f t="shared" si="0"/>
        <v>2155.4519999999998</v>
      </c>
      <c r="AG4" s="9">
        <f t="shared" si="1"/>
        <v>2177.02</v>
      </c>
      <c r="AH4" s="9">
        <f t="shared" si="2"/>
        <v>6.936892121378456</v>
      </c>
      <c r="AI4" s="9">
        <f t="shared" si="3"/>
        <v>48.120472303642494</v>
      </c>
      <c r="AJ4" s="9">
        <f t="shared" si="4"/>
        <v>8.9152520963096986</v>
      </c>
      <c r="AK4" s="9">
        <f t="shared" si="5"/>
        <v>79.481719940754473</v>
      </c>
      <c r="AL4" s="9">
        <f t="shared" si="6"/>
        <v>12.681529174875275</v>
      </c>
      <c r="AM4" s="9">
        <f t="shared" si="7"/>
        <v>160.82118221321275</v>
      </c>
      <c r="AN4" s="8" t="s">
        <v>1438</v>
      </c>
    </row>
    <row r="5" spans="8:40" ht="23">
      <c r="M5" s="9" t="s">
        <v>4261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9" t="s">
        <v>4261</v>
      </c>
      <c r="X5" s="8">
        <v>24.4</v>
      </c>
      <c r="Y5" s="8">
        <v>2.81</v>
      </c>
      <c r="Z5" s="9">
        <v>1.29</v>
      </c>
      <c r="AA5" s="8">
        <v>387.9</v>
      </c>
      <c r="AB5" s="8">
        <v>5041</v>
      </c>
      <c r="AC5" s="22" t="s">
        <v>4261</v>
      </c>
      <c r="AD5" s="8" t="s">
        <v>4010</v>
      </c>
      <c r="AE5" s="8" t="s">
        <v>4084</v>
      </c>
      <c r="AF5" s="9">
        <f t="shared" si="0"/>
        <v>1089.999</v>
      </c>
      <c r="AG5" s="9">
        <f t="shared" si="1"/>
        <v>575.38499999999999</v>
      </c>
      <c r="AH5" s="9">
        <f t="shared" si="2"/>
        <v>6.653858689126368</v>
      </c>
      <c r="AI5" s="9">
        <f t="shared" si="3"/>
        <v>44.273835454862471</v>
      </c>
      <c r="AJ5" s="9">
        <f t="shared" si="4"/>
        <v>4.5083888992774952</v>
      </c>
      <c r="AK5" s="9">
        <f t="shared" si="5"/>
        <v>20.325570467128546</v>
      </c>
      <c r="AL5" s="9">
        <f t="shared" si="6"/>
        <v>3.3517200872227217</v>
      </c>
      <c r="AM5" s="9">
        <f t="shared" si="7"/>
        <v>11.234027543092289</v>
      </c>
      <c r="AN5" s="9" t="s">
        <v>4261</v>
      </c>
    </row>
    <row r="6" spans="8:40" ht="23">
      <c r="M6" s="8" t="s">
        <v>1543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1543</v>
      </c>
      <c r="X6" s="8">
        <v>32.71</v>
      </c>
      <c r="Y6" s="8">
        <v>4.54</v>
      </c>
      <c r="Z6" s="9">
        <v>2.19</v>
      </c>
      <c r="AA6" s="8">
        <v>361.9</v>
      </c>
      <c r="AB6" s="8">
        <v>3621</v>
      </c>
      <c r="AC6" s="21" t="s">
        <v>1543</v>
      </c>
      <c r="AD6" s="8" t="s">
        <v>4010</v>
      </c>
      <c r="AE6" s="8" t="s">
        <v>4084</v>
      </c>
      <c r="AF6" s="9">
        <f t="shared" si="0"/>
        <v>1643.0259999999998</v>
      </c>
      <c r="AG6" s="9">
        <f t="shared" si="1"/>
        <v>838.40166666666653</v>
      </c>
      <c r="AH6" s="9">
        <f t="shared" si="2"/>
        <v>6.2078666140624712</v>
      </c>
      <c r="AI6" s="9">
        <f t="shared" si="3"/>
        <v>38.53760789799145</v>
      </c>
      <c r="AJ6" s="9">
        <f t="shared" si="4"/>
        <v>6.7957862159729556</v>
      </c>
      <c r="AK6" s="9">
        <f t="shared" si="5"/>
        <v>46.182710293208025</v>
      </c>
      <c r="AL6" s="9">
        <f t="shared" si="6"/>
        <v>4.8838390074952853</v>
      </c>
      <c r="AM6" s="9">
        <f t="shared" si="7"/>
        <v>23.851883451132533</v>
      </c>
      <c r="AN6" s="8" t="s">
        <v>1543</v>
      </c>
    </row>
    <row r="7" spans="8:40" ht="23">
      <c r="M7" s="8" t="s">
        <v>4492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4492</v>
      </c>
      <c r="X7" s="8">
        <v>30.66</v>
      </c>
      <c r="Y7" s="8">
        <v>4.53</v>
      </c>
      <c r="Z7" s="9">
        <v>2.25</v>
      </c>
      <c r="AA7" s="8">
        <v>357.4</v>
      </c>
      <c r="AB7" s="8">
        <v>949</v>
      </c>
      <c r="AC7" s="21" t="s">
        <v>4492</v>
      </c>
      <c r="AD7" s="8" t="s">
        <v>4010</v>
      </c>
      <c r="AE7" s="8" t="s">
        <v>4084</v>
      </c>
      <c r="AF7" s="9">
        <f t="shared" si="0"/>
        <v>1619.0219999999999</v>
      </c>
      <c r="AG7" s="9">
        <f t="shared" si="1"/>
        <v>863.71666666666658</v>
      </c>
      <c r="AH7" s="9">
        <f t="shared" si="2"/>
        <v>6.1306756779937199</v>
      </c>
      <c r="AI7" s="9">
        <f t="shared" si="3"/>
        <v>37.58518426874376</v>
      </c>
      <c r="AJ7" s="9">
        <f t="shared" si="4"/>
        <v>6.6965023018241752</v>
      </c>
      <c r="AK7" s="9">
        <f t="shared" si="5"/>
        <v>44.843143078336475</v>
      </c>
      <c r="AL7" s="9">
        <f t="shared" si="6"/>
        <v>5.0313033904876185</v>
      </c>
      <c r="AM7" s="9">
        <f t="shared" si="7"/>
        <v>25.314013807132206</v>
      </c>
      <c r="AN7" s="8" t="s">
        <v>4492</v>
      </c>
    </row>
    <row r="8" spans="8:40" ht="23">
      <c r="M8" s="9" t="s">
        <v>4253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9" t="s">
        <v>4253</v>
      </c>
      <c r="X8" s="8">
        <v>14.58</v>
      </c>
      <c r="Y8" s="8">
        <v>6.16</v>
      </c>
      <c r="Z8" s="9">
        <v>5.12</v>
      </c>
      <c r="AA8" s="8">
        <v>292.3</v>
      </c>
      <c r="AB8" s="8">
        <v>1124</v>
      </c>
      <c r="AC8" s="22" t="s">
        <v>4253</v>
      </c>
      <c r="AD8" s="8" t="s">
        <v>4010</v>
      </c>
      <c r="AE8" s="8" t="s">
        <v>4084</v>
      </c>
      <c r="AF8" s="9">
        <f t="shared" si="0"/>
        <v>1800.5680000000002</v>
      </c>
      <c r="AG8" s="9">
        <f t="shared" si="1"/>
        <v>1519.96</v>
      </c>
      <c r="AH8" s="9">
        <f t="shared" si="2"/>
        <v>5.013980136199117</v>
      </c>
      <c r="AI8" s="9">
        <f t="shared" si="3"/>
        <v>25.139996806199317</v>
      </c>
      <c r="AJ8" s="9">
        <f t="shared" si="4"/>
        <v>7.4474020467856228</v>
      </c>
      <c r="AK8" s="9">
        <f t="shared" si="5"/>
        <v>55.463797246466683</v>
      </c>
      <c r="AL8" s="9">
        <f t="shared" si="6"/>
        <v>8.8540376683004389</v>
      </c>
      <c r="AM8" s="9">
        <f t="shared" si="7"/>
        <v>78.393983031683078</v>
      </c>
      <c r="AN8" s="9" t="s">
        <v>4253</v>
      </c>
    </row>
    <row r="9" spans="8:40" ht="23">
      <c r="M9" s="9" t="s">
        <v>2791</v>
      </c>
      <c r="N9" s="8" t="s">
        <v>1614</v>
      </c>
      <c r="O9" s="8"/>
      <c r="P9" s="8" t="s">
        <v>3691</v>
      </c>
      <c r="Q9" s="8"/>
      <c r="R9" s="8"/>
      <c r="S9" s="8"/>
      <c r="T9" s="8"/>
      <c r="U9" s="8"/>
      <c r="V9" s="8"/>
      <c r="W9" s="9" t="s">
        <v>2791</v>
      </c>
      <c r="X9" s="8">
        <v>23.27</v>
      </c>
      <c r="Y9" s="8">
        <v>4.12</v>
      </c>
      <c r="Z9" s="9">
        <v>3.2</v>
      </c>
      <c r="AA9" s="8">
        <v>290.2</v>
      </c>
      <c r="AB9" s="8">
        <v>2120</v>
      </c>
      <c r="AC9" s="22" t="s">
        <v>2791</v>
      </c>
      <c r="AD9" s="8" t="s">
        <v>4010</v>
      </c>
      <c r="AE9" s="8" t="s">
        <v>4084</v>
      </c>
      <c r="AF9" s="9">
        <f t="shared" si="0"/>
        <v>1195.624</v>
      </c>
      <c r="AG9" s="9">
        <f t="shared" si="1"/>
        <v>871.56733333333329</v>
      </c>
      <c r="AH9" s="9">
        <f t="shared" si="2"/>
        <v>4.9779576993670327</v>
      </c>
      <c r="AI9" s="9">
        <f t="shared" si="3"/>
        <v>24.780062856687522</v>
      </c>
      <c r="AJ9" s="9">
        <f t="shared" si="4"/>
        <v>4.9452687289710875</v>
      </c>
      <c r="AK9" s="9">
        <f t="shared" si="5"/>
        <v>24.455682801739314</v>
      </c>
      <c r="AL9" s="9">
        <f t="shared" si="6"/>
        <v>5.0770349218357707</v>
      </c>
      <c r="AM9" s="9">
        <f t="shared" si="7"/>
        <v>25.776283597539951</v>
      </c>
      <c r="AN9" s="9" t="s">
        <v>2791</v>
      </c>
    </row>
    <row r="10" spans="8:40" ht="23">
      <c r="M10" s="8" t="s">
        <v>1791</v>
      </c>
      <c r="N10" s="8" t="s">
        <v>1717</v>
      </c>
      <c r="O10" s="8"/>
      <c r="P10" s="8"/>
      <c r="Q10" s="8"/>
      <c r="R10" s="8"/>
      <c r="S10" s="8"/>
      <c r="T10" s="8"/>
      <c r="U10" s="8"/>
      <c r="V10" s="8"/>
      <c r="W10" s="8" t="s">
        <v>1791</v>
      </c>
      <c r="X10" s="8">
        <v>23.25</v>
      </c>
      <c r="Y10" s="8">
        <v>3.42</v>
      </c>
      <c r="Z10" s="9">
        <v>3.4</v>
      </c>
      <c r="AA10" s="8">
        <v>265.8</v>
      </c>
      <c r="AB10" s="8">
        <v>2471</v>
      </c>
      <c r="AC10" s="21" t="s">
        <v>1791</v>
      </c>
      <c r="AD10" s="8" t="s">
        <v>4010</v>
      </c>
      <c r="AE10" s="8" t="s">
        <v>4084</v>
      </c>
      <c r="AF10" s="9">
        <f t="shared" si="0"/>
        <v>909.03600000000006</v>
      </c>
      <c r="AG10" s="9">
        <f t="shared" si="1"/>
        <v>799.17200000000003</v>
      </c>
      <c r="AH10" s="9">
        <f t="shared" si="2"/>
        <v>4.5594112904609148</v>
      </c>
      <c r="AI10" s="9">
        <f t="shared" si="3"/>
        <v>20.788231315582465</v>
      </c>
      <c r="AJ10" s="9">
        <f t="shared" si="4"/>
        <v>3.7599005241689376</v>
      </c>
      <c r="AK10" s="9">
        <f t="shared" si="5"/>
        <v>14.136851951645852</v>
      </c>
      <c r="AL10" s="9">
        <f t="shared" si="6"/>
        <v>4.6553192133023229</v>
      </c>
      <c r="AM10" s="9">
        <f t="shared" si="7"/>
        <v>21.67199697774176</v>
      </c>
      <c r="AN10" s="8" t="s">
        <v>1791</v>
      </c>
    </row>
    <row r="11" spans="8:40" ht="23">
      <c r="M11" s="8" t="s">
        <v>1003</v>
      </c>
      <c r="N11" s="8" t="s">
        <v>150</v>
      </c>
      <c r="O11" s="8"/>
      <c r="P11" s="8" t="s">
        <v>3693</v>
      </c>
      <c r="Q11" s="8"/>
      <c r="R11" s="8"/>
      <c r="S11" s="8"/>
      <c r="T11" s="8"/>
      <c r="U11" s="8"/>
      <c r="V11" s="8"/>
      <c r="W11" s="8" t="s">
        <v>1003</v>
      </c>
      <c r="X11" s="8">
        <v>9.93</v>
      </c>
      <c r="Y11" s="8">
        <v>5.63</v>
      </c>
      <c r="Z11" s="9">
        <v>4.4000000000000004</v>
      </c>
      <c r="AA11" s="8">
        <v>243.3</v>
      </c>
      <c r="AB11" s="8">
        <v>940</v>
      </c>
      <c r="AC11" s="21" t="s">
        <v>1003</v>
      </c>
      <c r="AD11" s="8" t="s">
        <v>4010</v>
      </c>
      <c r="AE11" s="8" t="s">
        <v>4084</v>
      </c>
      <c r="AF11" s="9">
        <f t="shared" si="0"/>
        <v>1369.779</v>
      </c>
      <c r="AG11" s="9">
        <f t="shared" si="1"/>
        <v>974.82200000000012</v>
      </c>
      <c r="AH11" s="9">
        <f t="shared" si="2"/>
        <v>4.1734566101171575</v>
      </c>
      <c r="AI11" s="9">
        <f t="shared" si="3"/>
        <v>17.417740076530595</v>
      </c>
      <c r="AJ11" s="9">
        <f t="shared" si="4"/>
        <v>5.6655982602400812</v>
      </c>
      <c r="AK11" s="9">
        <f t="shared" si="5"/>
        <v>32.099003646435435</v>
      </c>
      <c r="AL11" s="9">
        <f t="shared" si="6"/>
        <v>5.6785117423405698</v>
      </c>
      <c r="AM11" s="9">
        <f t="shared" si="7"/>
        <v>32.245495607899734</v>
      </c>
      <c r="AN11" s="8" t="s">
        <v>1003</v>
      </c>
    </row>
    <row r="12" spans="8:40" ht="23">
      <c r="M12" s="9" t="s">
        <v>4260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9" t="s">
        <v>4260</v>
      </c>
      <c r="X12" s="8">
        <v>23.01</v>
      </c>
      <c r="Y12" s="8">
        <v>3.78</v>
      </c>
      <c r="Z12" s="9">
        <v>0.3</v>
      </c>
      <c r="AA12" s="8">
        <v>227.3</v>
      </c>
      <c r="AB12" s="8">
        <v>12727</v>
      </c>
      <c r="AC12" s="22" t="s">
        <v>4260</v>
      </c>
      <c r="AD12" s="8" t="s">
        <v>4010</v>
      </c>
      <c r="AE12" s="8" t="s">
        <v>4084</v>
      </c>
      <c r="AF12" s="9">
        <f t="shared" si="0"/>
        <v>859.19399999999996</v>
      </c>
      <c r="AG12" s="9">
        <f t="shared" si="1"/>
        <v>1.1365000000000001</v>
      </c>
      <c r="AH12" s="9">
        <f t="shared" si="2"/>
        <v>3.8989999485393749</v>
      </c>
      <c r="AI12" s="9">
        <f t="shared" si="3"/>
        <v>15.202200598710048</v>
      </c>
      <c r="AJ12" s="9">
        <f t="shared" si="4"/>
        <v>3.5537470143787546</v>
      </c>
      <c r="AK12" s="9">
        <f t="shared" si="5"/>
        <v>12.629117842205913</v>
      </c>
      <c r="AL12" s="9">
        <f t="shared" si="6"/>
        <v>6.6203148833018297E-3</v>
      </c>
      <c r="AM12" s="9">
        <f t="shared" si="7"/>
        <v>4.3828569154067722E-5</v>
      </c>
      <c r="AN12" s="9" t="s">
        <v>4260</v>
      </c>
    </row>
    <row r="13" spans="8:40" ht="23">
      <c r="M13" s="9" t="s">
        <v>2503</v>
      </c>
      <c r="N13" s="8" t="s">
        <v>150</v>
      </c>
      <c r="O13" s="8"/>
      <c r="P13" s="8" t="s">
        <v>3691</v>
      </c>
      <c r="Q13" s="8"/>
      <c r="R13" s="8"/>
      <c r="S13" s="8"/>
      <c r="T13" s="8"/>
      <c r="U13" s="8"/>
      <c r="V13" s="8"/>
      <c r="W13" s="9" t="s">
        <v>2503</v>
      </c>
      <c r="X13" s="8">
        <v>6.91</v>
      </c>
      <c r="Y13" s="8">
        <v>5.8</v>
      </c>
      <c r="Z13" s="9">
        <v>3.5</v>
      </c>
      <c r="AA13" s="8">
        <v>220</v>
      </c>
      <c r="AB13" s="8">
        <v>2950</v>
      </c>
      <c r="AC13" s="22" t="s">
        <v>2503</v>
      </c>
      <c r="AD13" s="8" t="s">
        <v>4010</v>
      </c>
      <c r="AE13" s="8" t="s">
        <v>4084</v>
      </c>
      <c r="AF13" s="9">
        <f t="shared" si="0"/>
        <v>1276</v>
      </c>
      <c r="AG13" s="9">
        <f t="shared" si="1"/>
        <v>661.83333333333337</v>
      </c>
      <c r="AH13" s="9">
        <f t="shared" si="2"/>
        <v>3.7737790966945113</v>
      </c>
      <c r="AI13" s="9">
        <f t="shared" si="3"/>
        <v>14.241408670648442</v>
      </c>
      <c r="AJ13" s="9">
        <f t="shared" si="4"/>
        <v>5.2777151497185635</v>
      </c>
      <c r="AK13" s="9">
        <f t="shared" si="5"/>
        <v>27.854277201568838</v>
      </c>
      <c r="AL13" s="9">
        <f t="shared" si="6"/>
        <v>3.8552970232573056</v>
      </c>
      <c r="AM13" s="9">
        <f t="shared" si="7"/>
        <v>14.863315137536642</v>
      </c>
      <c r="AN13" s="9" t="s">
        <v>2503</v>
      </c>
    </row>
    <row r="14" spans="8:40" ht="23">
      <c r="M14" s="9" t="s">
        <v>3166</v>
      </c>
      <c r="N14" s="8" t="s">
        <v>1869</v>
      </c>
      <c r="O14" s="8"/>
      <c r="P14" s="8"/>
      <c r="Q14" s="8"/>
      <c r="R14" s="8"/>
      <c r="S14" s="8"/>
      <c r="T14" s="8"/>
      <c r="U14" s="8"/>
      <c r="V14" s="8"/>
      <c r="W14" s="9" t="s">
        <v>3166</v>
      </c>
      <c r="X14" s="8">
        <v>25.24</v>
      </c>
      <c r="Y14" s="8">
        <v>2.4500000000000002</v>
      </c>
      <c r="Z14" s="9">
        <v>3.04</v>
      </c>
      <c r="AA14" s="8">
        <v>212.9</v>
      </c>
      <c r="AB14" s="8">
        <v>4063</v>
      </c>
      <c r="AC14" s="22" t="s">
        <v>3166</v>
      </c>
      <c r="AD14" s="8" t="s">
        <v>4010</v>
      </c>
      <c r="AE14" s="8" t="s">
        <v>4084</v>
      </c>
      <c r="AF14" s="9">
        <f t="shared" si="0"/>
        <v>521.60500000000002</v>
      </c>
      <c r="AG14" s="9">
        <f t="shared" si="1"/>
        <v>652.89333333333343</v>
      </c>
      <c r="AH14" s="9">
        <f t="shared" si="2"/>
        <v>3.6519889531193708</v>
      </c>
      <c r="AI14" s="9">
        <f t="shared" si="3"/>
        <v>13.337023313705918</v>
      </c>
      <c r="AJ14" s="9">
        <f t="shared" si="4"/>
        <v>2.1574315130634414</v>
      </c>
      <c r="AK14" s="9">
        <f t="shared" si="5"/>
        <v>4.65451073355921</v>
      </c>
      <c r="AL14" s="9">
        <f t="shared" si="6"/>
        <v>3.8032199312584334</v>
      </c>
      <c r="AM14" s="9">
        <f t="shared" si="7"/>
        <v>14.464481845521403</v>
      </c>
      <c r="AN14" s="9" t="s">
        <v>3166</v>
      </c>
    </row>
    <row r="15" spans="8:40" ht="23">
      <c r="M15" s="8" t="s">
        <v>4262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4262</v>
      </c>
      <c r="X15" s="8">
        <v>15.13</v>
      </c>
      <c r="Y15" s="8">
        <v>3.09</v>
      </c>
      <c r="Z15" s="9">
        <v>1.1100000000000001</v>
      </c>
      <c r="AA15" s="8">
        <v>190.6</v>
      </c>
      <c r="AB15" s="8">
        <v>4533</v>
      </c>
      <c r="AC15" s="21" t="s">
        <v>4262</v>
      </c>
      <c r="AD15" s="8" t="s">
        <v>4010</v>
      </c>
      <c r="AE15" s="8" t="s">
        <v>4084</v>
      </c>
      <c r="AF15" s="9">
        <f t="shared" si="0"/>
        <v>588.95399999999995</v>
      </c>
      <c r="AG15" s="9">
        <f t="shared" si="1"/>
        <v>225.54333333333332</v>
      </c>
      <c r="AH15" s="9">
        <f t="shared" si="2"/>
        <v>3.2694649810453358</v>
      </c>
      <c r="AI15" s="9">
        <f t="shared" si="3"/>
        <v>10.689401262281779</v>
      </c>
      <c r="AJ15" s="9">
        <f t="shared" si="4"/>
        <v>2.435996432827074</v>
      </c>
      <c r="AK15" s="9">
        <f t="shared" si="5"/>
        <v>5.934078620746229</v>
      </c>
      <c r="AL15" s="9">
        <f t="shared" si="6"/>
        <v>1.3138300805069707</v>
      </c>
      <c r="AM15" s="9">
        <f t="shared" si="7"/>
        <v>1.7261494804449531</v>
      </c>
      <c r="AN15" s="8" t="s">
        <v>4262</v>
      </c>
    </row>
    <row r="16" spans="8:40" ht="23">
      <c r="M16" s="9" t="s">
        <v>2419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9" t="s">
        <v>2419</v>
      </c>
      <c r="X16" s="8">
        <v>17.170000000000002</v>
      </c>
      <c r="Y16" s="8">
        <v>2.2999999999999998</v>
      </c>
      <c r="Z16" s="9">
        <v>0.42</v>
      </c>
      <c r="AA16" s="8">
        <v>186.5</v>
      </c>
      <c r="AB16" s="8">
        <v>8351</v>
      </c>
      <c r="AC16" s="22" t="s">
        <v>2419</v>
      </c>
      <c r="AD16" s="8" t="s">
        <v>4010</v>
      </c>
      <c r="AE16" s="8" t="s">
        <v>4084</v>
      </c>
      <c r="AF16" s="9">
        <f t="shared" si="0"/>
        <v>428.95</v>
      </c>
      <c r="AG16" s="9">
        <f t="shared" si="1"/>
        <v>130.54999999999998</v>
      </c>
      <c r="AH16" s="9">
        <f t="shared" si="2"/>
        <v>3.199135461516029</v>
      </c>
      <c r="AI16" s="9">
        <f t="shared" si="3"/>
        <v>10.234467701129375</v>
      </c>
      <c r="AJ16" s="9">
        <f t="shared" si="4"/>
        <v>1.7741974243509226</v>
      </c>
      <c r="AK16" s="9">
        <f t="shared" si="5"/>
        <v>3.1477765005734479</v>
      </c>
      <c r="AL16" s="9">
        <f t="shared" si="6"/>
        <v>0.76047699781350975</v>
      </c>
      <c r="AM16" s="9">
        <f t="shared" si="7"/>
        <v>0.57832526420344887</v>
      </c>
      <c r="AN16" s="9" t="s">
        <v>2419</v>
      </c>
    </row>
    <row r="17" spans="13:40" ht="23">
      <c r="M17" s="8" t="s">
        <v>1391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1391</v>
      </c>
      <c r="X17" s="8">
        <v>18.510000000000002</v>
      </c>
      <c r="Y17" s="8">
        <v>2.33</v>
      </c>
      <c r="Z17" s="9">
        <v>0.44</v>
      </c>
      <c r="AA17" s="8">
        <v>99.7</v>
      </c>
      <c r="AB17" s="8">
        <v>7750</v>
      </c>
      <c r="AC17" s="21" t="s">
        <v>1391</v>
      </c>
      <c r="AD17" s="8" t="s">
        <v>4010</v>
      </c>
      <c r="AE17" s="8" t="s">
        <v>4084</v>
      </c>
      <c r="AF17" s="9">
        <f t="shared" si="0"/>
        <v>232.30100000000002</v>
      </c>
      <c r="AG17" s="9">
        <f t="shared" si="1"/>
        <v>73.11333333333333</v>
      </c>
      <c r="AH17" s="9">
        <f t="shared" si="2"/>
        <v>1.7102080724565583</v>
      </c>
      <c r="AI17" s="9">
        <f t="shared" si="3"/>
        <v>2.9248116510955766</v>
      </c>
      <c r="AJ17" s="9">
        <f t="shared" si="4"/>
        <v>0.9608295509363417</v>
      </c>
      <c r="AK17" s="9">
        <f t="shared" si="5"/>
        <v>0.92319342595253207</v>
      </c>
      <c r="AL17" s="9">
        <f t="shared" si="6"/>
        <v>0.42589818639197041</v>
      </c>
      <c r="AM17" s="9">
        <f t="shared" si="7"/>
        <v>0.18138926517196957</v>
      </c>
      <c r="AN17" s="8" t="s">
        <v>1391</v>
      </c>
    </row>
    <row r="18" spans="13:40" ht="23">
      <c r="M18" s="8" t="s">
        <v>689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689</v>
      </c>
      <c r="X18" s="8">
        <v>31.17</v>
      </c>
      <c r="Y18" s="8">
        <v>3.18</v>
      </c>
      <c r="Z18" s="9">
        <v>0.31</v>
      </c>
      <c r="AA18" s="8">
        <v>96.9</v>
      </c>
      <c r="AB18" s="8">
        <v>7049</v>
      </c>
      <c r="AC18" s="21" t="s">
        <v>689</v>
      </c>
      <c r="AD18" s="8" t="s">
        <v>4010</v>
      </c>
      <c r="AE18" s="8" t="s">
        <v>4084</v>
      </c>
      <c r="AF18" s="9">
        <f t="shared" si="0"/>
        <v>308.14200000000005</v>
      </c>
      <c r="AG18" s="9">
        <f t="shared" si="1"/>
        <v>50.065000000000005</v>
      </c>
      <c r="AH18" s="9">
        <f t="shared" si="2"/>
        <v>1.6621781566804463</v>
      </c>
      <c r="AI18" s="9">
        <f t="shared" si="3"/>
        <v>2.7628362245456062</v>
      </c>
      <c r="AJ18" s="9">
        <f t="shared" si="4"/>
        <v>1.2745185749722396</v>
      </c>
      <c r="AK18" s="9">
        <f t="shared" si="5"/>
        <v>1.6243975979492684</v>
      </c>
      <c r="AL18" s="9">
        <f t="shared" si="6"/>
        <v>0.29163754037176082</v>
      </c>
      <c r="AM18" s="9">
        <f t="shared" si="7"/>
        <v>8.5052454954090417E-2</v>
      </c>
      <c r="AN18" s="8" t="s">
        <v>689</v>
      </c>
    </row>
    <row r="19" spans="13:40" ht="23">
      <c r="M19" s="8" t="s">
        <v>1916</v>
      </c>
      <c r="N19" s="8" t="s">
        <v>1902</v>
      </c>
      <c r="O19" s="8"/>
      <c r="P19" s="8"/>
      <c r="Q19" s="8"/>
      <c r="R19" s="8"/>
      <c r="S19" s="8"/>
      <c r="T19" s="8"/>
      <c r="U19" s="8"/>
      <c r="V19" s="8"/>
      <c r="W19" s="8" t="s">
        <v>1916</v>
      </c>
      <c r="X19" s="8">
        <v>14.02</v>
      </c>
      <c r="Y19" s="8">
        <v>2.5</v>
      </c>
      <c r="Z19" s="9">
        <v>0.34</v>
      </c>
      <c r="AA19" s="8">
        <v>95.3</v>
      </c>
      <c r="AB19" s="8">
        <v>12518</v>
      </c>
      <c r="AC19" s="21" t="s">
        <v>1916</v>
      </c>
      <c r="AD19" s="8" t="s">
        <v>4010</v>
      </c>
      <c r="AE19" s="8" t="s">
        <v>4084</v>
      </c>
      <c r="AF19" s="9">
        <f t="shared" si="0"/>
        <v>238.25</v>
      </c>
      <c r="AG19" s="9">
        <f t="shared" si="1"/>
        <v>54.00333333333333</v>
      </c>
      <c r="AH19" s="9">
        <f t="shared" si="2"/>
        <v>1.6347324905226679</v>
      </c>
      <c r="AI19" s="9">
        <f t="shared" si="3"/>
        <v>2.6723503155704447</v>
      </c>
      <c r="AJ19" s="9">
        <f t="shared" si="4"/>
        <v>0.98543545017276468</v>
      </c>
      <c r="AK19" s="9">
        <f t="shared" si="5"/>
        <v>0.97108302645719935</v>
      </c>
      <c r="AL19" s="9">
        <f t="shared" si="6"/>
        <v>0.31457903336082399</v>
      </c>
      <c r="AM19" s="9">
        <f t="shared" si="7"/>
        <v>9.8959968230230413E-2</v>
      </c>
      <c r="AN19" s="8" t="s">
        <v>1916</v>
      </c>
    </row>
    <row r="20" spans="13:40" ht="23">
      <c r="M20" s="8" t="s">
        <v>448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448</v>
      </c>
      <c r="X20" s="8">
        <v>21.39</v>
      </c>
      <c r="Y20" s="8">
        <v>1.51</v>
      </c>
      <c r="Z20" s="9">
        <v>0.28000000000000003</v>
      </c>
      <c r="AA20" s="8">
        <v>93.2</v>
      </c>
      <c r="AB20" s="8">
        <v>7399</v>
      </c>
      <c r="AC20" s="21" t="s">
        <v>448</v>
      </c>
      <c r="AD20" s="8" t="s">
        <v>4010</v>
      </c>
      <c r="AE20" s="8" t="s">
        <v>4084</v>
      </c>
      <c r="AF20" s="9">
        <f t="shared" si="0"/>
        <v>140.732</v>
      </c>
      <c r="AG20" s="9">
        <f t="shared" si="1"/>
        <v>43.493333333333332</v>
      </c>
      <c r="AH20" s="9">
        <f t="shared" si="2"/>
        <v>1.5987100536905841</v>
      </c>
      <c r="AI20" s="9">
        <f t="shared" si="3"/>
        <v>2.55587383577135</v>
      </c>
      <c r="AJ20" s="9">
        <f t="shared" si="4"/>
        <v>0.5820873106976433</v>
      </c>
      <c r="AK20" s="9">
        <f t="shared" si="5"/>
        <v>0.33882563727521475</v>
      </c>
      <c r="AL20" s="9">
        <f t="shared" si="6"/>
        <v>0.25335641178273144</v>
      </c>
      <c r="AM20" s="9">
        <f t="shared" si="7"/>
        <v>6.4189471391420977E-2</v>
      </c>
      <c r="AN20" s="8" t="s">
        <v>448</v>
      </c>
    </row>
    <row r="21" spans="13:40" ht="23">
      <c r="M21" s="8" t="s">
        <v>383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383</v>
      </c>
      <c r="X21" s="8">
        <v>17.649999999999999</v>
      </c>
      <c r="Y21" s="8">
        <v>2.38</v>
      </c>
      <c r="Z21" s="9">
        <v>1.1499999999999999</v>
      </c>
      <c r="AA21" s="8">
        <v>90.8</v>
      </c>
      <c r="AB21" s="8">
        <v>3312</v>
      </c>
      <c r="AC21" s="21" t="s">
        <v>383</v>
      </c>
      <c r="AD21" s="8" t="s">
        <v>4010</v>
      </c>
      <c r="AE21" s="8" t="s">
        <v>4084</v>
      </c>
      <c r="AF21" s="9">
        <f t="shared" si="0"/>
        <v>216.10399999999998</v>
      </c>
      <c r="AG21" s="9">
        <f t="shared" si="1"/>
        <v>113.5</v>
      </c>
      <c r="AH21" s="9">
        <f t="shared" si="2"/>
        <v>1.5575415544539166</v>
      </c>
      <c r="AI21" s="9">
        <f t="shared" si="3"/>
        <v>2.4259356938507231</v>
      </c>
      <c r="AJ21" s="9">
        <f t="shared" si="4"/>
        <v>0.89383648488619138</v>
      </c>
      <c r="AK21" s="9">
        <f t="shared" si="5"/>
        <v>0.79894366171370268</v>
      </c>
      <c r="AL21" s="9">
        <f t="shared" si="6"/>
        <v>0.66115771161879255</v>
      </c>
      <c r="AM21" s="9">
        <f t="shared" si="7"/>
        <v>0.43712951963299845</v>
      </c>
      <c r="AN21" s="8" t="s">
        <v>383</v>
      </c>
    </row>
    <row r="22" spans="13:40" ht="23">
      <c r="M22" s="8" t="s">
        <v>4895</v>
      </c>
      <c r="N22" s="8" t="s">
        <v>1902</v>
      </c>
      <c r="O22" s="8"/>
      <c r="P22" s="8"/>
      <c r="Q22" s="8"/>
      <c r="R22" s="8"/>
      <c r="S22" s="8"/>
      <c r="T22" s="8"/>
      <c r="U22" s="8"/>
      <c r="V22" s="8"/>
      <c r="W22" s="8" t="s">
        <v>4895</v>
      </c>
      <c r="X22" s="8">
        <v>37.94</v>
      </c>
      <c r="Y22" s="8">
        <v>1.1399999999999999</v>
      </c>
      <c r="Z22" s="9">
        <v>0.11</v>
      </c>
      <c r="AA22" s="8">
        <v>79.900000000000006</v>
      </c>
      <c r="AB22" s="8">
        <v>30284</v>
      </c>
      <c r="AC22" s="21" t="s">
        <v>4895</v>
      </c>
      <c r="AD22" s="8" t="s">
        <v>4010</v>
      </c>
      <c r="AE22" s="8" t="s">
        <v>4084</v>
      </c>
      <c r="AF22" s="9">
        <f t="shared" si="0"/>
        <v>91.085999999999999</v>
      </c>
      <c r="AG22" s="9">
        <f t="shared" si="1"/>
        <v>14.648333333333333</v>
      </c>
      <c r="AH22" s="9">
        <f t="shared" si="2"/>
        <v>1.3705679537540523</v>
      </c>
      <c r="AI22" s="9">
        <f t="shared" si="3"/>
        <v>1.8784565158575699</v>
      </c>
      <c r="AJ22" s="9">
        <f t="shared" si="4"/>
        <v>0.37674448442575631</v>
      </c>
      <c r="AK22" s="9">
        <f t="shared" si="5"/>
        <v>0.14193640654522893</v>
      </c>
      <c r="AL22" s="9">
        <f t="shared" si="6"/>
        <v>8.5329150182343133E-2</v>
      </c>
      <c r="AM22" s="9">
        <f t="shared" si="7"/>
        <v>7.281063870840869E-3</v>
      </c>
      <c r="AN22" s="8" t="s">
        <v>4895</v>
      </c>
    </row>
    <row r="23" spans="13:40" ht="23">
      <c r="M23" s="9" t="s">
        <v>3299</v>
      </c>
      <c r="N23" s="8" t="s">
        <v>1939</v>
      </c>
      <c r="O23" s="8"/>
      <c r="P23" s="8"/>
      <c r="Q23" s="8"/>
      <c r="R23" s="8"/>
      <c r="S23" s="8"/>
      <c r="T23" s="8"/>
      <c r="U23" s="8"/>
      <c r="V23" s="8"/>
      <c r="W23" s="9" t="s">
        <v>3299</v>
      </c>
      <c r="X23" s="8">
        <v>8.58</v>
      </c>
      <c r="Y23" s="8">
        <v>1.18</v>
      </c>
      <c r="Z23" s="9">
        <v>0.2</v>
      </c>
      <c r="AA23" s="8">
        <v>48.3</v>
      </c>
      <c r="AB23" s="8">
        <v>18935</v>
      </c>
      <c r="AC23" s="22" t="s">
        <v>3299</v>
      </c>
      <c r="AD23" s="8" t="s">
        <v>4010</v>
      </c>
      <c r="AE23" s="8" t="s">
        <v>4084</v>
      </c>
      <c r="AF23" s="9">
        <f t="shared" si="0"/>
        <v>56.993999999999993</v>
      </c>
      <c r="AG23" s="9">
        <f t="shared" si="1"/>
        <v>0.161</v>
      </c>
      <c r="AH23" s="9">
        <f t="shared" si="2"/>
        <v>0.82851604713793137</v>
      </c>
      <c r="AI23" s="9">
        <f t="shared" si="3"/>
        <v>0.68643884036506286</v>
      </c>
      <c r="AJ23" s="9">
        <f t="shared" si="4"/>
        <v>0.2357351859271628</v>
      </c>
      <c r="AK23" s="9">
        <f t="shared" si="5"/>
        <v>5.5571077884114015E-2</v>
      </c>
      <c r="AL23" s="9">
        <f t="shared" si="6"/>
        <v>9.3785367022577613E-4</v>
      </c>
      <c r="AM23" s="9">
        <f t="shared" si="7"/>
        <v>8.7956950675595884E-7</v>
      </c>
      <c r="AN23" s="9" t="s">
        <v>3299</v>
      </c>
    </row>
    <row r="24" spans="13:40" ht="23">
      <c r="M24" s="8" t="s">
        <v>854</v>
      </c>
      <c r="N24" s="8" t="s">
        <v>150</v>
      </c>
      <c r="O24" s="8"/>
      <c r="P24" s="8" t="s">
        <v>3692</v>
      </c>
      <c r="Q24" s="8"/>
      <c r="R24" s="8"/>
      <c r="S24" s="8"/>
      <c r="T24" s="8"/>
      <c r="U24" s="8"/>
      <c r="V24" s="8"/>
      <c r="W24" s="8" t="s">
        <v>854</v>
      </c>
      <c r="X24" s="8">
        <v>24.5</v>
      </c>
      <c r="Y24" s="8">
        <v>7.9</v>
      </c>
      <c r="Z24" s="9">
        <v>8.02</v>
      </c>
      <c r="AA24" s="8">
        <v>35.9</v>
      </c>
      <c r="AB24" s="8">
        <v>2484</v>
      </c>
      <c r="AC24" s="21" t="s">
        <v>854</v>
      </c>
      <c r="AD24" s="8" t="s">
        <v>4010</v>
      </c>
      <c r="AE24" s="8" t="s">
        <v>4084</v>
      </c>
      <c r="AF24" s="9">
        <f t="shared" si="0"/>
        <v>283.61</v>
      </c>
      <c r="AG24" s="9">
        <f t="shared" si="1"/>
        <v>288.39666666666665</v>
      </c>
      <c r="AH24" s="9">
        <f t="shared" si="2"/>
        <v>0.61581213441514981</v>
      </c>
      <c r="AI24" s="9">
        <f t="shared" si="3"/>
        <v>0.37922458489294253</v>
      </c>
      <c r="AJ24" s="9">
        <f t="shared" si="4"/>
        <v>1.1730507786925406</v>
      </c>
      <c r="AK24" s="9">
        <f t="shared" si="5"/>
        <v>1.3760481293911759</v>
      </c>
      <c r="AL24" s="9">
        <f t="shared" si="6"/>
        <v>1.6799619398398327</v>
      </c>
      <c r="AM24" s="9">
        <f t="shared" si="7"/>
        <v>2.8222721193104134</v>
      </c>
      <c r="AN24" s="8" t="s">
        <v>854</v>
      </c>
    </row>
    <row r="25" spans="13:40" ht="23">
      <c r="M25" s="9" t="s">
        <v>4924</v>
      </c>
      <c r="N25" s="8"/>
      <c r="O25" s="8"/>
      <c r="P25" s="8"/>
      <c r="Q25" s="8"/>
      <c r="R25" s="8"/>
      <c r="S25" s="8"/>
      <c r="T25" s="8"/>
      <c r="U25" s="8"/>
      <c r="V25" s="8"/>
      <c r="W25" s="9" t="s">
        <v>4924</v>
      </c>
      <c r="X25" s="8">
        <v>27.52</v>
      </c>
      <c r="Y25" s="8">
        <v>9.86</v>
      </c>
      <c r="Z25" s="9">
        <v>17.25</v>
      </c>
      <c r="AA25" s="8">
        <v>28.7</v>
      </c>
      <c r="AB25" s="8">
        <v>3929</v>
      </c>
      <c r="AC25" s="22" t="s">
        <v>4924</v>
      </c>
      <c r="AD25" s="8" t="s">
        <v>4010</v>
      </c>
      <c r="AE25" s="8" t="s">
        <v>4084</v>
      </c>
      <c r="AF25" s="9">
        <f t="shared" si="0"/>
        <v>282.98199999999997</v>
      </c>
      <c r="AG25" s="9">
        <f t="shared" si="1"/>
        <v>499.85833333333335</v>
      </c>
      <c r="AH25" s="9">
        <f t="shared" si="2"/>
        <v>0.49230663670514763</v>
      </c>
      <c r="AI25" s="9">
        <f t="shared" si="3"/>
        <v>0.24236582454393421</v>
      </c>
      <c r="AJ25" s="9">
        <f t="shared" si="4"/>
        <v>1.1704532825216758</v>
      </c>
      <c r="AK25" s="9">
        <f t="shared" si="5"/>
        <v>1.3699608865657658</v>
      </c>
      <c r="AL25" s="9">
        <f t="shared" si="6"/>
        <v>2.9117638044074914</v>
      </c>
      <c r="AM25" s="9">
        <f t="shared" si="7"/>
        <v>8.4783684526575875</v>
      </c>
      <c r="AN25" s="9" t="s">
        <v>4924</v>
      </c>
    </row>
    <row r="26" spans="13:40" ht="23">
      <c r="M26" s="8" t="s">
        <v>508</v>
      </c>
      <c r="N26" s="8" t="s">
        <v>150</v>
      </c>
      <c r="O26" s="8"/>
      <c r="P26" s="8" t="s">
        <v>4060</v>
      </c>
      <c r="Q26" s="8"/>
      <c r="R26" s="8"/>
      <c r="S26" s="8"/>
      <c r="T26" s="8"/>
      <c r="U26" s="8"/>
      <c r="V26" s="8"/>
      <c r="W26" s="8" t="s">
        <v>508</v>
      </c>
      <c r="X26" s="8">
        <v>17.510000000000002</v>
      </c>
      <c r="Y26" s="8">
        <v>13.03</v>
      </c>
      <c r="Z26" s="9">
        <v>16.41</v>
      </c>
      <c r="AA26" s="8">
        <v>21.1</v>
      </c>
      <c r="AB26" s="8">
        <v>4323</v>
      </c>
      <c r="AC26" s="21" t="s">
        <v>508</v>
      </c>
      <c r="AD26" s="8" t="s">
        <v>4010</v>
      </c>
      <c r="AE26" s="8" t="s">
        <v>4084</v>
      </c>
      <c r="AF26" s="9">
        <f t="shared" si="0"/>
        <v>274.93299999999999</v>
      </c>
      <c r="AG26" s="9">
        <f t="shared" si="1"/>
        <v>352.01833333333337</v>
      </c>
      <c r="AH26" s="9">
        <f t="shared" si="2"/>
        <v>0.36193972245570094</v>
      </c>
      <c r="AI26" s="9">
        <f t="shared" si="3"/>
        <v>0.13100036269130982</v>
      </c>
      <c r="AJ26" s="9">
        <f t="shared" si="4"/>
        <v>1.1371614884463743</v>
      </c>
      <c r="AK26" s="9">
        <f t="shared" si="5"/>
        <v>1.2931362508055735</v>
      </c>
      <c r="AL26" s="9">
        <f t="shared" si="6"/>
        <v>2.0505694776610395</v>
      </c>
      <c r="AM26" s="9">
        <f t="shared" si="7"/>
        <v>4.2048351827150681</v>
      </c>
      <c r="AN26" s="8" t="s">
        <v>508</v>
      </c>
    </row>
    <row r="27" spans="13:40" ht="23">
      <c r="M27" s="8" t="s">
        <v>967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967</v>
      </c>
      <c r="X27" s="8">
        <v>21.59</v>
      </c>
      <c r="Y27" s="8">
        <v>2.4900000000000002</v>
      </c>
      <c r="Z27" s="9">
        <v>3.17</v>
      </c>
      <c r="AA27" s="8">
        <v>20.6</v>
      </c>
      <c r="AB27" s="8">
        <v>10293</v>
      </c>
      <c r="AC27" s="21" t="s">
        <v>967</v>
      </c>
      <c r="AD27" s="8" t="s">
        <v>4010</v>
      </c>
      <c r="AE27" s="8" t="s">
        <v>4084</v>
      </c>
      <c r="AF27" s="9">
        <f t="shared" si="0"/>
        <v>51.294000000000011</v>
      </c>
      <c r="AG27" s="9">
        <f t="shared" si="1"/>
        <v>67.63666666666667</v>
      </c>
      <c r="AH27" s="9">
        <f t="shared" si="2"/>
        <v>0.35336295178139521</v>
      </c>
      <c r="AI27" s="9">
        <f t="shared" si="3"/>
        <v>0.12486537569166063</v>
      </c>
      <c r="AJ27" s="9">
        <f t="shared" si="4"/>
        <v>0.21215918565020692</v>
      </c>
      <c r="AK27" s="9">
        <f t="shared" si="5"/>
        <v>4.5011520055758966E-2</v>
      </c>
      <c r="AL27" s="9">
        <f t="shared" si="6"/>
        <v>0.3939956277960916</v>
      </c>
      <c r="AM27" s="9">
        <f t="shared" si="7"/>
        <v>0.15523255472243636</v>
      </c>
      <c r="AN27" s="8" t="s">
        <v>967</v>
      </c>
    </row>
    <row r="28" spans="13:40" ht="23">
      <c r="M28" s="9" t="s">
        <v>3176</v>
      </c>
      <c r="N28" s="8" t="s">
        <v>1869</v>
      </c>
      <c r="O28" s="8"/>
      <c r="P28" s="8"/>
      <c r="Q28" s="8"/>
      <c r="R28" s="8"/>
      <c r="S28" s="8"/>
      <c r="T28" s="8"/>
      <c r="U28" s="8"/>
      <c r="V28" s="8"/>
      <c r="W28" s="9" t="s">
        <v>3176</v>
      </c>
      <c r="X28" s="8">
        <v>16</v>
      </c>
      <c r="Y28" s="8">
        <v>1.9</v>
      </c>
      <c r="Z28" s="9">
        <v>2.34</v>
      </c>
      <c r="AA28" s="8">
        <v>19.7</v>
      </c>
      <c r="AB28" s="8">
        <v>19053</v>
      </c>
      <c r="AC28" s="22" t="s">
        <v>3176</v>
      </c>
      <c r="AD28" s="8" t="s">
        <v>4010</v>
      </c>
      <c r="AE28" s="8" t="s">
        <v>4084</v>
      </c>
      <c r="AF28" s="9">
        <f t="shared" si="0"/>
        <v>37.43</v>
      </c>
      <c r="AG28" s="9">
        <f t="shared" si="1"/>
        <v>50.563333333333325</v>
      </c>
      <c r="AH28" s="9">
        <f t="shared" si="2"/>
        <v>0.33792476456764486</v>
      </c>
      <c r="AI28" s="9">
        <f t="shared" si="3"/>
        <v>0.11419314650809821</v>
      </c>
      <c r="AJ28" s="9">
        <f t="shared" si="4"/>
        <v>0.15481573515201083</v>
      </c>
      <c r="AK28" s="9">
        <f t="shared" si="5"/>
        <v>2.3967911850657563E-2</v>
      </c>
      <c r="AL28" s="9">
        <f t="shared" si="6"/>
        <v>0.29454042077960241</v>
      </c>
      <c r="AM28" s="9">
        <f t="shared" si="7"/>
        <v>8.6754059473025238E-2</v>
      </c>
      <c r="AN28" s="9" t="s">
        <v>3176</v>
      </c>
    </row>
    <row r="29" spans="13:40" ht="23">
      <c r="M29" s="8" t="s">
        <v>1702</v>
      </c>
      <c r="N29" s="8" t="s">
        <v>1614</v>
      </c>
      <c r="O29" s="8"/>
      <c r="P29" s="8"/>
      <c r="Q29" s="8"/>
      <c r="R29" s="8"/>
      <c r="S29" s="8"/>
      <c r="T29" s="8"/>
      <c r="U29" s="8"/>
      <c r="V29" s="8"/>
      <c r="W29" s="8" t="s">
        <v>1702</v>
      </c>
      <c r="X29" s="8">
        <v>32.03</v>
      </c>
      <c r="Y29" s="8">
        <v>1.55</v>
      </c>
      <c r="Z29" s="9">
        <v>0.48</v>
      </c>
      <c r="AA29" s="8">
        <v>17.7</v>
      </c>
      <c r="AB29" s="8">
        <v>23980</v>
      </c>
      <c r="AC29" s="21" t="s">
        <v>1702</v>
      </c>
      <c r="AD29" s="8" t="s">
        <v>4010</v>
      </c>
      <c r="AE29" s="8" t="s">
        <v>4084</v>
      </c>
      <c r="AF29" s="9">
        <f t="shared" si="0"/>
        <v>27.434999999999999</v>
      </c>
      <c r="AG29" s="9">
        <f t="shared" si="1"/>
        <v>14.16</v>
      </c>
      <c r="AH29" s="9">
        <f t="shared" si="2"/>
        <v>0.30361768187042204</v>
      </c>
      <c r="AI29" s="9">
        <f t="shared" si="3"/>
        <v>9.2183696744368798E-2</v>
      </c>
      <c r="AJ29" s="9">
        <f t="shared" si="4"/>
        <v>0.11347501185934857</v>
      </c>
      <c r="AK29" s="9">
        <f t="shared" si="5"/>
        <v>1.2876578316479297E-2</v>
      </c>
      <c r="AL29" s="9">
        <f t="shared" si="6"/>
        <v>8.2484521555260801E-2</v>
      </c>
      <c r="AM29" s="9">
        <f t="shared" si="7"/>
        <v>6.8036962962002836E-3</v>
      </c>
      <c r="AN29" s="8" t="s">
        <v>1702</v>
      </c>
    </row>
    <row r="30" spans="13:40" ht="23">
      <c r="M30" s="9" t="s">
        <v>4658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9" t="s">
        <v>4658</v>
      </c>
      <c r="X30" s="8">
        <v>2.62</v>
      </c>
      <c r="Y30" s="8">
        <v>18.940000000000001</v>
      </c>
      <c r="Z30" s="9">
        <v>0.49</v>
      </c>
      <c r="AA30" s="8">
        <v>17</v>
      </c>
      <c r="AB30" s="8">
        <v>39746</v>
      </c>
      <c r="AC30" s="22" t="s">
        <v>4658</v>
      </c>
      <c r="AD30" s="8" t="s">
        <v>4010</v>
      </c>
      <c r="AE30" s="8" t="s">
        <v>4084</v>
      </c>
      <c r="AF30" s="9">
        <f t="shared" si="0"/>
        <v>321.98</v>
      </c>
      <c r="AG30" s="9">
        <f t="shared" si="1"/>
        <v>13.883333333333333</v>
      </c>
      <c r="AH30" s="9">
        <f t="shared" si="2"/>
        <v>0.29161020292639406</v>
      </c>
      <c r="AI30" s="9">
        <f t="shared" si="3"/>
        <v>8.503651045077272E-2</v>
      </c>
      <c r="AJ30" s="9">
        <f t="shared" si="4"/>
        <v>1.3317544858200494</v>
      </c>
      <c r="AK30" s="9">
        <f t="shared" si="5"/>
        <v>1.7735700105018242</v>
      </c>
      <c r="AL30" s="9">
        <f t="shared" si="6"/>
        <v>8.0872888954251709E-2</v>
      </c>
      <c r="AM30" s="9">
        <f t="shared" si="7"/>
        <v>6.5404241678067281E-3</v>
      </c>
      <c r="AN30" s="9" t="s">
        <v>4658</v>
      </c>
    </row>
    <row r="31" spans="13:40" ht="23">
      <c r="M31" s="9" t="s">
        <v>3205</v>
      </c>
      <c r="N31" s="8" t="s">
        <v>1902</v>
      </c>
      <c r="O31" s="8"/>
      <c r="P31" s="8"/>
      <c r="Q31" s="8"/>
      <c r="R31" s="8"/>
      <c r="S31" s="8"/>
      <c r="T31" s="8"/>
      <c r="U31" s="8"/>
      <c r="V31" s="8"/>
      <c r="W31" s="9" t="s">
        <v>3205</v>
      </c>
      <c r="X31" s="8">
        <v>40.1</v>
      </c>
      <c r="Y31" s="8">
        <v>2.34</v>
      </c>
      <c r="Z31" s="9">
        <v>1.55</v>
      </c>
      <c r="AA31" s="8">
        <v>15.4</v>
      </c>
      <c r="AB31" s="8">
        <v>8005</v>
      </c>
      <c r="AC31" s="22" t="s">
        <v>3205</v>
      </c>
      <c r="AD31" s="8" t="s">
        <v>4010</v>
      </c>
      <c r="AE31" s="8" t="s">
        <v>4084</v>
      </c>
      <c r="AF31" s="9">
        <f t="shared" si="0"/>
        <v>36.036000000000001</v>
      </c>
      <c r="AG31" s="9">
        <f t="shared" si="1"/>
        <v>29.516666666666666</v>
      </c>
      <c r="AH31" s="9">
        <f t="shared" si="2"/>
        <v>0.26416453676861584</v>
      </c>
      <c r="AI31" s="9">
        <f t="shared" si="3"/>
        <v>6.9782902486177398E-2</v>
      </c>
      <c r="AJ31" s="9">
        <f t="shared" si="4"/>
        <v>0.14904995543515528</v>
      </c>
      <c r="AK31" s="9">
        <f t="shared" si="5"/>
        <v>2.2215889215221777E-2</v>
      </c>
      <c r="AL31" s="9">
        <f t="shared" si="6"/>
        <v>0.17193983954139228</v>
      </c>
      <c r="AM31" s="9">
        <f t="shared" si="7"/>
        <v>2.9563308421519722E-2</v>
      </c>
      <c r="AN31" s="9" t="s">
        <v>3205</v>
      </c>
    </row>
    <row r="32" spans="13:40" ht="23">
      <c r="M32" s="8" t="s">
        <v>1406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1406</v>
      </c>
      <c r="X32" s="8">
        <v>26.34</v>
      </c>
      <c r="Y32" s="8">
        <v>8.5</v>
      </c>
      <c r="Z32" s="9">
        <v>5.09</v>
      </c>
      <c r="AA32" s="8">
        <v>11</v>
      </c>
      <c r="AB32" s="8">
        <v>5919</v>
      </c>
      <c r="AC32" s="21" t="s">
        <v>1406</v>
      </c>
      <c r="AD32" s="8" t="s">
        <v>4010</v>
      </c>
      <c r="AE32" s="8" t="s">
        <v>4084</v>
      </c>
      <c r="AF32" s="9">
        <f t="shared" si="0"/>
        <v>93.5</v>
      </c>
      <c r="AG32" s="9">
        <f t="shared" si="1"/>
        <v>56.650000000000006</v>
      </c>
      <c r="AH32" s="9">
        <f t="shared" si="2"/>
        <v>0.18868895483472559</v>
      </c>
      <c r="AI32" s="9">
        <f t="shared" si="3"/>
        <v>3.5603521676621112E-2</v>
      </c>
      <c r="AJ32" s="9">
        <f t="shared" si="4"/>
        <v>0.38672912735006715</v>
      </c>
      <c r="AK32" s="9">
        <f t="shared" si="5"/>
        <v>0.14955941794094446</v>
      </c>
      <c r="AL32" s="9">
        <f t="shared" si="6"/>
        <v>0.32999633800180261</v>
      </c>
      <c r="AM32" s="9">
        <f t="shared" si="7"/>
        <v>0.10889758309459996</v>
      </c>
      <c r="AN32" s="8" t="s">
        <v>1406</v>
      </c>
    </row>
    <row r="33" spans="13:40" ht="23">
      <c r="M33" s="8" t="s">
        <v>876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8" t="s">
        <v>876</v>
      </c>
      <c r="X33" s="8">
        <v>56.91</v>
      </c>
      <c r="Y33" s="8">
        <v>6.48</v>
      </c>
      <c r="Z33" s="9">
        <v>1.1599999999999999</v>
      </c>
      <c r="AA33" s="8">
        <v>8</v>
      </c>
      <c r="AB33" s="8">
        <v>8535</v>
      </c>
      <c r="AC33" s="21" t="s">
        <v>876</v>
      </c>
      <c r="AD33" s="8" t="s">
        <v>4010</v>
      </c>
      <c r="AE33" s="8" t="s">
        <v>4084</v>
      </c>
      <c r="AF33" s="9">
        <f t="shared" si="0"/>
        <v>51.84</v>
      </c>
      <c r="AG33" s="9">
        <f t="shared" si="1"/>
        <v>10.133333333333333</v>
      </c>
      <c r="AH33" s="9">
        <f t="shared" si="2"/>
        <v>0.13722833078889132</v>
      </c>
      <c r="AI33" s="9">
        <f t="shared" si="3"/>
        <v>1.8831614771105377E-2</v>
      </c>
      <c r="AJ33" s="9">
        <f t="shared" si="4"/>
        <v>0.21441751830831532</v>
      </c>
      <c r="AK33" s="9">
        <f t="shared" si="5"/>
        <v>4.5974872157496738E-2</v>
      </c>
      <c r="AL33" s="9">
        <f t="shared" si="6"/>
        <v>5.9028471169489838E-2</v>
      </c>
      <c r="AM33" s="9">
        <f t="shared" si="7"/>
        <v>3.4843604086072931E-3</v>
      </c>
      <c r="AN33" s="8" t="s">
        <v>876</v>
      </c>
    </row>
    <row r="34" spans="13:40" ht="23">
      <c r="M34" s="8" t="s">
        <v>356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8" t="s">
        <v>356</v>
      </c>
      <c r="X34" s="8">
        <v>46.21</v>
      </c>
      <c r="Y34" s="8">
        <v>1.87</v>
      </c>
      <c r="Z34" s="9">
        <v>0.49</v>
      </c>
      <c r="AA34" s="8">
        <v>5.6</v>
      </c>
      <c r="AB34" s="8">
        <v>23192</v>
      </c>
      <c r="AC34" s="21" t="s">
        <v>356</v>
      </c>
      <c r="AD34" s="8" t="s">
        <v>4010</v>
      </c>
      <c r="AE34" s="8" t="s">
        <v>4084</v>
      </c>
      <c r="AF34" s="9">
        <f t="shared" si="0"/>
        <v>10.472</v>
      </c>
      <c r="AG34" s="9">
        <f t="shared" si="1"/>
        <v>4.5733333333333333</v>
      </c>
      <c r="AH34" s="9">
        <f t="shared" si="2"/>
        <v>9.6059831552223918E-2</v>
      </c>
      <c r="AI34" s="9">
        <f t="shared" si="3"/>
        <v>9.2274912378416344E-3</v>
      </c>
      <c r="AJ34" s="9">
        <f t="shared" si="4"/>
        <v>4.3313662263207514E-2</v>
      </c>
      <c r="AK34" s="9">
        <f t="shared" si="5"/>
        <v>1.8760733386512067E-3</v>
      </c>
      <c r="AL34" s="9">
        <f t="shared" si="6"/>
        <v>2.6640481067282912E-2</v>
      </c>
      <c r="AM34" s="9">
        <f t="shared" si="7"/>
        <v>7.0971523149625931E-4</v>
      </c>
      <c r="AN34" s="8" t="s">
        <v>356</v>
      </c>
    </row>
    <row r="35" spans="13:40" ht="23">
      <c r="M35" s="8" t="s">
        <v>620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8" t="s">
        <v>620</v>
      </c>
      <c r="X35" s="8">
        <v>47.32</v>
      </c>
      <c r="Y35" s="8">
        <v>2.88</v>
      </c>
      <c r="Z35" s="9">
        <v>2.5499999999999998</v>
      </c>
      <c r="AA35" s="8">
        <v>4</v>
      </c>
      <c r="AB35" s="8">
        <v>22368</v>
      </c>
      <c r="AC35" s="21" t="s">
        <v>620</v>
      </c>
      <c r="AD35" s="8" t="s">
        <v>4010</v>
      </c>
      <c r="AE35" s="8" t="s">
        <v>4084</v>
      </c>
      <c r="AF35" s="9">
        <f t="shared" si="0"/>
        <v>11.52</v>
      </c>
      <c r="AG35" s="9">
        <f t="shared" si="1"/>
        <v>11.666666666666666</v>
      </c>
      <c r="AH35" s="9">
        <f t="shared" si="2"/>
        <v>6.8614165394445661E-2</v>
      </c>
      <c r="AI35" s="9">
        <f t="shared" si="3"/>
        <v>4.7079036927763444E-3</v>
      </c>
      <c r="AJ35" s="9">
        <f t="shared" si="4"/>
        <v>4.7648337401847839E-2</v>
      </c>
      <c r="AK35" s="9">
        <f t="shared" si="5"/>
        <v>2.2703640571603316E-3</v>
      </c>
      <c r="AL35" s="9">
        <f t="shared" si="6"/>
        <v>6.7960410885925804E-2</v>
      </c>
      <c r="AM35" s="9">
        <f t="shared" si="7"/>
        <v>4.6186174477838623E-3</v>
      </c>
      <c r="AN35" s="8" t="s">
        <v>620</v>
      </c>
    </row>
    <row r="36" spans="13:40" ht="23">
      <c r="M36" s="9" t="s">
        <v>2264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9" t="s">
        <v>2264</v>
      </c>
      <c r="X36" s="8">
        <v>32.67</v>
      </c>
      <c r="Y36" s="8">
        <v>10.36</v>
      </c>
      <c r="Z36" s="9">
        <v>5.19</v>
      </c>
      <c r="AA36" s="8">
        <v>3.7</v>
      </c>
      <c r="AB36" s="8">
        <v>14943</v>
      </c>
      <c r="AC36" s="22" t="s">
        <v>2264</v>
      </c>
      <c r="AD36" s="8" t="s">
        <v>4010</v>
      </c>
      <c r="AE36" s="8" t="s">
        <v>4084</v>
      </c>
      <c r="AF36" s="9">
        <f t="shared" si="0"/>
        <v>38.332000000000001</v>
      </c>
      <c r="AG36" s="9">
        <f t="shared" si="1"/>
        <v>19.671666666666667</v>
      </c>
      <c r="AH36" s="9">
        <f t="shared" si="2"/>
        <v>6.3468102989862246E-2</v>
      </c>
      <c r="AI36" s="9">
        <f t="shared" si="3"/>
        <v>4.028200097131761E-3</v>
      </c>
      <c r="AJ36" s="9">
        <f t="shared" si="4"/>
        <v>0.15854653379232914</v>
      </c>
      <c r="AK36" s="9">
        <f t="shared" si="5"/>
        <v>2.5137003377562164E-2</v>
      </c>
      <c r="AL36" s="9">
        <f t="shared" si="6"/>
        <v>0.11459096138379747</v>
      </c>
      <c r="AM36" s="9">
        <f t="shared" si="7"/>
        <v>1.3131088430862962E-2</v>
      </c>
      <c r="AN36" s="9" t="s">
        <v>2264</v>
      </c>
    </row>
    <row r="37" spans="13:40" ht="23">
      <c r="M37" s="8" t="s">
        <v>1105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8" t="s">
        <v>1105</v>
      </c>
      <c r="X37" s="8">
        <v>37.770000000000003</v>
      </c>
      <c r="Y37" s="8">
        <v>1.95</v>
      </c>
      <c r="Z37" s="9">
        <v>2.0499999999999998</v>
      </c>
      <c r="AA37" s="8">
        <v>3.7</v>
      </c>
      <c r="AB37" s="8">
        <v>25872</v>
      </c>
      <c r="AC37" s="21" t="s">
        <v>1105</v>
      </c>
      <c r="AD37" s="8" t="s">
        <v>4010</v>
      </c>
      <c r="AE37" s="8" t="s">
        <v>4084</v>
      </c>
      <c r="AF37" s="9">
        <f t="shared" si="0"/>
        <v>7.2149999999999999</v>
      </c>
      <c r="AG37" s="9">
        <f t="shared" si="1"/>
        <v>7.7083333333333339</v>
      </c>
      <c r="AH37" s="9">
        <f t="shared" si="2"/>
        <v>6.3468102989862246E-2</v>
      </c>
      <c r="AI37" s="9">
        <f t="shared" si="3"/>
        <v>4.028200097131761E-3</v>
      </c>
      <c r="AJ37" s="9">
        <f t="shared" si="4"/>
        <v>2.9842252982146888E-2</v>
      </c>
      <c r="AK37" s="9">
        <f t="shared" si="5"/>
        <v>8.9056006305045482E-4</v>
      </c>
      <c r="AL37" s="9">
        <f t="shared" si="6"/>
        <v>4.4902414335343838E-2</v>
      </c>
      <c r="AM37" s="9">
        <f t="shared" si="7"/>
        <v>2.0162268131428919E-3</v>
      </c>
      <c r="AN37" s="8" t="s">
        <v>1105</v>
      </c>
    </row>
    <row r="38" spans="13:40" ht="23">
      <c r="M38" s="8" t="s">
        <v>695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8" t="s">
        <v>695</v>
      </c>
      <c r="X38" s="8">
        <v>40.549999999999997</v>
      </c>
      <c r="Y38" s="8">
        <v>2.73</v>
      </c>
      <c r="Z38" s="9">
        <v>3.38</v>
      </c>
      <c r="AA38" s="8">
        <v>3.1</v>
      </c>
      <c r="AB38" s="8">
        <v>38486</v>
      </c>
      <c r="AC38" s="21" t="s">
        <v>695</v>
      </c>
      <c r="AD38" s="8" t="s">
        <v>4010</v>
      </c>
      <c r="AE38" s="8" t="s">
        <v>4084</v>
      </c>
      <c r="AF38" s="9">
        <f t="shared" si="0"/>
        <v>8.463000000000001</v>
      </c>
      <c r="AG38" s="9">
        <f t="shared" si="1"/>
        <v>11.263333333333334</v>
      </c>
      <c r="AH38" s="9">
        <f t="shared" si="2"/>
        <v>5.3175978180695395E-2</v>
      </c>
      <c r="AI38" s="9">
        <f t="shared" si="3"/>
        <v>2.8276846554737929E-3</v>
      </c>
      <c r="AJ38" s="9">
        <f t="shared" si="4"/>
        <v>3.5004156200680411E-2</v>
      </c>
      <c r="AK38" s="9">
        <f t="shared" si="5"/>
        <v>1.225290951321633E-3</v>
      </c>
      <c r="AL38" s="9">
        <f t="shared" si="6"/>
        <v>6.5610922395298088E-2</v>
      </c>
      <c r="AM38" s="9">
        <f t="shared" si="7"/>
        <v>4.3047931375618286E-3</v>
      </c>
      <c r="AN38" s="8" t="s">
        <v>695</v>
      </c>
    </row>
    <row r="39" spans="13:40" ht="23">
      <c r="M39" s="9" t="s">
        <v>3281</v>
      </c>
      <c r="N39" s="8" t="s">
        <v>1939</v>
      </c>
      <c r="O39" s="8"/>
      <c r="P39" s="8"/>
      <c r="Q39" s="8"/>
      <c r="R39" s="8"/>
      <c r="S39" s="8"/>
      <c r="T39" s="8"/>
      <c r="U39" s="8"/>
      <c r="V39" s="8"/>
      <c r="W39" s="9" t="s">
        <v>3281</v>
      </c>
      <c r="X39" s="8">
        <v>40.01</v>
      </c>
      <c r="Y39" s="8">
        <v>2.5099999999999998</v>
      </c>
      <c r="Z39" s="9">
        <v>2.46</v>
      </c>
      <c r="AA39" s="8">
        <v>2.1</v>
      </c>
      <c r="AB39" s="8">
        <v>36793</v>
      </c>
      <c r="AC39" s="22" t="s">
        <v>3281</v>
      </c>
      <c r="AD39" s="8" t="s">
        <v>4010</v>
      </c>
      <c r="AE39" s="8" t="s">
        <v>4084</v>
      </c>
      <c r="AF39" s="9">
        <f t="shared" si="0"/>
        <v>5.2709999999999999</v>
      </c>
      <c r="AG39" s="9">
        <f t="shared" si="1"/>
        <v>5.8100000000000005</v>
      </c>
      <c r="AH39" s="9">
        <f t="shared" si="2"/>
        <v>3.6022436832083976E-2</v>
      </c>
      <c r="AI39" s="9">
        <f t="shared" si="3"/>
        <v>1.2976159553214801E-3</v>
      </c>
      <c r="AJ39" s="9">
        <f t="shared" si="4"/>
        <v>2.1801596045585066E-2</v>
      </c>
      <c r="AK39" s="9">
        <f t="shared" si="5"/>
        <v>4.7530959013487043E-4</v>
      </c>
      <c r="AL39" s="9">
        <f t="shared" si="6"/>
        <v>3.3844284621191052E-2</v>
      </c>
      <c r="AM39" s="9">
        <f t="shared" si="7"/>
        <v>1.1454356015201891E-3</v>
      </c>
      <c r="AN39" s="9" t="s">
        <v>3281</v>
      </c>
    </row>
    <row r="40" spans="13:40" ht="23">
      <c r="M40" s="8" t="s">
        <v>1686</v>
      </c>
      <c r="N40" s="8" t="s">
        <v>1614</v>
      </c>
      <c r="O40" s="8"/>
      <c r="P40" s="8"/>
      <c r="Q40" s="8"/>
      <c r="R40" s="8"/>
      <c r="S40" s="8"/>
      <c r="T40" s="8"/>
      <c r="U40" s="8"/>
      <c r="V40" s="8"/>
      <c r="W40" s="8" t="s">
        <v>1686</v>
      </c>
      <c r="X40" s="8">
        <v>42.75</v>
      </c>
      <c r="Y40" s="8">
        <v>3.3</v>
      </c>
      <c r="Z40" s="9">
        <v>0.54</v>
      </c>
      <c r="AA40" s="8">
        <v>2</v>
      </c>
      <c r="AB40" s="8">
        <v>40864</v>
      </c>
      <c r="AC40" s="21" t="s">
        <v>1686</v>
      </c>
      <c r="AD40" s="8" t="s">
        <v>4010</v>
      </c>
      <c r="AE40" s="8" t="s">
        <v>4084</v>
      </c>
      <c r="AF40" s="9">
        <f t="shared" si="0"/>
        <v>6.6</v>
      </c>
      <c r="AG40" s="9">
        <f t="shared" si="1"/>
        <v>1.8</v>
      </c>
      <c r="AH40" s="9">
        <f t="shared" si="2"/>
        <v>3.4307082697222831E-2</v>
      </c>
      <c r="AI40" s="9">
        <f t="shared" si="3"/>
        <v>1.1769759231940861E-3</v>
      </c>
      <c r="AJ40" s="9">
        <f t="shared" si="4"/>
        <v>2.7298526636475324E-2</v>
      </c>
      <c r="AK40" s="9">
        <f t="shared" si="5"/>
        <v>7.4520955652235276E-4</v>
      </c>
      <c r="AL40" s="9">
        <f t="shared" si="6"/>
        <v>1.0485320536685697E-2</v>
      </c>
      <c r="AM40" s="9">
        <f t="shared" si="7"/>
        <v>1.0994194675704284E-4</v>
      </c>
      <c r="AN40" s="8" t="s">
        <v>1686</v>
      </c>
    </row>
    <row r="41" spans="13:40" ht="23">
      <c r="M41" s="9" t="s">
        <v>3483</v>
      </c>
      <c r="N41" s="8" t="s">
        <v>2017</v>
      </c>
      <c r="O41" s="8"/>
      <c r="P41" s="8"/>
      <c r="Q41" s="8"/>
      <c r="R41" s="8"/>
      <c r="S41" s="8"/>
      <c r="T41" s="8"/>
      <c r="U41" s="8"/>
      <c r="V41" s="8"/>
      <c r="W41" s="9" t="s">
        <v>3483</v>
      </c>
      <c r="X41" s="8">
        <v>27.61</v>
      </c>
      <c r="Y41" s="8">
        <v>5.81</v>
      </c>
      <c r="Z41" s="9">
        <v>9.26</v>
      </c>
      <c r="AA41" s="8">
        <v>1.9</v>
      </c>
      <c r="AB41" s="8">
        <v>51207</v>
      </c>
      <c r="AC41" s="22" t="s">
        <v>3483</v>
      </c>
      <c r="AD41" s="8" t="s">
        <v>4010</v>
      </c>
      <c r="AE41" s="8" t="s">
        <v>4084</v>
      </c>
      <c r="AF41" s="9">
        <f t="shared" si="0"/>
        <v>11.038999999999998</v>
      </c>
      <c r="AG41" s="9">
        <f t="shared" si="1"/>
        <v>17.923333333333332</v>
      </c>
      <c r="AH41" s="9">
        <f t="shared" si="2"/>
        <v>3.2591728562361685E-2</v>
      </c>
      <c r="AI41" s="9">
        <f t="shared" si="3"/>
        <v>1.0622207706826624E-3</v>
      </c>
      <c r="AJ41" s="9">
        <f t="shared" si="4"/>
        <v>4.565885386970471E-2</v>
      </c>
      <c r="AK41" s="9">
        <f t="shared" si="5"/>
        <v>2.0847309366950487E-3</v>
      </c>
      <c r="AL41" s="9">
        <f t="shared" si="6"/>
        <v>0.10440660838103516</v>
      </c>
      <c r="AM41" s="9">
        <f t="shared" si="7"/>
        <v>1.0900739873630841E-2</v>
      </c>
      <c r="AN41" s="9" t="s">
        <v>3483</v>
      </c>
    </row>
    <row r="42" spans="13:40" ht="23">
      <c r="M42" s="9" t="s">
        <v>2747</v>
      </c>
      <c r="N42" s="8" t="s">
        <v>1614</v>
      </c>
      <c r="O42" s="8"/>
      <c r="P42" s="8"/>
      <c r="Q42" s="8"/>
      <c r="R42" s="8"/>
      <c r="S42" s="8"/>
      <c r="T42" s="8"/>
      <c r="U42" s="8"/>
      <c r="V42" s="8"/>
      <c r="W42" s="9" t="s">
        <v>2747</v>
      </c>
      <c r="X42" s="8">
        <v>19.18</v>
      </c>
      <c r="Y42" s="8">
        <v>4.8099999999999996</v>
      </c>
      <c r="Z42" s="9">
        <v>5.22</v>
      </c>
      <c r="AA42" s="8">
        <v>1.6</v>
      </c>
      <c r="AB42" s="8">
        <v>44620</v>
      </c>
      <c r="AC42" s="22" t="s">
        <v>2747</v>
      </c>
      <c r="AD42" s="8" t="s">
        <v>4010</v>
      </c>
      <c r="AE42" s="8" t="s">
        <v>4084</v>
      </c>
      <c r="AF42" s="9">
        <f t="shared" si="0"/>
        <v>7.6959999999999997</v>
      </c>
      <c r="AG42" s="9">
        <f t="shared" si="1"/>
        <v>8.586666666666666</v>
      </c>
      <c r="AH42" s="9">
        <f t="shared" si="2"/>
        <v>2.7445666157778263E-2</v>
      </c>
      <c r="AI42" s="9">
        <f t="shared" si="3"/>
        <v>7.5326459084421504E-4</v>
      </c>
      <c r="AJ42" s="9">
        <f t="shared" si="4"/>
        <v>3.183173651429002E-2</v>
      </c>
      <c r="AK42" s="9">
        <f t="shared" si="5"/>
        <v>1.0132594495151845E-3</v>
      </c>
      <c r="AL42" s="9">
        <f t="shared" si="6"/>
        <v>5.0018862412041391E-2</v>
      </c>
      <c r="AM42" s="9">
        <f t="shared" si="7"/>
        <v>2.5018865969947271E-3</v>
      </c>
      <c r="AN42" s="9" t="s">
        <v>2747</v>
      </c>
    </row>
    <row r="43" spans="13:40" ht="23">
      <c r="M43" s="9" t="s">
        <v>3271</v>
      </c>
      <c r="N43" s="8" t="s">
        <v>1902</v>
      </c>
      <c r="O43" s="8"/>
      <c r="P43" s="8" t="s">
        <v>3691</v>
      </c>
      <c r="Q43" s="8"/>
      <c r="R43" s="8"/>
      <c r="S43" s="8"/>
      <c r="T43" s="8"/>
      <c r="U43" s="8"/>
      <c r="V43" s="8"/>
      <c r="W43" s="9" t="s">
        <v>3271</v>
      </c>
      <c r="X43" s="8">
        <v>52.14</v>
      </c>
      <c r="Y43" s="8">
        <v>2.06</v>
      </c>
      <c r="Z43" s="9">
        <v>1.04</v>
      </c>
      <c r="AA43" s="8">
        <v>1.6</v>
      </c>
      <c r="AB43" s="8">
        <v>49837</v>
      </c>
      <c r="AC43" s="22" t="s">
        <v>3271</v>
      </c>
      <c r="AD43" s="8" t="s">
        <v>4010</v>
      </c>
      <c r="AE43" s="8" t="s">
        <v>4084</v>
      </c>
      <c r="AF43" s="9">
        <f t="shared" si="0"/>
        <v>3.2960000000000003</v>
      </c>
      <c r="AG43" s="9">
        <f t="shared" si="1"/>
        <v>1.7066666666666668</v>
      </c>
      <c r="AH43" s="9">
        <f t="shared" si="2"/>
        <v>2.7445666157778263E-2</v>
      </c>
      <c r="AI43" s="9">
        <f t="shared" si="3"/>
        <v>7.5326459084421504E-4</v>
      </c>
      <c r="AJ43" s="9">
        <f t="shared" si="4"/>
        <v>1.3632718756639801E-2</v>
      </c>
      <c r="AK43" s="9">
        <f t="shared" si="5"/>
        <v>1.8585102069763865E-4</v>
      </c>
      <c r="AL43" s="9">
        <f t="shared" si="6"/>
        <v>9.9416372495982896E-3</v>
      </c>
      <c r="AM43" s="9">
        <f t="shared" si="7"/>
        <v>9.8836151202600245E-5</v>
      </c>
      <c r="AN43" s="9" t="s">
        <v>3271</v>
      </c>
    </row>
    <row r="44" spans="13:40" ht="23">
      <c r="M44" s="8" t="s">
        <v>126</v>
      </c>
      <c r="N44" s="8" t="s">
        <v>125</v>
      </c>
      <c r="O44" s="8"/>
      <c r="P44" s="8"/>
      <c r="Q44" s="8"/>
      <c r="R44" s="8"/>
      <c r="S44" s="8"/>
      <c r="T44" s="8"/>
      <c r="U44" s="8"/>
      <c r="V44" s="8"/>
      <c r="W44" s="8" t="s">
        <v>126</v>
      </c>
      <c r="X44" s="8">
        <v>52.19</v>
      </c>
      <c r="Y44" s="8">
        <v>2.3199999999999998</v>
      </c>
      <c r="Z44" s="9">
        <v>4.26</v>
      </c>
      <c r="AA44" s="8">
        <v>1.3</v>
      </c>
      <c r="AB44" s="8">
        <v>55765</v>
      </c>
      <c r="AC44" s="21" t="s">
        <v>126</v>
      </c>
      <c r="AD44" s="8" t="s">
        <v>4010</v>
      </c>
      <c r="AE44" s="8" t="s">
        <v>4084</v>
      </c>
      <c r="AF44" s="9">
        <f t="shared" si="0"/>
        <v>3.016</v>
      </c>
      <c r="AG44" s="9">
        <f t="shared" si="1"/>
        <v>5.7633333333333336</v>
      </c>
      <c r="AH44" s="9">
        <f t="shared" si="2"/>
        <v>2.2299603753194841E-2</v>
      </c>
      <c r="AI44" s="9">
        <f t="shared" si="3"/>
        <v>4.972723275495014E-4</v>
      </c>
      <c r="AJ44" s="9">
        <f t="shared" si="4"/>
        <v>1.2474599444789332E-2</v>
      </c>
      <c r="AK44" s="9">
        <f t="shared" si="5"/>
        <v>1.5561563130793831E-4</v>
      </c>
      <c r="AL44" s="9">
        <f t="shared" si="6"/>
        <v>3.3572442977647353E-2</v>
      </c>
      <c r="AM44" s="9">
        <f t="shared" si="7"/>
        <v>1.127108927487383E-3</v>
      </c>
      <c r="AN44" s="8" t="s">
        <v>126</v>
      </c>
    </row>
    <row r="45" spans="13:40" ht="23">
      <c r="M45" s="8" t="s">
        <v>1056</v>
      </c>
      <c r="N45" s="8" t="s">
        <v>150</v>
      </c>
      <c r="O45" s="8"/>
      <c r="P45" s="8"/>
      <c r="Q45" s="8"/>
      <c r="R45" s="8"/>
      <c r="S45" s="8"/>
      <c r="T45" s="8"/>
      <c r="U45" s="8"/>
      <c r="V45" s="8"/>
      <c r="W45" s="8" t="s">
        <v>1056</v>
      </c>
      <c r="X45" s="8">
        <v>47.73</v>
      </c>
      <c r="Y45" s="8">
        <v>2.41</v>
      </c>
      <c r="Z45" s="9">
        <v>0.33</v>
      </c>
      <c r="AA45" s="8">
        <v>1.3</v>
      </c>
      <c r="AB45" s="8">
        <v>55284</v>
      </c>
      <c r="AC45" s="21" t="s">
        <v>1056</v>
      </c>
      <c r="AD45" s="8" t="s">
        <v>4010</v>
      </c>
      <c r="AE45" s="8" t="s">
        <v>4084</v>
      </c>
      <c r="AF45" s="9">
        <f t="shared" si="0"/>
        <v>3.1330000000000005</v>
      </c>
      <c r="AG45" s="9">
        <f t="shared" si="1"/>
        <v>0.71500000000000008</v>
      </c>
      <c r="AH45" s="9">
        <f t="shared" si="2"/>
        <v>2.2299603753194841E-2</v>
      </c>
      <c r="AI45" s="9">
        <f t="shared" si="3"/>
        <v>4.972723275495014E-4</v>
      </c>
      <c r="AJ45" s="9">
        <f t="shared" si="4"/>
        <v>1.2958527871526848E-2</v>
      </c>
      <c r="AK45" s="9">
        <f t="shared" si="5"/>
        <v>1.6792344459713816E-4</v>
      </c>
      <c r="AL45" s="9">
        <f t="shared" si="6"/>
        <v>4.1650023242945965E-3</v>
      </c>
      <c r="AM45" s="9">
        <f t="shared" si="7"/>
        <v>1.7347244361379393E-5</v>
      </c>
      <c r="AN45" s="8" t="s">
        <v>1056</v>
      </c>
    </row>
    <row r="46" spans="13:40" ht="23">
      <c r="M46" s="8" t="s">
        <v>1300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1300</v>
      </c>
      <c r="X46" s="8">
        <v>47.08</v>
      </c>
      <c r="Y46" s="8">
        <v>2.61</v>
      </c>
      <c r="Z46" s="9">
        <v>0.44</v>
      </c>
      <c r="AA46" s="8">
        <v>1.1000000000000001</v>
      </c>
      <c r="AB46" s="8">
        <v>83641</v>
      </c>
      <c r="AC46" s="21" t="s">
        <v>1300</v>
      </c>
      <c r="AD46" s="8" t="s">
        <v>4010</v>
      </c>
      <c r="AE46" s="8" t="s">
        <v>4084</v>
      </c>
      <c r="AF46" s="9">
        <f t="shared" si="0"/>
        <v>2.871</v>
      </c>
      <c r="AG46" s="9">
        <f t="shared" si="1"/>
        <v>0.80666666666666664</v>
      </c>
      <c r="AH46" s="9">
        <f t="shared" si="2"/>
        <v>1.8868895483472557E-2</v>
      </c>
      <c r="AI46" s="9">
        <f t="shared" si="3"/>
        <v>3.5603521676621109E-4</v>
      </c>
      <c r="AJ46" s="9">
        <f t="shared" si="4"/>
        <v>1.1874859086866767E-2</v>
      </c>
      <c r="AK46" s="9">
        <f t="shared" si="5"/>
        <v>1.4101227833294224E-4</v>
      </c>
      <c r="AL46" s="9">
        <f t="shared" si="6"/>
        <v>4.6989769812554412E-3</v>
      </c>
      <c r="AM46" s="9">
        <f t="shared" si="7"/>
        <v>2.2080384670368497E-5</v>
      </c>
      <c r="AN46" s="8" t="s">
        <v>1300</v>
      </c>
    </row>
    <row r="47" spans="13:40" ht="18"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9"/>
      <c r="AA47" s="48">
        <f>SUBTOTAL(109,Table13691112[ترافیک کل])</f>
        <v>5829.7000000000016</v>
      </c>
      <c r="AB47" s="48"/>
      <c r="AC47" s="53"/>
      <c r="AD47" s="48"/>
      <c r="AE47" s="48"/>
      <c r="AF47" s="49">
        <f>SUBTOTAL(109,Table13691112[[مجموع صفحات  مشاهده شده   ]])</f>
        <v>24177.128999999997</v>
      </c>
      <c r="AG47" s="49">
        <f>SUBTOTAL(109,Table13691112[[مجموع زمان حضور در سایت ]])</f>
        <v>17166.857166666665</v>
      </c>
      <c r="AH47" s="49">
        <f>SUBTOTAL(109,Table13691112[سهم سایت از کل ترافیک طبقه بندی])</f>
        <v>99.999999999999943</v>
      </c>
      <c r="AI47" s="49">
        <f>SUBTOTAL(109,Table13691112[شاخص هرفیندال هیرشمن (ترافیک)])</f>
        <v>637.97154562369269</v>
      </c>
      <c r="AJ47" s="49">
        <f>SUBTOTAL(109,Table13691112[سهم سایت از کل صفحات مشاهده شده در طبقه بندی])</f>
        <v>100.00000000000003</v>
      </c>
      <c r="AK47" s="49">
        <f>SUBTOTAL(109,Table13691112[شاخص هرفیندال -هیرشمن (صفحات مشاهده شده )])</f>
        <v>776.6461169927054</v>
      </c>
      <c r="AL47" s="49">
        <f>SUBTOTAL(109,Table13691112[سهم سایت از کل زمان حضور در طبقه بندی])</f>
        <v>100.00000000000006</v>
      </c>
      <c r="AM47" s="49">
        <f>SUBTOTAL(109,Table13691112[شاخص هرفیندال هیرشمن (زمان حضور)])</f>
        <v>1032.8924419823534</v>
      </c>
      <c r="AN47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{1553A0DB-1C21-4D0E-81B3-27235E8A3E91}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{A3EB2D5A-82E1-4A11-9DB4-0668255CC306}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{AF5CF7A4-9A28-46C1-8428-02AFB98C590B}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{11C7588D-D9B4-46F0-884C-B8157B9E876D}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{3C4DFB23-F380-42E8-AB74-B40CDB8E22D9}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{97021B5D-E744-4A7A-9661-858862A851F0}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553A0DB-1C21-4D0E-81B3-27235E8A3E9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3EB2D5A-82E1-4A11-9DB4-0668255CC30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F5CF7A4-9A28-46C1-8428-02AFB98C590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1C7588D-D9B4-46F0-884C-B8157B9E876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C4DFB23-F380-42E8-AB74-B40CDB8E22D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97021B5D-E744-4A7A-9661-858862A851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0"/>
  <sheetViews>
    <sheetView showGridLines="0" rightToLeft="1" topLeftCell="Z1" zoomScale="70" zoomScaleNormal="70" workbookViewId="0">
      <selection activeCell="AC30" sqref="AC30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0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0">
      <c r="M2" s="16" t="s">
        <v>3921</v>
      </c>
      <c r="N2" s="16" t="s">
        <v>150</v>
      </c>
      <c r="O2" s="16"/>
      <c r="P2" s="16" t="s">
        <v>3705</v>
      </c>
      <c r="Q2" s="16"/>
      <c r="R2" s="16"/>
      <c r="S2" s="16"/>
      <c r="T2" s="16"/>
      <c r="U2" s="16"/>
      <c r="V2" s="16"/>
      <c r="W2" s="16" t="s">
        <v>3921</v>
      </c>
      <c r="X2" s="16">
        <v>24.06</v>
      </c>
      <c r="Y2" s="16">
        <v>5.82</v>
      </c>
      <c r="Z2" s="17">
        <v>4.34</v>
      </c>
      <c r="AA2" s="16">
        <v>1884.9</v>
      </c>
      <c r="AB2" s="16">
        <v>183</v>
      </c>
      <c r="AC2" s="36" t="s">
        <v>3921</v>
      </c>
      <c r="AD2" s="16" t="s">
        <v>3708</v>
      </c>
      <c r="AE2" s="16" t="s">
        <v>3708</v>
      </c>
      <c r="AF2" s="17">
        <f t="shared" ref="AF2:AF29" si="0">(AA2*Y2)</f>
        <v>10970.118</v>
      </c>
      <c r="AG2" s="17">
        <f t="shared" ref="AG2:AG29" si="1">((((RIGHT(Z2,2))/60)+(LEFT(Z2,2)))*AA2)</f>
        <v>8607.7099999999991</v>
      </c>
      <c r="AH2" s="17">
        <f t="shared" ref="AH2:AH29" si="2">(AA2/$AA$30)*100</f>
        <v>22.589072780221223</v>
      </c>
      <c r="AI2" s="17">
        <f t="shared" ref="AI2:AI29" si="3">(AH2*AH2)</f>
        <v>510.26620907013137</v>
      </c>
      <c r="AJ2" s="17">
        <f t="shared" ref="AJ2:AJ29" si="4">(AF2/$AF$30)*100</f>
        <v>26.118347889651851</v>
      </c>
      <c r="AK2" s="17">
        <f t="shared" ref="AK2:AK29" si="5">(AJ2*AJ2)</f>
        <v>682.16809648488129</v>
      </c>
      <c r="AL2" s="17">
        <f t="shared" ref="AL2:AL29" si="6">(AG2/$AG$30)*100</f>
        <v>39.690789357800647</v>
      </c>
      <c r="AM2" s="17">
        <f t="shared" ref="AM2:AM29" si="7">(AL2*AL2)</f>
        <v>1575.3587598453012</v>
      </c>
      <c r="AN2" s="16" t="s">
        <v>3921</v>
      </c>
    </row>
    <row r="3" spans="8:40" ht="22.5" customHeight="1">
      <c r="M3" s="16" t="s">
        <v>3965</v>
      </c>
      <c r="N3" s="16" t="s">
        <v>150</v>
      </c>
      <c r="O3" s="16"/>
      <c r="P3" s="16"/>
      <c r="Q3" s="16"/>
      <c r="R3" s="16"/>
      <c r="S3" s="16"/>
      <c r="T3" s="16"/>
      <c r="U3" s="16"/>
      <c r="V3" s="16"/>
      <c r="W3" s="16" t="s">
        <v>3965</v>
      </c>
      <c r="X3" s="16">
        <v>45.07</v>
      </c>
      <c r="Y3" s="16">
        <v>2.96</v>
      </c>
      <c r="Z3" s="17">
        <v>2.5499999999999998</v>
      </c>
      <c r="AA3" s="16">
        <v>1006.2</v>
      </c>
      <c r="AB3" s="16">
        <v>428</v>
      </c>
      <c r="AC3" s="36" t="s">
        <v>3965</v>
      </c>
      <c r="AD3" s="16" t="s">
        <v>3708</v>
      </c>
      <c r="AE3" s="16" t="s">
        <v>3708</v>
      </c>
      <c r="AF3" s="17">
        <f t="shared" si="0"/>
        <v>2978.3520000000003</v>
      </c>
      <c r="AG3" s="17">
        <f t="shared" si="1"/>
        <v>2934.75</v>
      </c>
      <c r="AH3" s="17">
        <f t="shared" si="2"/>
        <v>12.058530973239213</v>
      </c>
      <c r="AI3" s="17">
        <f t="shared" si="3"/>
        <v>145.40816923256943</v>
      </c>
      <c r="AJ3" s="17">
        <f t="shared" si="4"/>
        <v>7.091048033744066</v>
      </c>
      <c r="AK3" s="17">
        <f t="shared" si="5"/>
        <v>50.282962216865585</v>
      </c>
      <c r="AL3" s="17">
        <f t="shared" si="6"/>
        <v>13.532349959258088</v>
      </c>
      <c r="AM3" s="17">
        <f t="shared" si="7"/>
        <v>183.12449541983239</v>
      </c>
      <c r="AN3" s="16" t="s">
        <v>3965</v>
      </c>
    </row>
    <row r="4" spans="8:40" ht="20.5" customHeight="1">
      <c r="M4" s="16" t="s">
        <v>4432</v>
      </c>
      <c r="N4" s="16" t="s">
        <v>150</v>
      </c>
      <c r="O4" s="16"/>
      <c r="P4" s="16"/>
      <c r="Q4" s="16"/>
      <c r="R4" s="16"/>
      <c r="S4" s="16"/>
      <c r="T4" s="16"/>
      <c r="U4" s="16"/>
      <c r="V4" s="16"/>
      <c r="W4" s="16" t="s">
        <v>4432</v>
      </c>
      <c r="X4" s="16">
        <v>42.38</v>
      </c>
      <c r="Y4" s="16">
        <v>2.58</v>
      </c>
      <c r="Z4" s="17">
        <v>1.5</v>
      </c>
      <c r="AA4" s="16">
        <v>635.20000000000005</v>
      </c>
      <c r="AB4" s="16">
        <v>1062</v>
      </c>
      <c r="AC4" s="36" t="s">
        <v>4432</v>
      </c>
      <c r="AD4" s="16" t="s">
        <v>3708</v>
      </c>
      <c r="AE4" s="16" t="s">
        <v>3708</v>
      </c>
      <c r="AF4" s="17">
        <f t="shared" si="0"/>
        <v>1638.8160000000003</v>
      </c>
      <c r="AG4" s="17">
        <f t="shared" si="1"/>
        <v>640.49333333333334</v>
      </c>
      <c r="AH4" s="17">
        <f t="shared" si="2"/>
        <v>7.6123821051496208</v>
      </c>
      <c r="AI4" s="17">
        <f t="shared" si="3"/>
        <v>57.94836131480217</v>
      </c>
      <c r="AJ4" s="17">
        <f t="shared" si="4"/>
        <v>3.9017963539797562</v>
      </c>
      <c r="AK4" s="17">
        <f t="shared" si="5"/>
        <v>15.224014787929718</v>
      </c>
      <c r="AL4" s="17">
        <f t="shared" si="6"/>
        <v>2.9533622738694647</v>
      </c>
      <c r="AM4" s="17">
        <f t="shared" si="7"/>
        <v>8.7223487207154147</v>
      </c>
      <c r="AN4" s="16" t="s">
        <v>4432</v>
      </c>
    </row>
    <row r="5" spans="8:40" ht="19" customHeight="1">
      <c r="M5" s="16" t="s">
        <v>209</v>
      </c>
      <c r="N5" s="16" t="s">
        <v>150</v>
      </c>
      <c r="O5" s="16"/>
      <c r="P5" s="16" t="s">
        <v>3693</v>
      </c>
      <c r="Q5" s="16"/>
      <c r="R5" s="16"/>
      <c r="S5" s="16"/>
      <c r="T5" s="16"/>
      <c r="U5" s="16"/>
      <c r="V5" s="16"/>
      <c r="W5" s="16" t="s">
        <v>209</v>
      </c>
      <c r="X5" s="16">
        <v>14.67</v>
      </c>
      <c r="Y5" s="16">
        <v>20.49</v>
      </c>
      <c r="Z5" s="17">
        <v>4.5</v>
      </c>
      <c r="AA5" s="16">
        <v>539.29999999999995</v>
      </c>
      <c r="AB5" s="16">
        <v>329</v>
      </c>
      <c r="AC5" s="36" t="s">
        <v>209</v>
      </c>
      <c r="AD5" s="16" t="s">
        <v>3708</v>
      </c>
      <c r="AE5" s="16" t="s">
        <v>3708</v>
      </c>
      <c r="AF5" s="17">
        <f t="shared" si="0"/>
        <v>11050.256999999998</v>
      </c>
      <c r="AG5" s="17">
        <f t="shared" si="1"/>
        <v>2161.6941666666667</v>
      </c>
      <c r="AH5" s="17">
        <f t="shared" si="2"/>
        <v>6.4630945675491018</v>
      </c>
      <c r="AI5" s="17">
        <f t="shared" si="3"/>
        <v>41.771591389082708</v>
      </c>
      <c r="AJ5" s="17">
        <f t="shared" si="4"/>
        <v>26.30914786842407</v>
      </c>
      <c r="AK5" s="17">
        <f t="shared" si="5"/>
        <v>692.17126156260281</v>
      </c>
      <c r="AL5" s="17">
        <f t="shared" si="6"/>
        <v>9.9677321639731193</v>
      </c>
      <c r="AM5" s="17">
        <f t="shared" si="7"/>
        <v>99.355684492704242</v>
      </c>
      <c r="AN5" s="16" t="s">
        <v>209</v>
      </c>
    </row>
    <row r="6" spans="8:40" ht="18" customHeight="1">
      <c r="M6" s="16" t="s">
        <v>4435</v>
      </c>
      <c r="N6" s="16" t="s">
        <v>150</v>
      </c>
      <c r="O6" s="16"/>
      <c r="P6" s="16"/>
      <c r="Q6" s="16"/>
      <c r="R6" s="16"/>
      <c r="S6" s="16"/>
      <c r="T6" s="16"/>
      <c r="U6" s="16"/>
      <c r="V6" s="16"/>
      <c r="W6" s="16" t="s">
        <v>4435</v>
      </c>
      <c r="X6" s="16">
        <v>50.26</v>
      </c>
      <c r="Y6" s="16">
        <v>1.46</v>
      </c>
      <c r="Z6" s="17">
        <v>0.5</v>
      </c>
      <c r="AA6" s="16">
        <v>461</v>
      </c>
      <c r="AB6" s="16">
        <v>1608</v>
      </c>
      <c r="AC6" s="36" t="s">
        <v>4435</v>
      </c>
      <c r="AD6" s="16" t="s">
        <v>3708</v>
      </c>
      <c r="AE6" s="16" t="s">
        <v>3708</v>
      </c>
      <c r="AF6" s="17">
        <f t="shared" si="0"/>
        <v>673.06</v>
      </c>
      <c r="AG6" s="17">
        <f t="shared" si="1"/>
        <v>3.8416666666666668</v>
      </c>
      <c r="AH6" s="17">
        <f t="shared" si="2"/>
        <v>5.5247294560358551</v>
      </c>
      <c r="AI6" s="17">
        <f t="shared" si="3"/>
        <v>30.522635562390235</v>
      </c>
      <c r="AJ6" s="17">
        <f t="shared" si="4"/>
        <v>1.6024636408294854</v>
      </c>
      <c r="AK6" s="17">
        <f t="shared" si="5"/>
        <v>2.56788972018049</v>
      </c>
      <c r="AL6" s="17">
        <f t="shared" si="6"/>
        <v>1.7714209987273133E-2</v>
      </c>
      <c r="AM6" s="17">
        <f t="shared" si="7"/>
        <v>3.1379323547320721E-4</v>
      </c>
      <c r="AN6" s="16" t="s">
        <v>4435</v>
      </c>
    </row>
    <row r="7" spans="8:40" ht="22.5" customHeight="1">
      <c r="M7" s="16" t="s">
        <v>4430</v>
      </c>
      <c r="N7" s="16" t="s">
        <v>150</v>
      </c>
      <c r="O7" s="16"/>
      <c r="P7" s="16"/>
      <c r="Q7" s="16"/>
      <c r="R7" s="16"/>
      <c r="S7" s="16"/>
      <c r="T7" s="16"/>
      <c r="U7" s="16"/>
      <c r="V7" s="16"/>
      <c r="W7" s="16" t="s">
        <v>4430</v>
      </c>
      <c r="X7" s="16">
        <v>21.82</v>
      </c>
      <c r="Y7" s="16">
        <v>4.21</v>
      </c>
      <c r="Z7" s="17">
        <v>2.08</v>
      </c>
      <c r="AA7" s="16">
        <v>378.6</v>
      </c>
      <c r="AB7" s="16">
        <v>1152</v>
      </c>
      <c r="AC7" s="36" t="s">
        <v>4430</v>
      </c>
      <c r="AD7" s="16" t="s">
        <v>3708</v>
      </c>
      <c r="AE7" s="16" t="s">
        <v>3708</v>
      </c>
      <c r="AF7" s="17">
        <f t="shared" si="0"/>
        <v>1593.9060000000002</v>
      </c>
      <c r="AG7" s="17">
        <f t="shared" si="1"/>
        <v>807.68000000000006</v>
      </c>
      <c r="AH7" s="17">
        <f t="shared" si="2"/>
        <v>4.5372290066272774</v>
      </c>
      <c r="AI7" s="17">
        <f t="shared" si="3"/>
        <v>20.586447058579949</v>
      </c>
      <c r="AJ7" s="17">
        <f t="shared" si="4"/>
        <v>3.7948717973137049</v>
      </c>
      <c r="AK7" s="17">
        <f t="shared" si="5"/>
        <v>14.401051958046949</v>
      </c>
      <c r="AL7" s="17">
        <f t="shared" si="6"/>
        <v>3.7242723963177697</v>
      </c>
      <c r="AM7" s="17">
        <f t="shared" si="7"/>
        <v>13.870204881974503</v>
      </c>
      <c r="AN7" s="16" t="s">
        <v>4430</v>
      </c>
    </row>
    <row r="8" spans="8:40" ht="20">
      <c r="M8" s="16" t="s">
        <v>1490</v>
      </c>
      <c r="N8" s="16" t="s">
        <v>150</v>
      </c>
      <c r="O8" s="16"/>
      <c r="P8" s="16" t="s">
        <v>4004</v>
      </c>
      <c r="Q8" s="16"/>
      <c r="R8" s="16"/>
      <c r="S8" s="16"/>
      <c r="T8" s="16"/>
      <c r="U8" s="16"/>
      <c r="V8" s="16"/>
      <c r="W8" s="16" t="s">
        <v>1490</v>
      </c>
      <c r="X8" s="16">
        <v>14.51</v>
      </c>
      <c r="Y8" s="16">
        <v>12.86</v>
      </c>
      <c r="Z8" s="17">
        <v>5.05</v>
      </c>
      <c r="AA8" s="16">
        <v>336.4</v>
      </c>
      <c r="AB8" s="16">
        <v>1158</v>
      </c>
      <c r="AC8" s="36" t="s">
        <v>1490</v>
      </c>
      <c r="AD8" s="16" t="s">
        <v>3708</v>
      </c>
      <c r="AE8" s="16" t="s">
        <v>3708</v>
      </c>
      <c r="AF8" s="17">
        <f t="shared" si="0"/>
        <v>4326.1039999999994</v>
      </c>
      <c r="AG8" s="17">
        <f t="shared" si="1"/>
        <v>1710.0333333333331</v>
      </c>
      <c r="AH8" s="17">
        <f t="shared" si="2"/>
        <v>4.0314945531680291</v>
      </c>
      <c r="AI8" s="17">
        <f t="shared" si="3"/>
        <v>16.252948332223486</v>
      </c>
      <c r="AJ8" s="17">
        <f t="shared" si="4"/>
        <v>10.299860883794906</v>
      </c>
      <c r="AK8" s="17">
        <f t="shared" si="5"/>
        <v>106.08713422552839</v>
      </c>
      <c r="AL8" s="17">
        <f t="shared" si="6"/>
        <v>7.8850905558099678</v>
      </c>
      <c r="AM8" s="17">
        <f t="shared" si="7"/>
        <v>62.174653073323547</v>
      </c>
      <c r="AN8" s="16" t="s">
        <v>1490</v>
      </c>
    </row>
    <row r="9" spans="8:40" ht="20">
      <c r="M9" s="16" t="s">
        <v>4790</v>
      </c>
      <c r="N9" s="16" t="s">
        <v>150</v>
      </c>
      <c r="O9" s="26"/>
      <c r="P9" s="26"/>
      <c r="Q9" s="26"/>
      <c r="R9" s="26"/>
      <c r="S9" s="26"/>
      <c r="T9" s="26"/>
      <c r="U9" s="26"/>
      <c r="V9" s="26"/>
      <c r="W9" s="16" t="s">
        <v>4790</v>
      </c>
      <c r="X9" s="26">
        <v>21.85</v>
      </c>
      <c r="Y9" s="26">
        <v>5.26</v>
      </c>
      <c r="Z9" s="27">
        <v>3.04</v>
      </c>
      <c r="AA9" s="26">
        <v>318.3</v>
      </c>
      <c r="AB9" s="26">
        <v>1230</v>
      </c>
      <c r="AC9" s="36" t="s">
        <v>4790</v>
      </c>
      <c r="AD9" s="16" t="s">
        <v>3708</v>
      </c>
      <c r="AE9" s="16" t="s">
        <v>3708</v>
      </c>
      <c r="AF9" s="17">
        <f t="shared" si="0"/>
        <v>1674.258</v>
      </c>
      <c r="AG9" s="17">
        <f t="shared" si="1"/>
        <v>976.12000000000012</v>
      </c>
      <c r="AH9" s="17">
        <f t="shared" si="2"/>
        <v>3.8145800127032814</v>
      </c>
      <c r="AI9" s="17">
        <f t="shared" si="3"/>
        <v>14.551020673315367</v>
      </c>
      <c r="AJ9" s="17">
        <f t="shared" si="4"/>
        <v>3.9861788999017813</v>
      </c>
      <c r="AK9" s="17">
        <f t="shared" si="5"/>
        <v>15.889622222022176</v>
      </c>
      <c r="AL9" s="17">
        <f t="shared" si="6"/>
        <v>4.5009617317424002</v>
      </c>
      <c r="AM9" s="17">
        <f t="shared" si="7"/>
        <v>20.258656510609548</v>
      </c>
      <c r="AN9" s="16" t="s">
        <v>4790</v>
      </c>
    </row>
    <row r="10" spans="8:40" ht="20">
      <c r="M10" s="16" t="s">
        <v>849</v>
      </c>
      <c r="N10" s="16" t="s">
        <v>150</v>
      </c>
      <c r="O10" s="16"/>
      <c r="P10" s="16" t="s">
        <v>4067</v>
      </c>
      <c r="Q10" s="16"/>
      <c r="R10" s="16"/>
      <c r="S10" s="16"/>
      <c r="T10" s="16"/>
      <c r="U10" s="16"/>
      <c r="V10" s="16"/>
      <c r="W10" s="16" t="s">
        <v>849</v>
      </c>
      <c r="X10" s="16">
        <v>38.909999999999997</v>
      </c>
      <c r="Y10" s="16">
        <v>1.1100000000000001</v>
      </c>
      <c r="Z10" s="17">
        <v>0.05</v>
      </c>
      <c r="AA10" s="16">
        <v>249.2</v>
      </c>
      <c r="AB10" s="16">
        <v>15937</v>
      </c>
      <c r="AC10" s="36" t="s">
        <v>849</v>
      </c>
      <c r="AD10" s="16" t="s">
        <v>3708</v>
      </c>
      <c r="AE10" s="16" t="s">
        <v>3708</v>
      </c>
      <c r="AF10" s="17">
        <f t="shared" si="0"/>
        <v>276.61200000000002</v>
      </c>
      <c r="AG10" s="17">
        <f t="shared" si="1"/>
        <v>20.766666666666666</v>
      </c>
      <c r="AH10" s="17">
        <f t="shared" si="2"/>
        <v>2.9864698057356507</v>
      </c>
      <c r="AI10" s="17">
        <f t="shared" si="3"/>
        <v>8.9190019005707359</v>
      </c>
      <c r="AJ10" s="17">
        <f t="shared" si="4"/>
        <v>0.65857527206657007</v>
      </c>
      <c r="AK10" s="17">
        <f t="shared" si="5"/>
        <v>0.4337213889775568</v>
      </c>
      <c r="AL10" s="17">
        <f t="shared" si="6"/>
        <v>9.5756640538578408E-2</v>
      </c>
      <c r="AM10" s="17">
        <f t="shared" si="7"/>
        <v>9.1693342072345172E-3</v>
      </c>
      <c r="AN10" s="16" t="s">
        <v>849</v>
      </c>
    </row>
    <row r="11" spans="8:40" ht="20">
      <c r="M11" s="16" t="s">
        <v>4789</v>
      </c>
      <c r="N11" s="16" t="s">
        <v>150</v>
      </c>
      <c r="O11" s="26"/>
      <c r="P11" s="26"/>
      <c r="Q11" s="26"/>
      <c r="R11" s="26"/>
      <c r="S11" s="26"/>
      <c r="T11" s="26"/>
      <c r="U11" s="26"/>
      <c r="V11" s="26"/>
      <c r="W11" s="16" t="s">
        <v>4789</v>
      </c>
      <c r="X11" s="26">
        <v>38.020000000000003</v>
      </c>
      <c r="Y11" s="26">
        <v>1.73</v>
      </c>
      <c r="Z11" s="27">
        <v>0.55000000000000004</v>
      </c>
      <c r="AA11" s="26">
        <v>245.7</v>
      </c>
      <c r="AB11" s="26">
        <v>2669</v>
      </c>
      <c r="AC11" s="36" t="s">
        <v>4789</v>
      </c>
      <c r="AD11" s="16" t="s">
        <v>3708</v>
      </c>
      <c r="AE11" s="16" t="s">
        <v>3708</v>
      </c>
      <c r="AF11" s="17">
        <f t="shared" si="0"/>
        <v>425.06099999999998</v>
      </c>
      <c r="AG11" s="17">
        <f t="shared" si="1"/>
        <v>225.22499999999999</v>
      </c>
      <c r="AH11" s="17">
        <f t="shared" si="2"/>
        <v>2.9445250050932961</v>
      </c>
      <c r="AI11" s="17">
        <f t="shared" si="3"/>
        <v>8.6702275056196747</v>
      </c>
      <c r="AJ11" s="17">
        <f t="shared" si="4"/>
        <v>1.0120120013589009</v>
      </c>
      <c r="AK11" s="17">
        <f t="shared" si="5"/>
        <v>1.0241682908944481</v>
      </c>
      <c r="AL11" s="17">
        <f t="shared" si="6"/>
        <v>1.0385291829198067</v>
      </c>
      <c r="AM11" s="17">
        <f t="shared" si="7"/>
        <v>1.0785428637760812</v>
      </c>
      <c r="AN11" s="16" t="s">
        <v>4789</v>
      </c>
    </row>
    <row r="12" spans="8:40" ht="20">
      <c r="M12" s="16" t="s">
        <v>4788</v>
      </c>
      <c r="N12" s="16" t="s">
        <v>150</v>
      </c>
      <c r="O12" s="26"/>
      <c r="P12" s="26"/>
      <c r="Q12" s="26"/>
      <c r="R12" s="26"/>
      <c r="S12" s="26"/>
      <c r="T12" s="26"/>
      <c r="U12" s="26"/>
      <c r="V12" s="26"/>
      <c r="W12" s="16" t="s">
        <v>4788</v>
      </c>
      <c r="X12" s="26">
        <v>27.47</v>
      </c>
      <c r="Y12" s="26">
        <v>3.11</v>
      </c>
      <c r="Z12" s="27">
        <v>3.11</v>
      </c>
      <c r="AA12" s="26">
        <v>225</v>
      </c>
      <c r="AB12" s="26">
        <v>3296</v>
      </c>
      <c r="AC12" s="36" t="s">
        <v>4788</v>
      </c>
      <c r="AD12" s="16" t="s">
        <v>3708</v>
      </c>
      <c r="AE12" s="16" t="s">
        <v>3708</v>
      </c>
      <c r="AF12" s="17">
        <f t="shared" si="0"/>
        <v>699.75</v>
      </c>
      <c r="AG12" s="17">
        <f t="shared" si="1"/>
        <v>716.25</v>
      </c>
      <c r="AH12" s="17">
        <f t="shared" si="2"/>
        <v>2.6964514698656559</v>
      </c>
      <c r="AI12" s="17">
        <f t="shared" si="3"/>
        <v>7.270850529340656</v>
      </c>
      <c r="AJ12" s="17">
        <f t="shared" si="4"/>
        <v>1.6660088739049006</v>
      </c>
      <c r="AK12" s="17">
        <f t="shared" si="5"/>
        <v>2.7755855679298751</v>
      </c>
      <c r="AL12" s="17">
        <f t="shared" si="6"/>
        <v>3.3026818837443073</v>
      </c>
      <c r="AM12" s="17">
        <f t="shared" si="7"/>
        <v>10.907707625212845</v>
      </c>
      <c r="AN12" s="16" t="s">
        <v>4788</v>
      </c>
    </row>
    <row r="13" spans="8:40" ht="20">
      <c r="M13" s="16" t="s">
        <v>4429</v>
      </c>
      <c r="N13" s="16" t="s">
        <v>150</v>
      </c>
      <c r="O13" s="16"/>
      <c r="P13" s="16"/>
      <c r="Q13" s="16"/>
      <c r="R13" s="16"/>
      <c r="S13" s="16"/>
      <c r="T13" s="16"/>
      <c r="U13" s="16"/>
      <c r="V13" s="16"/>
      <c r="W13" s="16" t="s">
        <v>4429</v>
      </c>
      <c r="X13" s="16">
        <v>37.17</v>
      </c>
      <c r="Y13" s="16">
        <v>1.99</v>
      </c>
      <c r="Z13" s="17">
        <v>1.19</v>
      </c>
      <c r="AA13" s="16">
        <v>217</v>
      </c>
      <c r="AB13" s="16">
        <v>2057</v>
      </c>
      <c r="AC13" s="36" t="s">
        <v>4429</v>
      </c>
      <c r="AD13" s="16" t="s">
        <v>3708</v>
      </c>
      <c r="AE13" s="16" t="s">
        <v>3708</v>
      </c>
      <c r="AF13" s="17">
        <f t="shared" si="0"/>
        <v>431.83</v>
      </c>
      <c r="AG13" s="17">
        <f t="shared" si="1"/>
        <v>285.71666666666664</v>
      </c>
      <c r="AH13" s="17">
        <f t="shared" si="2"/>
        <v>2.6005776398259881</v>
      </c>
      <c r="AI13" s="17">
        <f t="shared" si="3"/>
        <v>6.7630040607629072</v>
      </c>
      <c r="AJ13" s="17">
        <f t="shared" si="4"/>
        <v>1.0281280629058283</v>
      </c>
      <c r="AK13" s="17">
        <f t="shared" si="5"/>
        <v>1.0570473137344907</v>
      </c>
      <c r="AL13" s="17">
        <f t="shared" si="6"/>
        <v>1.3174607453875196</v>
      </c>
      <c r="AM13" s="17">
        <f t="shared" si="7"/>
        <v>1.7357028156370387</v>
      </c>
      <c r="AN13" s="16" t="s">
        <v>4429</v>
      </c>
    </row>
    <row r="14" spans="8:40" ht="20">
      <c r="M14" s="16" t="s">
        <v>1024</v>
      </c>
      <c r="N14" s="16" t="s">
        <v>150</v>
      </c>
      <c r="O14" s="16"/>
      <c r="P14" s="16" t="s">
        <v>3691</v>
      </c>
      <c r="Q14" s="16"/>
      <c r="R14" s="16"/>
      <c r="S14" s="16"/>
      <c r="T14" s="16"/>
      <c r="U14" s="16"/>
      <c r="V14" s="16"/>
      <c r="W14" s="16" t="s">
        <v>1024</v>
      </c>
      <c r="X14" s="16">
        <v>4.41</v>
      </c>
      <c r="Y14" s="16">
        <v>7.17</v>
      </c>
      <c r="Z14" s="17">
        <v>3.41</v>
      </c>
      <c r="AA14" s="16">
        <v>202.6</v>
      </c>
      <c r="AB14" s="16">
        <v>3164</v>
      </c>
      <c r="AC14" s="36" t="s">
        <v>1024</v>
      </c>
      <c r="AD14" s="16" t="s">
        <v>3708</v>
      </c>
      <c r="AE14" s="16" t="s">
        <v>3708</v>
      </c>
      <c r="AF14" s="17">
        <f t="shared" si="0"/>
        <v>1452.6420000000001</v>
      </c>
      <c r="AG14" s="17">
        <f t="shared" si="1"/>
        <v>746.24333333333334</v>
      </c>
      <c r="AH14" s="17">
        <f t="shared" si="2"/>
        <v>2.4280047457545861</v>
      </c>
      <c r="AI14" s="17">
        <f t="shared" si="3"/>
        <v>5.8952070454067922</v>
      </c>
      <c r="AJ14" s="17">
        <f t="shared" si="4"/>
        <v>3.4585415685701504</v>
      </c>
      <c r="AK14" s="17">
        <f t="shared" si="5"/>
        <v>11.961509781527676</v>
      </c>
      <c r="AL14" s="17">
        <f t="shared" si="6"/>
        <v>3.4409833687468963</v>
      </c>
      <c r="AM14" s="17">
        <f t="shared" si="7"/>
        <v>11.840366543992738</v>
      </c>
      <c r="AN14" s="16" t="s">
        <v>1024</v>
      </c>
    </row>
    <row r="15" spans="8:40" ht="20">
      <c r="M15" s="16" t="s">
        <v>4431</v>
      </c>
      <c r="N15" s="16" t="s">
        <v>150</v>
      </c>
      <c r="O15" s="16"/>
      <c r="P15" s="16"/>
      <c r="Q15" s="16"/>
      <c r="R15" s="16"/>
      <c r="S15" s="16"/>
      <c r="T15" s="16"/>
      <c r="U15" s="16"/>
      <c r="V15" s="16"/>
      <c r="W15" s="16" t="s">
        <v>4431</v>
      </c>
      <c r="X15" s="16">
        <v>24.01</v>
      </c>
      <c r="Y15" s="16">
        <v>2.61</v>
      </c>
      <c r="Z15" s="17">
        <v>1.25</v>
      </c>
      <c r="AA15" s="16">
        <v>199.8</v>
      </c>
      <c r="AB15" s="16">
        <v>1595</v>
      </c>
      <c r="AC15" s="36" t="s">
        <v>4431</v>
      </c>
      <c r="AD15" s="16" t="s">
        <v>3708</v>
      </c>
      <c r="AE15" s="16" t="s">
        <v>3708</v>
      </c>
      <c r="AF15" s="17">
        <f t="shared" si="0"/>
        <v>521.47799999999995</v>
      </c>
      <c r="AG15" s="17">
        <f t="shared" si="1"/>
        <v>283.05</v>
      </c>
      <c r="AH15" s="17">
        <f t="shared" si="2"/>
        <v>2.3944489052407025</v>
      </c>
      <c r="AI15" s="17">
        <f t="shared" si="3"/>
        <v>5.7333855598083989</v>
      </c>
      <c r="AJ15" s="17">
        <f t="shared" si="4"/>
        <v>1.2415676678044727</v>
      </c>
      <c r="AK15" s="17">
        <f t="shared" si="5"/>
        <v>1.5414902737374374</v>
      </c>
      <c r="AL15" s="17">
        <f t="shared" si="6"/>
        <v>1.3051645475655516</v>
      </c>
      <c r="AM15" s="17">
        <f t="shared" si="7"/>
        <v>1.7034544962219909</v>
      </c>
      <c r="AN15" s="16" t="s">
        <v>4431</v>
      </c>
    </row>
    <row r="16" spans="8:40" ht="20">
      <c r="M16" s="16" t="s">
        <v>157</v>
      </c>
      <c r="N16" s="16" t="s">
        <v>150</v>
      </c>
      <c r="O16" s="16"/>
      <c r="P16" s="16" t="s">
        <v>3693</v>
      </c>
      <c r="Q16" s="16"/>
      <c r="R16" s="16"/>
      <c r="S16" s="16"/>
      <c r="T16" s="16"/>
      <c r="U16" s="16"/>
      <c r="V16" s="16"/>
      <c r="W16" s="16" t="s">
        <v>157</v>
      </c>
      <c r="X16" s="16">
        <v>13.73</v>
      </c>
      <c r="Y16" s="16">
        <v>2.06</v>
      </c>
      <c r="Z16" s="17">
        <v>0.34</v>
      </c>
      <c r="AA16" s="16">
        <v>199.6</v>
      </c>
      <c r="AB16" s="16">
        <v>5342</v>
      </c>
      <c r="AC16" s="36" t="s">
        <v>157</v>
      </c>
      <c r="AD16" s="16" t="s">
        <v>3708</v>
      </c>
      <c r="AE16" s="16" t="s">
        <v>3708</v>
      </c>
      <c r="AF16" s="17">
        <f t="shared" si="0"/>
        <v>411.17599999999999</v>
      </c>
      <c r="AG16" s="17">
        <f t="shared" si="1"/>
        <v>113.10666666666665</v>
      </c>
      <c r="AH16" s="17">
        <f t="shared" si="2"/>
        <v>2.392052059489711</v>
      </c>
      <c r="AI16" s="17">
        <f t="shared" si="3"/>
        <v>5.7219130553089679</v>
      </c>
      <c r="AJ16" s="17">
        <f t="shared" si="4"/>
        <v>0.9789537188091767</v>
      </c>
      <c r="AK16" s="17">
        <f t="shared" si="5"/>
        <v>0.95835038357031654</v>
      </c>
      <c r="AL16" s="17">
        <f t="shared" si="6"/>
        <v>0.52154323061878682</v>
      </c>
      <c r="AM16" s="17">
        <f t="shared" si="7"/>
        <v>0.27200734140428107</v>
      </c>
      <c r="AN16" s="16" t="s">
        <v>157</v>
      </c>
    </row>
    <row r="17" spans="13:40" ht="20">
      <c r="M17" s="16" t="s">
        <v>4425</v>
      </c>
      <c r="N17" s="16" t="s">
        <v>150</v>
      </c>
      <c r="O17" s="16"/>
      <c r="P17" s="16"/>
      <c r="Q17" s="16"/>
      <c r="R17" s="16"/>
      <c r="S17" s="16"/>
      <c r="T17" s="16"/>
      <c r="U17" s="16"/>
      <c r="V17" s="16"/>
      <c r="W17" s="16" t="s">
        <v>4425</v>
      </c>
      <c r="X17" s="16">
        <v>22.21</v>
      </c>
      <c r="Y17" s="16">
        <v>2.21</v>
      </c>
      <c r="Z17" s="17">
        <v>0.46</v>
      </c>
      <c r="AA17" s="16">
        <v>196.8</v>
      </c>
      <c r="AB17" s="16">
        <v>3253</v>
      </c>
      <c r="AC17" s="36" t="s">
        <v>4425</v>
      </c>
      <c r="AD17" s="16" t="s">
        <v>3708</v>
      </c>
      <c r="AE17" s="16" t="s">
        <v>3708</v>
      </c>
      <c r="AF17" s="17">
        <f t="shared" si="0"/>
        <v>434.928</v>
      </c>
      <c r="AG17" s="17">
        <f t="shared" si="1"/>
        <v>150.88000000000002</v>
      </c>
      <c r="AH17" s="17">
        <f t="shared" si="2"/>
        <v>2.3584962189758274</v>
      </c>
      <c r="AI17" s="17">
        <f t="shared" si="3"/>
        <v>5.5625044149232741</v>
      </c>
      <c r="AJ17" s="17">
        <f t="shared" si="4"/>
        <v>1.0355039764340273</v>
      </c>
      <c r="AK17" s="17">
        <f t="shared" si="5"/>
        <v>1.0722684852106825</v>
      </c>
      <c r="AL17" s="17">
        <f t="shared" si="6"/>
        <v>0.69571887276696842</v>
      </c>
      <c r="AM17" s="17">
        <f t="shared" si="7"/>
        <v>0.48402474992414118</v>
      </c>
      <c r="AN17" s="16" t="s">
        <v>4425</v>
      </c>
    </row>
    <row r="18" spans="13:40" ht="20">
      <c r="M18" s="16" t="s">
        <v>4426</v>
      </c>
      <c r="N18" s="16" t="s">
        <v>150</v>
      </c>
      <c r="O18" s="16"/>
      <c r="P18" s="16"/>
      <c r="Q18" s="16"/>
      <c r="R18" s="16"/>
      <c r="S18" s="16"/>
      <c r="T18" s="16"/>
      <c r="U18" s="16"/>
      <c r="V18" s="16"/>
      <c r="W18" s="16" t="s">
        <v>4426</v>
      </c>
      <c r="X18" s="16">
        <v>42.43</v>
      </c>
      <c r="Y18" s="16">
        <v>2.0499999999999998</v>
      </c>
      <c r="Z18" s="17">
        <v>0.43</v>
      </c>
      <c r="AA18" s="16">
        <v>188.8</v>
      </c>
      <c r="AB18" s="16">
        <v>2695</v>
      </c>
      <c r="AC18" s="36" t="s">
        <v>4426</v>
      </c>
      <c r="AD18" s="16" t="s">
        <v>3708</v>
      </c>
      <c r="AE18" s="16" t="s">
        <v>3708</v>
      </c>
      <c r="AF18" s="17">
        <f t="shared" si="0"/>
        <v>387.03999999999996</v>
      </c>
      <c r="AG18" s="17">
        <f t="shared" si="1"/>
        <v>135.30666666666667</v>
      </c>
      <c r="AH18" s="17">
        <f t="shared" si="2"/>
        <v>2.2626223889361592</v>
      </c>
      <c r="AI18" s="17">
        <f t="shared" si="3"/>
        <v>5.119460074915172</v>
      </c>
      <c r="AJ18" s="17">
        <f t="shared" si="4"/>
        <v>0.92148920979800331</v>
      </c>
      <c r="AK18" s="17">
        <f t="shared" si="5"/>
        <v>0.84914236377414853</v>
      </c>
      <c r="AL18" s="17">
        <f t="shared" si="6"/>
        <v>0.62390907748667335</v>
      </c>
      <c r="AM18" s="17">
        <f t="shared" si="7"/>
        <v>0.38926253697027174</v>
      </c>
      <c r="AN18" s="16" t="s">
        <v>4426</v>
      </c>
    </row>
    <row r="19" spans="13:40" ht="20">
      <c r="M19" s="16" t="s">
        <v>4427</v>
      </c>
      <c r="N19" s="16" t="s">
        <v>150</v>
      </c>
      <c r="O19" s="16"/>
      <c r="P19" s="16"/>
      <c r="Q19" s="16"/>
      <c r="R19" s="16"/>
      <c r="S19" s="16"/>
      <c r="T19" s="16"/>
      <c r="U19" s="16"/>
      <c r="V19" s="16"/>
      <c r="W19" s="16" t="s">
        <v>4427</v>
      </c>
      <c r="X19" s="16">
        <v>35.14</v>
      </c>
      <c r="Y19" s="16">
        <v>1.77</v>
      </c>
      <c r="Z19" s="17">
        <v>0.28999999999999998</v>
      </c>
      <c r="AA19" s="16">
        <v>163.30000000000001</v>
      </c>
      <c r="AB19" s="16">
        <v>4944</v>
      </c>
      <c r="AC19" s="36" t="s">
        <v>4427</v>
      </c>
      <c r="AD19" s="16" t="s">
        <v>3708</v>
      </c>
      <c r="AE19" s="16" t="s">
        <v>3708</v>
      </c>
      <c r="AF19" s="17">
        <f t="shared" si="0"/>
        <v>289.041</v>
      </c>
      <c r="AG19" s="17">
        <f t="shared" si="1"/>
        <v>78.928333333333342</v>
      </c>
      <c r="AH19" s="17">
        <f t="shared" si="2"/>
        <v>1.9570245556847183</v>
      </c>
      <c r="AI19" s="17">
        <f t="shared" si="3"/>
        <v>3.829945111552969</v>
      </c>
      <c r="AJ19" s="17">
        <f t="shared" si="4"/>
        <v>0.68816701810981984</v>
      </c>
      <c r="AK19" s="17">
        <f t="shared" si="5"/>
        <v>0.47357384481416109</v>
      </c>
      <c r="AL19" s="17">
        <f t="shared" si="6"/>
        <v>0.36394440015934659</v>
      </c>
      <c r="AM19" s="17">
        <f t="shared" si="7"/>
        <v>0.13245552640734659</v>
      </c>
      <c r="AN19" s="16" t="s">
        <v>4427</v>
      </c>
    </row>
    <row r="20" spans="13:40" ht="20">
      <c r="M20" s="26" t="s">
        <v>5136</v>
      </c>
      <c r="N20" s="16" t="s">
        <v>150</v>
      </c>
      <c r="O20" s="26"/>
      <c r="P20" s="26"/>
      <c r="Q20" s="26"/>
      <c r="R20" s="26"/>
      <c r="S20" s="26"/>
      <c r="T20" s="26"/>
      <c r="U20" s="26"/>
      <c r="V20" s="26"/>
      <c r="W20" s="26" t="s">
        <v>5136</v>
      </c>
      <c r="X20" s="26">
        <v>20.89</v>
      </c>
      <c r="Y20" s="26">
        <v>2.27</v>
      </c>
      <c r="Z20" s="27">
        <v>1.04</v>
      </c>
      <c r="AA20" s="26">
        <v>161.69999999999999</v>
      </c>
      <c r="AB20" s="26">
        <v>3388</v>
      </c>
      <c r="AC20" s="36" t="s">
        <v>5136</v>
      </c>
      <c r="AD20" s="16" t="s">
        <v>3708</v>
      </c>
      <c r="AE20" s="16" t="s">
        <v>3708</v>
      </c>
      <c r="AF20" s="27">
        <f t="shared" si="0"/>
        <v>367.05899999999997</v>
      </c>
      <c r="AG20" s="27">
        <f t="shared" si="1"/>
        <v>172.48</v>
      </c>
      <c r="AH20" s="17">
        <f t="shared" si="2"/>
        <v>1.9378497896767846</v>
      </c>
      <c r="AI20" s="27">
        <f t="shared" si="3"/>
        <v>3.7552618073503581</v>
      </c>
      <c r="AJ20" s="17">
        <f t="shared" si="4"/>
        <v>0.87391718649040218</v>
      </c>
      <c r="AK20" s="27">
        <f t="shared" si="5"/>
        <v>0.76373124884330035</v>
      </c>
      <c r="AL20" s="17">
        <f t="shared" si="6"/>
        <v>0.79531807512491193</v>
      </c>
      <c r="AM20" s="27">
        <f t="shared" si="7"/>
        <v>0.63253084062039511</v>
      </c>
      <c r="AN20" s="26" t="s">
        <v>5136</v>
      </c>
    </row>
    <row r="21" spans="13:40" ht="20">
      <c r="M21" s="16" t="s">
        <v>4433</v>
      </c>
      <c r="N21" s="16" t="s">
        <v>150</v>
      </c>
      <c r="O21" s="16"/>
      <c r="P21" s="16"/>
      <c r="Q21" s="16"/>
      <c r="R21" s="16"/>
      <c r="S21" s="16"/>
      <c r="T21" s="16"/>
      <c r="U21" s="16"/>
      <c r="V21" s="16"/>
      <c r="W21" s="16" t="s">
        <v>4433</v>
      </c>
      <c r="X21" s="16">
        <v>32.119999999999997</v>
      </c>
      <c r="Y21" s="16">
        <v>2.4300000000000002</v>
      </c>
      <c r="Z21" s="17">
        <v>1.03</v>
      </c>
      <c r="AA21" s="16">
        <v>133.30000000000001</v>
      </c>
      <c r="AB21" s="16">
        <v>3215</v>
      </c>
      <c r="AC21" s="36" t="s">
        <v>4433</v>
      </c>
      <c r="AD21" s="16" t="s">
        <v>3708</v>
      </c>
      <c r="AE21" s="16" t="s">
        <v>3708</v>
      </c>
      <c r="AF21" s="17">
        <f t="shared" si="0"/>
        <v>323.91900000000004</v>
      </c>
      <c r="AG21" s="17">
        <f t="shared" si="1"/>
        <v>139.96500000000003</v>
      </c>
      <c r="AH21" s="17">
        <f t="shared" si="2"/>
        <v>1.5974976930359641</v>
      </c>
      <c r="AI21" s="17">
        <f t="shared" si="3"/>
        <v>2.5519988792552275</v>
      </c>
      <c r="AJ21" s="17">
        <f t="shared" si="4"/>
        <v>0.77120675730818378</v>
      </c>
      <c r="AK21" s="17">
        <f t="shared" si="5"/>
        <v>0.59475986251780388</v>
      </c>
      <c r="AL21" s="17">
        <f t="shared" si="6"/>
        <v>0.6453889980569244</v>
      </c>
      <c r="AM21" s="17">
        <f t="shared" si="7"/>
        <v>0.41652695881292079</v>
      </c>
      <c r="AN21" s="16" t="s">
        <v>4433</v>
      </c>
    </row>
    <row r="22" spans="13:40" ht="20">
      <c r="M22" s="16" t="s">
        <v>4791</v>
      </c>
      <c r="N22" s="16" t="s">
        <v>150</v>
      </c>
      <c r="O22" s="26"/>
      <c r="P22" s="26"/>
      <c r="Q22" s="26"/>
      <c r="R22" s="26"/>
      <c r="S22" s="26"/>
      <c r="T22" s="26"/>
      <c r="U22" s="26"/>
      <c r="V22" s="26"/>
      <c r="W22" s="16" t="s">
        <v>4791</v>
      </c>
      <c r="X22" s="26">
        <v>26.55</v>
      </c>
      <c r="Y22" s="26">
        <v>2.15</v>
      </c>
      <c r="Z22" s="27">
        <v>1.02</v>
      </c>
      <c r="AA22" s="26">
        <v>117.1</v>
      </c>
      <c r="AB22" s="26">
        <v>3760</v>
      </c>
      <c r="AC22" s="36" t="s">
        <v>4791</v>
      </c>
      <c r="AD22" s="16" t="s">
        <v>3708</v>
      </c>
      <c r="AE22" s="16" t="s">
        <v>3708</v>
      </c>
      <c r="AF22" s="17">
        <f t="shared" si="0"/>
        <v>251.76499999999999</v>
      </c>
      <c r="AG22" s="17">
        <f t="shared" si="1"/>
        <v>121.00333333333334</v>
      </c>
      <c r="AH22" s="17">
        <f t="shared" si="2"/>
        <v>1.4033531872056368</v>
      </c>
      <c r="AI22" s="17">
        <f t="shared" si="3"/>
        <v>1.9694001680402191</v>
      </c>
      <c r="AJ22" s="17">
        <f t="shared" si="4"/>
        <v>0.59941796947290793</v>
      </c>
      <c r="AK22" s="17">
        <f t="shared" si="5"/>
        <v>0.35930190212702401</v>
      </c>
      <c r="AL22" s="17">
        <f t="shared" si="6"/>
        <v>0.55795534641909073</v>
      </c>
      <c r="AM22" s="17">
        <f t="shared" si="7"/>
        <v>0.31131416859764754</v>
      </c>
      <c r="AN22" s="16" t="s">
        <v>4791</v>
      </c>
    </row>
    <row r="23" spans="13:40" ht="20">
      <c r="M23" s="17" t="s">
        <v>2665</v>
      </c>
      <c r="N23" s="16" t="s">
        <v>150</v>
      </c>
      <c r="O23" s="16"/>
      <c r="P23" s="16" t="s">
        <v>3691</v>
      </c>
      <c r="Q23" s="16"/>
      <c r="R23" s="16"/>
      <c r="S23" s="16"/>
      <c r="T23" s="16"/>
      <c r="U23" s="16"/>
      <c r="V23" s="16"/>
      <c r="W23" s="17" t="s">
        <v>2665</v>
      </c>
      <c r="X23" s="16">
        <v>26.86</v>
      </c>
      <c r="Y23" s="16">
        <v>1.96</v>
      </c>
      <c r="Z23" s="17">
        <v>1.19</v>
      </c>
      <c r="AA23" s="16">
        <v>113.2</v>
      </c>
      <c r="AB23" s="16">
        <v>3917</v>
      </c>
      <c r="AC23" s="37" t="s">
        <v>2665</v>
      </c>
      <c r="AD23" s="16" t="s">
        <v>3708</v>
      </c>
      <c r="AE23" s="16" t="s">
        <v>3708</v>
      </c>
      <c r="AF23" s="17">
        <f t="shared" si="0"/>
        <v>221.87200000000001</v>
      </c>
      <c r="AG23" s="17">
        <f t="shared" si="1"/>
        <v>149.04666666666668</v>
      </c>
      <c r="AH23" s="17">
        <f t="shared" si="2"/>
        <v>1.3566146950612989</v>
      </c>
      <c r="AI23" s="17">
        <f t="shared" si="3"/>
        <v>1.8404034308562611</v>
      </c>
      <c r="AJ23" s="17">
        <f t="shared" si="4"/>
        <v>0.5282468322558459</v>
      </c>
      <c r="AK23" s="17">
        <f t="shared" si="5"/>
        <v>0.27904471578833578</v>
      </c>
      <c r="AL23" s="17">
        <f t="shared" si="6"/>
        <v>0.68726523676436524</v>
      </c>
      <c r="AM23" s="17">
        <f t="shared" si="7"/>
        <v>0.472333505664779</v>
      </c>
      <c r="AN23" s="17" t="s">
        <v>2665</v>
      </c>
    </row>
    <row r="24" spans="13:40" ht="20">
      <c r="M24" s="16" t="s">
        <v>4428</v>
      </c>
      <c r="N24" s="16" t="s">
        <v>150</v>
      </c>
      <c r="O24" s="16"/>
      <c r="P24" s="16"/>
      <c r="Q24" s="16"/>
      <c r="R24" s="16"/>
      <c r="S24" s="16"/>
      <c r="T24" s="16"/>
      <c r="U24" s="16"/>
      <c r="V24" s="16"/>
      <c r="W24" s="16" t="s">
        <v>4428</v>
      </c>
      <c r="X24" s="16">
        <v>24.61</v>
      </c>
      <c r="Y24" s="16">
        <v>1.93</v>
      </c>
      <c r="Z24" s="17">
        <v>1.1000000000000001</v>
      </c>
      <c r="AA24" s="16">
        <v>54.1</v>
      </c>
      <c r="AB24" s="16">
        <v>7030</v>
      </c>
      <c r="AC24" s="36" t="s">
        <v>4428</v>
      </c>
      <c r="AD24" s="16" t="s">
        <v>3708</v>
      </c>
      <c r="AE24" s="16" t="s">
        <v>3708</v>
      </c>
      <c r="AF24" s="17">
        <f t="shared" si="0"/>
        <v>104.413</v>
      </c>
      <c r="AG24" s="17">
        <f t="shared" si="1"/>
        <v>54.19016666666667</v>
      </c>
      <c r="AH24" s="17">
        <f t="shared" si="2"/>
        <v>0.64834677564325327</v>
      </c>
      <c r="AI24" s="17">
        <f t="shared" si="3"/>
        <v>0.42035354148700299</v>
      </c>
      <c r="AJ24" s="17">
        <f t="shared" si="4"/>
        <v>0.24859304687535894</v>
      </c>
      <c r="AK24" s="17">
        <f t="shared" si="5"/>
        <v>6.1798502954774404E-2</v>
      </c>
      <c r="AL24" s="17">
        <f t="shared" si="6"/>
        <v>0.24987487850203793</v>
      </c>
      <c r="AM24" s="17">
        <f t="shared" si="7"/>
        <v>6.2437454906408216E-2</v>
      </c>
      <c r="AN24" s="16" t="s">
        <v>4428</v>
      </c>
    </row>
    <row r="25" spans="13:40" ht="20">
      <c r="M25" s="17" t="s">
        <v>4436</v>
      </c>
      <c r="N25" s="16" t="s">
        <v>150</v>
      </c>
      <c r="O25" s="16"/>
      <c r="P25" s="16"/>
      <c r="Q25" s="16"/>
      <c r="R25" s="16"/>
      <c r="S25" s="16"/>
      <c r="T25" s="16"/>
      <c r="U25" s="16"/>
      <c r="V25" s="16"/>
      <c r="W25" s="17" t="s">
        <v>4436</v>
      </c>
      <c r="X25" s="16">
        <v>19.600000000000001</v>
      </c>
      <c r="Y25" s="16">
        <v>3.01</v>
      </c>
      <c r="Z25" s="17">
        <v>2.29</v>
      </c>
      <c r="AA25" s="16">
        <v>48.7</v>
      </c>
      <c r="AB25" s="16">
        <v>4846</v>
      </c>
      <c r="AC25" s="37" t="s">
        <v>4436</v>
      </c>
      <c r="AD25" s="16" t="s">
        <v>3708</v>
      </c>
      <c r="AE25" s="16" t="s">
        <v>3708</v>
      </c>
      <c r="AF25" s="17">
        <f t="shared" si="0"/>
        <v>146.58699999999999</v>
      </c>
      <c r="AG25" s="17">
        <f t="shared" si="1"/>
        <v>120.93833333333335</v>
      </c>
      <c r="AH25" s="17">
        <f t="shared" si="2"/>
        <v>0.58363194036647759</v>
      </c>
      <c r="AI25" s="17">
        <f t="shared" si="3"/>
        <v>0.34062624181593965</v>
      </c>
      <c r="AJ25" s="17">
        <f t="shared" si="4"/>
        <v>0.34900356241385877</v>
      </c>
      <c r="AK25" s="17">
        <f t="shared" si="5"/>
        <v>0.12180348657756421</v>
      </c>
      <c r="AL25" s="17">
        <f t="shared" si="6"/>
        <v>0.55765562659718027</v>
      </c>
      <c r="AM25" s="17">
        <f t="shared" si="7"/>
        <v>0.31097979787549374</v>
      </c>
      <c r="AN25" s="17" t="s">
        <v>4436</v>
      </c>
    </row>
    <row r="26" spans="13:40" ht="20">
      <c r="M26" s="16" t="s">
        <v>4787</v>
      </c>
      <c r="N26" s="16" t="s">
        <v>150</v>
      </c>
      <c r="O26" s="26"/>
      <c r="P26" s="26"/>
      <c r="Q26" s="26"/>
      <c r="R26" s="26"/>
      <c r="S26" s="26"/>
      <c r="T26" s="26"/>
      <c r="U26" s="26"/>
      <c r="V26" s="26"/>
      <c r="W26" s="16" t="s">
        <v>4787</v>
      </c>
      <c r="X26" s="26">
        <v>5.77</v>
      </c>
      <c r="Y26" s="26">
        <v>5.05</v>
      </c>
      <c r="Z26" s="27">
        <v>5.08</v>
      </c>
      <c r="AA26" s="26">
        <v>45.4</v>
      </c>
      <c r="AB26" s="26">
        <v>11406</v>
      </c>
      <c r="AC26" s="36" t="s">
        <v>4787</v>
      </c>
      <c r="AD26" s="16" t="s">
        <v>3708</v>
      </c>
      <c r="AE26" s="16" t="s">
        <v>3708</v>
      </c>
      <c r="AF26" s="17">
        <f t="shared" si="0"/>
        <v>229.26999999999998</v>
      </c>
      <c r="AG26" s="17">
        <f t="shared" si="1"/>
        <v>233.05333333333334</v>
      </c>
      <c r="AH26" s="17">
        <f t="shared" si="2"/>
        <v>0.5440839854751145</v>
      </c>
      <c r="AI26" s="17">
        <f t="shared" si="3"/>
        <v>0.29602738325048461</v>
      </c>
      <c r="AJ26" s="17">
        <f t="shared" si="4"/>
        <v>0.54586045662047378</v>
      </c>
      <c r="AK26" s="17">
        <f t="shared" si="5"/>
        <v>0.29796363810191212</v>
      </c>
      <c r="AL26" s="17">
        <f t="shared" si="6"/>
        <v>1.0746262086509226</v>
      </c>
      <c r="AM26" s="17">
        <f t="shared" si="7"/>
        <v>1.1548214883194563</v>
      </c>
      <c r="AN26" s="16" t="s">
        <v>4787</v>
      </c>
    </row>
    <row r="27" spans="13:40" ht="20">
      <c r="M27" s="16" t="s">
        <v>4434</v>
      </c>
      <c r="N27" s="16" t="s">
        <v>150</v>
      </c>
      <c r="O27" s="16"/>
      <c r="P27" s="16"/>
      <c r="Q27" s="16"/>
      <c r="R27" s="16"/>
      <c r="S27" s="16"/>
      <c r="T27" s="16"/>
      <c r="U27" s="16"/>
      <c r="V27" s="16"/>
      <c r="W27" s="16" t="s">
        <v>4434</v>
      </c>
      <c r="X27" s="16">
        <v>18.079999999999998</v>
      </c>
      <c r="Y27" s="16">
        <v>5.67</v>
      </c>
      <c r="Z27" s="17">
        <v>3.33</v>
      </c>
      <c r="AA27" s="16">
        <v>13.9</v>
      </c>
      <c r="AB27" s="16">
        <v>6017</v>
      </c>
      <c r="AC27" s="36" t="s">
        <v>4434</v>
      </c>
      <c r="AD27" s="16" t="s">
        <v>3708</v>
      </c>
      <c r="AE27" s="16" t="s">
        <v>3708</v>
      </c>
      <c r="AF27" s="17">
        <f t="shared" si="0"/>
        <v>78.813000000000002</v>
      </c>
      <c r="AG27" s="17">
        <f t="shared" si="1"/>
        <v>49.344999999999999</v>
      </c>
      <c r="AH27" s="17">
        <f t="shared" si="2"/>
        <v>0.16658077969392274</v>
      </c>
      <c r="AI27" s="17">
        <f t="shared" si="3"/>
        <v>2.7749156163435221E-2</v>
      </c>
      <c r="AJ27" s="17">
        <f t="shared" si="4"/>
        <v>0.18764295445382914</v>
      </c>
      <c r="AK27" s="17">
        <f t="shared" si="5"/>
        <v>3.5209878356161795E-2</v>
      </c>
      <c r="AL27" s="17">
        <f t="shared" si="6"/>
        <v>0.22753345557188528</v>
      </c>
      <c r="AM27" s="17">
        <f t="shared" si="7"/>
        <v>5.1771473404483091E-2</v>
      </c>
      <c r="AN27" s="16" t="s">
        <v>4434</v>
      </c>
    </row>
    <row r="28" spans="13:40" ht="20">
      <c r="M28" s="16" t="s">
        <v>1085</v>
      </c>
      <c r="N28" s="16" t="s">
        <v>150</v>
      </c>
      <c r="O28" s="16"/>
      <c r="P28" s="16"/>
      <c r="Q28" s="16"/>
      <c r="R28" s="16"/>
      <c r="S28" s="16"/>
      <c r="T28" s="16"/>
      <c r="U28" s="16"/>
      <c r="V28" s="16"/>
      <c r="W28" s="16" t="s">
        <v>1085</v>
      </c>
      <c r="X28" s="16">
        <v>21.28</v>
      </c>
      <c r="Y28" s="16">
        <v>4.72</v>
      </c>
      <c r="Z28" s="17">
        <v>6.39</v>
      </c>
      <c r="AA28" s="16">
        <v>6.6</v>
      </c>
      <c r="AB28" s="16">
        <v>12077</v>
      </c>
      <c r="AC28" s="36" t="s">
        <v>1085</v>
      </c>
      <c r="AD28" s="16" t="s">
        <v>3708</v>
      </c>
      <c r="AE28" s="16" t="s">
        <v>3708</v>
      </c>
      <c r="AF28" s="17">
        <f t="shared" si="0"/>
        <v>31.151999999999997</v>
      </c>
      <c r="AG28" s="17">
        <f t="shared" si="1"/>
        <v>43.89</v>
      </c>
      <c r="AH28" s="17">
        <f t="shared" si="2"/>
        <v>7.9095909782725904E-2</v>
      </c>
      <c r="AI28" s="17">
        <f t="shared" si="3"/>
        <v>6.2561629443571151E-3</v>
      </c>
      <c r="AJ28" s="17">
        <f t="shared" si="4"/>
        <v>7.416864371544904E-2</v>
      </c>
      <c r="AK28" s="17">
        <f t="shared" si="5"/>
        <v>5.5009877105892183E-3</v>
      </c>
      <c r="AL28" s="17">
        <f t="shared" si="6"/>
        <v>0.20238004590232131</v>
      </c>
      <c r="AM28" s="17">
        <f t="shared" si="7"/>
        <v>4.0957682979425682E-2</v>
      </c>
      <c r="AN28" s="16" t="s">
        <v>1085</v>
      </c>
    </row>
    <row r="29" spans="13:40" ht="20">
      <c r="M29" s="16" t="s">
        <v>4786</v>
      </c>
      <c r="N29" s="16" t="s">
        <v>150</v>
      </c>
      <c r="O29" s="16"/>
      <c r="P29" s="16"/>
      <c r="Q29" s="16"/>
      <c r="R29" s="16"/>
      <c r="S29" s="16"/>
      <c r="T29" s="16"/>
      <c r="U29" s="16"/>
      <c r="V29" s="16"/>
      <c r="W29" s="16" t="s">
        <v>4786</v>
      </c>
      <c r="X29" s="16">
        <v>16.03</v>
      </c>
      <c r="Y29" s="16">
        <v>4.7300000000000004</v>
      </c>
      <c r="Z29" s="17">
        <v>2.2999999999999998</v>
      </c>
      <c r="AA29" s="16">
        <v>2.6</v>
      </c>
      <c r="AB29" s="16">
        <v>26474</v>
      </c>
      <c r="AC29" s="36" t="s">
        <v>4786</v>
      </c>
      <c r="AD29" s="16" t="s">
        <v>3708</v>
      </c>
      <c r="AE29" s="16" t="s">
        <v>3708</v>
      </c>
      <c r="AF29" s="17">
        <f t="shared" si="0"/>
        <v>12.298000000000002</v>
      </c>
      <c r="AG29" s="17">
        <f t="shared" si="1"/>
        <v>5.2130000000000001</v>
      </c>
      <c r="AH29" s="17">
        <f t="shared" si="2"/>
        <v>3.1158994762892023E-2</v>
      </c>
      <c r="AI29" s="17">
        <f t="shared" si="3"/>
        <v>9.7088295463393251E-4</v>
      </c>
      <c r="AJ29" s="17">
        <f t="shared" si="4"/>
        <v>2.9279852992186457E-2</v>
      </c>
      <c r="AK29" s="17">
        <f t="shared" si="5"/>
        <v>8.5730979124405021E-4</v>
      </c>
      <c r="AL29" s="17">
        <f t="shared" si="6"/>
        <v>2.4037529717220348E-2</v>
      </c>
      <c r="AM29" s="17">
        <f t="shared" si="7"/>
        <v>5.7780283490625132E-4</v>
      </c>
      <c r="AN29" s="16" t="s">
        <v>4786</v>
      </c>
    </row>
    <row r="30" spans="13:40" ht="15.5"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1"/>
      <c r="AA30" s="50">
        <f>SUBTOTAL(109,Table13657[ترافیک کل])</f>
        <v>8344.3000000000029</v>
      </c>
      <c r="AB30" s="50"/>
      <c r="AC30" s="52"/>
      <c r="AD30" s="50"/>
      <c r="AE30" s="50"/>
      <c r="AF30" s="51">
        <f>SUBTOTAL(109,Table13657[[مجموع صفحات  مشاهده شده   ]])</f>
        <v>42001.577000000012</v>
      </c>
      <c r="AG30" s="51">
        <f>SUBTOTAL(109,Table13657[[مجموع زمان حضور در سایت ]])</f>
        <v>21686.920666666661</v>
      </c>
      <c r="AH30" s="51">
        <f>SUBTOTAL(109,Table13657[سهم سایت از کل ترافیک طبقه بندی])</f>
        <v>99.999999999999972</v>
      </c>
      <c r="AI30" s="51">
        <f>SUBTOTAL(109,Table13657[شاخص هرفیندال هیرشمن (ترافیک)])</f>
        <v>912.00192954542229</v>
      </c>
      <c r="AJ30" s="51">
        <f>SUBTOTAL(109,Table13657[سهم سایت از کل صفحات مشاهده شده در طبقه بندی])</f>
        <v>99.999999999999972</v>
      </c>
      <c r="AK30" s="51">
        <f>SUBTOTAL(109,Table13657[شاخص هرفیندال -هیرشمن (صفحات مشاهده شده )])</f>
        <v>1603.4588624049973</v>
      </c>
      <c r="AL30" s="51">
        <f>SUBTOTAL(109,Table13657[سهم سایت از کل زمان حضور در طبقه بندی])</f>
        <v>100.00000000000004</v>
      </c>
      <c r="AM30" s="51">
        <f>SUBTOTAL(109,Table13657[شاخص هرفیندال هیرشمن (زمان حضور)])</f>
        <v>1994.8720617454665</v>
      </c>
      <c r="AN30" s="51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{64D4C785-2105-46E9-8ABA-EEAC1A33A72C}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{22DFF3A4-0FE1-48B0-A46F-0156D716E4D6}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{F5C2CF8D-56F0-4536-B314-A2AE51A79EFA}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{1EABF8A5-9544-466A-89F7-B542E55A4C5B}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{6D65CEF6-CD4C-4C6D-A427-0B5E5814DC4F}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{48E6DD95-0069-476E-B8CE-7657D521EEFB}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D4C785-2105-46E9-8ABA-EEAC1A33A72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2DFF3A4-0FE1-48B0-A46F-0156D716E4D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5C2CF8D-56F0-4536-B314-A2AE51A79EF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EABF8A5-9544-466A-89F7-B542E55A4C5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D65CEF6-CD4C-4C6D-A427-0B5E5814DC4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48E6DD95-0069-476E-B8CE-7657D521EEF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4"/>
  <sheetViews>
    <sheetView showGridLines="0" rightToLeft="1" topLeftCell="Z1" zoomScale="70" zoomScaleNormal="70" workbookViewId="0">
      <selection activeCell="AC14" sqref="AC14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7.33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2" customHeight="1">
      <c r="M2" s="8" t="s">
        <v>3903</v>
      </c>
      <c r="N2" s="8"/>
      <c r="O2" s="8"/>
      <c r="P2" s="8"/>
      <c r="Q2" s="8"/>
      <c r="R2" s="8"/>
      <c r="S2" s="8"/>
      <c r="T2" s="8"/>
      <c r="U2" s="8"/>
      <c r="V2" s="8"/>
      <c r="W2" s="8" t="s">
        <v>3903</v>
      </c>
      <c r="X2" s="8">
        <v>50.22</v>
      </c>
      <c r="Y2" s="8">
        <v>2.62</v>
      </c>
      <c r="Z2" s="9">
        <v>4.0999999999999996</v>
      </c>
      <c r="AA2" s="8">
        <v>2388.1999999999998</v>
      </c>
      <c r="AB2" s="8">
        <v>304</v>
      </c>
      <c r="AC2" s="21" t="s">
        <v>3903</v>
      </c>
      <c r="AD2" s="8" t="s">
        <v>4051</v>
      </c>
      <c r="AE2" s="8" t="s">
        <v>3722</v>
      </c>
      <c r="AF2" s="9">
        <f t="shared" ref="AF2:AF13" si="0">(AA2*Y2)</f>
        <v>6257.0839999999998</v>
      </c>
      <c r="AG2" s="9">
        <f t="shared" ref="AG2:AG13" si="1">((((RIGHT(Z2,2))/60)+(LEFT(Z2,2)))*AA2)</f>
        <v>9556.7803333333341</v>
      </c>
      <c r="AH2" s="9">
        <f t="shared" ref="AH2:AH13" si="2">(AA2/$AA$14)*100</f>
        <v>24.073626063465181</v>
      </c>
      <c r="AI2" s="9">
        <f t="shared" ref="AI2:AI13" si="3">(AH2*AH2)</f>
        <v>579.53947184355002</v>
      </c>
      <c r="AJ2" s="9">
        <f t="shared" ref="AJ2:AJ13" si="4">(AF2/$AF$14)*100</f>
        <v>29.331093631028608</v>
      </c>
      <c r="AK2" s="9">
        <f t="shared" ref="AK2:AK13" si="5">(AJ2*AJ2)</f>
        <v>860.31305359216697</v>
      </c>
      <c r="AL2" s="9">
        <f t="shared" ref="AL2:AL13" si="6">(AG2/$AG$14)*100</f>
        <v>31.603862389182357</v>
      </c>
      <c r="AM2" s="9">
        <f t="shared" ref="AM2:AM13" si="7">(AL2*AL2)</f>
        <v>998.80411791437518</v>
      </c>
      <c r="AN2" s="8" t="s">
        <v>3903</v>
      </c>
    </row>
    <row r="3" spans="8:40" ht="22" customHeight="1">
      <c r="M3" s="8" t="s">
        <v>162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162</v>
      </c>
      <c r="X3" s="8">
        <v>62.61</v>
      </c>
      <c r="Y3" s="8">
        <v>2.4</v>
      </c>
      <c r="Z3" s="9">
        <v>6.19</v>
      </c>
      <c r="AA3" s="8">
        <v>1694.5</v>
      </c>
      <c r="AB3" s="8">
        <v>300</v>
      </c>
      <c r="AC3" s="21" t="s">
        <v>162</v>
      </c>
      <c r="AD3" s="8" t="s">
        <v>4051</v>
      </c>
      <c r="AE3" s="8" t="s">
        <v>3722</v>
      </c>
      <c r="AF3" s="9">
        <f t="shared" si="0"/>
        <v>4066.7999999999997</v>
      </c>
      <c r="AG3" s="9">
        <f t="shared" si="1"/>
        <v>10703.591666666667</v>
      </c>
      <c r="AH3" s="9">
        <f t="shared" si="2"/>
        <v>17.080964477238822</v>
      </c>
      <c r="AI3" s="9">
        <f t="shared" si="3"/>
        <v>291.75934747269451</v>
      </c>
      <c r="AJ3" s="9">
        <f t="shared" si="4"/>
        <v>19.063782998385054</v>
      </c>
      <c r="AK3" s="9">
        <f t="shared" si="5"/>
        <v>363.42782220951506</v>
      </c>
      <c r="AL3" s="9">
        <f t="shared" si="6"/>
        <v>35.396318247836575</v>
      </c>
      <c r="AM3" s="9">
        <f t="shared" si="7"/>
        <v>1252.8993455021284</v>
      </c>
      <c r="AN3" s="8" t="s">
        <v>162</v>
      </c>
    </row>
    <row r="4" spans="8:40" ht="23">
      <c r="M4" s="8" t="s">
        <v>3935</v>
      </c>
      <c r="N4" s="8"/>
      <c r="O4" s="8"/>
      <c r="P4" s="8"/>
      <c r="Q4" s="8"/>
      <c r="R4" s="8"/>
      <c r="S4" s="8"/>
      <c r="T4" s="8"/>
      <c r="U4" s="8"/>
      <c r="V4" s="8"/>
      <c r="W4" s="8" t="s">
        <v>3935</v>
      </c>
      <c r="X4" s="8">
        <v>62.07</v>
      </c>
      <c r="Y4" s="8">
        <v>1.81</v>
      </c>
      <c r="Z4" s="9">
        <v>2.31</v>
      </c>
      <c r="AA4" s="8">
        <v>1593.9</v>
      </c>
      <c r="AB4" s="8">
        <v>577</v>
      </c>
      <c r="AC4" s="21" t="s">
        <v>3935</v>
      </c>
      <c r="AD4" s="8" t="s">
        <v>4051</v>
      </c>
      <c r="AE4" s="8" t="s">
        <v>3722</v>
      </c>
      <c r="AF4" s="9">
        <f t="shared" si="0"/>
        <v>2884.9590000000003</v>
      </c>
      <c r="AG4" s="9">
        <f t="shared" si="1"/>
        <v>4011.3150000000001</v>
      </c>
      <c r="AH4" s="9">
        <f t="shared" si="2"/>
        <v>16.066892464013549</v>
      </c>
      <c r="AI4" s="9">
        <f t="shared" si="3"/>
        <v>258.14503345017533</v>
      </c>
      <c r="AJ4" s="9">
        <f t="shared" si="4"/>
        <v>13.523712091875172</v>
      </c>
      <c r="AK4" s="9">
        <f t="shared" si="5"/>
        <v>182.89078874393076</v>
      </c>
      <c r="AL4" s="9">
        <f t="shared" si="6"/>
        <v>13.265246540980765</v>
      </c>
      <c r="AM4" s="9">
        <f t="shared" si="7"/>
        <v>175.96676579300217</v>
      </c>
      <c r="AN4" s="8" t="s">
        <v>3935</v>
      </c>
    </row>
    <row r="5" spans="8:40" ht="21.5" customHeight="1">
      <c r="M5" s="8" t="s">
        <v>4456</v>
      </c>
      <c r="N5" s="8"/>
      <c r="O5" s="8"/>
      <c r="P5" s="8" t="s">
        <v>3704</v>
      </c>
      <c r="Q5" s="8"/>
      <c r="R5" s="8"/>
      <c r="S5" s="8"/>
      <c r="T5" s="8"/>
      <c r="U5" s="8"/>
      <c r="V5" s="8"/>
      <c r="W5" s="8" t="s">
        <v>4456</v>
      </c>
      <c r="X5" s="8">
        <v>61.7</v>
      </c>
      <c r="Y5" s="8">
        <v>1.46</v>
      </c>
      <c r="Z5" s="9">
        <v>1.4</v>
      </c>
      <c r="AA5" s="8">
        <v>1010.4</v>
      </c>
      <c r="AB5" s="8">
        <v>1752</v>
      </c>
      <c r="AC5" s="21" t="s">
        <v>4456</v>
      </c>
      <c r="AD5" s="8" t="s">
        <v>4051</v>
      </c>
      <c r="AE5" s="8" t="s">
        <v>3722</v>
      </c>
      <c r="AF5" s="9">
        <f t="shared" si="0"/>
        <v>1475.184</v>
      </c>
      <c r="AG5" s="9">
        <f t="shared" si="1"/>
        <v>1017.1359999999999</v>
      </c>
      <c r="AH5" s="9">
        <f t="shared" si="2"/>
        <v>10.185073182532962</v>
      </c>
      <c r="AI5" s="9">
        <f t="shared" si="3"/>
        <v>103.73571573355213</v>
      </c>
      <c r="AJ5" s="9">
        <f t="shared" si="4"/>
        <v>6.9151636811964341</v>
      </c>
      <c r="AK5" s="9">
        <f t="shared" si="5"/>
        <v>47.819488737738219</v>
      </c>
      <c r="AL5" s="9">
        <f t="shared" si="6"/>
        <v>3.3636250969338013</v>
      </c>
      <c r="AM5" s="9">
        <f t="shared" si="7"/>
        <v>11.313973792722924</v>
      </c>
      <c r="AN5" s="8" t="s">
        <v>4456</v>
      </c>
    </row>
    <row r="6" spans="8:40" ht="21" customHeight="1">
      <c r="M6" s="9" t="s">
        <v>4887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9" t="s">
        <v>4887</v>
      </c>
      <c r="X6" s="8">
        <v>61.57</v>
      </c>
      <c r="Y6" s="8">
        <v>1.52</v>
      </c>
      <c r="Z6" s="9">
        <v>1.41</v>
      </c>
      <c r="AA6" s="8">
        <v>848.4</v>
      </c>
      <c r="AB6" s="8">
        <v>1803</v>
      </c>
      <c r="AC6" s="22" t="s">
        <v>4887</v>
      </c>
      <c r="AD6" s="8" t="s">
        <v>4051</v>
      </c>
      <c r="AE6" s="8" t="s">
        <v>3722</v>
      </c>
      <c r="AF6" s="9">
        <f t="shared" si="0"/>
        <v>1289.568</v>
      </c>
      <c r="AG6" s="9">
        <f t="shared" si="1"/>
        <v>1428.1399999999999</v>
      </c>
      <c r="AH6" s="9">
        <f t="shared" si="2"/>
        <v>8.5520745131244702</v>
      </c>
      <c r="AI6" s="9">
        <f t="shared" si="3"/>
        <v>73.137978478033148</v>
      </c>
      <c r="AJ6" s="9">
        <f t="shared" si="4"/>
        <v>6.0450586489774318</v>
      </c>
      <c r="AK6" s="9">
        <f t="shared" si="5"/>
        <v>36.542734069576852</v>
      </c>
      <c r="AL6" s="9">
        <f t="shared" si="6"/>
        <v>4.7227976848081665</v>
      </c>
      <c r="AM6" s="9">
        <f t="shared" si="7"/>
        <v>22.30481797162938</v>
      </c>
      <c r="AN6" s="9" t="s">
        <v>4887</v>
      </c>
    </row>
    <row r="7" spans="8:40" ht="23">
      <c r="M7" s="8" t="s">
        <v>4458</v>
      </c>
      <c r="N7" s="8"/>
      <c r="O7" s="8"/>
      <c r="P7" s="8"/>
      <c r="Q7" s="8"/>
      <c r="R7" s="8"/>
      <c r="S7" s="8"/>
      <c r="T7" s="8"/>
      <c r="U7" s="8"/>
      <c r="V7" s="8"/>
      <c r="W7" s="8" t="s">
        <v>4458</v>
      </c>
      <c r="X7" s="8">
        <v>57.38</v>
      </c>
      <c r="Y7" s="8">
        <v>3.15</v>
      </c>
      <c r="Z7" s="9">
        <v>1.1499999999999999</v>
      </c>
      <c r="AA7" s="8">
        <v>842.5</v>
      </c>
      <c r="AB7" s="8">
        <v>885</v>
      </c>
      <c r="AC7" s="21" t="s">
        <v>4458</v>
      </c>
      <c r="AD7" s="8" t="s">
        <v>4051</v>
      </c>
      <c r="AE7" s="8" t="s">
        <v>3722</v>
      </c>
      <c r="AF7" s="9">
        <f t="shared" si="0"/>
        <v>2653.875</v>
      </c>
      <c r="AG7" s="9">
        <f t="shared" si="1"/>
        <v>1053.125</v>
      </c>
      <c r="AH7" s="9">
        <f t="shared" si="2"/>
        <v>8.4926011047941614</v>
      </c>
      <c r="AI7" s="9">
        <f t="shared" si="3"/>
        <v>72.124273525151011</v>
      </c>
      <c r="AJ7" s="9">
        <f t="shared" si="4"/>
        <v>12.440468453043952</v>
      </c>
      <c r="AK7" s="9">
        <f t="shared" si="5"/>
        <v>154.76525533118178</v>
      </c>
      <c r="AL7" s="9">
        <f t="shared" si="6"/>
        <v>3.4826391753004606</v>
      </c>
      <c r="AM7" s="9">
        <f t="shared" si="7"/>
        <v>12.128775625337473</v>
      </c>
      <c r="AN7" s="8" t="s">
        <v>4458</v>
      </c>
    </row>
    <row r="8" spans="8:40" ht="23">
      <c r="M8" s="8" t="s">
        <v>1344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1344</v>
      </c>
      <c r="X8" s="8">
        <v>53.85</v>
      </c>
      <c r="Y8" s="8">
        <v>1.64</v>
      </c>
      <c r="Z8" s="9">
        <v>2.12</v>
      </c>
      <c r="AA8" s="8">
        <v>751.7</v>
      </c>
      <c r="AB8" s="8">
        <v>1572</v>
      </c>
      <c r="AC8" s="21" t="s">
        <v>1344</v>
      </c>
      <c r="AD8" s="8" t="s">
        <v>4051</v>
      </c>
      <c r="AE8" s="8" t="s">
        <v>3722</v>
      </c>
      <c r="AF8" s="9">
        <f t="shared" si="0"/>
        <v>1232.788</v>
      </c>
      <c r="AG8" s="9">
        <f t="shared" si="1"/>
        <v>1653.7400000000002</v>
      </c>
      <c r="AH8" s="9">
        <f t="shared" si="2"/>
        <v>7.5773154308294028</v>
      </c>
      <c r="AI8" s="9">
        <f t="shared" si="3"/>
        <v>57.415709138285379</v>
      </c>
      <c r="AJ8" s="9">
        <f t="shared" si="4"/>
        <v>5.7788932121110248</v>
      </c>
      <c r="AK8" s="9">
        <f t="shared" si="5"/>
        <v>33.395606756982879</v>
      </c>
      <c r="AL8" s="9">
        <f t="shared" si="6"/>
        <v>5.4688472021473098</v>
      </c>
      <c r="AM8" s="9">
        <f t="shared" si="7"/>
        <v>29.908289720434457</v>
      </c>
      <c r="AN8" s="8" t="s">
        <v>1344</v>
      </c>
    </row>
    <row r="9" spans="8:40" ht="23">
      <c r="M9" s="8" t="s">
        <v>3991</v>
      </c>
      <c r="N9" s="8"/>
      <c r="O9" s="8"/>
      <c r="P9" s="8"/>
      <c r="Q9" s="8"/>
      <c r="R9" s="8"/>
      <c r="S9" s="8"/>
      <c r="T9" s="8"/>
      <c r="U9" s="8"/>
      <c r="V9" s="8"/>
      <c r="W9" s="8" t="s">
        <v>3991</v>
      </c>
      <c r="X9" s="8">
        <v>47.62</v>
      </c>
      <c r="Y9" s="8">
        <v>2.09</v>
      </c>
      <c r="Z9" s="9">
        <v>1.41</v>
      </c>
      <c r="AA9" s="8">
        <v>360.2</v>
      </c>
      <c r="AB9" s="8">
        <v>1582</v>
      </c>
      <c r="AC9" s="21" t="s">
        <v>3991</v>
      </c>
      <c r="AD9" s="8" t="s">
        <v>4051</v>
      </c>
      <c r="AE9" s="8" t="s">
        <v>3722</v>
      </c>
      <c r="AF9" s="9">
        <f t="shared" si="0"/>
        <v>752.81799999999987</v>
      </c>
      <c r="AG9" s="9">
        <f t="shared" si="1"/>
        <v>606.3366666666667</v>
      </c>
      <c r="AH9" s="9">
        <f t="shared" si="2"/>
        <v>3.6309019797588804</v>
      </c>
      <c r="AI9" s="9">
        <f t="shared" si="3"/>
        <v>13.183449186616958</v>
      </c>
      <c r="AJ9" s="9">
        <f t="shared" si="4"/>
        <v>3.5289561791281199</v>
      </c>
      <c r="AK9" s="9">
        <f t="shared" si="5"/>
        <v>12.453531714206539</v>
      </c>
      <c r="AL9" s="9">
        <f t="shared" si="6"/>
        <v>2.0051293329418929</v>
      </c>
      <c r="AM9" s="9">
        <f t="shared" si="7"/>
        <v>4.0205436418240001</v>
      </c>
      <c r="AN9" s="8" t="s">
        <v>3991</v>
      </c>
    </row>
    <row r="10" spans="8:40" ht="23">
      <c r="M10" s="8" t="s">
        <v>4457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4457</v>
      </c>
      <c r="X10" s="8">
        <v>40.299999999999997</v>
      </c>
      <c r="Y10" s="8">
        <v>1.19</v>
      </c>
      <c r="Z10" s="9">
        <v>0.17</v>
      </c>
      <c r="AA10" s="8">
        <v>213.8</v>
      </c>
      <c r="AB10" s="8">
        <v>8699</v>
      </c>
      <c r="AC10" s="21" t="s">
        <v>4457</v>
      </c>
      <c r="AD10" s="8" t="s">
        <v>4051</v>
      </c>
      <c r="AE10" s="8" t="s">
        <v>3722</v>
      </c>
      <c r="AF10" s="9">
        <f t="shared" si="0"/>
        <v>254.422</v>
      </c>
      <c r="AG10" s="9">
        <f t="shared" si="1"/>
        <v>60.576666666666668</v>
      </c>
      <c r="AH10" s="9">
        <f t="shared" si="2"/>
        <v>2.1551550340712069</v>
      </c>
      <c r="AI10" s="9">
        <f t="shared" si="3"/>
        <v>4.6446932208824654</v>
      </c>
      <c r="AJ10" s="9">
        <f t="shared" si="4"/>
        <v>1.1926442898630674</v>
      </c>
      <c r="AK10" s="9">
        <f t="shared" si="5"/>
        <v>1.4224004021429804</v>
      </c>
      <c r="AL10" s="9">
        <f t="shared" si="6"/>
        <v>0.20032443674060627</v>
      </c>
      <c r="AM10" s="9">
        <f t="shared" si="7"/>
        <v>4.0129879955441164E-2</v>
      </c>
      <c r="AN10" s="8" t="s">
        <v>4457</v>
      </c>
    </row>
    <row r="11" spans="8:40" ht="23">
      <c r="M11" s="8" t="s">
        <v>4459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4459</v>
      </c>
      <c r="X11" s="8">
        <v>31.52</v>
      </c>
      <c r="Y11" s="8">
        <v>2.13</v>
      </c>
      <c r="Z11" s="9">
        <v>0.49</v>
      </c>
      <c r="AA11" s="8">
        <v>143.30000000000001</v>
      </c>
      <c r="AB11" s="8">
        <v>5035</v>
      </c>
      <c r="AC11" s="21" t="s">
        <v>4459</v>
      </c>
      <c r="AD11" s="8" t="s">
        <v>4051</v>
      </c>
      <c r="AE11" s="8" t="s">
        <v>3722</v>
      </c>
      <c r="AF11" s="9">
        <f t="shared" si="0"/>
        <v>305.22899999999998</v>
      </c>
      <c r="AG11" s="9">
        <f t="shared" si="1"/>
        <v>117.02833333333334</v>
      </c>
      <c r="AH11" s="9">
        <f t="shared" si="2"/>
        <v>1.4444982057175115</v>
      </c>
      <c r="AI11" s="9">
        <f t="shared" si="3"/>
        <v>2.0865750663211102</v>
      </c>
      <c r="AJ11" s="9">
        <f t="shared" si="4"/>
        <v>1.4308103228125484</v>
      </c>
      <c r="AK11" s="9">
        <f t="shared" si="5"/>
        <v>2.0472181798669489</v>
      </c>
      <c r="AL11" s="9">
        <f t="shared" si="6"/>
        <v>0.38700767552454596</v>
      </c>
      <c r="AM11" s="9">
        <f t="shared" si="7"/>
        <v>0.14977494091491225</v>
      </c>
      <c r="AN11" s="8" t="s">
        <v>4459</v>
      </c>
    </row>
    <row r="12" spans="8:40" ht="23">
      <c r="M12" s="8" t="s">
        <v>4460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4460</v>
      </c>
      <c r="X12" s="8">
        <v>22.36</v>
      </c>
      <c r="Y12" s="8">
        <v>2.1800000000000002</v>
      </c>
      <c r="Z12" s="9">
        <v>0.25</v>
      </c>
      <c r="AA12" s="8">
        <v>72</v>
      </c>
      <c r="AB12" s="8">
        <v>8598</v>
      </c>
      <c r="AC12" s="21" t="s">
        <v>4460</v>
      </c>
      <c r="AD12" s="8" t="s">
        <v>4051</v>
      </c>
      <c r="AE12" s="8" t="s">
        <v>3722</v>
      </c>
      <c r="AF12" s="9">
        <f t="shared" si="0"/>
        <v>156.96</v>
      </c>
      <c r="AG12" s="9">
        <f t="shared" si="1"/>
        <v>30</v>
      </c>
      <c r="AH12" s="9">
        <f t="shared" si="2"/>
        <v>0.72577718640377409</v>
      </c>
      <c r="AI12" s="9">
        <f t="shared" si="3"/>
        <v>0.52675252430417863</v>
      </c>
      <c r="AJ12" s="9">
        <f t="shared" si="4"/>
        <v>0.73577539574764406</v>
      </c>
      <c r="AK12" s="9">
        <f t="shared" si="5"/>
        <v>0.5413654329876022</v>
      </c>
      <c r="AL12" s="9">
        <f t="shared" si="6"/>
        <v>9.9208712412119968E-2</v>
      </c>
      <c r="AM12" s="9">
        <f t="shared" si="7"/>
        <v>9.8423686184707267E-3</v>
      </c>
      <c r="AN12" s="8" t="s">
        <v>4460</v>
      </c>
    </row>
    <row r="13" spans="8:40" ht="23">
      <c r="M13" s="9" t="s">
        <v>2344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9" t="s">
        <v>2344</v>
      </c>
      <c r="X13" s="8">
        <v>52.26</v>
      </c>
      <c r="Y13" s="8">
        <v>1.94</v>
      </c>
      <c r="Z13" s="9">
        <v>1.4</v>
      </c>
      <c r="AA13" s="8">
        <v>1.5</v>
      </c>
      <c r="AB13" s="8">
        <v>52404</v>
      </c>
      <c r="AC13" s="22" t="s">
        <v>2344</v>
      </c>
      <c r="AD13" s="8" t="s">
        <v>4051</v>
      </c>
      <c r="AE13" s="8" t="s">
        <v>3722</v>
      </c>
      <c r="AF13" s="9">
        <f t="shared" si="0"/>
        <v>2.91</v>
      </c>
      <c r="AG13" s="9">
        <f t="shared" si="1"/>
        <v>1.5099999999999998</v>
      </c>
      <c r="AH13" s="9">
        <f t="shared" si="2"/>
        <v>1.5120358050078626E-2</v>
      </c>
      <c r="AI13" s="9">
        <f t="shared" si="3"/>
        <v>2.2862522756257749E-4</v>
      </c>
      <c r="AJ13" s="9">
        <f t="shared" si="4"/>
        <v>1.3641095830948293E-2</v>
      </c>
      <c r="AK13" s="9">
        <f t="shared" si="5"/>
        <v>1.8607949546911492E-4</v>
      </c>
      <c r="AL13" s="9">
        <f t="shared" si="6"/>
        <v>4.9935051914100376E-3</v>
      </c>
      <c r="AM13" s="9">
        <f t="shared" si="7"/>
        <v>2.4935094096638997E-5</v>
      </c>
      <c r="AN13" s="9" t="s">
        <v>2344</v>
      </c>
    </row>
    <row r="14" spans="8:40" ht="23"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9"/>
      <c r="AA14" s="8">
        <f>SUBTOTAL(109,Table136646566[ترافیک کل])</f>
        <v>9920.4</v>
      </c>
      <c r="AB14" s="8"/>
      <c r="AC14" s="21"/>
      <c r="AD14" s="8"/>
      <c r="AE14" s="8"/>
      <c r="AF14" s="9">
        <f>SUBTOTAL(109,Table136646566[[مجموع صفحات  مشاهده شده   ]])</f>
        <v>21332.596999999998</v>
      </c>
      <c r="AG14" s="9">
        <f>SUBTOTAL(109,Table136646566[[مجموع زمان حضور در سایت ]])</f>
        <v>30239.279666666665</v>
      </c>
      <c r="AH14" s="9">
        <f>SUBTOTAL(109,Table136646566[سهم سایت از کل ترافیک طبقه بندی])</f>
        <v>99.999999999999986</v>
      </c>
      <c r="AI14" s="9">
        <f>SUBTOTAL(109,Table136646566[شاخص هرفیندال هیرشمن (ترافیک)])</f>
        <v>1456.2992282647938</v>
      </c>
      <c r="AJ14" s="9">
        <f>SUBTOTAL(109,Table136646566[سهم سایت از کل صفحات مشاهده شده در طبقه بندی])</f>
        <v>99.999999999999986</v>
      </c>
      <c r="AK14" s="9">
        <f>SUBTOTAL(109,Table136646566[شاخص هرفیندال -هیرشمن (صفحات مشاهده شده )])</f>
        <v>1695.6194512497923</v>
      </c>
      <c r="AL14" s="9">
        <f>SUBTOTAL(109,Table136646566[سهم سایت از کل زمان حضور در طبقه بندی])</f>
        <v>100.00000000000001</v>
      </c>
      <c r="AM14" s="9">
        <f>SUBTOTAL(109,Table136646566[شاخص هرفیندال هیرشمن (زمان حضور)])</f>
        <v>2507.5464020860377</v>
      </c>
      <c r="AN14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{84DAA2D2-855E-4BE4-A406-BA9F147EDD43}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{E91793E6-3E36-424C-B4B0-58788016AA93}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{3D16C4E7-05C9-4BF4-8D4F-431E83314AD1}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{8A77B924-64FE-46B7-9ED8-D2A055999E3A}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{9F62B0CE-2524-4BF9-8A98-3F5D891389DE}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{84ED8638-136A-42B2-92C0-097443550B57}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4DAA2D2-855E-4BE4-A406-BA9F147EDD4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91793E6-3E36-424C-B4B0-58788016AA9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D16C4E7-05C9-4BF4-8D4F-431E83314A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A77B924-64FE-46B7-9ED8-D2A055999E3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9F62B0CE-2524-4BF9-8A98-3F5D891389D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84ED8638-136A-42B2-92C0-097443550B5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46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5.83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8" t="s">
        <v>1263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1263</v>
      </c>
      <c r="X2" s="8">
        <v>48.77</v>
      </c>
      <c r="Y2" s="8">
        <v>1.33</v>
      </c>
      <c r="Z2" s="9">
        <v>0.16</v>
      </c>
      <c r="AA2" s="8">
        <v>377.9</v>
      </c>
      <c r="AB2" s="8">
        <v>6832</v>
      </c>
      <c r="AC2" s="21" t="s">
        <v>1263</v>
      </c>
      <c r="AD2" s="8" t="s">
        <v>4000</v>
      </c>
      <c r="AE2" s="8" t="s">
        <v>3708</v>
      </c>
      <c r="AF2" s="9">
        <f t="shared" ref="AF2:AF45" si="0">(AA2*Y2)</f>
        <v>502.60699999999997</v>
      </c>
      <c r="AG2" s="9">
        <f t="shared" ref="AG2:AG45" si="1">((((RIGHT(Z2,2))/60)+(LEFT(Z2,2)))*AA2)</f>
        <v>100.77333333333333</v>
      </c>
      <c r="AH2" s="9">
        <f t="shared" ref="AH2:AH45" si="2">(AA2/$AA$46)*100</f>
        <v>14.500594758451324</v>
      </c>
      <c r="AI2" s="9">
        <f t="shared" ref="AI2:AI45" si="3">(AH2*AH2)</f>
        <v>210.26724834882603</v>
      </c>
      <c r="AJ2" s="9">
        <f t="shared" ref="AJ2:AJ45" si="4">(AF2/$AF$46)*100</f>
        <v>5.0211322185762501</v>
      </c>
      <c r="AK2" s="9">
        <f t="shared" ref="AK2:AK45" si="5">(AJ2*AJ2)</f>
        <v>25.211768756424455</v>
      </c>
      <c r="AL2" s="9">
        <f t="shared" ref="AL2:AL45" si="6">(AG2/$AG$46)*100</f>
        <v>1.4148610675415039</v>
      </c>
      <c r="AM2" s="9">
        <f t="shared" ref="AM2:AM45" si="7">(AL2*AL2)</f>
        <v>2.0018318404446838</v>
      </c>
      <c r="AN2" s="8" t="s">
        <v>1263</v>
      </c>
    </row>
    <row r="3" spans="8:40" ht="23">
      <c r="H3" s="8"/>
      <c r="I3" s="8"/>
      <c r="J3" s="8"/>
      <c r="K3" s="8"/>
      <c r="L3" s="8"/>
      <c r="M3" s="9" t="s">
        <v>2373</v>
      </c>
      <c r="N3" s="8" t="s">
        <v>150</v>
      </c>
      <c r="O3" s="8"/>
      <c r="P3" s="8" t="s">
        <v>3691</v>
      </c>
      <c r="Q3" s="8"/>
      <c r="R3" s="8"/>
      <c r="S3" s="8"/>
      <c r="T3" s="8"/>
      <c r="U3" s="8"/>
      <c r="V3" s="8"/>
      <c r="W3" s="9" t="s">
        <v>2373</v>
      </c>
      <c r="X3" s="8">
        <v>23.18</v>
      </c>
      <c r="Y3" s="8">
        <v>7.47</v>
      </c>
      <c r="Z3" s="9">
        <v>5.08</v>
      </c>
      <c r="AA3" s="8">
        <v>360.1</v>
      </c>
      <c r="AB3" s="8">
        <v>1299</v>
      </c>
      <c r="AC3" s="22" t="s">
        <v>2373</v>
      </c>
      <c r="AD3" s="8" t="s">
        <v>4000</v>
      </c>
      <c r="AE3" s="8" t="s">
        <v>3708</v>
      </c>
      <c r="AF3" s="9">
        <f t="shared" si="0"/>
        <v>2689.9470000000001</v>
      </c>
      <c r="AG3" s="9">
        <f t="shared" si="1"/>
        <v>1848.5133333333335</v>
      </c>
      <c r="AH3" s="9">
        <f t="shared" si="2"/>
        <v>13.817581827251447</v>
      </c>
      <c r="AI3" s="9">
        <f t="shared" si="3"/>
        <v>190.92556755278943</v>
      </c>
      <c r="AJ3" s="9">
        <f t="shared" si="4"/>
        <v>26.873043049465149</v>
      </c>
      <c r="AK3" s="9">
        <f t="shared" si="5"/>
        <v>722.16044273840714</v>
      </c>
      <c r="AL3" s="9">
        <f t="shared" si="6"/>
        <v>25.953190806080023</v>
      </c>
      <c r="AM3" s="9">
        <f t="shared" si="7"/>
        <v>673.5681130167967</v>
      </c>
      <c r="AN3" s="9" t="s">
        <v>2373</v>
      </c>
    </row>
    <row r="4" spans="8:40" ht="23">
      <c r="H4" s="8"/>
      <c r="I4" s="8"/>
      <c r="J4" s="8"/>
      <c r="K4" s="8"/>
      <c r="L4" s="8"/>
      <c r="M4" s="9" t="s">
        <v>4892</v>
      </c>
      <c r="N4" s="8" t="s">
        <v>150</v>
      </c>
      <c r="O4" s="8"/>
      <c r="P4" s="8" t="s">
        <v>3693</v>
      </c>
      <c r="Q4" s="8"/>
      <c r="R4" s="8"/>
      <c r="S4" s="8"/>
      <c r="T4" s="8"/>
      <c r="U4" s="8"/>
      <c r="V4" s="8"/>
      <c r="W4" s="9" t="s">
        <v>4892</v>
      </c>
      <c r="X4" s="8">
        <v>26.45</v>
      </c>
      <c r="Y4" s="8">
        <v>12.48</v>
      </c>
      <c r="Z4" s="9">
        <v>11.43</v>
      </c>
      <c r="AA4" s="8">
        <v>238.8</v>
      </c>
      <c r="AB4" s="8">
        <v>476</v>
      </c>
      <c r="AC4" s="22" t="s">
        <v>4892</v>
      </c>
      <c r="AD4" s="8" t="s">
        <v>4000</v>
      </c>
      <c r="AE4" s="8" t="s">
        <v>3708</v>
      </c>
      <c r="AF4" s="9">
        <f t="shared" si="0"/>
        <v>2980.2240000000002</v>
      </c>
      <c r="AG4" s="9">
        <f t="shared" si="1"/>
        <v>2797.94</v>
      </c>
      <c r="AH4" s="9">
        <f t="shared" si="2"/>
        <v>9.1631173017152054</v>
      </c>
      <c r="AI4" s="9">
        <f t="shared" si="3"/>
        <v>83.962718684992552</v>
      </c>
      <c r="AJ4" s="9">
        <f t="shared" si="4"/>
        <v>29.772961269887187</v>
      </c>
      <c r="AK4" s="9">
        <f t="shared" si="5"/>
        <v>886.42922277820242</v>
      </c>
      <c r="AL4" s="9">
        <f t="shared" si="6"/>
        <v>39.283173875202529</v>
      </c>
      <c r="AM4" s="9">
        <f t="shared" si="7"/>
        <v>1543.1677497093945</v>
      </c>
      <c r="AN4" s="9" t="s">
        <v>4892</v>
      </c>
    </row>
    <row r="5" spans="8:40" ht="23">
      <c r="H5" s="8"/>
      <c r="I5" s="8"/>
      <c r="J5" s="8"/>
      <c r="K5" s="8"/>
      <c r="L5" s="8"/>
      <c r="M5" s="8" t="s">
        <v>2031</v>
      </c>
      <c r="N5" s="8" t="s">
        <v>2027</v>
      </c>
      <c r="O5" s="8"/>
      <c r="P5" s="8"/>
      <c r="Q5" s="8"/>
      <c r="R5" s="8"/>
      <c r="S5" s="8"/>
      <c r="T5" s="8"/>
      <c r="U5" s="8"/>
      <c r="V5" s="8"/>
      <c r="W5" s="8" t="s">
        <v>2031</v>
      </c>
      <c r="X5" s="8">
        <v>10.67</v>
      </c>
      <c r="Y5" s="8">
        <v>2.1800000000000002</v>
      </c>
      <c r="Z5" s="9">
        <v>1.1100000000000001</v>
      </c>
      <c r="AA5" s="8">
        <v>206.7</v>
      </c>
      <c r="AB5" s="8">
        <v>6003</v>
      </c>
      <c r="AC5" s="21" t="s">
        <v>2031</v>
      </c>
      <c r="AD5" s="8" t="s">
        <v>4000</v>
      </c>
      <c r="AE5" s="8" t="s">
        <v>3708</v>
      </c>
      <c r="AF5" s="9">
        <f t="shared" si="0"/>
        <v>450.60599999999999</v>
      </c>
      <c r="AG5" s="9">
        <f t="shared" si="1"/>
        <v>244.595</v>
      </c>
      <c r="AH5" s="9">
        <f t="shared" si="2"/>
        <v>7.9313917347761009</v>
      </c>
      <c r="AI5" s="9">
        <f t="shared" si="3"/>
        <v>62.906974850474647</v>
      </c>
      <c r="AJ5" s="9">
        <f t="shared" si="4"/>
        <v>4.5016330940153439</v>
      </c>
      <c r="AK5" s="9">
        <f t="shared" si="5"/>
        <v>20.264700513134159</v>
      </c>
      <c r="AL5" s="9">
        <f t="shared" si="6"/>
        <v>3.4341222163467271</v>
      </c>
      <c r="AM5" s="9">
        <f t="shared" si="7"/>
        <v>11.793195396806157</v>
      </c>
      <c r="AN5" s="8" t="s">
        <v>2031</v>
      </c>
    </row>
    <row r="6" spans="8:40" ht="23">
      <c r="H6" s="8"/>
      <c r="I6" s="8"/>
      <c r="J6" s="8"/>
      <c r="K6" s="8"/>
      <c r="L6" s="8"/>
      <c r="M6" s="8" t="s">
        <v>1337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1337</v>
      </c>
      <c r="X6" s="8">
        <v>26.83</v>
      </c>
      <c r="Y6" s="8">
        <v>2.19</v>
      </c>
      <c r="Z6" s="9">
        <v>0.44</v>
      </c>
      <c r="AA6" s="8">
        <v>159</v>
      </c>
      <c r="AB6" s="8">
        <v>5185</v>
      </c>
      <c r="AC6" s="21" t="s">
        <v>1337</v>
      </c>
      <c r="AD6" s="8" t="s">
        <v>4000</v>
      </c>
      <c r="AE6" s="8" t="s">
        <v>3708</v>
      </c>
      <c r="AF6" s="9">
        <f t="shared" si="0"/>
        <v>348.21</v>
      </c>
      <c r="AG6" s="9">
        <f t="shared" si="1"/>
        <v>116.6</v>
      </c>
      <c r="AH6" s="9">
        <f t="shared" si="2"/>
        <v>6.1010705652123853</v>
      </c>
      <c r="AI6" s="9">
        <f t="shared" si="3"/>
        <v>37.223062041700977</v>
      </c>
      <c r="AJ6" s="9">
        <f t="shared" si="4"/>
        <v>3.4786790670055057</v>
      </c>
      <c r="AK6" s="9">
        <f t="shared" si="5"/>
        <v>12.101208051222295</v>
      </c>
      <c r="AL6" s="9">
        <f t="shared" si="6"/>
        <v>1.6370680121262835</v>
      </c>
      <c r="AM6" s="9">
        <f t="shared" si="7"/>
        <v>2.6799916763271017</v>
      </c>
      <c r="AN6" s="8" t="s">
        <v>1337</v>
      </c>
    </row>
    <row r="7" spans="8:40" ht="23">
      <c r="H7" s="8"/>
      <c r="I7" s="8"/>
      <c r="J7" s="8"/>
      <c r="K7" s="8"/>
      <c r="L7" s="8"/>
      <c r="M7" s="8" t="s">
        <v>4462</v>
      </c>
      <c r="N7" s="8"/>
      <c r="O7" s="8"/>
      <c r="P7" s="8"/>
      <c r="Q7" s="8"/>
      <c r="R7" s="8"/>
      <c r="S7" s="8"/>
      <c r="T7" s="8"/>
      <c r="U7" s="8"/>
      <c r="V7" s="8"/>
      <c r="W7" s="8" t="s">
        <v>4462</v>
      </c>
      <c r="X7" s="8">
        <v>20.66</v>
      </c>
      <c r="Y7" s="8">
        <v>1.92</v>
      </c>
      <c r="Z7" s="9">
        <v>0.34</v>
      </c>
      <c r="AA7" s="8">
        <v>130</v>
      </c>
      <c r="AB7" s="8">
        <v>23078</v>
      </c>
      <c r="AC7" s="21" t="s">
        <v>4462</v>
      </c>
      <c r="AD7" s="8" t="s">
        <v>4000</v>
      </c>
      <c r="AE7" s="8" t="s">
        <v>3708</v>
      </c>
      <c r="AF7" s="9">
        <f t="shared" si="0"/>
        <v>249.6</v>
      </c>
      <c r="AG7" s="9">
        <f t="shared" si="1"/>
        <v>73.666666666666671</v>
      </c>
      <c r="AH7" s="9">
        <f t="shared" si="2"/>
        <v>4.9882966885384281</v>
      </c>
      <c r="AI7" s="9">
        <f t="shared" si="3"/>
        <v>24.883103852883448</v>
      </c>
      <c r="AJ7" s="9">
        <f t="shared" si="4"/>
        <v>2.4935478450491781</v>
      </c>
      <c r="AK7" s="9">
        <f t="shared" si="5"/>
        <v>6.2177808555494005</v>
      </c>
      <c r="AL7" s="9">
        <f t="shared" si="6"/>
        <v>1.0342825348196363</v>
      </c>
      <c r="AM7" s="9">
        <f t="shared" si="7"/>
        <v>1.0697403618329322</v>
      </c>
      <c r="AN7" s="8" t="s">
        <v>4462</v>
      </c>
    </row>
    <row r="8" spans="8:40" ht="23">
      <c r="H8" s="8"/>
      <c r="I8" s="8"/>
      <c r="J8" s="8"/>
      <c r="K8" s="8"/>
      <c r="L8" s="8"/>
      <c r="M8" s="9" t="s">
        <v>3262</v>
      </c>
      <c r="N8" s="8" t="s">
        <v>1902</v>
      </c>
      <c r="O8" s="8"/>
      <c r="P8" s="8" t="s">
        <v>3693</v>
      </c>
      <c r="Q8" s="8"/>
      <c r="R8" s="8"/>
      <c r="S8" s="8"/>
      <c r="T8" s="8"/>
      <c r="U8" s="8"/>
      <c r="V8" s="8"/>
      <c r="W8" s="9" t="s">
        <v>3262</v>
      </c>
      <c r="X8" s="8">
        <v>1.04</v>
      </c>
      <c r="Y8" s="8">
        <v>3.24</v>
      </c>
      <c r="Z8" s="9">
        <v>5.43</v>
      </c>
      <c r="AA8" s="8">
        <v>120</v>
      </c>
      <c r="AB8" s="8">
        <v>18621</v>
      </c>
      <c r="AC8" s="22" t="s">
        <v>3262</v>
      </c>
      <c r="AD8" s="8" t="s">
        <v>4000</v>
      </c>
      <c r="AE8" s="8" t="s">
        <v>3708</v>
      </c>
      <c r="AF8" s="9">
        <f t="shared" si="0"/>
        <v>388.8</v>
      </c>
      <c r="AG8" s="9">
        <f t="shared" si="1"/>
        <v>686</v>
      </c>
      <c r="AH8" s="9">
        <f t="shared" si="2"/>
        <v>4.6045815586508567</v>
      </c>
      <c r="AI8" s="9">
        <f t="shared" si="3"/>
        <v>21.202171330267554</v>
      </c>
      <c r="AJ8" s="9">
        <f t="shared" si="4"/>
        <v>3.8841802970958348</v>
      </c>
      <c r="AK8" s="9">
        <f t="shared" si="5"/>
        <v>15.086856580347487</v>
      </c>
      <c r="AL8" s="9">
        <f t="shared" si="6"/>
        <v>9.6314636047909996</v>
      </c>
      <c r="AM8" s="9">
        <f t="shared" si="7"/>
        <v>92.76509117041364</v>
      </c>
      <c r="AN8" s="9" t="s">
        <v>3262</v>
      </c>
    </row>
    <row r="9" spans="8:40" ht="23">
      <c r="H9" s="8"/>
      <c r="I9" s="8"/>
      <c r="J9" s="8"/>
      <c r="K9" s="8"/>
      <c r="L9" s="8"/>
      <c r="M9" s="8" t="s">
        <v>2076</v>
      </c>
      <c r="N9" s="8" t="s">
        <v>2074</v>
      </c>
      <c r="O9" s="8"/>
      <c r="P9" s="8"/>
      <c r="Q9" s="8"/>
      <c r="R9" s="8"/>
      <c r="S9" s="8"/>
      <c r="T9" s="8"/>
      <c r="U9" s="8"/>
      <c r="V9" s="8"/>
      <c r="W9" s="8" t="s">
        <v>2076</v>
      </c>
      <c r="X9" s="8">
        <v>26.02</v>
      </c>
      <c r="Y9" s="8">
        <v>1.25</v>
      </c>
      <c r="Z9" s="9">
        <v>0.15</v>
      </c>
      <c r="AA9" s="8">
        <v>118.5</v>
      </c>
      <c r="AB9" s="8">
        <v>13439</v>
      </c>
      <c r="AC9" s="21" t="s">
        <v>2076</v>
      </c>
      <c r="AD9" s="8" t="s">
        <v>4000</v>
      </c>
      <c r="AE9" s="8" t="s">
        <v>3708</v>
      </c>
      <c r="AF9" s="9">
        <f t="shared" si="0"/>
        <v>148.125</v>
      </c>
      <c r="AG9" s="9">
        <f t="shared" si="1"/>
        <v>29.625</v>
      </c>
      <c r="AH9" s="9">
        <f t="shared" si="2"/>
        <v>4.5470242891677213</v>
      </c>
      <c r="AI9" s="9">
        <f t="shared" si="3"/>
        <v>20.675429886281222</v>
      </c>
      <c r="AJ9" s="9">
        <f t="shared" si="4"/>
        <v>1.4797947698233553</v>
      </c>
      <c r="AK9" s="9">
        <f t="shared" si="5"/>
        <v>2.1897925607965574</v>
      </c>
      <c r="AL9" s="9">
        <f t="shared" si="6"/>
        <v>0.41593601937599622</v>
      </c>
      <c r="AM9" s="9">
        <f t="shared" si="7"/>
        <v>0.17300277221434909</v>
      </c>
      <c r="AN9" s="8" t="s">
        <v>2076</v>
      </c>
    </row>
    <row r="10" spans="8:40" ht="23">
      <c r="H10" s="8"/>
      <c r="I10" s="8"/>
      <c r="J10" s="8"/>
      <c r="K10" s="8"/>
      <c r="L10" s="8"/>
      <c r="M10" s="8" t="s">
        <v>812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8" t="s">
        <v>812</v>
      </c>
      <c r="X10" s="8">
        <v>9.85</v>
      </c>
      <c r="Y10" s="8">
        <v>2.2799999999999998</v>
      </c>
      <c r="Z10" s="9">
        <v>1.43</v>
      </c>
      <c r="AA10" s="8">
        <v>117.6</v>
      </c>
      <c r="AB10" s="8">
        <v>4939</v>
      </c>
      <c r="AC10" s="21" t="s">
        <v>812</v>
      </c>
      <c r="AD10" s="8" t="s">
        <v>4000</v>
      </c>
      <c r="AE10" s="8" t="s">
        <v>3708</v>
      </c>
      <c r="AF10" s="9">
        <f t="shared" si="0"/>
        <v>268.12799999999999</v>
      </c>
      <c r="AG10" s="9">
        <f t="shared" si="1"/>
        <v>201.88</v>
      </c>
      <c r="AH10" s="9">
        <f t="shared" si="2"/>
        <v>4.5124899274778398</v>
      </c>
      <c r="AI10" s="9">
        <f t="shared" si="3"/>
        <v>20.362565345588962</v>
      </c>
      <c r="AJ10" s="9">
        <f t="shared" si="4"/>
        <v>2.6786458197009053</v>
      </c>
      <c r="AK10" s="9">
        <f t="shared" si="5"/>
        <v>7.1751434274011352</v>
      </c>
      <c r="AL10" s="9">
        <f t="shared" si="6"/>
        <v>2.83440214655278</v>
      </c>
      <c r="AM10" s="9">
        <f t="shared" si="7"/>
        <v>8.0338355283830065</v>
      </c>
      <c r="AN10" s="8" t="s">
        <v>812</v>
      </c>
    </row>
    <row r="11" spans="8:40" ht="23">
      <c r="H11" s="8"/>
      <c r="I11" s="8"/>
      <c r="J11" s="8"/>
      <c r="K11" s="8"/>
      <c r="L11" s="8"/>
      <c r="M11" s="9" t="s">
        <v>2219</v>
      </c>
      <c r="N11" s="8" t="s">
        <v>150</v>
      </c>
      <c r="O11" s="8"/>
      <c r="P11" s="8" t="s">
        <v>4667</v>
      </c>
      <c r="Q11" s="8"/>
      <c r="R11" s="8"/>
      <c r="S11" s="8"/>
      <c r="T11" s="8"/>
      <c r="U11" s="8"/>
      <c r="V11" s="8"/>
      <c r="W11" s="9" t="s">
        <v>2219</v>
      </c>
      <c r="X11" s="8">
        <v>30.91</v>
      </c>
      <c r="Y11" s="8">
        <v>1.7</v>
      </c>
      <c r="Z11" s="9">
        <v>1.41</v>
      </c>
      <c r="AA11" s="8">
        <v>96.2</v>
      </c>
      <c r="AB11" s="8">
        <v>8329</v>
      </c>
      <c r="AC11" s="22" t="s">
        <v>2219</v>
      </c>
      <c r="AD11" s="8" t="s">
        <v>4000</v>
      </c>
      <c r="AE11" s="8" t="s">
        <v>3708</v>
      </c>
      <c r="AF11" s="9">
        <f t="shared" si="0"/>
        <v>163.54</v>
      </c>
      <c r="AG11" s="9">
        <f t="shared" si="1"/>
        <v>161.93666666666667</v>
      </c>
      <c r="AH11" s="9">
        <f t="shared" si="2"/>
        <v>3.6913395495184376</v>
      </c>
      <c r="AI11" s="9">
        <f t="shared" si="3"/>
        <v>13.625987669838981</v>
      </c>
      <c r="AJ11" s="9">
        <f t="shared" si="4"/>
        <v>1.6337933276415968</v>
      </c>
      <c r="AK11" s="9">
        <f t="shared" si="5"/>
        <v>2.6692806374462021</v>
      </c>
      <c r="AL11" s="9">
        <f t="shared" si="6"/>
        <v>2.2735963721299881</v>
      </c>
      <c r="AM11" s="9">
        <f t="shared" si="7"/>
        <v>5.1692404633626436</v>
      </c>
      <c r="AN11" s="9" t="s">
        <v>2219</v>
      </c>
    </row>
    <row r="12" spans="8:40" ht="23">
      <c r="H12" s="8"/>
      <c r="I12" s="8"/>
      <c r="J12" s="8"/>
      <c r="K12" s="8"/>
      <c r="L12" s="8"/>
      <c r="M12" s="8" t="s">
        <v>576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576</v>
      </c>
      <c r="X12" s="8">
        <v>15.61</v>
      </c>
      <c r="Y12" s="8">
        <v>2.17</v>
      </c>
      <c r="Z12" s="9">
        <v>0.28999999999999998</v>
      </c>
      <c r="AA12" s="8">
        <v>92</v>
      </c>
      <c r="AB12" s="8">
        <v>7149</v>
      </c>
      <c r="AC12" s="21" t="s">
        <v>576</v>
      </c>
      <c r="AD12" s="8" t="s">
        <v>4000</v>
      </c>
      <c r="AE12" s="8" t="s">
        <v>3708</v>
      </c>
      <c r="AF12" s="9">
        <f t="shared" si="0"/>
        <v>199.64</v>
      </c>
      <c r="AG12" s="9">
        <f t="shared" si="1"/>
        <v>44.466666666666669</v>
      </c>
      <c r="AH12" s="9">
        <f t="shared" si="2"/>
        <v>3.5301791949656569</v>
      </c>
      <c r="AI12" s="9">
        <f t="shared" si="3"/>
        <v>12.462165148568374</v>
      </c>
      <c r="AJ12" s="9">
        <f t="shared" si="4"/>
        <v>1.9944386690128921</v>
      </c>
      <c r="AK12" s="9">
        <f t="shared" si="5"/>
        <v>3.9777856044539166</v>
      </c>
      <c r="AL12" s="9">
        <f t="shared" si="6"/>
        <v>0.62431353006759938</v>
      </c>
      <c r="AM12" s="9">
        <f t="shared" si="7"/>
        <v>0.38976738382546733</v>
      </c>
      <c r="AN12" s="8" t="s">
        <v>576</v>
      </c>
    </row>
    <row r="13" spans="8:40" ht="23">
      <c r="H13" s="8"/>
      <c r="I13" s="8"/>
      <c r="J13" s="8"/>
      <c r="K13" s="8"/>
      <c r="L13" s="8"/>
      <c r="M13" s="8" t="s">
        <v>128</v>
      </c>
      <c r="N13" s="8" t="s">
        <v>125</v>
      </c>
      <c r="O13" s="8"/>
      <c r="P13" s="8"/>
      <c r="Q13" s="8"/>
      <c r="R13" s="8"/>
      <c r="S13" s="8"/>
      <c r="T13" s="8"/>
      <c r="U13" s="8"/>
      <c r="V13" s="8"/>
      <c r="W13" s="8" t="s">
        <v>128</v>
      </c>
      <c r="X13" s="8">
        <v>9.2200000000000006</v>
      </c>
      <c r="Y13" s="8">
        <v>2.81</v>
      </c>
      <c r="Z13" s="9">
        <v>0.49</v>
      </c>
      <c r="AA13" s="8">
        <v>72.099999999999994</v>
      </c>
      <c r="AB13" s="8">
        <v>9397</v>
      </c>
      <c r="AC13" s="21" t="s">
        <v>128</v>
      </c>
      <c r="AD13" s="8" t="s">
        <v>4000</v>
      </c>
      <c r="AE13" s="8" t="s">
        <v>3708</v>
      </c>
      <c r="AF13" s="9">
        <f t="shared" si="0"/>
        <v>202.601</v>
      </c>
      <c r="AG13" s="9">
        <f t="shared" si="1"/>
        <v>58.881666666666661</v>
      </c>
      <c r="AH13" s="9">
        <f t="shared" si="2"/>
        <v>2.7665860864893896</v>
      </c>
      <c r="AI13" s="9">
        <f t="shared" si="3"/>
        <v>7.6539985739566765</v>
      </c>
      <c r="AJ13" s="9">
        <f t="shared" si="4"/>
        <v>2.0240195791458677</v>
      </c>
      <c r="AK13" s="9">
        <f t="shared" si="5"/>
        <v>4.0966552567658159</v>
      </c>
      <c r="AL13" s="9">
        <f t="shared" si="6"/>
        <v>0.82670062607789407</v>
      </c>
      <c r="AM13" s="9">
        <f t="shared" si="7"/>
        <v>0.68343392515758206</v>
      </c>
      <c r="AN13" s="8" t="s">
        <v>128</v>
      </c>
    </row>
    <row r="14" spans="8:40" ht="23">
      <c r="H14" s="8"/>
      <c r="I14" s="8"/>
      <c r="J14" s="8"/>
      <c r="K14" s="8"/>
      <c r="L14" s="8"/>
      <c r="M14" s="9" t="s">
        <v>2470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9" t="s">
        <v>2470</v>
      </c>
      <c r="X14" s="8">
        <v>42.95</v>
      </c>
      <c r="Y14" s="8">
        <v>1.25</v>
      </c>
      <c r="Z14" s="9">
        <v>0.23</v>
      </c>
      <c r="AA14" s="8">
        <v>53.8</v>
      </c>
      <c r="AB14" s="8">
        <v>12504</v>
      </c>
      <c r="AC14" s="22" t="s">
        <v>2470</v>
      </c>
      <c r="AD14" s="8" t="s">
        <v>4000</v>
      </c>
      <c r="AE14" s="8" t="s">
        <v>3708</v>
      </c>
      <c r="AF14" s="9">
        <f t="shared" si="0"/>
        <v>67.25</v>
      </c>
      <c r="AG14" s="9">
        <f t="shared" si="1"/>
        <v>20.623333333333335</v>
      </c>
      <c r="AH14" s="9">
        <f t="shared" si="2"/>
        <v>2.0643873987951342</v>
      </c>
      <c r="AI14" s="9">
        <f t="shared" si="3"/>
        <v>4.2616953323041402</v>
      </c>
      <c r="AJ14" s="9">
        <f t="shared" si="4"/>
        <v>0.67183931321937984</v>
      </c>
      <c r="AK14" s="9">
        <f t="shared" si="5"/>
        <v>0.45136806278708796</v>
      </c>
      <c r="AL14" s="9">
        <f t="shared" si="6"/>
        <v>0.28955230963480044</v>
      </c>
      <c r="AM14" s="9">
        <f t="shared" si="7"/>
        <v>8.3840540014847351E-2</v>
      </c>
      <c r="AN14" s="9" t="s">
        <v>2470</v>
      </c>
    </row>
    <row r="15" spans="8:40" ht="23">
      <c r="H15" s="8"/>
      <c r="I15" s="8"/>
      <c r="J15" s="8"/>
      <c r="K15" s="8"/>
      <c r="L15" s="8"/>
      <c r="M15" s="9" t="s">
        <v>2517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9" t="s">
        <v>2517</v>
      </c>
      <c r="X15" s="8">
        <v>3.45</v>
      </c>
      <c r="Y15" s="8">
        <v>3.07</v>
      </c>
      <c r="Z15" s="9">
        <v>3.38</v>
      </c>
      <c r="AA15" s="8">
        <v>49.4</v>
      </c>
      <c r="AB15" s="8">
        <v>15033</v>
      </c>
      <c r="AC15" s="22" t="s">
        <v>2517</v>
      </c>
      <c r="AD15" s="8" t="s">
        <v>4000</v>
      </c>
      <c r="AE15" s="8" t="s">
        <v>3708</v>
      </c>
      <c r="AF15" s="9">
        <f t="shared" si="0"/>
        <v>151.65799999999999</v>
      </c>
      <c r="AG15" s="9">
        <f t="shared" si="1"/>
        <v>179.48666666666665</v>
      </c>
      <c r="AH15" s="9">
        <f t="shared" si="2"/>
        <v>1.8955527416446027</v>
      </c>
      <c r="AI15" s="9">
        <f t="shared" si="3"/>
        <v>3.5931201963563701</v>
      </c>
      <c r="AJ15" s="9">
        <f t="shared" si="4"/>
        <v>1.5150900604345681</v>
      </c>
      <c r="AK15" s="9">
        <f t="shared" si="5"/>
        <v>2.2954978912276229</v>
      </c>
      <c r="AL15" s="9">
        <f t="shared" si="6"/>
        <v>2.5199989760134893</v>
      </c>
      <c r="AM15" s="9">
        <f t="shared" si="7"/>
        <v>6.3503948391090344</v>
      </c>
      <c r="AN15" s="9" t="s">
        <v>2517</v>
      </c>
    </row>
    <row r="16" spans="8:40" ht="23">
      <c r="H16" s="8"/>
      <c r="I16" s="8"/>
      <c r="J16" s="8"/>
      <c r="K16" s="8"/>
      <c r="L16" s="8"/>
      <c r="M16" s="9" t="s">
        <v>3453</v>
      </c>
      <c r="N16" s="8" t="s">
        <v>2003</v>
      </c>
      <c r="O16" s="8"/>
      <c r="P16" s="8"/>
      <c r="Q16" s="8"/>
      <c r="R16" s="8"/>
      <c r="S16" s="8"/>
      <c r="T16" s="8"/>
      <c r="U16" s="8"/>
      <c r="V16" s="8"/>
      <c r="W16" s="9" t="s">
        <v>3453</v>
      </c>
      <c r="X16" s="8">
        <v>49.66</v>
      </c>
      <c r="Y16" s="8">
        <v>1.22</v>
      </c>
      <c r="Z16" s="9">
        <v>0.21</v>
      </c>
      <c r="AA16" s="8">
        <v>41.7</v>
      </c>
      <c r="AB16" s="8">
        <v>27901</v>
      </c>
      <c r="AC16" s="22" t="s">
        <v>3453</v>
      </c>
      <c r="AD16" s="8" t="s">
        <v>4000</v>
      </c>
      <c r="AE16" s="8" t="s">
        <v>3708</v>
      </c>
      <c r="AF16" s="9">
        <f t="shared" si="0"/>
        <v>50.874000000000002</v>
      </c>
      <c r="AG16" s="9">
        <f t="shared" si="1"/>
        <v>14.595000000000001</v>
      </c>
      <c r="AH16" s="9">
        <f t="shared" si="2"/>
        <v>1.6000920916311729</v>
      </c>
      <c r="AI16" s="9">
        <f t="shared" si="3"/>
        <v>2.5602947017006219</v>
      </c>
      <c r="AJ16" s="9">
        <f t="shared" si="4"/>
        <v>0.50824019659067265</v>
      </c>
      <c r="AK16" s="9">
        <f t="shared" si="5"/>
        <v>0.25830809743052557</v>
      </c>
      <c r="AL16" s="9">
        <f t="shared" si="6"/>
        <v>0.2049143022039718</v>
      </c>
      <c r="AM16" s="9">
        <f t="shared" si="7"/>
        <v>4.1989871247740687E-2</v>
      </c>
      <c r="AN16" s="9" t="s">
        <v>3453</v>
      </c>
    </row>
    <row r="17" spans="8:40" ht="23">
      <c r="H17" s="8"/>
      <c r="I17" s="8"/>
      <c r="J17" s="8"/>
      <c r="K17" s="8"/>
      <c r="L17" s="8"/>
      <c r="M17" s="9" t="s">
        <v>2217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9" t="s">
        <v>2217</v>
      </c>
      <c r="X17" s="8">
        <v>14.17</v>
      </c>
      <c r="Y17" s="8">
        <v>2.69</v>
      </c>
      <c r="Z17" s="9">
        <v>1.21</v>
      </c>
      <c r="AA17" s="8">
        <v>37.9</v>
      </c>
      <c r="AB17" s="8">
        <v>11271</v>
      </c>
      <c r="AC17" s="22" t="s">
        <v>2217</v>
      </c>
      <c r="AD17" s="8" t="s">
        <v>4000</v>
      </c>
      <c r="AE17" s="8" t="s">
        <v>3708</v>
      </c>
      <c r="AF17" s="9">
        <f t="shared" si="0"/>
        <v>101.95099999999999</v>
      </c>
      <c r="AG17" s="9">
        <f t="shared" si="1"/>
        <v>51.164999999999999</v>
      </c>
      <c r="AH17" s="9">
        <f t="shared" si="2"/>
        <v>1.4542803422738957</v>
      </c>
      <c r="AI17" s="9">
        <f t="shared" si="3"/>
        <v>2.1149313139242794</v>
      </c>
      <c r="AJ17" s="9">
        <f t="shared" si="4"/>
        <v>1.0185083988405799</v>
      </c>
      <c r="AK17" s="9">
        <f t="shared" si="5"/>
        <v>1.0373593585088017</v>
      </c>
      <c r="AL17" s="9">
        <f t="shared" si="6"/>
        <v>0.71835836055266988</v>
      </c>
      <c r="AM17" s="9">
        <f t="shared" si="7"/>
        <v>0.51603873417591961</v>
      </c>
      <c r="AN17" s="9" t="s">
        <v>2217</v>
      </c>
    </row>
    <row r="18" spans="8:40" ht="23">
      <c r="H18" s="8"/>
      <c r="I18" s="8"/>
      <c r="J18" s="8"/>
      <c r="K18" s="8"/>
      <c r="L18" s="8"/>
      <c r="M18" s="8" t="s">
        <v>4461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4461</v>
      </c>
      <c r="X18" s="8">
        <v>7.9</v>
      </c>
      <c r="Y18" s="8">
        <v>3.46</v>
      </c>
      <c r="Z18" s="9">
        <v>2.0299999999999998</v>
      </c>
      <c r="AA18" s="8">
        <v>29.8</v>
      </c>
      <c r="AB18" s="8">
        <v>7216</v>
      </c>
      <c r="AC18" s="21" t="s">
        <v>4461</v>
      </c>
      <c r="AD18" s="8" t="s">
        <v>4000</v>
      </c>
      <c r="AE18" s="8" t="s">
        <v>3708</v>
      </c>
      <c r="AF18" s="9">
        <f t="shared" si="0"/>
        <v>103.108</v>
      </c>
      <c r="AG18" s="9">
        <f t="shared" si="1"/>
        <v>61.089999999999996</v>
      </c>
      <c r="AH18" s="9">
        <f t="shared" si="2"/>
        <v>1.1434710870649627</v>
      </c>
      <c r="AI18" s="9">
        <f t="shared" si="3"/>
        <v>1.3075261269535274</v>
      </c>
      <c r="AJ18" s="9">
        <f t="shared" si="4"/>
        <v>1.0300670320806515</v>
      </c>
      <c r="AK18" s="9">
        <f t="shared" si="5"/>
        <v>1.0610380905794421</v>
      </c>
      <c r="AL18" s="9">
        <f t="shared" si="6"/>
        <v>0.85770570206513441</v>
      </c>
      <c r="AM18" s="9">
        <f t="shared" si="7"/>
        <v>0.73565907135504516</v>
      </c>
      <c r="AN18" s="8" t="s">
        <v>4461</v>
      </c>
    </row>
    <row r="19" spans="8:40" ht="23">
      <c r="H19" s="8"/>
      <c r="I19" s="8"/>
      <c r="J19" s="8"/>
      <c r="K19" s="8"/>
      <c r="L19" s="8"/>
      <c r="M19" s="8" t="s">
        <v>4890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4890</v>
      </c>
      <c r="X19" s="8">
        <v>17.25</v>
      </c>
      <c r="Y19" s="8">
        <v>1.44</v>
      </c>
      <c r="Z19" s="9">
        <v>0.41</v>
      </c>
      <c r="AA19" s="8">
        <v>29.1</v>
      </c>
      <c r="AB19" s="8">
        <v>24530</v>
      </c>
      <c r="AC19" s="21" t="s">
        <v>4890</v>
      </c>
      <c r="AD19" s="8" t="s">
        <v>4000</v>
      </c>
      <c r="AE19" s="8" t="s">
        <v>3708</v>
      </c>
      <c r="AF19" s="9">
        <f t="shared" si="0"/>
        <v>41.904000000000003</v>
      </c>
      <c r="AG19" s="9">
        <f t="shared" si="1"/>
        <v>19.885000000000002</v>
      </c>
      <c r="AH19" s="9">
        <f t="shared" si="2"/>
        <v>1.116611027972833</v>
      </c>
      <c r="AI19" s="9">
        <f t="shared" si="3"/>
        <v>1.2468201877905467</v>
      </c>
      <c r="AJ19" s="9">
        <f t="shared" si="4"/>
        <v>0.41862832090921781</v>
      </c>
      <c r="AK19" s="9">
        <f t="shared" si="5"/>
        <v>0.17524967106727105</v>
      </c>
      <c r="AL19" s="9">
        <f t="shared" si="6"/>
        <v>0.27918608422925517</v>
      </c>
      <c r="AM19" s="9">
        <f t="shared" si="7"/>
        <v>7.7944869627264768E-2</v>
      </c>
      <c r="AN19" s="8" t="s">
        <v>4890</v>
      </c>
    </row>
    <row r="20" spans="8:40" ht="23">
      <c r="H20" s="8"/>
      <c r="I20" s="8"/>
      <c r="J20" s="8"/>
      <c r="K20" s="8"/>
      <c r="L20" s="8"/>
      <c r="M20" s="8" t="s">
        <v>711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711</v>
      </c>
      <c r="X20" s="8">
        <v>38.130000000000003</v>
      </c>
      <c r="Y20" s="8">
        <v>1.21</v>
      </c>
      <c r="Z20" s="9">
        <v>0.13</v>
      </c>
      <c r="AA20" s="8">
        <v>26.7</v>
      </c>
      <c r="AB20" s="8">
        <v>41369</v>
      </c>
      <c r="AC20" s="21" t="s">
        <v>711</v>
      </c>
      <c r="AD20" s="8" t="s">
        <v>4000</v>
      </c>
      <c r="AE20" s="8" t="s">
        <v>3708</v>
      </c>
      <c r="AF20" s="9">
        <f t="shared" si="0"/>
        <v>32.306999999999995</v>
      </c>
      <c r="AG20" s="9">
        <f t="shared" si="1"/>
        <v>5.7850000000000001</v>
      </c>
      <c r="AH20" s="9">
        <f t="shared" si="2"/>
        <v>1.0245193967998156</v>
      </c>
      <c r="AI20" s="9">
        <f t="shared" si="3"/>
        <v>1.049639994419058</v>
      </c>
      <c r="AJ20" s="9">
        <f t="shared" si="4"/>
        <v>0.32275260508815617</v>
      </c>
      <c r="AK20" s="9">
        <f t="shared" si="5"/>
        <v>0.1041692440911913</v>
      </c>
      <c r="AL20" s="9">
        <f t="shared" si="6"/>
        <v>8.1221599057894958E-2</v>
      </c>
      <c r="AM20" s="9">
        <f t="shared" si="7"/>
        <v>6.596948153521443E-3</v>
      </c>
      <c r="AN20" s="8" t="s">
        <v>711</v>
      </c>
    </row>
    <row r="21" spans="8:40" ht="23">
      <c r="H21" s="8"/>
      <c r="I21" s="8"/>
      <c r="J21" s="8"/>
      <c r="K21" s="8"/>
      <c r="L21" s="8"/>
      <c r="M21" s="8" t="s">
        <v>4889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4889</v>
      </c>
      <c r="X21" s="8">
        <v>5.43</v>
      </c>
      <c r="Y21" s="8">
        <v>3.66</v>
      </c>
      <c r="Z21" s="9">
        <v>2</v>
      </c>
      <c r="AA21" s="8">
        <v>26.5</v>
      </c>
      <c r="AB21" s="8">
        <v>7380</v>
      </c>
      <c r="AC21" s="21" t="s">
        <v>4889</v>
      </c>
      <c r="AD21" s="8" t="s">
        <v>4000</v>
      </c>
      <c r="AE21" s="8" t="s">
        <v>3708</v>
      </c>
      <c r="AF21" s="9">
        <f t="shared" si="0"/>
        <v>96.990000000000009</v>
      </c>
      <c r="AG21" s="9">
        <f t="shared" si="1"/>
        <v>53.883333333333333</v>
      </c>
      <c r="AH21" s="9">
        <f t="shared" si="2"/>
        <v>1.0168450942020644</v>
      </c>
      <c r="AI21" s="9">
        <f t="shared" si="3"/>
        <v>1.0339739456028052</v>
      </c>
      <c r="AJ21" s="9">
        <f t="shared" si="4"/>
        <v>0.9689471373850953</v>
      </c>
      <c r="AK21" s="9">
        <f t="shared" si="5"/>
        <v>0.93885855504677074</v>
      </c>
      <c r="AL21" s="9">
        <f t="shared" si="6"/>
        <v>0.75652385408866141</v>
      </c>
      <c r="AM21" s="9">
        <f t="shared" si="7"/>
        <v>0.57232834180516223</v>
      </c>
      <c r="AN21" s="8" t="s">
        <v>4889</v>
      </c>
    </row>
    <row r="22" spans="8:40" ht="23">
      <c r="H22" s="8"/>
      <c r="I22" s="8"/>
      <c r="J22" s="8"/>
      <c r="K22" s="8"/>
      <c r="L22" s="8"/>
      <c r="M22" s="8" t="s">
        <v>657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8" t="s">
        <v>657</v>
      </c>
      <c r="X22" s="8">
        <v>12.35</v>
      </c>
      <c r="Y22" s="8">
        <v>1.83</v>
      </c>
      <c r="Z22" s="9">
        <v>1.1399999999999999</v>
      </c>
      <c r="AA22" s="8">
        <v>26.5</v>
      </c>
      <c r="AB22" s="8">
        <v>13187</v>
      </c>
      <c r="AC22" s="21" t="s">
        <v>657</v>
      </c>
      <c r="AD22" s="8" t="s">
        <v>4000</v>
      </c>
      <c r="AE22" s="8" t="s">
        <v>3708</v>
      </c>
      <c r="AF22" s="9">
        <f t="shared" si="0"/>
        <v>48.495000000000005</v>
      </c>
      <c r="AG22" s="9">
        <f t="shared" si="1"/>
        <v>32.683333333333337</v>
      </c>
      <c r="AH22" s="9">
        <f t="shared" si="2"/>
        <v>1.0168450942020644</v>
      </c>
      <c r="AI22" s="9">
        <f t="shared" si="3"/>
        <v>1.0339739456028052</v>
      </c>
      <c r="AJ22" s="9">
        <f t="shared" si="4"/>
        <v>0.48447356869254765</v>
      </c>
      <c r="AK22" s="9">
        <f t="shared" si="5"/>
        <v>0.23471463876169268</v>
      </c>
      <c r="AL22" s="9">
        <f t="shared" si="6"/>
        <v>0.45887512461115532</v>
      </c>
      <c r="AM22" s="9">
        <f t="shared" si="7"/>
        <v>0.21056637998690331</v>
      </c>
      <c r="AN22" s="8" t="s">
        <v>657</v>
      </c>
    </row>
    <row r="23" spans="8:40" ht="23">
      <c r="H23" s="8"/>
      <c r="I23" s="8"/>
      <c r="J23" s="8"/>
      <c r="K23" s="8"/>
      <c r="L23" s="8"/>
      <c r="M23" s="9" t="s">
        <v>2251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9" t="s">
        <v>2251</v>
      </c>
      <c r="X23" s="8">
        <v>8.93</v>
      </c>
      <c r="Y23" s="8">
        <v>1.34</v>
      </c>
      <c r="Z23" s="9">
        <v>0.16</v>
      </c>
      <c r="AA23" s="8">
        <v>25</v>
      </c>
      <c r="AB23" s="8">
        <v>20161</v>
      </c>
      <c r="AC23" s="22" t="s">
        <v>2251</v>
      </c>
      <c r="AD23" s="8" t="s">
        <v>4000</v>
      </c>
      <c r="AE23" s="8" t="s">
        <v>3708</v>
      </c>
      <c r="AF23" s="9">
        <f t="shared" si="0"/>
        <v>33.5</v>
      </c>
      <c r="AG23" s="9">
        <f t="shared" si="1"/>
        <v>6.666666666666667</v>
      </c>
      <c r="AH23" s="9">
        <f t="shared" si="2"/>
        <v>0.95928782471892859</v>
      </c>
      <c r="AI23" s="9">
        <f t="shared" si="3"/>
        <v>0.92023313065397383</v>
      </c>
      <c r="AJ23" s="9">
        <f t="shared" si="4"/>
        <v>0.3346708846520331</v>
      </c>
      <c r="AK23" s="9">
        <f t="shared" si="5"/>
        <v>0.11200460103377444</v>
      </c>
      <c r="AL23" s="9">
        <f t="shared" si="6"/>
        <v>9.3600229395442186E-2</v>
      </c>
      <c r="AM23" s="9">
        <f t="shared" si="7"/>
        <v>8.7610029428793999E-3</v>
      </c>
      <c r="AN23" s="9" t="s">
        <v>2251</v>
      </c>
    </row>
    <row r="24" spans="8:40" ht="23">
      <c r="H24" s="8"/>
      <c r="I24" s="8"/>
      <c r="J24" s="8"/>
      <c r="K24" s="8"/>
      <c r="L24" s="8"/>
      <c r="M24" s="9" t="s">
        <v>4888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9" t="s">
        <v>4888</v>
      </c>
      <c r="X24" s="8">
        <v>3.63</v>
      </c>
      <c r="Y24" s="8">
        <v>2.11</v>
      </c>
      <c r="Z24" s="9">
        <v>0.53</v>
      </c>
      <c r="AA24" s="8">
        <v>23</v>
      </c>
      <c r="AB24" s="8">
        <v>13836</v>
      </c>
      <c r="AC24" s="22" t="s">
        <v>4888</v>
      </c>
      <c r="AD24" s="8" t="s">
        <v>4000</v>
      </c>
      <c r="AE24" s="8" t="s">
        <v>3708</v>
      </c>
      <c r="AF24" s="9">
        <f t="shared" si="0"/>
        <v>48.529999999999994</v>
      </c>
      <c r="AG24" s="9">
        <f t="shared" si="1"/>
        <v>20.316666666666666</v>
      </c>
      <c r="AH24" s="9">
        <f t="shared" si="2"/>
        <v>0.88254479874141423</v>
      </c>
      <c r="AI24" s="9">
        <f t="shared" si="3"/>
        <v>0.77888532178552339</v>
      </c>
      <c r="AJ24" s="9">
        <f t="shared" si="4"/>
        <v>0.48482322484069151</v>
      </c>
      <c r="AK24" s="9">
        <f t="shared" si="5"/>
        <v>0.23505355934492772</v>
      </c>
      <c r="AL24" s="9">
        <f t="shared" si="6"/>
        <v>0.28524669908261008</v>
      </c>
      <c r="AM24" s="9">
        <f t="shared" si="7"/>
        <v>8.1365679337525101E-2</v>
      </c>
      <c r="AN24" s="9" t="s">
        <v>4888</v>
      </c>
    </row>
    <row r="25" spans="8:40" ht="23">
      <c r="H25" s="8"/>
      <c r="I25" s="8"/>
      <c r="J25" s="8"/>
      <c r="K25" s="8"/>
      <c r="L25" s="8"/>
      <c r="M25" s="9" t="s">
        <v>3320</v>
      </c>
      <c r="N25" s="8" t="s">
        <v>1939</v>
      </c>
      <c r="O25" s="8"/>
      <c r="P25" s="8"/>
      <c r="Q25" s="8"/>
      <c r="R25" s="8"/>
      <c r="S25" s="8"/>
      <c r="T25" s="8"/>
      <c r="U25" s="8"/>
      <c r="V25" s="8"/>
      <c r="W25" s="9" t="s">
        <v>3320</v>
      </c>
      <c r="X25" s="8">
        <v>6.13</v>
      </c>
      <c r="Y25" s="8">
        <v>4.5999999999999996</v>
      </c>
      <c r="Z25" s="9">
        <v>0.51</v>
      </c>
      <c r="AA25" s="8">
        <v>20.3</v>
      </c>
      <c r="AB25" s="8">
        <v>18031</v>
      </c>
      <c r="AC25" s="22" t="s">
        <v>3320</v>
      </c>
      <c r="AD25" s="8" t="s">
        <v>4000</v>
      </c>
      <c r="AE25" s="8" t="s">
        <v>3708</v>
      </c>
      <c r="AF25" s="9">
        <f t="shared" si="0"/>
        <v>93.38</v>
      </c>
      <c r="AG25" s="9">
        <f t="shared" si="1"/>
        <v>17.254999999999999</v>
      </c>
      <c r="AH25" s="9">
        <f t="shared" si="2"/>
        <v>0.77894171367177001</v>
      </c>
      <c r="AI25" s="9">
        <f t="shared" si="3"/>
        <v>0.60675019329791369</v>
      </c>
      <c r="AJ25" s="9">
        <f t="shared" si="4"/>
        <v>0.93288260324796557</v>
      </c>
      <c r="AK25" s="9">
        <f t="shared" si="5"/>
        <v>0.87026995144270114</v>
      </c>
      <c r="AL25" s="9">
        <f t="shared" si="6"/>
        <v>0.24226079373275322</v>
      </c>
      <c r="AM25" s="9">
        <f t="shared" si="7"/>
        <v>5.8690292180023605E-2</v>
      </c>
      <c r="AN25" s="9" t="s">
        <v>3320</v>
      </c>
    </row>
    <row r="26" spans="8:40" ht="23">
      <c r="H26" s="8"/>
      <c r="I26" s="8"/>
      <c r="J26" s="8"/>
      <c r="K26" s="8"/>
      <c r="L26" s="8"/>
      <c r="M26" s="8" t="s">
        <v>5131</v>
      </c>
      <c r="N26" s="8" t="s">
        <v>1869</v>
      </c>
      <c r="O26" s="8"/>
      <c r="P26" s="8"/>
      <c r="Q26" s="8"/>
      <c r="R26" s="8"/>
      <c r="S26" s="8"/>
      <c r="T26" s="8"/>
      <c r="U26" s="8"/>
      <c r="V26" s="8"/>
      <c r="W26" s="8" t="s">
        <v>5131</v>
      </c>
      <c r="X26" s="8">
        <v>34.020000000000003</v>
      </c>
      <c r="Y26" s="8">
        <v>1.35</v>
      </c>
      <c r="Z26" s="9">
        <v>0.35</v>
      </c>
      <c r="AA26" s="8">
        <v>19.7</v>
      </c>
      <c r="AB26" s="8">
        <v>27944</v>
      </c>
      <c r="AC26" s="21" t="s">
        <v>5131</v>
      </c>
      <c r="AD26" s="8" t="s">
        <v>4000</v>
      </c>
      <c r="AE26" s="8" t="s">
        <v>3708</v>
      </c>
      <c r="AF26" s="9">
        <f t="shared" si="0"/>
        <v>26.595000000000002</v>
      </c>
      <c r="AG26" s="9">
        <f t="shared" si="1"/>
        <v>11.491666666666667</v>
      </c>
      <c r="AH26" s="9">
        <f t="shared" si="2"/>
        <v>0.75591880587851568</v>
      </c>
      <c r="AI26" s="9">
        <f t="shared" si="3"/>
        <v>0.57141324108080105</v>
      </c>
      <c r="AJ26" s="9">
        <f t="shared" si="4"/>
        <v>0.26568872171106928</v>
      </c>
      <c r="AK26" s="9">
        <f t="shared" si="5"/>
        <v>7.0590496844462017E-2</v>
      </c>
      <c r="AL26" s="9">
        <f t="shared" si="6"/>
        <v>0.16134339542039347</v>
      </c>
      <c r="AM26" s="9">
        <f t="shared" si="7"/>
        <v>2.6031691245781446E-2</v>
      </c>
      <c r="AN26" s="8" t="s">
        <v>5131</v>
      </c>
    </row>
    <row r="27" spans="8:40" ht="23">
      <c r="H27" s="8"/>
      <c r="I27" s="8"/>
      <c r="J27" s="8"/>
      <c r="K27" s="8"/>
      <c r="L27" s="8"/>
      <c r="M27" s="9" t="s">
        <v>4965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9" t="s">
        <v>4965</v>
      </c>
      <c r="X27" s="8">
        <v>14.96</v>
      </c>
      <c r="Y27" s="8">
        <v>6.78</v>
      </c>
      <c r="Z27" s="9">
        <v>3.4</v>
      </c>
      <c r="AA27" s="8">
        <v>19.5</v>
      </c>
      <c r="AB27" s="8">
        <v>11353</v>
      </c>
      <c r="AC27" s="22" t="s">
        <v>4965</v>
      </c>
      <c r="AD27" s="8" t="s">
        <v>4000</v>
      </c>
      <c r="AE27" s="8" t="s">
        <v>3708</v>
      </c>
      <c r="AF27" s="9">
        <f t="shared" si="0"/>
        <v>132.21</v>
      </c>
      <c r="AG27" s="9">
        <f t="shared" si="1"/>
        <v>58.63</v>
      </c>
      <c r="AH27" s="9">
        <f t="shared" si="2"/>
        <v>0.74824450328076431</v>
      </c>
      <c r="AI27" s="9">
        <f t="shared" si="3"/>
        <v>0.55986983668987766</v>
      </c>
      <c r="AJ27" s="9">
        <f t="shared" si="4"/>
        <v>1.3208011241744866</v>
      </c>
      <c r="AK27" s="9">
        <f t="shared" si="5"/>
        <v>1.7445156096205876</v>
      </c>
      <c r="AL27" s="9">
        <f t="shared" si="6"/>
        <v>0.82316721741821619</v>
      </c>
      <c r="AM27" s="9">
        <f t="shared" si="7"/>
        <v>0.67760426783204886</v>
      </c>
      <c r="AN27" s="9" t="s">
        <v>4965</v>
      </c>
    </row>
    <row r="28" spans="8:40" ht="23">
      <c r="H28" s="8"/>
      <c r="I28" s="8"/>
      <c r="J28" s="8"/>
      <c r="K28" s="8"/>
      <c r="L28" s="8"/>
      <c r="M28" s="9" t="s">
        <v>2550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9" t="s">
        <v>2550</v>
      </c>
      <c r="X28" s="8">
        <v>11.17</v>
      </c>
      <c r="Y28" s="8">
        <v>9.19</v>
      </c>
      <c r="Z28" s="9">
        <v>2.4500000000000002</v>
      </c>
      <c r="AA28" s="8">
        <v>13.5</v>
      </c>
      <c r="AB28" s="8">
        <v>28194</v>
      </c>
      <c r="AC28" s="22" t="s">
        <v>2550</v>
      </c>
      <c r="AD28" s="8" t="s">
        <v>4000</v>
      </c>
      <c r="AE28" s="8" t="s">
        <v>3708</v>
      </c>
      <c r="AF28" s="9">
        <f t="shared" si="0"/>
        <v>124.065</v>
      </c>
      <c r="AG28" s="9">
        <f t="shared" si="1"/>
        <v>37.125</v>
      </c>
      <c r="AH28" s="9">
        <f t="shared" si="2"/>
        <v>0.51801542534822143</v>
      </c>
      <c r="AI28" s="9">
        <f t="shared" si="3"/>
        <v>0.26833998089869876</v>
      </c>
      <c r="AJ28" s="9">
        <f t="shared" si="4"/>
        <v>1.2394311434135667</v>
      </c>
      <c r="AK28" s="9">
        <f t="shared" si="5"/>
        <v>1.5361895592634616</v>
      </c>
      <c r="AL28" s="9">
        <f t="shared" si="6"/>
        <v>0.52123627744586865</v>
      </c>
      <c r="AM28" s="9">
        <f t="shared" si="7"/>
        <v>0.27168725692562656</v>
      </c>
      <c r="AN28" s="9" t="s">
        <v>2550</v>
      </c>
    </row>
    <row r="29" spans="8:40" ht="23">
      <c r="H29" s="8"/>
      <c r="I29" s="8"/>
      <c r="J29" s="8"/>
      <c r="K29" s="8"/>
      <c r="L29" s="8"/>
      <c r="M29" s="8" t="s">
        <v>1106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1106</v>
      </c>
      <c r="X29" s="8">
        <v>5.15</v>
      </c>
      <c r="Y29" s="8">
        <v>1.1299999999999999</v>
      </c>
      <c r="Z29" s="9">
        <v>0.02</v>
      </c>
      <c r="AA29" s="8">
        <v>11.2</v>
      </c>
      <c r="AB29" s="8">
        <v>54947</v>
      </c>
      <c r="AC29" s="21" t="s">
        <v>1106</v>
      </c>
      <c r="AD29" s="8" t="s">
        <v>4000</v>
      </c>
      <c r="AE29" s="8" t="s">
        <v>3708</v>
      </c>
      <c r="AF29" s="9">
        <f t="shared" si="0"/>
        <v>12.655999999999999</v>
      </c>
      <c r="AG29" s="9">
        <f t="shared" si="1"/>
        <v>0.37333333333333329</v>
      </c>
      <c r="AH29" s="9">
        <f t="shared" si="2"/>
        <v>0.42976094547407995</v>
      </c>
      <c r="AI29" s="9">
        <f t="shared" si="3"/>
        <v>0.18469447025477512</v>
      </c>
      <c r="AJ29" s="9">
        <f t="shared" si="4"/>
        <v>0.12643566316883972</v>
      </c>
      <c r="AK29" s="9">
        <f t="shared" si="5"/>
        <v>1.5985976920944295E-2</v>
      </c>
      <c r="AL29" s="9">
        <f t="shared" si="6"/>
        <v>5.2416128461447616E-3</v>
      </c>
      <c r="AM29" s="9">
        <f t="shared" si="7"/>
        <v>2.7474505228869789E-5</v>
      </c>
      <c r="AN29" s="8" t="s">
        <v>1106</v>
      </c>
    </row>
    <row r="30" spans="8:40" ht="23">
      <c r="H30" s="8"/>
      <c r="I30" s="8"/>
      <c r="J30" s="8"/>
      <c r="K30" s="8"/>
      <c r="L30" s="8"/>
      <c r="M30" s="8" t="s">
        <v>629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629</v>
      </c>
      <c r="X30" s="8">
        <v>38.42</v>
      </c>
      <c r="Y30" s="8">
        <v>2.5099999999999998</v>
      </c>
      <c r="Z30" s="9">
        <v>1.46</v>
      </c>
      <c r="AA30" s="8">
        <v>10.8</v>
      </c>
      <c r="AB30" s="8">
        <v>12021</v>
      </c>
      <c r="AC30" s="21" t="s">
        <v>629</v>
      </c>
      <c r="AD30" s="8" t="s">
        <v>4000</v>
      </c>
      <c r="AE30" s="8" t="s">
        <v>3708</v>
      </c>
      <c r="AF30" s="9">
        <f t="shared" si="0"/>
        <v>27.108000000000001</v>
      </c>
      <c r="AG30" s="9">
        <f t="shared" si="1"/>
        <v>19.080000000000002</v>
      </c>
      <c r="AH30" s="9">
        <f t="shared" si="2"/>
        <v>0.41441234027857715</v>
      </c>
      <c r="AI30" s="9">
        <f t="shared" si="3"/>
        <v>0.17173758777516721</v>
      </c>
      <c r="AJ30" s="9">
        <f t="shared" si="4"/>
        <v>0.27081368182529292</v>
      </c>
      <c r="AK30" s="9">
        <f t="shared" si="5"/>
        <v>7.3340050263770981E-2</v>
      </c>
      <c r="AL30" s="9">
        <f t="shared" si="6"/>
        <v>0.26788385652975555</v>
      </c>
      <c r="AM30" s="9">
        <f t="shared" si="7"/>
        <v>7.1761760589254653E-2</v>
      </c>
      <c r="AN30" s="8" t="s">
        <v>629</v>
      </c>
    </row>
    <row r="31" spans="8:40" ht="23">
      <c r="H31" s="8"/>
      <c r="I31" s="8"/>
      <c r="J31" s="8"/>
      <c r="K31" s="8"/>
      <c r="L31" s="8"/>
      <c r="M31" s="8" t="s">
        <v>5029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8" t="s">
        <v>5029</v>
      </c>
      <c r="X31" s="8">
        <v>15.67</v>
      </c>
      <c r="Y31" s="8">
        <v>6.52</v>
      </c>
      <c r="Z31" s="9">
        <v>4.43</v>
      </c>
      <c r="AA31" s="8">
        <v>8.8000000000000007</v>
      </c>
      <c r="AB31" s="8">
        <v>11400</v>
      </c>
      <c r="AC31" s="21" t="s">
        <v>5029</v>
      </c>
      <c r="AD31" s="8" t="s">
        <v>4000</v>
      </c>
      <c r="AE31" s="8" t="s">
        <v>3708</v>
      </c>
      <c r="AF31" s="9">
        <f t="shared" si="0"/>
        <v>57.375999999999998</v>
      </c>
      <c r="AG31" s="9">
        <f t="shared" si="1"/>
        <v>41.506666666666668</v>
      </c>
      <c r="AH31" s="9">
        <f t="shared" si="2"/>
        <v>0.33766931430106284</v>
      </c>
      <c r="AI31" s="9">
        <f t="shared" si="3"/>
        <v>0.11402056582054997</v>
      </c>
      <c r="AJ31" s="9">
        <f t="shared" si="4"/>
        <v>0.57319631874015076</v>
      </c>
      <c r="AK31" s="9">
        <f t="shared" si="5"/>
        <v>0.32855401981726051</v>
      </c>
      <c r="AL31" s="9">
        <f t="shared" si="6"/>
        <v>0.58275502821602299</v>
      </c>
      <c r="AM31" s="9">
        <f t="shared" si="7"/>
        <v>0.33960342291105777</v>
      </c>
      <c r="AN31" s="8" t="s">
        <v>5029</v>
      </c>
    </row>
    <row r="32" spans="8:40" ht="23">
      <c r="H32" s="8"/>
      <c r="I32" s="8"/>
      <c r="J32" s="8"/>
      <c r="K32" s="8"/>
      <c r="L32" s="8"/>
      <c r="M32" s="9" t="s">
        <v>2592</v>
      </c>
      <c r="N32" s="8" t="s">
        <v>150</v>
      </c>
      <c r="O32" s="8"/>
      <c r="P32" s="8" t="s">
        <v>4667</v>
      </c>
      <c r="Q32" s="8"/>
      <c r="R32" s="8"/>
      <c r="S32" s="8"/>
      <c r="T32" s="8"/>
      <c r="U32" s="8"/>
      <c r="V32" s="8"/>
      <c r="W32" s="9" t="s">
        <v>2592</v>
      </c>
      <c r="X32" s="8">
        <v>23.78</v>
      </c>
      <c r="Y32" s="8">
        <v>3.72</v>
      </c>
      <c r="Z32" s="9">
        <v>3.45</v>
      </c>
      <c r="AA32" s="8">
        <v>7.6</v>
      </c>
      <c r="AB32" s="8">
        <v>12243</v>
      </c>
      <c r="AC32" s="22" t="s">
        <v>2592</v>
      </c>
      <c r="AD32" s="8" t="s">
        <v>4000</v>
      </c>
      <c r="AE32" s="8" t="s">
        <v>3708</v>
      </c>
      <c r="AF32" s="9">
        <f t="shared" si="0"/>
        <v>28.271999999999998</v>
      </c>
      <c r="AG32" s="9">
        <f t="shared" si="1"/>
        <v>28.5</v>
      </c>
      <c r="AH32" s="9">
        <f t="shared" si="2"/>
        <v>0.29162349871455429</v>
      </c>
      <c r="AI32" s="9">
        <f t="shared" si="3"/>
        <v>8.5044265002517647E-2</v>
      </c>
      <c r="AJ32" s="9">
        <f t="shared" si="4"/>
        <v>0.28244224629499343</v>
      </c>
      <c r="AK32" s="9">
        <f t="shared" si="5"/>
        <v>7.977362249216173E-2</v>
      </c>
      <c r="AL32" s="9">
        <f t="shared" si="6"/>
        <v>0.40014098066551534</v>
      </c>
      <c r="AM32" s="9">
        <f t="shared" si="7"/>
        <v>0.16011280440796033</v>
      </c>
      <c r="AN32" s="9" t="s">
        <v>2592</v>
      </c>
    </row>
    <row r="33" spans="8:40" ht="23">
      <c r="H33" s="8"/>
      <c r="I33" s="8"/>
      <c r="J33" s="8"/>
      <c r="K33" s="8"/>
      <c r="L33" s="8"/>
      <c r="M33" s="9" t="s">
        <v>4891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9" t="s">
        <v>4891</v>
      </c>
      <c r="X33" s="8">
        <v>22.92</v>
      </c>
      <c r="Y33" s="8">
        <v>4.8099999999999996</v>
      </c>
      <c r="Z33" s="9">
        <v>1.43</v>
      </c>
      <c r="AA33" s="8">
        <v>7</v>
      </c>
      <c r="AB33" s="8">
        <v>19870</v>
      </c>
      <c r="AC33" s="22" t="s">
        <v>4891</v>
      </c>
      <c r="AD33" s="8" t="s">
        <v>4000</v>
      </c>
      <c r="AE33" s="8" t="s">
        <v>3708</v>
      </c>
      <c r="AF33" s="9">
        <f t="shared" si="0"/>
        <v>33.669999999999995</v>
      </c>
      <c r="AG33" s="9">
        <f t="shared" si="1"/>
        <v>12.016666666666667</v>
      </c>
      <c r="AH33" s="9">
        <f t="shared" si="2"/>
        <v>0.26860059092130001</v>
      </c>
      <c r="AI33" s="9">
        <f t="shared" si="3"/>
        <v>7.2146277443271553E-2</v>
      </c>
      <c r="AJ33" s="9">
        <f t="shared" si="4"/>
        <v>0.33636921451444635</v>
      </c>
      <c r="AK33" s="9">
        <f t="shared" si="5"/>
        <v>0.11314424847306562</v>
      </c>
      <c r="AL33" s="9">
        <f t="shared" si="6"/>
        <v>0.16871441348528454</v>
      </c>
      <c r="AM33" s="9">
        <f t="shared" si="7"/>
        <v>2.8464553317683564E-2</v>
      </c>
      <c r="AN33" s="9" t="s">
        <v>4891</v>
      </c>
    </row>
    <row r="34" spans="8:40" ht="23">
      <c r="H34" s="8"/>
      <c r="I34" s="8"/>
      <c r="J34" s="8"/>
      <c r="K34" s="8"/>
      <c r="L34" s="8"/>
      <c r="M34" s="8" t="s">
        <v>997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8" t="s">
        <v>997</v>
      </c>
      <c r="X34" s="8">
        <v>6.35</v>
      </c>
      <c r="Y34" s="8">
        <v>4.49</v>
      </c>
      <c r="Z34" s="9">
        <v>1.35</v>
      </c>
      <c r="AA34" s="8">
        <v>4.9000000000000004</v>
      </c>
      <c r="AB34" s="8">
        <v>32733</v>
      </c>
      <c r="AC34" s="21" t="s">
        <v>997</v>
      </c>
      <c r="AD34" s="8" t="s">
        <v>4000</v>
      </c>
      <c r="AE34" s="8" t="s">
        <v>3708</v>
      </c>
      <c r="AF34" s="9">
        <f t="shared" si="0"/>
        <v>22.001000000000001</v>
      </c>
      <c r="AG34" s="9">
        <f t="shared" si="1"/>
        <v>7.7583333333333346</v>
      </c>
      <c r="AH34" s="9">
        <f t="shared" si="2"/>
        <v>0.18802041364490998</v>
      </c>
      <c r="AI34" s="9">
        <f t="shared" si="3"/>
        <v>3.5351675947203051E-2</v>
      </c>
      <c r="AJ34" s="9">
        <f t="shared" si="4"/>
        <v>0.2197938547232651</v>
      </c>
      <c r="AK34" s="9">
        <f t="shared" si="5"/>
        <v>4.8309338574111765E-2</v>
      </c>
      <c r="AL34" s="9">
        <f t="shared" si="6"/>
        <v>0.10892726695894586</v>
      </c>
      <c r="AM34" s="9">
        <f t="shared" si="7"/>
        <v>1.186514948714546E-2</v>
      </c>
      <c r="AN34" s="8" t="s">
        <v>997</v>
      </c>
    </row>
    <row r="35" spans="8:40" ht="23">
      <c r="H35" s="8"/>
      <c r="I35" s="8"/>
      <c r="J35" s="8"/>
      <c r="K35" s="8"/>
      <c r="L35" s="8"/>
      <c r="M35" s="8" t="s">
        <v>132</v>
      </c>
      <c r="N35" s="8" t="s">
        <v>125</v>
      </c>
      <c r="O35" s="8"/>
      <c r="P35" s="8" t="s">
        <v>3706</v>
      </c>
      <c r="Q35" s="8"/>
      <c r="R35" s="8"/>
      <c r="S35" s="8"/>
      <c r="T35" s="8"/>
      <c r="U35" s="8"/>
      <c r="V35" s="8"/>
      <c r="W35" s="8" t="s">
        <v>132</v>
      </c>
      <c r="X35" s="8">
        <v>32.700000000000003</v>
      </c>
      <c r="Y35" s="8">
        <v>3.41</v>
      </c>
      <c r="Z35" s="9">
        <v>2.54</v>
      </c>
      <c r="AA35" s="8">
        <v>4.2</v>
      </c>
      <c r="AB35" s="8">
        <v>24860</v>
      </c>
      <c r="AC35" s="21" t="s">
        <v>132</v>
      </c>
      <c r="AD35" s="8" t="s">
        <v>4000</v>
      </c>
      <c r="AE35" s="8" t="s">
        <v>3708</v>
      </c>
      <c r="AF35" s="9">
        <f t="shared" si="0"/>
        <v>14.322000000000001</v>
      </c>
      <c r="AG35" s="9">
        <f t="shared" si="1"/>
        <v>12.18</v>
      </c>
      <c r="AH35" s="9">
        <f t="shared" si="2"/>
        <v>0.16116035455278002</v>
      </c>
      <c r="AI35" s="9">
        <f t="shared" si="3"/>
        <v>2.5972659879577763E-2</v>
      </c>
      <c r="AJ35" s="9">
        <f t="shared" si="4"/>
        <v>0.14307929582049012</v>
      </c>
      <c r="AK35" s="9">
        <f t="shared" si="5"/>
        <v>2.0471684892487321E-2</v>
      </c>
      <c r="AL35" s="9">
        <f t="shared" si="6"/>
        <v>0.17100761910547288</v>
      </c>
      <c r="AM35" s="9">
        <f t="shared" si="7"/>
        <v>2.9243605792122492E-2</v>
      </c>
      <c r="AN35" s="8" t="s">
        <v>132</v>
      </c>
    </row>
    <row r="36" spans="8:40" ht="23">
      <c r="H36" s="8"/>
      <c r="I36" s="8"/>
      <c r="J36" s="8"/>
      <c r="K36" s="8"/>
      <c r="L36" s="8"/>
      <c r="M36" s="9" t="s">
        <v>3217</v>
      </c>
      <c r="N36" s="8" t="s">
        <v>1902</v>
      </c>
      <c r="O36" s="8"/>
      <c r="P36" s="8"/>
      <c r="Q36" s="8"/>
      <c r="R36" s="8"/>
      <c r="S36" s="8"/>
      <c r="T36" s="8"/>
      <c r="U36" s="8"/>
      <c r="V36" s="8"/>
      <c r="W36" s="9" t="s">
        <v>3217</v>
      </c>
      <c r="X36" s="8">
        <v>28.5</v>
      </c>
      <c r="Y36" s="8">
        <v>3.11</v>
      </c>
      <c r="Z36" s="9">
        <v>3.17</v>
      </c>
      <c r="AA36" s="8">
        <v>4</v>
      </c>
      <c r="AB36" s="8">
        <v>26682</v>
      </c>
      <c r="AC36" s="22" t="s">
        <v>3217</v>
      </c>
      <c r="AD36" s="8" t="s">
        <v>4000</v>
      </c>
      <c r="AE36" s="8" t="s">
        <v>3708</v>
      </c>
      <c r="AF36" s="9">
        <f t="shared" si="0"/>
        <v>12.44</v>
      </c>
      <c r="AG36" s="9">
        <f t="shared" si="1"/>
        <v>13.133333333333333</v>
      </c>
      <c r="AH36" s="9">
        <f t="shared" si="2"/>
        <v>0.15348605195502857</v>
      </c>
      <c r="AI36" s="9">
        <f t="shared" si="3"/>
        <v>2.3557968144741728E-2</v>
      </c>
      <c r="AJ36" s="9">
        <f t="shared" si="4"/>
        <v>0.1242777852260087</v>
      </c>
      <c r="AK36" s="9">
        <f t="shared" si="5"/>
        <v>1.5444967900681946E-2</v>
      </c>
      <c r="AL36" s="9">
        <f t="shared" si="6"/>
        <v>0.18439245190902109</v>
      </c>
      <c r="AM36" s="9">
        <f t="shared" si="7"/>
        <v>3.4000576321020659E-2</v>
      </c>
      <c r="AN36" s="9" t="s">
        <v>3217</v>
      </c>
    </row>
    <row r="37" spans="8:40" ht="23">
      <c r="H37" s="8"/>
      <c r="I37" s="8"/>
      <c r="J37" s="8"/>
      <c r="K37" s="8"/>
      <c r="L37" s="8"/>
      <c r="M37" s="8" t="s">
        <v>289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8" t="s">
        <v>289</v>
      </c>
      <c r="X37" s="8">
        <v>26.79</v>
      </c>
      <c r="Y37" s="8">
        <v>4.88</v>
      </c>
      <c r="Z37" s="9">
        <v>0.37</v>
      </c>
      <c r="AA37" s="8">
        <v>2.5</v>
      </c>
      <c r="AB37" s="8">
        <v>53380</v>
      </c>
      <c r="AC37" s="21" t="s">
        <v>289</v>
      </c>
      <c r="AD37" s="8" t="s">
        <v>4000</v>
      </c>
      <c r="AE37" s="8" t="s">
        <v>3708</v>
      </c>
      <c r="AF37" s="9">
        <f t="shared" si="0"/>
        <v>12.2</v>
      </c>
      <c r="AG37" s="9">
        <f t="shared" si="1"/>
        <v>1.5416666666666667</v>
      </c>
      <c r="AH37" s="9">
        <f t="shared" si="2"/>
        <v>9.5928782471892848E-2</v>
      </c>
      <c r="AI37" s="9">
        <f t="shared" si="3"/>
        <v>9.2023313065397374E-3</v>
      </c>
      <c r="AJ37" s="9">
        <f t="shared" si="4"/>
        <v>0.12188014306730759</v>
      </c>
      <c r="AK37" s="9">
        <f t="shared" si="5"/>
        <v>1.4854769274107366E-2</v>
      </c>
      <c r="AL37" s="9">
        <f t="shared" si="6"/>
        <v>2.1645053047696004E-2</v>
      </c>
      <c r="AM37" s="9">
        <f t="shared" si="7"/>
        <v>4.6850832143757406E-4</v>
      </c>
      <c r="AN37" s="8" t="s">
        <v>289</v>
      </c>
    </row>
    <row r="38" spans="8:40" ht="23">
      <c r="H38" s="8"/>
      <c r="I38" s="8"/>
      <c r="J38" s="8"/>
      <c r="K38" s="8"/>
      <c r="L38" s="8"/>
      <c r="M38" s="9" t="s">
        <v>2381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9" t="s">
        <v>2381</v>
      </c>
      <c r="X38" s="8">
        <v>36.65</v>
      </c>
      <c r="Y38" s="8">
        <v>4.55</v>
      </c>
      <c r="Z38" s="9">
        <v>3.58</v>
      </c>
      <c r="AA38" s="8">
        <v>2.4</v>
      </c>
      <c r="AB38" s="8">
        <v>26817</v>
      </c>
      <c r="AC38" s="22" t="s">
        <v>2381</v>
      </c>
      <c r="AD38" s="8" t="s">
        <v>4000</v>
      </c>
      <c r="AE38" s="8" t="s">
        <v>3708</v>
      </c>
      <c r="AF38" s="9">
        <f t="shared" si="0"/>
        <v>10.92</v>
      </c>
      <c r="AG38" s="9">
        <f t="shared" si="1"/>
        <v>9.52</v>
      </c>
      <c r="AH38" s="9">
        <f t="shared" si="2"/>
        <v>9.2091631173017136E-2</v>
      </c>
      <c r="AI38" s="9">
        <f t="shared" si="3"/>
        <v>8.4808685321070207E-3</v>
      </c>
      <c r="AJ38" s="9">
        <f t="shared" si="4"/>
        <v>0.10909271822090155</v>
      </c>
      <c r="AK38" s="9">
        <f t="shared" si="5"/>
        <v>1.1901221168825025E-2</v>
      </c>
      <c r="AL38" s="9">
        <f t="shared" si="6"/>
        <v>0.13366112757669141</v>
      </c>
      <c r="AM38" s="9">
        <f t="shared" si="7"/>
        <v>1.7865297025072575E-2</v>
      </c>
      <c r="AN38" s="9" t="s">
        <v>2381</v>
      </c>
    </row>
    <row r="39" spans="8:40" ht="23">
      <c r="H39" s="8"/>
      <c r="I39" s="8"/>
      <c r="J39" s="8"/>
      <c r="K39" s="8"/>
      <c r="L39" s="8"/>
      <c r="M39" s="9" t="s">
        <v>3389</v>
      </c>
      <c r="N39" s="8" t="s">
        <v>1990</v>
      </c>
      <c r="O39" s="8"/>
      <c r="P39" s="8"/>
      <c r="Q39" s="8"/>
      <c r="R39" s="8"/>
      <c r="S39" s="8"/>
      <c r="T39" s="8"/>
      <c r="U39" s="8"/>
      <c r="V39" s="8"/>
      <c r="W39" s="9" t="s">
        <v>3389</v>
      </c>
      <c r="X39" s="8">
        <v>22.88</v>
      </c>
      <c r="Y39" s="8">
        <v>4.5999999999999996</v>
      </c>
      <c r="Z39" s="9">
        <v>3.21</v>
      </c>
      <c r="AA39" s="8">
        <v>2.2999999999999998</v>
      </c>
      <c r="AB39" s="8">
        <v>34276</v>
      </c>
      <c r="AC39" s="22" t="s">
        <v>3389</v>
      </c>
      <c r="AD39" s="8" t="s">
        <v>4000</v>
      </c>
      <c r="AE39" s="8" t="s">
        <v>3708</v>
      </c>
      <c r="AF39" s="9">
        <f t="shared" si="0"/>
        <v>10.579999999999998</v>
      </c>
      <c r="AG39" s="9">
        <f t="shared" si="1"/>
        <v>7.7049999999999992</v>
      </c>
      <c r="AH39" s="9">
        <f t="shared" si="2"/>
        <v>8.8254479874141423E-2</v>
      </c>
      <c r="AI39" s="9">
        <f t="shared" si="3"/>
        <v>7.7888532178552331E-3</v>
      </c>
      <c r="AJ39" s="9">
        <f t="shared" si="4"/>
        <v>0.10569605849607491</v>
      </c>
      <c r="AK39" s="9">
        <f t="shared" si="5"/>
        <v>1.117165678160569E-2</v>
      </c>
      <c r="AL39" s="9">
        <f t="shared" si="6"/>
        <v>0.10817846512378229</v>
      </c>
      <c r="AM39" s="9">
        <f t="shared" si="7"/>
        <v>1.1702580316537382E-2</v>
      </c>
      <c r="AN39" s="9" t="s">
        <v>3389</v>
      </c>
    </row>
    <row r="40" spans="8:40" ht="23">
      <c r="H40" s="8"/>
      <c r="I40" s="8"/>
      <c r="J40" s="8"/>
      <c r="K40" s="8"/>
      <c r="L40" s="8"/>
      <c r="M40" s="9" t="s">
        <v>2164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9" t="s">
        <v>2164</v>
      </c>
      <c r="X40" s="8">
        <v>23.71</v>
      </c>
      <c r="Y40" s="8">
        <v>2.1</v>
      </c>
      <c r="Z40" s="9">
        <v>1.17</v>
      </c>
      <c r="AA40" s="8">
        <v>2.1</v>
      </c>
      <c r="AB40" s="8">
        <v>48363</v>
      </c>
      <c r="AC40" s="22" t="s">
        <v>2164</v>
      </c>
      <c r="AD40" s="8" t="s">
        <v>4000</v>
      </c>
      <c r="AE40" s="8" t="s">
        <v>3708</v>
      </c>
      <c r="AF40" s="9">
        <f t="shared" si="0"/>
        <v>4.41</v>
      </c>
      <c r="AG40" s="9">
        <f t="shared" si="1"/>
        <v>2.6949999999999998</v>
      </c>
      <c r="AH40" s="9">
        <f t="shared" si="2"/>
        <v>8.0580177276390011E-2</v>
      </c>
      <c r="AI40" s="9">
        <f t="shared" si="3"/>
        <v>6.4931649698944409E-3</v>
      </c>
      <c r="AJ40" s="9">
        <f t="shared" si="4"/>
        <v>4.4056674666133319E-2</v>
      </c>
      <c r="AK40" s="9">
        <f t="shared" si="5"/>
        <v>1.9409905826375134E-3</v>
      </c>
      <c r="AL40" s="9">
        <f t="shared" si="6"/>
        <v>3.7837892733107503E-2</v>
      </c>
      <c r="AM40" s="9">
        <f t="shared" si="7"/>
        <v>1.4317061264821497E-3</v>
      </c>
      <c r="AN40" s="9" t="s">
        <v>2164</v>
      </c>
    </row>
    <row r="41" spans="8:40" ht="23">
      <c r="H41" s="8"/>
      <c r="I41" s="8"/>
      <c r="J41" s="8"/>
      <c r="K41" s="8"/>
      <c r="L41" s="8"/>
      <c r="M41" s="8" t="s">
        <v>1407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8" t="s">
        <v>1407</v>
      </c>
      <c r="X41" s="8">
        <v>43.01</v>
      </c>
      <c r="Y41" s="8">
        <v>2.31</v>
      </c>
      <c r="Z41" s="9">
        <v>1.52</v>
      </c>
      <c r="AA41" s="8">
        <v>1.9</v>
      </c>
      <c r="AB41" s="8">
        <v>52659</v>
      </c>
      <c r="AC41" s="21" t="s">
        <v>1407</v>
      </c>
      <c r="AD41" s="8" t="s">
        <v>4000</v>
      </c>
      <c r="AE41" s="8" t="s">
        <v>3708</v>
      </c>
      <c r="AF41" s="9">
        <f t="shared" si="0"/>
        <v>4.3890000000000002</v>
      </c>
      <c r="AG41" s="9">
        <f t="shared" si="1"/>
        <v>3.5466666666666664</v>
      </c>
      <c r="AH41" s="9">
        <f t="shared" si="2"/>
        <v>7.2905874678638571E-2</v>
      </c>
      <c r="AI41" s="9">
        <f t="shared" si="3"/>
        <v>5.3152665626573529E-3</v>
      </c>
      <c r="AJ41" s="9">
        <f t="shared" si="4"/>
        <v>4.3846880977246969E-2</v>
      </c>
      <c r="AK41" s="9">
        <f t="shared" si="5"/>
        <v>1.9225489714328622E-3</v>
      </c>
      <c r="AL41" s="9">
        <f t="shared" si="6"/>
        <v>4.9795322038375237E-2</v>
      </c>
      <c r="AM41" s="9">
        <f t="shared" si="7"/>
        <v>2.4795740969054984E-3</v>
      </c>
      <c r="AN41" s="8" t="s">
        <v>1407</v>
      </c>
    </row>
    <row r="42" spans="8:40" ht="23">
      <c r="H42" s="8"/>
      <c r="I42" s="8"/>
      <c r="J42" s="8"/>
      <c r="K42" s="8"/>
      <c r="L42" s="8"/>
      <c r="M42" s="9" t="s">
        <v>2394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9" t="s">
        <v>2394</v>
      </c>
      <c r="X42" s="8">
        <v>31.12</v>
      </c>
      <c r="Y42" s="8">
        <v>3.03</v>
      </c>
      <c r="Z42" s="9">
        <v>1.0900000000000001</v>
      </c>
      <c r="AA42" s="8">
        <v>1.4</v>
      </c>
      <c r="AB42" s="8">
        <v>55378</v>
      </c>
      <c r="AC42" s="22" t="s">
        <v>2394</v>
      </c>
      <c r="AD42" s="8" t="s">
        <v>4000</v>
      </c>
      <c r="AE42" s="8" t="s">
        <v>3708</v>
      </c>
      <c r="AF42" s="9">
        <f t="shared" si="0"/>
        <v>4.2419999999999991</v>
      </c>
      <c r="AG42" s="9">
        <f t="shared" si="1"/>
        <v>1.6099999999999999</v>
      </c>
      <c r="AH42" s="9">
        <f t="shared" si="2"/>
        <v>5.3720118184259993E-2</v>
      </c>
      <c r="AI42" s="9">
        <f t="shared" si="3"/>
        <v>2.8858510977308612E-3</v>
      </c>
      <c r="AJ42" s="9">
        <f t="shared" si="4"/>
        <v>4.2378325155042515E-2</v>
      </c>
      <c r="AK42" s="9">
        <f t="shared" si="5"/>
        <v>1.7959224429465093E-3</v>
      </c>
      <c r="AL42" s="9">
        <f t="shared" si="6"/>
        <v>2.2604455398999284E-2</v>
      </c>
      <c r="AM42" s="9">
        <f t="shared" si="7"/>
        <v>5.109614038853479E-4</v>
      </c>
      <c r="AN42" s="9" t="s">
        <v>2394</v>
      </c>
    </row>
    <row r="43" spans="8:40" ht="23">
      <c r="H43" s="8"/>
      <c r="I43" s="8"/>
      <c r="J43" s="8"/>
      <c r="K43" s="8"/>
      <c r="L43" s="8"/>
      <c r="M43" s="8" t="s">
        <v>1507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8" t="s">
        <v>1507</v>
      </c>
      <c r="X43" s="8">
        <v>41.86</v>
      </c>
      <c r="Y43" s="8">
        <v>2.89</v>
      </c>
      <c r="Z43" s="9">
        <v>1.2</v>
      </c>
      <c r="AA43" s="8">
        <v>1.4</v>
      </c>
      <c r="AB43" s="8">
        <v>57433</v>
      </c>
      <c r="AC43" s="21" t="s">
        <v>1507</v>
      </c>
      <c r="AD43" s="8" t="s">
        <v>4000</v>
      </c>
      <c r="AE43" s="8" t="s">
        <v>3708</v>
      </c>
      <c r="AF43" s="9">
        <f t="shared" si="0"/>
        <v>4.0460000000000003</v>
      </c>
      <c r="AG43" s="9">
        <f t="shared" si="1"/>
        <v>1.4046666666666667</v>
      </c>
      <c r="AH43" s="9">
        <f t="shared" si="2"/>
        <v>5.3720118184259993E-2</v>
      </c>
      <c r="AI43" s="9">
        <f t="shared" si="3"/>
        <v>2.8858510977308612E-3</v>
      </c>
      <c r="AJ43" s="9">
        <f t="shared" si="4"/>
        <v>4.0420250725436598E-2</v>
      </c>
      <c r="AK43" s="9">
        <f t="shared" si="5"/>
        <v>1.6337966687071579E-3</v>
      </c>
      <c r="AL43" s="9">
        <f t="shared" si="6"/>
        <v>1.9721568333619668E-2</v>
      </c>
      <c r="AM43" s="9">
        <f t="shared" si="7"/>
        <v>3.8894025753763006E-4</v>
      </c>
      <c r="AN43" s="8" t="s">
        <v>1507</v>
      </c>
    </row>
    <row r="44" spans="8:40" ht="23">
      <c r="H44" s="8"/>
      <c r="I44" s="8"/>
      <c r="J44" s="8"/>
      <c r="K44" s="8"/>
      <c r="L44" s="8"/>
      <c r="M44" s="8" t="s">
        <v>1220</v>
      </c>
      <c r="N44" s="8" t="s">
        <v>150</v>
      </c>
      <c r="O44" s="8"/>
      <c r="P44" s="8"/>
      <c r="Q44" s="8"/>
      <c r="R44" s="8"/>
      <c r="S44" s="8"/>
      <c r="T44" s="8"/>
      <c r="U44" s="8"/>
      <c r="V44" s="8"/>
      <c r="W44" s="8" t="s">
        <v>1220</v>
      </c>
      <c r="X44" s="8">
        <v>48.31</v>
      </c>
      <c r="Y44" s="8">
        <v>2.41</v>
      </c>
      <c r="Z44" s="9">
        <v>2.31</v>
      </c>
      <c r="AA44" s="8">
        <v>1.2</v>
      </c>
      <c r="AB44" s="8">
        <v>60299</v>
      </c>
      <c r="AC44" s="21" t="s">
        <v>1220</v>
      </c>
      <c r="AD44" s="8" t="s">
        <v>4000</v>
      </c>
      <c r="AE44" s="8" t="s">
        <v>3708</v>
      </c>
      <c r="AF44" s="9">
        <f t="shared" si="0"/>
        <v>2.8919999999999999</v>
      </c>
      <c r="AG44" s="9">
        <f t="shared" si="1"/>
        <v>3.02</v>
      </c>
      <c r="AH44" s="9">
        <f t="shared" si="2"/>
        <v>4.6045815586508568E-2</v>
      </c>
      <c r="AI44" s="9">
        <f t="shared" si="3"/>
        <v>2.1202171330267552E-3</v>
      </c>
      <c r="AJ44" s="9">
        <f t="shared" si="4"/>
        <v>2.8891588012348646E-2</v>
      </c>
      <c r="AK44" s="9">
        <f t="shared" si="5"/>
        <v>8.3472385787528795E-4</v>
      </c>
      <c r="AL44" s="9">
        <f t="shared" si="6"/>
        <v>4.240090391613531E-2</v>
      </c>
      <c r="AM44" s="9">
        <f t="shared" si="7"/>
        <v>1.7978366529053387E-3</v>
      </c>
      <c r="AN44" s="8" t="s">
        <v>1220</v>
      </c>
    </row>
    <row r="45" spans="8:40" ht="23">
      <c r="H45" s="8"/>
      <c r="I45" s="8"/>
      <c r="J45" s="8"/>
      <c r="K45" s="8"/>
      <c r="L45" s="8"/>
      <c r="M45" s="8" t="s">
        <v>1552</v>
      </c>
      <c r="N45" s="8" t="s">
        <v>150</v>
      </c>
      <c r="O45" s="8"/>
      <c r="P45" s="8"/>
      <c r="Q45" s="8"/>
      <c r="R45" s="8"/>
      <c r="S45" s="8"/>
      <c r="T45" s="8"/>
      <c r="U45" s="8"/>
      <c r="V45" s="8"/>
      <c r="W45" s="8" t="s">
        <v>1552</v>
      </c>
      <c r="X45" s="8">
        <v>39.409999999999997</v>
      </c>
      <c r="Y45" s="8">
        <v>3.15</v>
      </c>
      <c r="Z45" s="9">
        <v>1.1299999999999999</v>
      </c>
      <c r="AA45" s="8">
        <v>1.1000000000000001</v>
      </c>
      <c r="AB45" s="8">
        <v>69027</v>
      </c>
      <c r="AC45" s="21" t="s">
        <v>1552</v>
      </c>
      <c r="AD45" s="8" t="s">
        <v>4000</v>
      </c>
      <c r="AE45" s="8" t="s">
        <v>3708</v>
      </c>
      <c r="AF45" s="9">
        <f t="shared" si="0"/>
        <v>3.4650000000000003</v>
      </c>
      <c r="AG45" s="9">
        <f t="shared" si="1"/>
        <v>1.3383333333333336</v>
      </c>
      <c r="AH45" s="9">
        <f t="shared" si="2"/>
        <v>4.2208664287632855E-2</v>
      </c>
      <c r="AI45" s="9">
        <f t="shared" si="3"/>
        <v>1.7815713409460932E-3</v>
      </c>
      <c r="AJ45" s="9">
        <f t="shared" si="4"/>
        <v>3.4615958666247608E-2</v>
      </c>
      <c r="AK45" s="9">
        <f t="shared" si="5"/>
        <v>1.1982645943833629E-3</v>
      </c>
      <c r="AL45" s="9">
        <f t="shared" si="6"/>
        <v>1.879024605113502E-2</v>
      </c>
      <c r="AM45" s="9">
        <f t="shared" si="7"/>
        <v>3.5307334666219523E-4</v>
      </c>
      <c r="AN45" s="8" t="s">
        <v>1552</v>
      </c>
    </row>
    <row r="46" spans="8:40" ht="23"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5"/>
      <c r="AA46" s="8">
        <f>SUBTOTAL(109,Table136910[ترافیک کل])</f>
        <v>2606.1000000000004</v>
      </c>
      <c r="AB46" s="24"/>
      <c r="AC46" s="21"/>
      <c r="AD46" s="24"/>
      <c r="AE46" s="24"/>
      <c r="AF46" s="25">
        <f>SUBTOTAL(109,Table136910[[مجموع صفحات  مشاهده شده   ]])</f>
        <v>10009.834000000003</v>
      </c>
      <c r="AG46" s="25">
        <f>SUBTOTAL(109,Table136910[[مجموع زمان حضور در سایت ]])</f>
        <v>7122.4896666666682</v>
      </c>
      <c r="AH46" s="25">
        <f>SUBTOTAL(109,Table136910[سهم سایت از کل ترافیک طبقه بندی])</f>
        <v>99.999999999999972</v>
      </c>
      <c r="AI46" s="25">
        <f>SUBTOTAL(109,Table136910[شاخص هرفیندال هیرشمن (ترافیک)])</f>
        <v>728.81794018075618</v>
      </c>
      <c r="AJ46" s="25">
        <f>SUBTOTAL(109,Table136910[سهم سایت از کل صفحات مشاهده شده در طبقه بندی])</f>
        <v>99.999999999999972</v>
      </c>
      <c r="AK46" s="25">
        <f>SUBTOTAL(109,Table136910[شاخص هرفیندال -هیرشمن (صفحات مشاهده شده )])</f>
        <v>1719.4481029508786</v>
      </c>
      <c r="AL46" s="25">
        <f>SUBTOTAL(109,Table136910[سهم سایت از کل زمان حضور در طبقه بندی])</f>
        <v>99.999999999999943</v>
      </c>
      <c r="AM46" s="25">
        <f>SUBTOTAL(109,Table136910[شاخص هرفیندال هیرشمن (زمان حضور)])</f>
        <v>2351.9265708557755</v>
      </c>
      <c r="AN46" s="25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{913DE533-36D3-4C23-ACA8-DFC87B7C4FCA}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{7675D555-93AE-4544-A89D-B10A9A0144AF}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{5583DD18-53B4-4D79-B58A-3E48C59197A7}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{34B55AAC-14EE-42A5-A489-B24E1CF68D14}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{21418E58-3E77-4CA9-84EC-89678D9F5CD7}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{FB22ACFC-6BD2-4F1D-91D9-8A4EC8CB719D}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3DE533-36D3-4C23-ACA8-DFC87B7C4FC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675D555-93AE-4544-A89D-B10A9A0144A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583DD18-53B4-4D79-B58A-3E48C59197A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4B55AAC-14EE-42A5-A489-B24E1CF68D1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1418E58-3E77-4CA9-84EC-89678D9F5CD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FB22ACFC-6BD2-4F1D-91D9-8A4EC8CB719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1"/>
  <sheetViews>
    <sheetView showGridLines="0" rightToLeft="1" topLeftCell="AK7" zoomScale="70" zoomScaleNormal="70" workbookViewId="0">
      <selection activeCell="AM21" sqref="AM2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6.6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9" t="s">
        <v>3347</v>
      </c>
      <c r="N2" s="8" t="s">
        <v>1964</v>
      </c>
      <c r="O2" s="8"/>
      <c r="P2" s="8" t="s">
        <v>3692</v>
      </c>
      <c r="Q2" s="8"/>
      <c r="R2" s="8"/>
      <c r="S2" s="8"/>
      <c r="T2" s="8"/>
      <c r="U2" s="8"/>
      <c r="V2" s="8"/>
      <c r="W2" s="9" t="s">
        <v>3347</v>
      </c>
      <c r="X2" s="8">
        <v>23.52</v>
      </c>
      <c r="Y2" s="8">
        <v>5.14</v>
      </c>
      <c r="Z2" s="9">
        <v>5.59</v>
      </c>
      <c r="AA2" s="8">
        <v>484.7</v>
      </c>
      <c r="AB2" s="8">
        <v>417</v>
      </c>
      <c r="AC2" s="22" t="s">
        <v>3347</v>
      </c>
      <c r="AD2" s="8" t="s">
        <v>4463</v>
      </c>
      <c r="AE2" s="8" t="s">
        <v>4363</v>
      </c>
      <c r="AF2" s="9">
        <f t="shared" ref="AF2:AF20" si="0">(AA2*Y2)</f>
        <v>2491.3579999999997</v>
      </c>
      <c r="AG2" s="9">
        <f t="shared" ref="AG2:AG20" si="1">((((RIGHT(Z2,2))/60)+(LEFT(Z2,2)))*AA2)</f>
        <v>2900.1216666666664</v>
      </c>
      <c r="AH2" s="9">
        <f t="shared" ref="AH2:AH20" si="2">(AA2/$AA$21)*100</f>
        <v>43.517687196983303</v>
      </c>
      <c r="AI2" s="9">
        <f t="shared" ref="AI2:AI20" si="3">(AH2*AH2)</f>
        <v>1893.7890989744844</v>
      </c>
      <c r="AJ2" s="9">
        <f t="shared" ref="AJ2:AJ20" si="4">(AF2/$AF$21)*100</f>
        <v>44.395574552285687</v>
      </c>
      <c r="AK2" s="9">
        <f t="shared" ref="AK2:AK20" si="5">(AJ2*AJ2)</f>
        <v>1970.9670398275564</v>
      </c>
      <c r="AL2" s="9">
        <f t="shared" ref="AL2:AL20" si="6">(AG2/$AG$21)*100</f>
        <v>46.856282676510297</v>
      </c>
      <c r="AM2" s="9">
        <f t="shared" ref="AM2:AM20" si="7">(AL2*AL2)</f>
        <v>2195.5112262610392</v>
      </c>
      <c r="AN2" s="9" t="s">
        <v>3347</v>
      </c>
    </row>
    <row r="3" spans="8:40" ht="23">
      <c r="H3" s="8"/>
      <c r="I3" s="8"/>
      <c r="J3" s="8"/>
      <c r="K3" s="8"/>
      <c r="L3" s="8"/>
      <c r="M3" s="8" t="s">
        <v>589</v>
      </c>
      <c r="N3" s="8" t="s">
        <v>150</v>
      </c>
      <c r="O3" s="8"/>
      <c r="P3" s="8" t="s">
        <v>3693</v>
      </c>
      <c r="Q3" s="8"/>
      <c r="R3" s="8"/>
      <c r="S3" s="8"/>
      <c r="T3" s="8"/>
      <c r="U3" s="8"/>
      <c r="V3" s="8"/>
      <c r="W3" s="8" t="s">
        <v>589</v>
      </c>
      <c r="X3" s="8">
        <v>27.12</v>
      </c>
      <c r="Y3" s="8">
        <v>3.65</v>
      </c>
      <c r="Z3" s="9">
        <v>4.0599999999999996</v>
      </c>
      <c r="AA3" s="8">
        <v>217.7</v>
      </c>
      <c r="AB3" s="8">
        <v>1461</v>
      </c>
      <c r="AC3" s="21" t="s">
        <v>589</v>
      </c>
      <c r="AD3" s="8" t="s">
        <v>4463</v>
      </c>
      <c r="AE3" s="8" t="s">
        <v>4363</v>
      </c>
      <c r="AF3" s="9">
        <f t="shared" si="0"/>
        <v>794.6049999999999</v>
      </c>
      <c r="AG3" s="9">
        <f t="shared" si="1"/>
        <v>892.56999999999982</v>
      </c>
      <c r="AH3" s="9">
        <f t="shared" si="2"/>
        <v>19.545699407434007</v>
      </c>
      <c r="AI3" s="9">
        <f t="shared" si="3"/>
        <v>382.03436532576609</v>
      </c>
      <c r="AJ3" s="9">
        <f t="shared" si="4"/>
        <v>14.159725546115398</v>
      </c>
      <c r="AK3" s="9">
        <f t="shared" si="5"/>
        <v>200.497827541313</v>
      </c>
      <c r="AL3" s="9">
        <f t="shared" si="6"/>
        <v>14.420950923980588</v>
      </c>
      <c r="AM3" s="9">
        <f t="shared" si="7"/>
        <v>207.96382555185656</v>
      </c>
      <c r="AN3" s="8" t="s">
        <v>589</v>
      </c>
    </row>
    <row r="4" spans="8:40" ht="23">
      <c r="H4" s="8"/>
      <c r="I4" s="8"/>
      <c r="J4" s="8"/>
      <c r="K4" s="8"/>
      <c r="L4" s="8"/>
      <c r="M4" s="8" t="s">
        <v>1799</v>
      </c>
      <c r="N4" s="8" t="s">
        <v>1717</v>
      </c>
      <c r="O4" s="8"/>
      <c r="P4" s="8"/>
      <c r="Q4" s="8"/>
      <c r="R4" s="8"/>
      <c r="S4" s="8"/>
      <c r="T4" s="8"/>
      <c r="U4" s="8"/>
      <c r="V4" s="8"/>
      <c r="W4" s="8" t="s">
        <v>1799</v>
      </c>
      <c r="X4" s="8">
        <v>12.04</v>
      </c>
      <c r="Y4" s="8">
        <v>2.99</v>
      </c>
      <c r="Z4" s="9">
        <v>1.23</v>
      </c>
      <c r="AA4" s="8">
        <v>148.5</v>
      </c>
      <c r="AB4" s="8">
        <v>12194</v>
      </c>
      <c r="AC4" s="21" t="s">
        <v>1799</v>
      </c>
      <c r="AD4" s="8" t="s">
        <v>4463</v>
      </c>
      <c r="AE4" s="8" t="s">
        <v>4363</v>
      </c>
      <c r="AF4" s="9">
        <f t="shared" si="0"/>
        <v>444.01500000000004</v>
      </c>
      <c r="AG4" s="9">
        <f t="shared" si="1"/>
        <v>205.42499999999998</v>
      </c>
      <c r="AH4" s="9">
        <f t="shared" si="2"/>
        <v>13.332734781827977</v>
      </c>
      <c r="AI4" s="9">
        <f t="shared" si="3"/>
        <v>177.7618167625655</v>
      </c>
      <c r="AJ4" s="9">
        <f t="shared" si="4"/>
        <v>7.9122715542419559</v>
      </c>
      <c r="AK4" s="9">
        <f t="shared" si="5"/>
        <v>62.604041148066415</v>
      </c>
      <c r="AL4" s="9">
        <f t="shared" si="6"/>
        <v>3.3189820894257176</v>
      </c>
      <c r="AM4" s="9">
        <f t="shared" si="7"/>
        <v>11.015642109928702</v>
      </c>
      <c r="AN4" s="8" t="s">
        <v>1799</v>
      </c>
    </row>
    <row r="5" spans="8:40" ht="23">
      <c r="H5" s="8"/>
      <c r="I5" s="8"/>
      <c r="J5" s="8"/>
      <c r="K5" s="8"/>
      <c r="L5" s="8"/>
      <c r="M5" s="8" t="s">
        <v>1823</v>
      </c>
      <c r="N5" s="8" t="s">
        <v>1814</v>
      </c>
      <c r="O5" s="8"/>
      <c r="P5" s="8" t="s">
        <v>3691</v>
      </c>
      <c r="Q5" s="8"/>
      <c r="R5" s="8"/>
      <c r="S5" s="8"/>
      <c r="T5" s="8"/>
      <c r="U5" s="8"/>
      <c r="V5" s="8"/>
      <c r="W5" s="8" t="s">
        <v>1823</v>
      </c>
      <c r="X5" s="8">
        <v>15.79</v>
      </c>
      <c r="Y5" s="8">
        <v>7.4</v>
      </c>
      <c r="Z5" s="9">
        <v>8.4700000000000006</v>
      </c>
      <c r="AA5" s="8">
        <v>138.19999999999999</v>
      </c>
      <c r="AB5" s="8">
        <v>886</v>
      </c>
      <c r="AC5" s="21" t="s">
        <v>1823</v>
      </c>
      <c r="AD5" s="8" t="s">
        <v>4463</v>
      </c>
      <c r="AE5" s="8" t="s">
        <v>4363</v>
      </c>
      <c r="AF5" s="9">
        <f t="shared" si="0"/>
        <v>1022.68</v>
      </c>
      <c r="AG5" s="9">
        <f t="shared" si="1"/>
        <v>1213.8566666666666</v>
      </c>
      <c r="AH5" s="9">
        <f t="shared" si="2"/>
        <v>12.407972706051355</v>
      </c>
      <c r="AI5" s="9">
        <f t="shared" si="3"/>
        <v>153.9577866741154</v>
      </c>
      <c r="AJ5" s="9">
        <f t="shared" si="4"/>
        <v>18.223983138164616</v>
      </c>
      <c r="AK5" s="9">
        <f t="shared" si="5"/>
        <v>332.11356142010823</v>
      </c>
      <c r="AL5" s="9">
        <f t="shared" si="6"/>
        <v>19.61187068660908</v>
      </c>
      <c r="AM5" s="9">
        <f t="shared" si="7"/>
        <v>384.62547182827655</v>
      </c>
      <c r="AN5" s="8" t="s">
        <v>1823</v>
      </c>
    </row>
    <row r="6" spans="8:40" ht="23">
      <c r="H6" s="8"/>
      <c r="I6" s="8"/>
      <c r="J6" s="8"/>
      <c r="K6" s="8"/>
      <c r="L6" s="8"/>
      <c r="M6" s="9" t="s">
        <v>3239</v>
      </c>
      <c r="N6" s="8" t="s">
        <v>1902</v>
      </c>
      <c r="O6" s="8"/>
      <c r="P6" s="8" t="s">
        <v>4653</v>
      </c>
      <c r="Q6" s="8"/>
      <c r="R6" s="8"/>
      <c r="S6" s="8"/>
      <c r="T6" s="8"/>
      <c r="U6" s="8"/>
      <c r="V6" s="8"/>
      <c r="W6" s="9" t="s">
        <v>3239</v>
      </c>
      <c r="X6" s="8">
        <v>17.46</v>
      </c>
      <c r="Y6" s="8">
        <v>11.01</v>
      </c>
      <c r="Z6" s="9">
        <v>13.31</v>
      </c>
      <c r="AA6" s="8">
        <v>41.8</v>
      </c>
      <c r="AB6" s="8">
        <v>1761</v>
      </c>
      <c r="AC6" s="22" t="s">
        <v>3239</v>
      </c>
      <c r="AD6" s="8" t="s">
        <v>4463</v>
      </c>
      <c r="AE6" s="8" t="s">
        <v>4363</v>
      </c>
      <c r="AF6" s="9">
        <f t="shared" si="0"/>
        <v>460.21799999999996</v>
      </c>
      <c r="AG6" s="9">
        <f t="shared" si="1"/>
        <v>564.99666666666667</v>
      </c>
      <c r="AH6" s="9">
        <f t="shared" si="2"/>
        <v>3.7529179385886153</v>
      </c>
      <c r="AI6" s="9">
        <f t="shared" si="3"/>
        <v>14.084393053780222</v>
      </c>
      <c r="AJ6" s="9">
        <f t="shared" si="4"/>
        <v>8.201006250126964</v>
      </c>
      <c r="AK6" s="9">
        <f t="shared" si="5"/>
        <v>67.256503514621528</v>
      </c>
      <c r="AL6" s="9">
        <f t="shared" si="6"/>
        <v>9.1284596190916361</v>
      </c>
      <c r="AM6" s="9">
        <f t="shared" si="7"/>
        <v>83.328775017386619</v>
      </c>
      <c r="AN6" s="9" t="s">
        <v>3239</v>
      </c>
    </row>
    <row r="7" spans="8:40" ht="23">
      <c r="H7" s="24"/>
      <c r="I7" s="24"/>
      <c r="J7" s="24"/>
      <c r="K7" s="24"/>
      <c r="L7" s="24"/>
      <c r="M7" s="25" t="s">
        <v>4878</v>
      </c>
      <c r="N7" s="24" t="s">
        <v>1717</v>
      </c>
      <c r="O7" s="24"/>
      <c r="P7" s="24" t="s">
        <v>3691</v>
      </c>
      <c r="Q7" s="24"/>
      <c r="R7" s="24"/>
      <c r="S7" s="24"/>
      <c r="T7" s="24"/>
      <c r="U7" s="24"/>
      <c r="V7" s="24"/>
      <c r="W7" s="25" t="s">
        <v>4878</v>
      </c>
      <c r="X7" s="8">
        <v>19.45</v>
      </c>
      <c r="Y7" s="8">
        <v>4.8899999999999997</v>
      </c>
      <c r="Z7" s="9">
        <v>4.4000000000000004</v>
      </c>
      <c r="AA7" s="8">
        <v>19.399999999999999</v>
      </c>
      <c r="AB7" s="8">
        <v>6244</v>
      </c>
      <c r="AC7" s="22" t="s">
        <v>4878</v>
      </c>
      <c r="AD7" s="8" t="s">
        <v>4463</v>
      </c>
      <c r="AE7" s="8" t="s">
        <v>4363</v>
      </c>
      <c r="AF7" s="25">
        <f t="shared" si="0"/>
        <v>94.865999999999985</v>
      </c>
      <c r="AG7" s="25">
        <f t="shared" si="1"/>
        <v>77.729333333333329</v>
      </c>
      <c r="AH7" s="25">
        <f t="shared" si="2"/>
        <v>1.7417848805889746</v>
      </c>
      <c r="AI7" s="25">
        <f t="shared" si="3"/>
        <v>3.0338145702483486</v>
      </c>
      <c r="AJ7" s="25">
        <f t="shared" si="4"/>
        <v>1.6904959365443</v>
      </c>
      <c r="AK7" s="25">
        <f t="shared" si="5"/>
        <v>2.8577765114727898</v>
      </c>
      <c r="AL7" s="25">
        <f t="shared" si="6"/>
        <v>1.255846489747279</v>
      </c>
      <c r="AM7" s="25">
        <f t="shared" si="7"/>
        <v>1.5771504058105625</v>
      </c>
      <c r="AN7" s="25" t="s">
        <v>4878</v>
      </c>
    </row>
    <row r="8" spans="8:40" ht="23">
      <c r="H8" s="8"/>
      <c r="I8" s="8"/>
      <c r="J8" s="8"/>
      <c r="K8" s="8"/>
      <c r="L8" s="8"/>
      <c r="M8" s="9" t="s">
        <v>2562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9" t="s">
        <v>2562</v>
      </c>
      <c r="X8" s="8">
        <v>64.239999999999995</v>
      </c>
      <c r="Y8" s="8">
        <v>1.89</v>
      </c>
      <c r="Z8" s="9">
        <v>1.56</v>
      </c>
      <c r="AA8" s="8">
        <v>11.7</v>
      </c>
      <c r="AB8" s="8">
        <v>14296</v>
      </c>
      <c r="AC8" s="22" t="s">
        <v>2562</v>
      </c>
      <c r="AD8" s="8" t="s">
        <v>4463</v>
      </c>
      <c r="AE8" s="8" t="s">
        <v>4363</v>
      </c>
      <c r="AF8" s="9">
        <f t="shared" si="0"/>
        <v>22.112999999999996</v>
      </c>
      <c r="AG8" s="9">
        <f t="shared" si="1"/>
        <v>22.619999999999997</v>
      </c>
      <c r="AH8" s="9">
        <f t="shared" si="2"/>
        <v>1.0504578919015981</v>
      </c>
      <c r="AI8" s="9">
        <f t="shared" si="3"/>
        <v>1.1034617826583495</v>
      </c>
      <c r="AJ8" s="9">
        <f t="shared" si="4"/>
        <v>0.39404988768161514</v>
      </c>
      <c r="AK8" s="9">
        <f t="shared" si="5"/>
        <v>0.15527531398189351</v>
      </c>
      <c r="AL8" s="9">
        <f t="shared" si="6"/>
        <v>0.36546367220547515</v>
      </c>
      <c r="AM8" s="9">
        <f t="shared" si="7"/>
        <v>0.13356369570191098</v>
      </c>
      <c r="AN8" s="9" t="s">
        <v>2562</v>
      </c>
    </row>
    <row r="9" spans="8:40" ht="23">
      <c r="H9" s="8"/>
      <c r="I9" s="8"/>
      <c r="J9" s="8"/>
      <c r="K9" s="8"/>
      <c r="L9" s="8"/>
      <c r="M9" s="9" t="s">
        <v>4876</v>
      </c>
      <c r="N9" s="8"/>
      <c r="O9" s="8"/>
      <c r="P9" s="8" t="s">
        <v>3700</v>
      </c>
      <c r="Q9" s="8"/>
      <c r="R9" s="8"/>
      <c r="S9" s="8"/>
      <c r="T9" s="8"/>
      <c r="U9" s="8"/>
      <c r="V9" s="8"/>
      <c r="W9" s="9" t="s">
        <v>4876</v>
      </c>
      <c r="X9" s="8">
        <v>16.670000000000002</v>
      </c>
      <c r="Y9" s="8">
        <v>10.220000000000001</v>
      </c>
      <c r="Z9" s="9">
        <v>16.45</v>
      </c>
      <c r="AA9" s="8">
        <v>10.1</v>
      </c>
      <c r="AB9" s="8">
        <v>7515</v>
      </c>
      <c r="AC9" s="22" t="s">
        <v>4876</v>
      </c>
      <c r="AD9" s="8" t="s">
        <v>4463</v>
      </c>
      <c r="AE9" s="8" t="s">
        <v>4363</v>
      </c>
      <c r="AF9" s="9">
        <f t="shared" si="0"/>
        <v>103.22200000000001</v>
      </c>
      <c r="AG9" s="9">
        <f t="shared" si="1"/>
        <v>169.17499999999998</v>
      </c>
      <c r="AH9" s="9">
        <f t="shared" si="2"/>
        <v>0.90680553061590952</v>
      </c>
      <c r="AI9" s="9">
        <f t="shared" si="3"/>
        <v>0.82229627035560127</v>
      </c>
      <c r="AJ9" s="9">
        <f t="shared" si="4"/>
        <v>1.8393984310709397</v>
      </c>
      <c r="AK9" s="9">
        <f t="shared" si="5"/>
        <v>3.3833865882262346</v>
      </c>
      <c r="AL9" s="9">
        <f t="shared" si="6"/>
        <v>2.7333031275579689</v>
      </c>
      <c r="AM9" s="9">
        <f t="shared" si="7"/>
        <v>7.4709459871181743</v>
      </c>
      <c r="AN9" s="9" t="s">
        <v>4876</v>
      </c>
    </row>
    <row r="10" spans="8:40" ht="23">
      <c r="H10" s="24"/>
      <c r="I10" s="24"/>
      <c r="J10" s="24"/>
      <c r="K10" s="24"/>
      <c r="L10" s="24"/>
      <c r="M10" s="25" t="s">
        <v>4879</v>
      </c>
      <c r="N10" s="24"/>
      <c r="O10" s="24"/>
      <c r="P10" s="24"/>
      <c r="Q10" s="24"/>
      <c r="R10" s="24"/>
      <c r="S10" s="24"/>
      <c r="T10" s="24"/>
      <c r="U10" s="24"/>
      <c r="V10" s="24"/>
      <c r="W10" s="25" t="s">
        <v>4879</v>
      </c>
      <c r="X10" s="8">
        <v>26.08</v>
      </c>
      <c r="Y10" s="8">
        <v>4.51</v>
      </c>
      <c r="Z10" s="9">
        <v>1.56</v>
      </c>
      <c r="AA10" s="8">
        <v>8.8000000000000007</v>
      </c>
      <c r="AB10" s="8">
        <v>10220</v>
      </c>
      <c r="AC10" s="22" t="s">
        <v>4879</v>
      </c>
      <c r="AD10" s="8" t="s">
        <v>4463</v>
      </c>
      <c r="AE10" s="8" t="s">
        <v>4363</v>
      </c>
      <c r="AF10" s="25">
        <f t="shared" si="0"/>
        <v>39.688000000000002</v>
      </c>
      <c r="AG10" s="25">
        <f t="shared" si="1"/>
        <v>17.013333333333335</v>
      </c>
      <c r="AH10" s="25">
        <f t="shared" si="2"/>
        <v>0.79008798707128758</v>
      </c>
      <c r="AI10" s="25">
        <f t="shared" si="3"/>
        <v>0.6242390273143591</v>
      </c>
      <c r="AJ10" s="25">
        <f t="shared" si="4"/>
        <v>0.70723338951331549</v>
      </c>
      <c r="AK10" s="25">
        <f t="shared" si="5"/>
        <v>0.50017906724249306</v>
      </c>
      <c r="AL10" s="25">
        <f t="shared" si="6"/>
        <v>0.27487865943659673</v>
      </c>
      <c r="AM10" s="25">
        <f t="shared" si="7"/>
        <v>7.555827741366053E-2</v>
      </c>
      <c r="AN10" s="25" t="s">
        <v>4879</v>
      </c>
    </row>
    <row r="11" spans="8:40" ht="23">
      <c r="H11" s="8"/>
      <c r="I11" s="8"/>
      <c r="J11" s="8"/>
      <c r="K11" s="8"/>
      <c r="L11" s="8"/>
      <c r="M11" s="9" t="s">
        <v>2489</v>
      </c>
      <c r="N11" s="8" t="s">
        <v>150</v>
      </c>
      <c r="O11" s="8"/>
      <c r="P11" s="8" t="s">
        <v>3692</v>
      </c>
      <c r="Q11" s="8"/>
      <c r="R11" s="8"/>
      <c r="S11" s="8"/>
      <c r="T11" s="8"/>
      <c r="U11" s="8"/>
      <c r="V11" s="8"/>
      <c r="W11" s="9" t="s">
        <v>2489</v>
      </c>
      <c r="X11" s="8">
        <v>24.9</v>
      </c>
      <c r="Y11" s="8">
        <v>5.75</v>
      </c>
      <c r="Z11" s="9">
        <v>6.46</v>
      </c>
      <c r="AA11" s="8">
        <v>8.6999999999999993</v>
      </c>
      <c r="AB11" s="8">
        <v>11123</v>
      </c>
      <c r="AC11" s="22" t="s">
        <v>2489</v>
      </c>
      <c r="AD11" s="8" t="s">
        <v>4463</v>
      </c>
      <c r="AE11" s="8" t="s">
        <v>4363</v>
      </c>
      <c r="AF11" s="9">
        <f t="shared" si="0"/>
        <v>50.024999999999999</v>
      </c>
      <c r="AG11" s="9">
        <f t="shared" si="1"/>
        <v>58.87</v>
      </c>
      <c r="AH11" s="9">
        <f t="shared" si="2"/>
        <v>0.78110971449093192</v>
      </c>
      <c r="AI11" s="9">
        <f t="shared" si="3"/>
        <v>0.61013238607210518</v>
      </c>
      <c r="AJ11" s="9">
        <f t="shared" si="4"/>
        <v>0.89143696609563605</v>
      </c>
      <c r="AK11" s="9">
        <f t="shared" si="5"/>
        <v>0.79465986452179216</v>
      </c>
      <c r="AL11" s="9">
        <f t="shared" si="6"/>
        <v>0.95114263407322397</v>
      </c>
      <c r="AM11" s="9">
        <f t="shared" si="7"/>
        <v>0.90467231035175089</v>
      </c>
      <c r="AN11" s="9" t="s">
        <v>2489</v>
      </c>
    </row>
    <row r="12" spans="8:40" ht="23">
      <c r="H12" s="8"/>
      <c r="I12" s="8"/>
      <c r="J12" s="8"/>
      <c r="K12" s="8"/>
      <c r="L12" s="8"/>
      <c r="M12" s="9" t="s">
        <v>3134</v>
      </c>
      <c r="N12" s="8" t="s">
        <v>1862</v>
      </c>
      <c r="O12" s="8"/>
      <c r="P12" s="8"/>
      <c r="Q12" s="8"/>
      <c r="R12" s="8"/>
      <c r="S12" s="8"/>
      <c r="T12" s="8"/>
      <c r="U12" s="8"/>
      <c r="V12" s="8"/>
      <c r="W12" s="9" t="s">
        <v>3134</v>
      </c>
      <c r="X12" s="8">
        <v>53.8</v>
      </c>
      <c r="Y12" s="8">
        <v>3.15</v>
      </c>
      <c r="Z12" s="9">
        <v>2.14</v>
      </c>
      <c r="AA12" s="8">
        <v>5.3</v>
      </c>
      <c r="AB12" s="8">
        <v>20634</v>
      </c>
      <c r="AC12" s="22" t="s">
        <v>3134</v>
      </c>
      <c r="AD12" s="8" t="s">
        <v>4463</v>
      </c>
      <c r="AE12" s="8" t="s">
        <v>4363</v>
      </c>
      <c r="AF12" s="9">
        <f t="shared" si="0"/>
        <v>16.695</v>
      </c>
      <c r="AG12" s="9">
        <f t="shared" si="1"/>
        <v>11.836666666666666</v>
      </c>
      <c r="AH12" s="9">
        <f t="shared" si="2"/>
        <v>0.47584844675884364</v>
      </c>
      <c r="AI12" s="9">
        <f t="shared" si="3"/>
        <v>0.22643174428280405</v>
      </c>
      <c r="AJ12" s="9">
        <f t="shared" si="4"/>
        <v>0.29750205195335622</v>
      </c>
      <c r="AK12" s="9">
        <f t="shared" si="5"/>
        <v>8.8507470916457456E-2</v>
      </c>
      <c r="AL12" s="9">
        <f t="shared" si="6"/>
        <v>0.19124101090504603</v>
      </c>
      <c r="AM12" s="9">
        <f t="shared" si="7"/>
        <v>3.6573124251983932E-2</v>
      </c>
      <c r="AN12" s="9" t="s">
        <v>3134</v>
      </c>
    </row>
    <row r="13" spans="8:40" ht="23">
      <c r="H13" s="8"/>
      <c r="I13" s="8"/>
      <c r="J13" s="8"/>
      <c r="K13" s="8"/>
      <c r="L13" s="8"/>
      <c r="M13" s="9" t="s">
        <v>3354</v>
      </c>
      <c r="N13" s="8" t="s">
        <v>1964</v>
      </c>
      <c r="O13" s="8"/>
      <c r="P13" s="8"/>
      <c r="Q13" s="8"/>
      <c r="R13" s="8"/>
      <c r="S13" s="8"/>
      <c r="T13" s="8"/>
      <c r="U13" s="8"/>
      <c r="V13" s="8"/>
      <c r="W13" s="9" t="s">
        <v>3354</v>
      </c>
      <c r="X13" s="8">
        <v>37.28</v>
      </c>
      <c r="Y13" s="8">
        <v>2.89</v>
      </c>
      <c r="Z13" s="9">
        <v>2.5</v>
      </c>
      <c r="AA13" s="8">
        <v>3.8</v>
      </c>
      <c r="AB13" s="8">
        <v>24978</v>
      </c>
      <c r="AC13" s="22" t="s">
        <v>3354</v>
      </c>
      <c r="AD13" s="8" t="s">
        <v>4463</v>
      </c>
      <c r="AE13" s="8" t="s">
        <v>4363</v>
      </c>
      <c r="AF13" s="9">
        <f t="shared" si="0"/>
        <v>10.981999999999999</v>
      </c>
      <c r="AG13" s="9">
        <f t="shared" si="1"/>
        <v>7.6316666666666659</v>
      </c>
      <c r="AH13" s="9">
        <f t="shared" si="2"/>
        <v>0.34117435805351048</v>
      </c>
      <c r="AI13" s="9">
        <f t="shared" si="3"/>
        <v>0.11639994259322498</v>
      </c>
      <c r="AJ13" s="9">
        <f t="shared" si="4"/>
        <v>0.19569736654997053</v>
      </c>
      <c r="AK13" s="9">
        <f t="shared" si="5"/>
        <v>3.8297459274593521E-2</v>
      </c>
      <c r="AL13" s="9">
        <f t="shared" si="6"/>
        <v>0.12330225132838717</v>
      </c>
      <c r="AM13" s="9">
        <f t="shared" si="7"/>
        <v>1.5203445182648755E-2</v>
      </c>
      <c r="AN13" s="9" t="s">
        <v>3354</v>
      </c>
    </row>
    <row r="14" spans="8:40" ht="23">
      <c r="H14" s="24"/>
      <c r="I14" s="24"/>
      <c r="J14" s="24"/>
      <c r="K14" s="24"/>
      <c r="L14" s="24"/>
      <c r="M14" s="25" t="s">
        <v>4877</v>
      </c>
      <c r="N14" s="24" t="s">
        <v>150</v>
      </c>
      <c r="O14" s="24"/>
      <c r="P14" s="24"/>
      <c r="Q14" s="24"/>
      <c r="R14" s="24"/>
      <c r="S14" s="24"/>
      <c r="T14" s="24"/>
      <c r="U14" s="24"/>
      <c r="V14" s="24"/>
      <c r="W14" s="25" t="s">
        <v>4877</v>
      </c>
      <c r="X14" s="8">
        <v>15.87</v>
      </c>
      <c r="Y14" s="8">
        <v>6.13</v>
      </c>
      <c r="Z14" s="9">
        <v>4.1500000000000004</v>
      </c>
      <c r="AA14" s="8">
        <v>3.3</v>
      </c>
      <c r="AB14" s="8">
        <v>20293</v>
      </c>
      <c r="AC14" s="22" t="s">
        <v>4877</v>
      </c>
      <c r="AD14" s="8" t="s">
        <v>4463</v>
      </c>
      <c r="AE14" s="8" t="s">
        <v>4363</v>
      </c>
      <c r="AF14" s="25">
        <f t="shared" si="0"/>
        <v>20.228999999999999</v>
      </c>
      <c r="AG14" s="25">
        <f t="shared" si="1"/>
        <v>14.024999999999999</v>
      </c>
      <c r="AH14" s="25">
        <f t="shared" si="2"/>
        <v>0.29628299515173284</v>
      </c>
      <c r="AI14" s="25">
        <f t="shared" si="3"/>
        <v>8.7783613216081746E-2</v>
      </c>
      <c r="AJ14" s="25">
        <f t="shared" si="4"/>
        <v>0.36047732907843322</v>
      </c>
      <c r="AK14" s="25">
        <f t="shared" si="5"/>
        <v>0.12994390477952103</v>
      </c>
      <c r="AL14" s="25">
        <f t="shared" si="6"/>
        <v>0.22659717076400479</v>
      </c>
      <c r="AM14" s="25">
        <f t="shared" si="7"/>
        <v>5.1346277798251544E-2</v>
      </c>
      <c r="AN14" s="25" t="s">
        <v>4877</v>
      </c>
    </row>
    <row r="15" spans="8:40" ht="23">
      <c r="H15" s="24"/>
      <c r="I15" s="24"/>
      <c r="J15" s="24"/>
      <c r="K15" s="24"/>
      <c r="L15" s="24"/>
      <c r="M15" s="8" t="s">
        <v>78</v>
      </c>
      <c r="N15" s="24"/>
      <c r="O15" s="24"/>
      <c r="P15" s="24"/>
      <c r="Q15" s="24"/>
      <c r="R15" s="24"/>
      <c r="S15" s="24"/>
      <c r="T15" s="24"/>
      <c r="U15" s="24"/>
      <c r="V15" s="24"/>
      <c r="W15" s="8" t="s">
        <v>78</v>
      </c>
      <c r="X15" s="8">
        <v>60.93</v>
      </c>
      <c r="Y15" s="8">
        <v>1.53</v>
      </c>
      <c r="Z15" s="9">
        <v>1.1499999999999999</v>
      </c>
      <c r="AA15" s="8">
        <v>3.1</v>
      </c>
      <c r="AB15" s="8">
        <v>45085</v>
      </c>
      <c r="AC15" s="21" t="s">
        <v>78</v>
      </c>
      <c r="AD15" s="8" t="s">
        <v>4463</v>
      </c>
      <c r="AE15" s="8" t="s">
        <v>4363</v>
      </c>
      <c r="AF15" s="9">
        <f t="shared" si="0"/>
        <v>4.7430000000000003</v>
      </c>
      <c r="AG15" s="9">
        <f t="shared" si="1"/>
        <v>3.875</v>
      </c>
      <c r="AH15" s="9">
        <f t="shared" si="2"/>
        <v>0.27832644999102174</v>
      </c>
      <c r="AI15" s="25">
        <f t="shared" si="3"/>
        <v>7.746561276460473E-2</v>
      </c>
      <c r="AJ15" s="9">
        <f t="shared" si="4"/>
        <v>8.4519450878392841E-2</v>
      </c>
      <c r="AK15" s="9">
        <f t="shared" si="5"/>
        <v>7.14353757678506E-3</v>
      </c>
      <c r="AL15" s="9">
        <f t="shared" si="6"/>
        <v>6.2607061441035214E-2</v>
      </c>
      <c r="AM15" s="9">
        <f t="shared" si="7"/>
        <v>3.919644142281558E-3</v>
      </c>
      <c r="AN15" s="8" t="s">
        <v>78</v>
      </c>
    </row>
    <row r="16" spans="8:40" ht="23">
      <c r="H16" s="8"/>
      <c r="I16" s="8"/>
      <c r="J16" s="8"/>
      <c r="K16" s="8"/>
      <c r="L16" s="8"/>
      <c r="M16" s="9" t="s">
        <v>2938</v>
      </c>
      <c r="N16" s="8" t="s">
        <v>1717</v>
      </c>
      <c r="O16" s="8"/>
      <c r="P16" s="8"/>
      <c r="Q16" s="8"/>
      <c r="R16" s="8"/>
      <c r="S16" s="8"/>
      <c r="T16" s="8"/>
      <c r="U16" s="8"/>
      <c r="V16" s="8"/>
      <c r="W16" s="9" t="s">
        <v>2938</v>
      </c>
      <c r="X16" s="8">
        <v>57.95</v>
      </c>
      <c r="Y16" s="8">
        <v>1.87</v>
      </c>
      <c r="Z16" s="9">
        <v>1.02</v>
      </c>
      <c r="AA16" s="8">
        <v>2.4</v>
      </c>
      <c r="AB16" s="8">
        <v>63869</v>
      </c>
      <c r="AC16" s="22" t="s">
        <v>2938</v>
      </c>
      <c r="AD16" s="8" t="s">
        <v>4463</v>
      </c>
      <c r="AE16" s="8" t="s">
        <v>4363</v>
      </c>
      <c r="AF16" s="9">
        <f t="shared" si="0"/>
        <v>4.4880000000000004</v>
      </c>
      <c r="AG16" s="9">
        <f t="shared" si="1"/>
        <v>2.48</v>
      </c>
      <c r="AH16" s="9">
        <f t="shared" si="2"/>
        <v>0.21547854192853294</v>
      </c>
      <c r="AI16" s="9">
        <f t="shared" si="3"/>
        <v>4.6431002031646532E-2</v>
      </c>
      <c r="AJ16" s="9">
        <f t="shared" si="4"/>
        <v>7.9975394379554518E-2</v>
      </c>
      <c r="AK16" s="9">
        <f t="shared" si="5"/>
        <v>6.3960637061652803E-3</v>
      </c>
      <c r="AL16" s="9">
        <f t="shared" si="6"/>
        <v>4.0068519322262533E-2</v>
      </c>
      <c r="AM16" s="9">
        <f t="shared" si="7"/>
        <v>1.6054862406785259E-3</v>
      </c>
      <c r="AN16" s="9" t="s">
        <v>2938</v>
      </c>
    </row>
    <row r="17" spans="8:40" ht="23">
      <c r="H17" s="8"/>
      <c r="I17" s="8"/>
      <c r="J17" s="8"/>
      <c r="K17" s="8"/>
      <c r="L17" s="8"/>
      <c r="M17" s="8" t="s">
        <v>577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577</v>
      </c>
      <c r="X17" s="8">
        <v>46.24</v>
      </c>
      <c r="Y17" s="8">
        <v>4.45</v>
      </c>
      <c r="Z17" s="9">
        <v>4.07</v>
      </c>
      <c r="AA17" s="8">
        <v>1.9</v>
      </c>
      <c r="AB17" s="8">
        <v>35879</v>
      </c>
      <c r="AC17" s="21" t="s">
        <v>577</v>
      </c>
      <c r="AD17" s="8" t="s">
        <v>4463</v>
      </c>
      <c r="AE17" s="8" t="s">
        <v>4363</v>
      </c>
      <c r="AF17" s="9">
        <f t="shared" si="0"/>
        <v>8.4550000000000001</v>
      </c>
      <c r="AG17" s="9">
        <f t="shared" si="1"/>
        <v>7.8216666666666654</v>
      </c>
      <c r="AH17" s="9">
        <f t="shared" si="2"/>
        <v>0.17058717902675524</v>
      </c>
      <c r="AI17" s="9">
        <f t="shared" si="3"/>
        <v>2.9099985648306244E-2</v>
      </c>
      <c r="AJ17" s="9">
        <f t="shared" si="4"/>
        <v>0.15066665763795309</v>
      </c>
      <c r="AK17" s="9">
        <f t="shared" si="5"/>
        <v>2.2700441723792167E-2</v>
      </c>
      <c r="AL17" s="9">
        <f t="shared" si="6"/>
        <v>0.12637201692162503</v>
      </c>
      <c r="AM17" s="9">
        <f t="shared" si="7"/>
        <v>1.5969886660839483E-2</v>
      </c>
      <c r="AN17" s="8" t="s">
        <v>577</v>
      </c>
    </row>
    <row r="18" spans="8:40" ht="23">
      <c r="H18" s="8"/>
      <c r="I18" s="8"/>
      <c r="J18" s="8"/>
      <c r="K18" s="8"/>
      <c r="L18" s="8"/>
      <c r="M18" s="9" t="s">
        <v>4875</v>
      </c>
      <c r="N18" s="8"/>
      <c r="O18" s="8"/>
      <c r="P18" s="8"/>
      <c r="Q18" s="8"/>
      <c r="R18" s="8"/>
      <c r="S18" s="8"/>
      <c r="T18" s="8"/>
      <c r="U18" s="8"/>
      <c r="V18" s="8"/>
      <c r="W18" s="9" t="s">
        <v>4875</v>
      </c>
      <c r="X18" s="8">
        <v>35.15</v>
      </c>
      <c r="Y18" s="8">
        <v>7.85</v>
      </c>
      <c r="Z18" s="9">
        <v>9.15</v>
      </c>
      <c r="AA18" s="8">
        <v>1.8</v>
      </c>
      <c r="AB18" s="8">
        <v>28207</v>
      </c>
      <c r="AC18" s="22" t="s">
        <v>4875</v>
      </c>
      <c r="AD18" s="8" t="s">
        <v>4463</v>
      </c>
      <c r="AE18" s="8" t="s">
        <v>4363</v>
      </c>
      <c r="AF18" s="9">
        <f t="shared" si="0"/>
        <v>14.129999999999999</v>
      </c>
      <c r="AG18" s="9">
        <f t="shared" si="1"/>
        <v>16.650000000000002</v>
      </c>
      <c r="AH18" s="9">
        <f t="shared" si="2"/>
        <v>0.16160890644639972</v>
      </c>
      <c r="AI18" s="9">
        <f t="shared" si="3"/>
        <v>2.6117438642801177E-2</v>
      </c>
      <c r="AJ18" s="9">
        <f t="shared" si="4"/>
        <v>0.25179418952386479</v>
      </c>
      <c r="AK18" s="9">
        <f t="shared" si="5"/>
        <v>6.3400313877979939E-2</v>
      </c>
      <c r="AL18" s="9">
        <f t="shared" si="6"/>
        <v>0.26900840593373843</v>
      </c>
      <c r="AM18" s="9">
        <f t="shared" si="7"/>
        <v>7.2365522463010992E-2</v>
      </c>
      <c r="AN18" s="9" t="s">
        <v>4875</v>
      </c>
    </row>
    <row r="19" spans="8:40" ht="23">
      <c r="H19" s="8"/>
      <c r="I19" s="8"/>
      <c r="J19" s="8"/>
      <c r="K19" s="8"/>
      <c r="L19" s="8"/>
      <c r="M19" s="8" t="s">
        <v>999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999</v>
      </c>
      <c r="X19" s="8">
        <v>52.98</v>
      </c>
      <c r="Y19" s="8">
        <v>5.33</v>
      </c>
      <c r="Z19" s="9">
        <v>1.48</v>
      </c>
      <c r="AA19" s="8">
        <v>1.4</v>
      </c>
      <c r="AB19" s="8">
        <v>62631</v>
      </c>
      <c r="AC19" s="21" t="s">
        <v>999</v>
      </c>
      <c r="AD19" s="8" t="s">
        <v>4463</v>
      </c>
      <c r="AE19" s="8" t="s">
        <v>4363</v>
      </c>
      <c r="AF19" s="9">
        <f t="shared" si="0"/>
        <v>7.4619999999999997</v>
      </c>
      <c r="AG19" s="9">
        <f t="shared" si="1"/>
        <v>2.52</v>
      </c>
      <c r="AH19" s="9">
        <f t="shared" si="2"/>
        <v>0.12569581612497754</v>
      </c>
      <c r="AI19" s="9">
        <f t="shared" si="3"/>
        <v>1.5799438191324164E-2</v>
      </c>
      <c r="AJ19" s="9">
        <f t="shared" si="4"/>
        <v>0.13297156703659443</v>
      </c>
      <c r="AK19" s="9">
        <f t="shared" si="5"/>
        <v>1.7681437640167528E-2</v>
      </c>
      <c r="AL19" s="9">
        <f t="shared" si="6"/>
        <v>4.0714785762944183E-2</v>
      </c>
      <c r="AM19" s="9">
        <f t="shared" si="7"/>
        <v>1.6576937797224424E-3</v>
      </c>
      <c r="AN19" s="8" t="s">
        <v>999</v>
      </c>
    </row>
    <row r="20" spans="8:40" ht="23">
      <c r="H20" s="24"/>
      <c r="I20" s="24"/>
      <c r="J20" s="24"/>
      <c r="K20" s="24"/>
      <c r="L20" s="24"/>
      <c r="M20" s="25" t="s">
        <v>4886</v>
      </c>
      <c r="N20" s="24"/>
      <c r="O20" s="24"/>
      <c r="P20" s="24"/>
      <c r="Q20" s="24"/>
      <c r="R20" s="24"/>
      <c r="S20" s="24"/>
      <c r="T20" s="24"/>
      <c r="U20" s="24"/>
      <c r="V20" s="24"/>
      <c r="W20" s="25" t="s">
        <v>4886</v>
      </c>
      <c r="X20" s="8">
        <v>68.56</v>
      </c>
      <c r="Y20" s="8">
        <v>1.46</v>
      </c>
      <c r="Z20" s="9">
        <v>0.09</v>
      </c>
      <c r="AA20" s="8">
        <v>1.2</v>
      </c>
      <c r="AB20" s="8">
        <v>87958</v>
      </c>
      <c r="AC20" s="22" t="s">
        <v>4886</v>
      </c>
      <c r="AD20" s="8" t="s">
        <v>4463</v>
      </c>
      <c r="AE20" s="8" t="s">
        <v>4363</v>
      </c>
      <c r="AF20" s="25">
        <f t="shared" si="0"/>
        <v>1.752</v>
      </c>
      <c r="AG20" s="25">
        <f t="shared" si="1"/>
        <v>0.18</v>
      </c>
      <c r="AH20" s="25">
        <f t="shared" si="2"/>
        <v>0.10773927096426647</v>
      </c>
      <c r="AI20" s="25">
        <f t="shared" si="3"/>
        <v>1.1607750507911633E-2</v>
      </c>
      <c r="AJ20" s="25">
        <f t="shared" si="4"/>
        <v>3.1220341121430375E-2</v>
      </c>
      <c r="AK20" s="25">
        <f t="shared" si="5"/>
        <v>9.747096997384764E-4</v>
      </c>
      <c r="AL20" s="25">
        <f t="shared" si="6"/>
        <v>2.9081989830674415E-3</v>
      </c>
      <c r="AM20" s="25">
        <f t="shared" si="7"/>
        <v>8.4576213251145005E-6</v>
      </c>
      <c r="AN20" s="25" t="s">
        <v>4886</v>
      </c>
    </row>
    <row r="21" spans="8:40" ht="23">
      <c r="H21" s="8"/>
      <c r="I21" s="8"/>
      <c r="J21" s="8"/>
      <c r="K21" s="8"/>
      <c r="L21" s="8"/>
      <c r="M21" s="9"/>
      <c r="N21" s="8"/>
      <c r="O21" s="8"/>
      <c r="P21" s="8"/>
      <c r="Q21" s="8"/>
      <c r="R21" s="8"/>
      <c r="S21" s="8"/>
      <c r="T21" s="8"/>
      <c r="U21" s="8"/>
      <c r="V21" s="8"/>
      <c r="W21" s="9"/>
      <c r="X21" s="8"/>
      <c r="Y21" s="8"/>
      <c r="Z21" s="9"/>
      <c r="AA21" s="8">
        <f>SUBTOTAL(109,Table13678[ترافیک کل])</f>
        <v>1113.8</v>
      </c>
      <c r="AB21" s="8"/>
      <c r="AC21" s="22"/>
      <c r="AD21" s="8"/>
      <c r="AE21" s="8"/>
      <c r="AF21" s="9">
        <f>SUBTOTAL(109,Table13678[[مجموع صفحات  مشاهده شده   ]])</f>
        <v>5611.7260000000006</v>
      </c>
      <c r="AG21" s="9">
        <f>SUBTOTAL(109,Table13678[[مجموع زمان حضور در سایت ]])</f>
        <v>6189.3976666666676</v>
      </c>
      <c r="AH21" s="9">
        <f>SUBTOTAL(109,Table13678[سهم سایت از کل ترافیک طبقه بندی])</f>
        <v>100</v>
      </c>
      <c r="AI21" s="9">
        <f>SUBTOTAL(109,Table13678[شاخص هرفیندال هیرشمن (ترافیک)])</f>
        <v>2628.45854135524</v>
      </c>
      <c r="AJ21" s="9">
        <f>SUBTOTAL(109,Table13678[سهم سایت از کل صفحات مشاهده شده در طبقه بندی])</f>
        <v>99.999999999999972</v>
      </c>
      <c r="AK21" s="9">
        <f>SUBTOTAL(109,Table13678[شاخص هرفیندال -هیرشمن (صفحات مشاهده شده )])</f>
        <v>2641.5052961363049</v>
      </c>
      <c r="AL21" s="9">
        <f>SUBTOTAL(109,Table13678[سهم سایت از کل زمان حضور در طبقه بندی])</f>
        <v>99.999999999999957</v>
      </c>
      <c r="AM21" s="9">
        <f>SUBTOTAL(109,Table13678[شاخص هرفیندال هیرشمن (زمان حضور)])</f>
        <v>2892.8054809830242</v>
      </c>
      <c r="AN21" s="9"/>
    </row>
  </sheetData>
  <conditionalFormatting sqref="AA1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{B704D397-33D7-4E65-BDC9-3E2941CC2FD2}</x14:id>
        </ext>
      </extLst>
    </cfRule>
  </conditionalFormatting>
  <conditionalFormatting sqref="AH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{B77934ED-2FE1-4860-9C04-96A6004EB95D}</x14:id>
        </ext>
      </extLst>
    </cfRule>
  </conditionalFormatting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{FA58712C-E70F-43AF-A22C-3ED716F6F815}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{5264DB5C-0112-4DB0-830A-F7442DE9B657}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{979834BB-FEF7-428E-B7E7-7EFEEA991754}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{0AD23B46-D47D-4FB9-9C63-F186CE1E39BB}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704D397-33D7-4E65-BDC9-3E2941CC2F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77934ED-2FE1-4860-9C04-96A6004EB9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A58712C-E70F-43AF-A22C-3ED716F6F81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264DB5C-0112-4DB0-830A-F7442DE9B65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979834BB-FEF7-428E-B7E7-7EFEEA99175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0AD23B46-D47D-4FB9-9C63-F186CE1E39B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44"/>
  <sheetViews>
    <sheetView showGridLines="0" rightToLeft="1" topLeftCell="AK31" zoomScale="70" zoomScaleNormal="70" workbookViewId="0">
      <selection activeCell="AM44" sqref="AM44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L2" s="8"/>
      <c r="M2" s="8" t="s">
        <v>337</v>
      </c>
      <c r="N2" s="8" t="s">
        <v>150</v>
      </c>
      <c r="O2" s="8"/>
      <c r="P2" s="8" t="s">
        <v>3693</v>
      </c>
      <c r="Q2" s="8"/>
      <c r="R2" s="8"/>
      <c r="S2" s="8"/>
      <c r="T2" s="8"/>
      <c r="U2" s="8"/>
      <c r="V2" s="8"/>
      <c r="W2" s="8" t="s">
        <v>337</v>
      </c>
      <c r="X2" s="8">
        <v>51.5</v>
      </c>
      <c r="Y2" s="8">
        <v>1.81</v>
      </c>
      <c r="Z2" s="9">
        <v>2.2200000000000002</v>
      </c>
      <c r="AA2" s="8">
        <v>544.20000000000005</v>
      </c>
      <c r="AB2" s="8">
        <v>1731</v>
      </c>
      <c r="AC2" s="21" t="s">
        <v>337</v>
      </c>
      <c r="AD2" s="8" t="s">
        <v>4361</v>
      </c>
      <c r="AE2" s="8" t="s">
        <v>4363</v>
      </c>
      <c r="AF2" s="9">
        <f t="shared" ref="AF2:AF43" si="0">(AA2*Y2)</f>
        <v>985.00200000000007</v>
      </c>
      <c r="AG2" s="9">
        <f t="shared" ref="AG2:AG43" si="1">((((RIGHT(Z2,2))/60)+(LEFT(Z2,2)))*AA2)</f>
        <v>1287.94</v>
      </c>
      <c r="AH2" s="9">
        <f t="shared" ref="AH2:AH43" si="2">(AA2/$AA$44)*100</f>
        <v>23.085733678360842</v>
      </c>
      <c r="AI2" s="9">
        <f t="shared" ref="AI2:AI43" si="3">(AH2*AH2)</f>
        <v>532.95109946820401</v>
      </c>
      <c r="AJ2" s="9">
        <f t="shared" ref="AJ2:AJ43" si="4">(AF2/$AF$44)*100</f>
        <v>14.519557657046384</v>
      </c>
      <c r="AK2" s="9">
        <f t="shared" ref="AK2:AK43" si="5">(AJ2*AJ2)</f>
        <v>210.81755455629428</v>
      </c>
      <c r="AL2" s="9">
        <f t="shared" ref="AL2:AL43" si="6">(AG2/$AG$44)*100</f>
        <v>22.598772245788883</v>
      </c>
      <c r="AM2" s="9">
        <f t="shared" ref="AM2:AM43" si="7">(AL2*AL2)</f>
        <v>510.70450701703788</v>
      </c>
      <c r="AN2" s="8" t="s">
        <v>337</v>
      </c>
    </row>
    <row r="3" spans="8:40" ht="23">
      <c r="L3" s="8"/>
      <c r="M3" s="9" t="s">
        <v>4881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9" t="s">
        <v>4881</v>
      </c>
      <c r="X3" s="8">
        <v>57.39</v>
      </c>
      <c r="Y3" s="8">
        <v>1.75</v>
      </c>
      <c r="Z3" s="9">
        <v>1.18</v>
      </c>
      <c r="AA3" s="8">
        <v>419.5</v>
      </c>
      <c r="AB3" s="8">
        <v>4867</v>
      </c>
      <c r="AC3" s="22" t="s">
        <v>4881</v>
      </c>
      <c r="AD3" s="8" t="s">
        <v>4361</v>
      </c>
      <c r="AE3" s="8" t="s">
        <v>4363</v>
      </c>
      <c r="AF3" s="9">
        <f t="shared" si="0"/>
        <v>734.125</v>
      </c>
      <c r="AG3" s="9">
        <f t="shared" si="1"/>
        <v>545.35</v>
      </c>
      <c r="AH3" s="9">
        <f t="shared" si="2"/>
        <v>17.795783311415605</v>
      </c>
      <c r="AI3" s="9">
        <f t="shared" si="3"/>
        <v>316.68990366685813</v>
      </c>
      <c r="AJ3" s="9">
        <f t="shared" si="4"/>
        <v>10.82147068227189</v>
      </c>
      <c r="AK3" s="9">
        <f t="shared" si="5"/>
        <v>117.10422772727004</v>
      </c>
      <c r="AL3" s="9">
        <f t="shared" si="6"/>
        <v>9.5689554204706493</v>
      </c>
      <c r="AM3" s="9">
        <f t="shared" si="7"/>
        <v>91.564907838954625</v>
      </c>
      <c r="AN3" s="9" t="s">
        <v>4881</v>
      </c>
    </row>
    <row r="4" spans="8:40" ht="23">
      <c r="L4" s="8"/>
      <c r="M4" s="8" t="s">
        <v>1532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1532</v>
      </c>
      <c r="X4" s="8">
        <v>37.76</v>
      </c>
      <c r="Y4" s="8">
        <v>1.65</v>
      </c>
      <c r="Z4" s="9">
        <v>0.59</v>
      </c>
      <c r="AA4" s="8">
        <v>238.9</v>
      </c>
      <c r="AB4" s="8">
        <v>2480</v>
      </c>
      <c r="AC4" s="21" t="s">
        <v>1532</v>
      </c>
      <c r="AD4" s="8" t="s">
        <v>4361</v>
      </c>
      <c r="AE4" s="8" t="s">
        <v>4363</v>
      </c>
      <c r="AF4" s="9">
        <f t="shared" si="0"/>
        <v>394.185</v>
      </c>
      <c r="AG4" s="9">
        <f t="shared" si="1"/>
        <v>234.91833333333332</v>
      </c>
      <c r="AH4" s="9">
        <f t="shared" si="2"/>
        <v>10.134475883425955</v>
      </c>
      <c r="AI4" s="9">
        <f t="shared" si="3"/>
        <v>102.70760143174229</v>
      </c>
      <c r="AJ4" s="9">
        <f t="shared" si="4"/>
        <v>5.8105382882906111</v>
      </c>
      <c r="AK4" s="9">
        <f t="shared" si="5"/>
        <v>33.762355199691186</v>
      </c>
      <c r="AL4" s="9">
        <f t="shared" si="6"/>
        <v>4.1219823216611911</v>
      </c>
      <c r="AM4" s="9">
        <f t="shared" si="7"/>
        <v>16.990738260087383</v>
      </c>
      <c r="AN4" s="8" t="s">
        <v>1532</v>
      </c>
    </row>
    <row r="5" spans="8:40" ht="23">
      <c r="L5" s="8"/>
      <c r="M5" s="8" t="s">
        <v>923</v>
      </c>
      <c r="N5" s="8" t="s">
        <v>150</v>
      </c>
      <c r="O5" s="8"/>
      <c r="P5" s="8" t="s">
        <v>3705</v>
      </c>
      <c r="Q5" s="8"/>
      <c r="R5" s="8"/>
      <c r="S5" s="8"/>
      <c r="T5" s="8"/>
      <c r="U5" s="8"/>
      <c r="V5" s="8"/>
      <c r="W5" s="8" t="s">
        <v>923</v>
      </c>
      <c r="X5" s="8">
        <v>30.21</v>
      </c>
      <c r="Y5" s="8">
        <v>8.9</v>
      </c>
      <c r="Z5" s="9">
        <v>3.42</v>
      </c>
      <c r="AA5" s="8">
        <v>190</v>
      </c>
      <c r="AB5" s="8">
        <v>754</v>
      </c>
      <c r="AC5" s="21" t="s">
        <v>923</v>
      </c>
      <c r="AD5" s="8" t="s">
        <v>4361</v>
      </c>
      <c r="AE5" s="8" t="s">
        <v>4363</v>
      </c>
      <c r="AF5" s="9">
        <f t="shared" si="0"/>
        <v>1691</v>
      </c>
      <c r="AG5" s="9">
        <f t="shared" si="1"/>
        <v>703</v>
      </c>
      <c r="AH5" s="9">
        <f t="shared" si="2"/>
        <v>8.0600687226912164</v>
      </c>
      <c r="AI5" s="9">
        <f t="shared" si="3"/>
        <v>64.964707814505218</v>
      </c>
      <c r="AJ5" s="9">
        <f t="shared" si="4"/>
        <v>24.926418421551869</v>
      </c>
      <c r="AK5" s="9">
        <f t="shared" si="5"/>
        <v>621.3263353262804</v>
      </c>
      <c r="AL5" s="9">
        <f t="shared" si="6"/>
        <v>12.335152948731762</v>
      </c>
      <c r="AM5" s="9">
        <f t="shared" si="7"/>
        <v>152.15599826860588</v>
      </c>
      <c r="AN5" s="8" t="s">
        <v>923</v>
      </c>
    </row>
    <row r="6" spans="8:40" ht="23">
      <c r="L6" s="8"/>
      <c r="M6" s="9" t="s">
        <v>3254</v>
      </c>
      <c r="N6" s="8" t="s">
        <v>1902</v>
      </c>
      <c r="O6" s="8"/>
      <c r="P6" s="8"/>
      <c r="Q6" s="8"/>
      <c r="R6" s="8"/>
      <c r="S6" s="8"/>
      <c r="T6" s="8"/>
      <c r="U6" s="8"/>
      <c r="V6" s="8"/>
      <c r="W6" s="9" t="s">
        <v>3254</v>
      </c>
      <c r="X6" s="8">
        <v>27.07</v>
      </c>
      <c r="Y6" s="8">
        <v>1.58</v>
      </c>
      <c r="Z6" s="9">
        <v>0.14000000000000001</v>
      </c>
      <c r="AA6" s="8">
        <v>188.4</v>
      </c>
      <c r="AB6" s="8">
        <v>12376</v>
      </c>
      <c r="AC6" s="22" t="s">
        <v>3254</v>
      </c>
      <c r="AD6" s="8" t="s">
        <v>4361</v>
      </c>
      <c r="AE6" s="8" t="s">
        <v>4363</v>
      </c>
      <c r="AF6" s="9">
        <f t="shared" si="0"/>
        <v>297.67200000000003</v>
      </c>
      <c r="AG6" s="9">
        <f t="shared" si="1"/>
        <v>43.96</v>
      </c>
      <c r="AH6" s="9">
        <f t="shared" si="2"/>
        <v>7.9921944597632892</v>
      </c>
      <c r="AI6" s="9">
        <f t="shared" si="3"/>
        <v>63.875172282671016</v>
      </c>
      <c r="AJ6" s="9">
        <f t="shared" si="4"/>
        <v>4.3878751179066757</v>
      </c>
      <c r="AK6" s="9">
        <f t="shared" si="5"/>
        <v>19.253448050344524</v>
      </c>
      <c r="AL6" s="9">
        <f t="shared" si="6"/>
        <v>0.77134185437588654</v>
      </c>
      <c r="AM6" s="9">
        <f t="shared" si="7"/>
        <v>0.59496825631203132</v>
      </c>
      <c r="AN6" s="9" t="s">
        <v>3254</v>
      </c>
    </row>
    <row r="7" spans="8:40" ht="23">
      <c r="L7" s="8"/>
      <c r="M7" s="9" t="s">
        <v>2888</v>
      </c>
      <c r="N7" s="8" t="s">
        <v>1717</v>
      </c>
      <c r="O7" s="8"/>
      <c r="P7" s="8"/>
      <c r="Q7" s="8"/>
      <c r="R7" s="8"/>
      <c r="S7" s="8"/>
      <c r="T7" s="8"/>
      <c r="U7" s="8"/>
      <c r="V7" s="8"/>
      <c r="W7" s="9" t="s">
        <v>2888</v>
      </c>
      <c r="X7" s="8">
        <v>29.49</v>
      </c>
      <c r="Y7" s="8">
        <v>7.8</v>
      </c>
      <c r="Z7" s="9">
        <v>11.58</v>
      </c>
      <c r="AA7" s="8">
        <v>137.69999999999999</v>
      </c>
      <c r="AB7" s="8">
        <v>1274</v>
      </c>
      <c r="AC7" s="22" t="s">
        <v>2888</v>
      </c>
      <c r="AD7" s="8" t="s">
        <v>4361</v>
      </c>
      <c r="AE7" s="8" t="s">
        <v>4363</v>
      </c>
      <c r="AF7" s="9">
        <f t="shared" si="0"/>
        <v>1074.06</v>
      </c>
      <c r="AG7" s="9">
        <f t="shared" si="1"/>
        <v>1647.81</v>
      </c>
      <c r="AH7" s="9">
        <f t="shared" si="2"/>
        <v>5.8414287532346325</v>
      </c>
      <c r="AI7" s="9">
        <f t="shared" si="3"/>
        <v>34.122289879116316</v>
      </c>
      <c r="AJ7" s="9">
        <f t="shared" si="4"/>
        <v>15.832329373064457</v>
      </c>
      <c r="AK7" s="9">
        <f t="shared" si="5"/>
        <v>250.66265337719958</v>
      </c>
      <c r="AL7" s="9">
        <f t="shared" si="6"/>
        <v>28.913212489971102</v>
      </c>
      <c r="AM7" s="9">
        <f t="shared" si="7"/>
        <v>835.9738564902209</v>
      </c>
      <c r="AN7" s="9" t="s">
        <v>2888</v>
      </c>
    </row>
    <row r="8" spans="8:40" ht="23">
      <c r="L8" s="8"/>
      <c r="M8" s="9" t="s">
        <v>3187</v>
      </c>
      <c r="N8" s="8" t="s">
        <v>1869</v>
      </c>
      <c r="O8" s="8"/>
      <c r="P8" s="8" t="s">
        <v>3691</v>
      </c>
      <c r="Q8" s="8"/>
      <c r="R8" s="8"/>
      <c r="S8" s="8"/>
      <c r="T8" s="8"/>
      <c r="U8" s="8"/>
      <c r="V8" s="8"/>
      <c r="W8" s="9" t="s">
        <v>3187</v>
      </c>
      <c r="X8" s="8">
        <v>31.22</v>
      </c>
      <c r="Y8" s="8">
        <v>1.53</v>
      </c>
      <c r="Z8" s="9">
        <v>0.54</v>
      </c>
      <c r="AA8" s="8">
        <v>133.80000000000001</v>
      </c>
      <c r="AB8" s="8">
        <v>8291</v>
      </c>
      <c r="AC8" s="22" t="s">
        <v>3187</v>
      </c>
      <c r="AD8" s="8" t="s">
        <v>4361</v>
      </c>
      <c r="AE8" s="8" t="s">
        <v>4363</v>
      </c>
      <c r="AF8" s="9">
        <f t="shared" si="0"/>
        <v>204.71400000000003</v>
      </c>
      <c r="AG8" s="9">
        <f t="shared" si="1"/>
        <v>120.42000000000002</v>
      </c>
      <c r="AH8" s="9">
        <f t="shared" si="2"/>
        <v>5.6759852373478141</v>
      </c>
      <c r="AI8" s="9">
        <f t="shared" si="3"/>
        <v>32.216808414590325</v>
      </c>
      <c r="AJ8" s="9">
        <f t="shared" si="4"/>
        <v>3.0176149146951921</v>
      </c>
      <c r="AK8" s="9">
        <f t="shared" si="5"/>
        <v>9.105999773390872</v>
      </c>
      <c r="AL8" s="9">
        <f t="shared" si="6"/>
        <v>2.112943268970525</v>
      </c>
      <c r="AM8" s="9">
        <f t="shared" si="7"/>
        <v>4.4645292578878486</v>
      </c>
      <c r="AN8" s="9" t="s">
        <v>3187</v>
      </c>
    </row>
    <row r="9" spans="8:40" ht="23">
      <c r="L9" s="8"/>
      <c r="M9" s="8" t="s">
        <v>51</v>
      </c>
      <c r="N9" s="8" t="s">
        <v>23</v>
      </c>
      <c r="O9" s="8"/>
      <c r="P9" s="8"/>
      <c r="Q9" s="8"/>
      <c r="R9" s="8"/>
      <c r="S9" s="8"/>
      <c r="T9" s="8"/>
      <c r="U9" s="8"/>
      <c r="V9" s="8"/>
      <c r="W9" s="8" t="s">
        <v>51</v>
      </c>
      <c r="X9" s="8">
        <v>22.14</v>
      </c>
      <c r="Y9" s="8">
        <v>2</v>
      </c>
      <c r="Z9" s="9">
        <v>0.45</v>
      </c>
      <c r="AA9" s="8">
        <v>76</v>
      </c>
      <c r="AB9" s="8">
        <v>8144</v>
      </c>
      <c r="AC9" s="21" t="s">
        <v>51</v>
      </c>
      <c r="AD9" s="8" t="s">
        <v>4361</v>
      </c>
      <c r="AE9" s="8" t="s">
        <v>4363</v>
      </c>
      <c r="AF9" s="9">
        <f t="shared" si="0"/>
        <v>152</v>
      </c>
      <c r="AG9" s="9">
        <f t="shared" si="1"/>
        <v>57</v>
      </c>
      <c r="AH9" s="9">
        <f t="shared" si="2"/>
        <v>3.2240274890764864</v>
      </c>
      <c r="AI9" s="9">
        <f t="shared" si="3"/>
        <v>10.394353250320833</v>
      </c>
      <c r="AJ9" s="9">
        <f t="shared" si="4"/>
        <v>2.2405769367687074</v>
      </c>
      <c r="AK9" s="9">
        <f t="shared" si="5"/>
        <v>5.0201850095798441</v>
      </c>
      <c r="AL9" s="9">
        <f t="shared" si="6"/>
        <v>1.0001475363836563</v>
      </c>
      <c r="AM9" s="9">
        <f t="shared" si="7"/>
        <v>1.000295094534297</v>
      </c>
      <c r="AN9" s="8" t="s">
        <v>51</v>
      </c>
    </row>
    <row r="10" spans="8:40" ht="23">
      <c r="L10" s="8"/>
      <c r="M10" s="8" t="s">
        <v>1903</v>
      </c>
      <c r="N10" s="8" t="s">
        <v>1902</v>
      </c>
      <c r="O10" s="8"/>
      <c r="P10" s="8" t="s">
        <v>3691</v>
      </c>
      <c r="Q10" s="8"/>
      <c r="R10" s="8"/>
      <c r="S10" s="8"/>
      <c r="T10" s="8"/>
      <c r="U10" s="8"/>
      <c r="V10" s="8"/>
      <c r="W10" s="8" t="s">
        <v>1903</v>
      </c>
      <c r="X10" s="8">
        <v>6.32</v>
      </c>
      <c r="Y10" s="8">
        <v>2.15</v>
      </c>
      <c r="Z10" s="9">
        <v>0.56000000000000005</v>
      </c>
      <c r="AA10" s="8">
        <v>64.599999999999994</v>
      </c>
      <c r="AB10" s="8">
        <v>7232</v>
      </c>
      <c r="AC10" s="21" t="s">
        <v>1903</v>
      </c>
      <c r="AD10" s="8" t="s">
        <v>4361</v>
      </c>
      <c r="AE10" s="8" t="s">
        <v>4363</v>
      </c>
      <c r="AF10" s="9">
        <f t="shared" si="0"/>
        <v>138.88999999999999</v>
      </c>
      <c r="AG10" s="9">
        <f t="shared" si="1"/>
        <v>60.293333333333329</v>
      </c>
      <c r="AH10" s="9">
        <f t="shared" si="2"/>
        <v>2.7404233657150128</v>
      </c>
      <c r="AI10" s="9">
        <f t="shared" si="3"/>
        <v>7.509920223356799</v>
      </c>
      <c r="AJ10" s="9">
        <f t="shared" si="4"/>
        <v>2.0473271759724061</v>
      </c>
      <c r="AK10" s="9">
        <f t="shared" si="5"/>
        <v>4.1915485654751476</v>
      </c>
      <c r="AL10" s="9">
        <f t="shared" si="6"/>
        <v>1.057933838485823</v>
      </c>
      <c r="AM10" s="9">
        <f t="shared" si="7"/>
        <v>1.1192240066133474</v>
      </c>
      <c r="AN10" s="8" t="s">
        <v>1903</v>
      </c>
    </row>
    <row r="11" spans="8:40" ht="23">
      <c r="L11" s="8"/>
      <c r="M11" s="8" t="s">
        <v>1963</v>
      </c>
      <c r="N11" s="8" t="s">
        <v>1939</v>
      </c>
      <c r="O11" s="8"/>
      <c r="P11" s="8"/>
      <c r="Q11" s="8"/>
      <c r="R11" s="8"/>
      <c r="S11" s="8"/>
      <c r="T11" s="8"/>
      <c r="U11" s="8"/>
      <c r="V11" s="8"/>
      <c r="W11" s="8" t="s">
        <v>1963</v>
      </c>
      <c r="X11" s="8">
        <v>34.979999999999997</v>
      </c>
      <c r="Y11" s="8">
        <v>1.2</v>
      </c>
      <c r="Z11" s="9">
        <v>0.21</v>
      </c>
      <c r="AA11" s="8">
        <v>45.7</v>
      </c>
      <c r="AB11" s="8">
        <v>15109</v>
      </c>
      <c r="AC11" s="21" t="s">
        <v>1963</v>
      </c>
      <c r="AD11" s="8" t="s">
        <v>4361</v>
      </c>
      <c r="AE11" s="8" t="s">
        <v>4363</v>
      </c>
      <c r="AF11" s="9">
        <f t="shared" si="0"/>
        <v>54.84</v>
      </c>
      <c r="AG11" s="9">
        <f t="shared" si="1"/>
        <v>15.994999999999999</v>
      </c>
      <c r="AH11" s="9">
        <f t="shared" si="2"/>
        <v>1.9386586348788875</v>
      </c>
      <c r="AI11" s="9">
        <f t="shared" si="3"/>
        <v>3.7583973025904713</v>
      </c>
      <c r="AJ11" s="9">
        <f t="shared" si="4"/>
        <v>0.80837657376576255</v>
      </c>
      <c r="AK11" s="9">
        <f t="shared" si="5"/>
        <v>0.65347268501327338</v>
      </c>
      <c r="AL11" s="9">
        <f t="shared" si="6"/>
        <v>0.28065543586765934</v>
      </c>
      <c r="AM11" s="9">
        <f t="shared" si="7"/>
        <v>7.8767473682065853E-2</v>
      </c>
      <c r="AN11" s="8" t="s">
        <v>1963</v>
      </c>
    </row>
    <row r="12" spans="8:40" ht="23">
      <c r="L12" s="8"/>
      <c r="M12" s="9" t="s">
        <v>3597</v>
      </c>
      <c r="N12" s="8" t="s">
        <v>2084</v>
      </c>
      <c r="O12" s="8"/>
      <c r="P12" s="8"/>
      <c r="Q12" s="8"/>
      <c r="R12" s="8"/>
      <c r="S12" s="8"/>
      <c r="T12" s="8"/>
      <c r="U12" s="8"/>
      <c r="V12" s="8"/>
      <c r="W12" s="9" t="s">
        <v>3597</v>
      </c>
      <c r="X12" s="8">
        <v>21.1</v>
      </c>
      <c r="Y12" s="8">
        <v>1.81</v>
      </c>
      <c r="Z12" s="9">
        <v>0.53</v>
      </c>
      <c r="AA12" s="8">
        <v>39</v>
      </c>
      <c r="AB12" s="8">
        <v>7307</v>
      </c>
      <c r="AC12" s="22" t="s">
        <v>3597</v>
      </c>
      <c r="AD12" s="8" t="s">
        <v>4361</v>
      </c>
      <c r="AE12" s="8" t="s">
        <v>4363</v>
      </c>
      <c r="AF12" s="9">
        <f t="shared" si="0"/>
        <v>70.59</v>
      </c>
      <c r="AG12" s="9">
        <f t="shared" si="1"/>
        <v>34.449999999999996</v>
      </c>
      <c r="AH12" s="9">
        <f t="shared" si="2"/>
        <v>1.6544351588681969</v>
      </c>
      <c r="AI12" s="9">
        <f t="shared" si="3"/>
        <v>2.7371556948992359</v>
      </c>
      <c r="AJ12" s="9">
        <f t="shared" si="4"/>
        <v>1.0405416182006779</v>
      </c>
      <c r="AK12" s="9">
        <f t="shared" si="5"/>
        <v>1.0827268592076853</v>
      </c>
      <c r="AL12" s="9">
        <f t="shared" si="6"/>
        <v>0.60447513383187645</v>
      </c>
      <c r="AM12" s="9">
        <f t="shared" si="7"/>
        <v>0.36539018742106494</v>
      </c>
      <c r="AN12" s="9" t="s">
        <v>3597</v>
      </c>
    </row>
    <row r="13" spans="8:40" ht="23">
      <c r="L13" s="8"/>
      <c r="M13" s="8" t="s">
        <v>4882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4882</v>
      </c>
      <c r="X13" s="8">
        <v>7.53</v>
      </c>
      <c r="Y13" s="8">
        <v>1.55</v>
      </c>
      <c r="Z13" s="9">
        <v>0.54</v>
      </c>
      <c r="AA13" s="8">
        <v>33</v>
      </c>
      <c r="AB13" s="8">
        <v>17024</v>
      </c>
      <c r="AC13" s="21" t="s">
        <v>4882</v>
      </c>
      <c r="AD13" s="8" t="s">
        <v>4361</v>
      </c>
      <c r="AE13" s="8" t="s">
        <v>4363</v>
      </c>
      <c r="AF13" s="9">
        <f t="shared" si="0"/>
        <v>51.15</v>
      </c>
      <c r="AG13" s="9">
        <f t="shared" si="1"/>
        <v>29.7</v>
      </c>
      <c r="AH13" s="9">
        <f t="shared" si="2"/>
        <v>1.3999066728884744</v>
      </c>
      <c r="AI13" s="9">
        <f t="shared" si="3"/>
        <v>1.9597386927976779</v>
      </c>
      <c r="AJ13" s="9">
        <f t="shared" si="4"/>
        <v>0.75398362049815382</v>
      </c>
      <c r="AK13" s="9">
        <f t="shared" si="5"/>
        <v>0.56849129997950398</v>
      </c>
      <c r="AL13" s="9">
        <f t="shared" si="6"/>
        <v>0.52112950579990513</v>
      </c>
      <c r="AM13" s="9">
        <f t="shared" si="7"/>
        <v>0.27157596181525334</v>
      </c>
      <c r="AN13" s="8" t="s">
        <v>4882</v>
      </c>
    </row>
    <row r="14" spans="8:40" ht="23">
      <c r="L14" s="8"/>
      <c r="M14" s="8" t="s">
        <v>1031</v>
      </c>
      <c r="N14" s="8" t="s">
        <v>150</v>
      </c>
      <c r="O14" s="8"/>
      <c r="P14" s="8" t="s">
        <v>3694</v>
      </c>
      <c r="Q14" s="8"/>
      <c r="R14" s="8"/>
      <c r="S14" s="8"/>
      <c r="T14" s="8"/>
      <c r="U14" s="8"/>
      <c r="V14" s="8"/>
      <c r="W14" s="8" t="s">
        <v>1031</v>
      </c>
      <c r="X14" s="8">
        <v>31.47</v>
      </c>
      <c r="Y14" s="8">
        <v>3.33</v>
      </c>
      <c r="Z14" s="9">
        <v>2.33</v>
      </c>
      <c r="AA14" s="8">
        <v>31.5</v>
      </c>
      <c r="AB14" s="8">
        <v>5736</v>
      </c>
      <c r="AC14" s="21" t="s">
        <v>1031</v>
      </c>
      <c r="AD14" s="8" t="s">
        <v>4361</v>
      </c>
      <c r="AE14" s="8" t="s">
        <v>4363</v>
      </c>
      <c r="AF14" s="9">
        <f t="shared" si="0"/>
        <v>104.895</v>
      </c>
      <c r="AG14" s="9">
        <f t="shared" si="1"/>
        <v>80.324999999999989</v>
      </c>
      <c r="AH14" s="9">
        <f t="shared" si="2"/>
        <v>1.3362745513935437</v>
      </c>
      <c r="AI14" s="9">
        <f t="shared" si="3"/>
        <v>1.7856296767020163</v>
      </c>
      <c r="AJ14" s="9">
        <f t="shared" si="4"/>
        <v>1.5462191959365366</v>
      </c>
      <c r="AK14" s="9">
        <f t="shared" si="5"/>
        <v>2.3907938018826296</v>
      </c>
      <c r="AL14" s="9">
        <f t="shared" si="6"/>
        <v>1.4094184361406523</v>
      </c>
      <c r="AM14" s="9">
        <f t="shared" si="7"/>
        <v>1.9864603281331621</v>
      </c>
      <c r="AN14" s="8" t="s">
        <v>1031</v>
      </c>
    </row>
    <row r="15" spans="8:40" ht="23">
      <c r="L15" s="8"/>
      <c r="M15" s="9" t="s">
        <v>3568</v>
      </c>
      <c r="N15" s="8" t="s">
        <v>2066</v>
      </c>
      <c r="O15" s="8"/>
      <c r="P15" s="8" t="s">
        <v>3691</v>
      </c>
      <c r="Q15" s="8"/>
      <c r="R15" s="8"/>
      <c r="S15" s="8"/>
      <c r="T15" s="8"/>
      <c r="U15" s="8"/>
      <c r="V15" s="8"/>
      <c r="W15" s="9" t="s">
        <v>3568</v>
      </c>
      <c r="X15" s="8">
        <v>13.74</v>
      </c>
      <c r="Y15" s="8">
        <v>7.41</v>
      </c>
      <c r="Z15" s="9">
        <v>8.49</v>
      </c>
      <c r="AA15" s="8">
        <v>26</v>
      </c>
      <c r="AB15" s="8">
        <v>5036</v>
      </c>
      <c r="AC15" s="22" t="s">
        <v>3568</v>
      </c>
      <c r="AD15" s="8" t="s">
        <v>4361</v>
      </c>
      <c r="AE15" s="8" t="s">
        <v>4363</v>
      </c>
      <c r="AF15" s="9">
        <f t="shared" si="0"/>
        <v>192.66</v>
      </c>
      <c r="AG15" s="9">
        <f t="shared" si="1"/>
        <v>229.23333333333332</v>
      </c>
      <c r="AH15" s="9">
        <f t="shared" si="2"/>
        <v>1.1029567725787979</v>
      </c>
      <c r="AI15" s="9">
        <f t="shared" si="3"/>
        <v>1.2165136421774381</v>
      </c>
      <c r="AJ15" s="9">
        <f t="shared" si="4"/>
        <v>2.8399312673543364</v>
      </c>
      <c r="AK15" s="9">
        <f t="shared" si="5"/>
        <v>8.0652096032968075</v>
      </c>
      <c r="AL15" s="9">
        <f t="shared" si="6"/>
        <v>4.0222307647429263</v>
      </c>
      <c r="AM15" s="9">
        <f t="shared" si="7"/>
        <v>16.178340324844466</v>
      </c>
      <c r="AN15" s="9" t="s">
        <v>3568</v>
      </c>
    </row>
    <row r="16" spans="8:40" ht="23">
      <c r="L16" s="8"/>
      <c r="M16" s="9" t="s">
        <v>3025</v>
      </c>
      <c r="N16" s="8" t="s">
        <v>1814</v>
      </c>
      <c r="O16" s="8"/>
      <c r="P16" s="8"/>
      <c r="Q16" s="8"/>
      <c r="R16" s="8"/>
      <c r="S16" s="8"/>
      <c r="T16" s="8"/>
      <c r="U16" s="8"/>
      <c r="V16" s="8"/>
      <c r="W16" s="9" t="s">
        <v>3025</v>
      </c>
      <c r="X16" s="8">
        <v>34.75</v>
      </c>
      <c r="Y16" s="8">
        <v>1.32</v>
      </c>
      <c r="Z16" s="9">
        <v>0.45</v>
      </c>
      <c r="AA16" s="8">
        <v>21.8</v>
      </c>
      <c r="AB16" s="8">
        <v>17599</v>
      </c>
      <c r="AC16" s="22" t="s">
        <v>3025</v>
      </c>
      <c r="AD16" s="8" t="s">
        <v>4361</v>
      </c>
      <c r="AE16" s="8" t="s">
        <v>4363</v>
      </c>
      <c r="AF16" s="9">
        <f t="shared" si="0"/>
        <v>28.776000000000003</v>
      </c>
      <c r="AG16" s="9">
        <f t="shared" si="1"/>
        <v>16.350000000000001</v>
      </c>
      <c r="AH16" s="9">
        <f t="shared" si="2"/>
        <v>0.92478683239299209</v>
      </c>
      <c r="AI16" s="9">
        <f t="shared" si="3"/>
        <v>0.85523068536746405</v>
      </c>
      <c r="AJ16" s="9">
        <f t="shared" si="4"/>
        <v>0.42417659166089688</v>
      </c>
      <c r="AK16" s="9">
        <f t="shared" si="5"/>
        <v>0.17992578091305525</v>
      </c>
      <c r="AL16" s="9">
        <f t="shared" si="6"/>
        <v>0.28688442491004884</v>
      </c>
      <c r="AM16" s="9">
        <f t="shared" si="7"/>
        <v>8.2302673255969447E-2</v>
      </c>
      <c r="AN16" s="9" t="s">
        <v>3025</v>
      </c>
    </row>
    <row r="17" spans="12:40" ht="23">
      <c r="L17" s="8"/>
      <c r="M17" s="8" t="s">
        <v>1921</v>
      </c>
      <c r="N17" s="8" t="s">
        <v>1902</v>
      </c>
      <c r="O17" s="8"/>
      <c r="P17" s="8" t="s">
        <v>3692</v>
      </c>
      <c r="Q17" s="8"/>
      <c r="R17" s="8"/>
      <c r="S17" s="8"/>
      <c r="T17" s="8"/>
      <c r="U17" s="8"/>
      <c r="V17" s="8"/>
      <c r="W17" s="8" t="s">
        <v>1921</v>
      </c>
      <c r="X17" s="8">
        <v>34.49</v>
      </c>
      <c r="Y17" s="8">
        <v>1.54</v>
      </c>
      <c r="Z17" s="9">
        <v>0.23</v>
      </c>
      <c r="AA17" s="8">
        <v>18.100000000000001</v>
      </c>
      <c r="AB17" s="8">
        <v>15867</v>
      </c>
      <c r="AC17" s="21" t="s">
        <v>1921</v>
      </c>
      <c r="AD17" s="8" t="s">
        <v>4361</v>
      </c>
      <c r="AE17" s="8" t="s">
        <v>4363</v>
      </c>
      <c r="AF17" s="9">
        <f t="shared" si="0"/>
        <v>27.874000000000002</v>
      </c>
      <c r="AG17" s="9">
        <f t="shared" si="1"/>
        <v>6.9383333333333344</v>
      </c>
      <c r="AH17" s="9">
        <f t="shared" si="2"/>
        <v>0.76782759937216316</v>
      </c>
      <c r="AI17" s="9">
        <f t="shared" si="3"/>
        <v>0.58955922235761904</v>
      </c>
      <c r="AJ17" s="9">
        <f t="shared" si="4"/>
        <v>0.41088053641770367</v>
      </c>
      <c r="AK17" s="9">
        <f t="shared" si="5"/>
        <v>0.1688228152068999</v>
      </c>
      <c r="AL17" s="9">
        <f t="shared" si="6"/>
        <v>0.12174310508670065</v>
      </c>
      <c r="AM17" s="9">
        <f t="shared" si="7"/>
        <v>1.4821383636151438E-2</v>
      </c>
      <c r="AN17" s="8" t="s">
        <v>1921</v>
      </c>
    </row>
    <row r="18" spans="12:40" ht="23">
      <c r="L18" s="8"/>
      <c r="M18" s="9" t="s">
        <v>3326</v>
      </c>
      <c r="N18" s="8" t="s">
        <v>1939</v>
      </c>
      <c r="O18" s="8"/>
      <c r="P18" s="8" t="s">
        <v>3693</v>
      </c>
      <c r="Q18" s="8"/>
      <c r="R18" s="8"/>
      <c r="S18" s="8"/>
      <c r="T18" s="8"/>
      <c r="U18" s="8"/>
      <c r="V18" s="8"/>
      <c r="W18" s="9" t="s">
        <v>3326</v>
      </c>
      <c r="X18" s="8">
        <v>38.22</v>
      </c>
      <c r="Y18" s="8">
        <v>2.99</v>
      </c>
      <c r="Z18" s="9">
        <v>4.1399999999999997</v>
      </c>
      <c r="AA18" s="8">
        <v>15.9</v>
      </c>
      <c r="AB18" s="8">
        <v>8373</v>
      </c>
      <c r="AC18" s="22" t="s">
        <v>3326</v>
      </c>
      <c r="AD18" s="8" t="s">
        <v>4361</v>
      </c>
      <c r="AE18" s="8" t="s">
        <v>4363</v>
      </c>
      <c r="AF18" s="9">
        <f t="shared" si="0"/>
        <v>47.541000000000004</v>
      </c>
      <c r="AG18" s="9">
        <f t="shared" si="1"/>
        <v>67.31</v>
      </c>
      <c r="AH18" s="9">
        <f t="shared" si="2"/>
        <v>0.67450048784626482</v>
      </c>
      <c r="AI18" s="9">
        <f t="shared" si="3"/>
        <v>0.45495090810484923</v>
      </c>
      <c r="AJ18" s="9">
        <f t="shared" si="4"/>
        <v>0.70078465888763897</v>
      </c>
      <c r="AK18" s="9">
        <f t="shared" si="5"/>
        <v>0.49109913813226452</v>
      </c>
      <c r="AL18" s="9">
        <f t="shared" si="6"/>
        <v>1.1810514153330511</v>
      </c>
      <c r="AM18" s="9">
        <f t="shared" si="7"/>
        <v>1.3948824456602034</v>
      </c>
      <c r="AN18" s="9" t="s">
        <v>3326</v>
      </c>
    </row>
    <row r="19" spans="12:40" ht="23">
      <c r="L19" s="8"/>
      <c r="M19" s="9" t="s">
        <v>3294</v>
      </c>
      <c r="N19" s="8" t="s">
        <v>1939</v>
      </c>
      <c r="O19" s="8"/>
      <c r="P19" s="8"/>
      <c r="Q19" s="8"/>
      <c r="R19" s="8"/>
      <c r="S19" s="8"/>
      <c r="T19" s="8"/>
      <c r="U19" s="8"/>
      <c r="V19" s="8"/>
      <c r="W19" s="9" t="s">
        <v>3294</v>
      </c>
      <c r="X19" s="8">
        <v>14.68</v>
      </c>
      <c r="Y19" s="8">
        <v>5.39</v>
      </c>
      <c r="Z19" s="9">
        <v>4.28</v>
      </c>
      <c r="AA19" s="8">
        <v>12.8</v>
      </c>
      <c r="AB19" s="8">
        <v>6730</v>
      </c>
      <c r="AC19" s="22" t="s">
        <v>3294</v>
      </c>
      <c r="AD19" s="8" t="s">
        <v>4361</v>
      </c>
      <c r="AE19" s="8" t="s">
        <v>4363</v>
      </c>
      <c r="AF19" s="9">
        <f t="shared" si="0"/>
        <v>68.992000000000004</v>
      </c>
      <c r="AG19" s="9">
        <f t="shared" si="1"/>
        <v>57.173333333333339</v>
      </c>
      <c r="AH19" s="9">
        <f t="shared" si="2"/>
        <v>0.54299410342340826</v>
      </c>
      <c r="AI19" s="9">
        <f t="shared" si="3"/>
        <v>0.29484259635259097</v>
      </c>
      <c r="AJ19" s="9">
        <f t="shared" si="4"/>
        <v>1.0169860790891228</v>
      </c>
      <c r="AK19" s="9">
        <f t="shared" si="5"/>
        <v>1.0342606850610674</v>
      </c>
      <c r="AL19" s="9">
        <f t="shared" si="6"/>
        <v>1.0031889207048232</v>
      </c>
      <c r="AM19" s="9">
        <f t="shared" si="7"/>
        <v>1.0063880106249081</v>
      </c>
      <c r="AN19" s="9" t="s">
        <v>3294</v>
      </c>
    </row>
    <row r="20" spans="12:40" ht="23">
      <c r="L20" s="8"/>
      <c r="M20" s="8" t="s">
        <v>1986</v>
      </c>
      <c r="N20" s="8" t="s">
        <v>1964</v>
      </c>
      <c r="O20" s="8"/>
      <c r="P20" s="8" t="s">
        <v>3691</v>
      </c>
      <c r="Q20" s="8"/>
      <c r="R20" s="8"/>
      <c r="S20" s="8"/>
      <c r="T20" s="8"/>
      <c r="U20" s="8"/>
      <c r="V20" s="8"/>
      <c r="W20" s="8" t="s">
        <v>1986</v>
      </c>
      <c r="X20" s="8">
        <v>12.62</v>
      </c>
      <c r="Y20" s="8">
        <v>2.5299999999999998</v>
      </c>
      <c r="Z20" s="9">
        <v>1.04</v>
      </c>
      <c r="AA20" s="8">
        <v>12.7</v>
      </c>
      <c r="AB20" s="8">
        <v>21217</v>
      </c>
      <c r="AC20" s="21" t="s">
        <v>1986</v>
      </c>
      <c r="AD20" s="8" t="s">
        <v>4361</v>
      </c>
      <c r="AE20" s="8" t="s">
        <v>4363</v>
      </c>
      <c r="AF20" s="9">
        <f t="shared" si="0"/>
        <v>32.130999999999993</v>
      </c>
      <c r="AG20" s="9">
        <f t="shared" si="1"/>
        <v>13.546666666666665</v>
      </c>
      <c r="AH20" s="9">
        <f t="shared" si="2"/>
        <v>0.53875196199041275</v>
      </c>
      <c r="AI20" s="9">
        <f t="shared" si="3"/>
        <v>0.29025367654851914</v>
      </c>
      <c r="AJ20" s="9">
        <f t="shared" si="4"/>
        <v>0.47363143128496915</v>
      </c>
      <c r="AK20" s="9">
        <f t="shared" si="5"/>
        <v>0.22432673270104844</v>
      </c>
      <c r="AL20" s="9">
        <f t="shared" si="6"/>
        <v>0.23769588233118005</v>
      </c>
      <c r="AM20" s="9">
        <f t="shared" si="7"/>
        <v>5.6499332477198197E-2</v>
      </c>
      <c r="AN20" s="8" t="s">
        <v>1986</v>
      </c>
    </row>
    <row r="21" spans="12:40" ht="23">
      <c r="L21" s="8"/>
      <c r="M21" s="8" t="s">
        <v>4880</v>
      </c>
      <c r="N21" s="8" t="s">
        <v>1717</v>
      </c>
      <c r="O21" s="8"/>
      <c r="P21" s="8"/>
      <c r="Q21" s="8"/>
      <c r="R21" s="8"/>
      <c r="S21" s="8"/>
      <c r="T21" s="8"/>
      <c r="U21" s="8"/>
      <c r="V21" s="8"/>
      <c r="W21" s="8" t="s">
        <v>4880</v>
      </c>
      <c r="X21" s="8">
        <v>15.34</v>
      </c>
      <c r="Y21" s="8">
        <v>8.76</v>
      </c>
      <c r="Z21" s="9">
        <v>10.3</v>
      </c>
      <c r="AA21" s="8">
        <v>11.9</v>
      </c>
      <c r="AB21" s="8">
        <v>7296</v>
      </c>
      <c r="AC21" s="21" t="s">
        <v>4880</v>
      </c>
      <c r="AD21" s="8" t="s">
        <v>4361</v>
      </c>
      <c r="AE21" s="8" t="s">
        <v>4363</v>
      </c>
      <c r="AF21" s="9">
        <f t="shared" si="0"/>
        <v>104.244</v>
      </c>
      <c r="AG21" s="9">
        <f t="shared" si="1"/>
        <v>119.05950000000001</v>
      </c>
      <c r="AH21" s="9">
        <f t="shared" si="2"/>
        <v>0.50481483052644982</v>
      </c>
      <c r="AI21" s="9">
        <f t="shared" si="3"/>
        <v>0.25483801311944826</v>
      </c>
      <c r="AJ21" s="9">
        <f t="shared" si="4"/>
        <v>1.53662304076656</v>
      </c>
      <c r="AK21" s="9">
        <f t="shared" si="5"/>
        <v>2.3612103694146689</v>
      </c>
      <c r="AL21" s="9">
        <f t="shared" si="6"/>
        <v>2.0890713264573675</v>
      </c>
      <c r="AM21" s="9">
        <f t="shared" si="7"/>
        <v>4.3642190070263451</v>
      </c>
      <c r="AN21" s="8" t="s">
        <v>4880</v>
      </c>
    </row>
    <row r="22" spans="12:40" ht="23">
      <c r="L22" s="8"/>
      <c r="M22" s="9" t="s">
        <v>4883</v>
      </c>
      <c r="N22" s="8"/>
      <c r="O22" s="8"/>
      <c r="P22" s="8"/>
      <c r="Q22" s="8"/>
      <c r="R22" s="8"/>
      <c r="S22" s="8"/>
      <c r="T22" s="8"/>
      <c r="U22" s="8"/>
      <c r="V22" s="8"/>
      <c r="W22" s="9" t="s">
        <v>4883</v>
      </c>
      <c r="X22" s="8">
        <v>14.99</v>
      </c>
      <c r="Y22" s="8">
        <v>4.22</v>
      </c>
      <c r="Z22" s="9">
        <v>2.25</v>
      </c>
      <c r="AA22" s="8">
        <v>8.5</v>
      </c>
      <c r="AB22" s="8">
        <v>22580</v>
      </c>
      <c r="AC22" s="22" t="s">
        <v>4883</v>
      </c>
      <c r="AD22" s="8" t="s">
        <v>4361</v>
      </c>
      <c r="AE22" s="8" t="s">
        <v>4363</v>
      </c>
      <c r="AF22" s="9">
        <f t="shared" si="0"/>
        <v>35.869999999999997</v>
      </c>
      <c r="AG22" s="9">
        <f t="shared" si="1"/>
        <v>20.541666666666664</v>
      </c>
      <c r="AH22" s="9">
        <f t="shared" si="2"/>
        <v>0.36058202180460697</v>
      </c>
      <c r="AI22" s="9">
        <f t="shared" si="3"/>
        <v>0.13001939444869806</v>
      </c>
      <c r="AJ22" s="9">
        <f t="shared" si="4"/>
        <v>0.52874667580193102</v>
      </c>
      <c r="AK22" s="9">
        <f t="shared" si="5"/>
        <v>0.27957304717159237</v>
      </c>
      <c r="AL22" s="9">
        <f t="shared" si="6"/>
        <v>0.36043328613826209</v>
      </c>
      <c r="AM22" s="9">
        <f t="shared" si="7"/>
        <v>0.12991215375642631</v>
      </c>
      <c r="AN22" s="9" t="s">
        <v>4883</v>
      </c>
    </row>
    <row r="23" spans="12:40" ht="23">
      <c r="L23" s="8"/>
      <c r="M23" s="9" t="s">
        <v>2820</v>
      </c>
      <c r="N23" s="8" t="s">
        <v>1614</v>
      </c>
      <c r="O23" s="8"/>
      <c r="P23" s="8"/>
      <c r="Q23" s="8"/>
      <c r="R23" s="8"/>
      <c r="S23" s="8"/>
      <c r="T23" s="8"/>
      <c r="U23" s="8"/>
      <c r="V23" s="8"/>
      <c r="W23" s="9" t="s">
        <v>2820</v>
      </c>
      <c r="X23" s="8">
        <v>26.26</v>
      </c>
      <c r="Y23" s="8">
        <v>4.33</v>
      </c>
      <c r="Z23" s="9">
        <v>7.46</v>
      </c>
      <c r="AA23" s="8">
        <v>8.4</v>
      </c>
      <c r="AB23" s="8">
        <v>14890</v>
      </c>
      <c r="AC23" s="22" t="s">
        <v>2820</v>
      </c>
      <c r="AD23" s="8" t="s">
        <v>4361</v>
      </c>
      <c r="AE23" s="8" t="s">
        <v>4363</v>
      </c>
      <c r="AF23" s="9">
        <f t="shared" si="0"/>
        <v>36.372</v>
      </c>
      <c r="AG23" s="9">
        <f t="shared" si="1"/>
        <v>65.240000000000009</v>
      </c>
      <c r="AH23" s="9">
        <f t="shared" si="2"/>
        <v>0.35633988037161163</v>
      </c>
      <c r="AI23" s="9">
        <f t="shared" si="3"/>
        <v>0.12697811034325449</v>
      </c>
      <c r="AJ23" s="9">
        <f t="shared" si="4"/>
        <v>0.53614647594836462</v>
      </c>
      <c r="AK23" s="9">
        <f t="shared" si="5"/>
        <v>0.28745304367185032</v>
      </c>
      <c r="AL23" s="9">
        <f t="shared" si="6"/>
        <v>1.1447302679591183</v>
      </c>
      <c r="AM23" s="9">
        <f t="shared" si="7"/>
        <v>1.3104073863817547</v>
      </c>
      <c r="AN23" s="9" t="s">
        <v>2820</v>
      </c>
    </row>
    <row r="24" spans="12:40" ht="23">
      <c r="L24" s="8"/>
      <c r="M24" s="8" t="s">
        <v>1026</v>
      </c>
      <c r="N24" s="8" t="s">
        <v>150</v>
      </c>
      <c r="O24" s="8"/>
      <c r="P24" s="8" t="s">
        <v>3694</v>
      </c>
      <c r="Q24" s="8"/>
      <c r="R24" s="8"/>
      <c r="S24" s="8"/>
      <c r="T24" s="8"/>
      <c r="U24" s="8"/>
      <c r="V24" s="8"/>
      <c r="W24" s="8" t="s">
        <v>1026</v>
      </c>
      <c r="X24" s="8">
        <v>51.47</v>
      </c>
      <c r="Y24" s="8">
        <v>3.21</v>
      </c>
      <c r="Z24" s="9">
        <v>1.55</v>
      </c>
      <c r="AA24" s="8">
        <v>8.1999999999999993</v>
      </c>
      <c r="AB24" s="8">
        <v>29809</v>
      </c>
      <c r="AC24" s="21" t="s">
        <v>1026</v>
      </c>
      <c r="AD24" s="8" t="s">
        <v>4361</v>
      </c>
      <c r="AE24" s="8" t="s">
        <v>4363</v>
      </c>
      <c r="AF24" s="9">
        <f t="shared" si="0"/>
        <v>26.321999999999999</v>
      </c>
      <c r="AG24" s="9">
        <f t="shared" si="1"/>
        <v>15.716666666666663</v>
      </c>
      <c r="AH24" s="9">
        <f t="shared" si="2"/>
        <v>0.34785559750562084</v>
      </c>
      <c r="AI24" s="9">
        <f t="shared" si="3"/>
        <v>0.12100351671599249</v>
      </c>
      <c r="AJ24" s="9">
        <f t="shared" si="4"/>
        <v>0.38800306664227574</v>
      </c>
      <c r="AK24" s="9">
        <f t="shared" si="5"/>
        <v>0.15054637972381027</v>
      </c>
      <c r="AL24" s="9">
        <f t="shared" si="6"/>
        <v>0.27577167450578588</v>
      </c>
      <c r="AM24" s="9">
        <f t="shared" si="7"/>
        <v>7.6050016459725117E-2</v>
      </c>
      <c r="AN24" s="8" t="s">
        <v>1026</v>
      </c>
    </row>
    <row r="25" spans="12:40" ht="23">
      <c r="L25" s="8"/>
      <c r="M25" s="9" t="s">
        <v>2361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9" t="s">
        <v>2361</v>
      </c>
      <c r="X25" s="8">
        <v>44.98</v>
      </c>
      <c r="Y25" s="8">
        <v>1.97</v>
      </c>
      <c r="Z25" s="9">
        <v>1.5</v>
      </c>
      <c r="AA25" s="8">
        <v>8.1</v>
      </c>
      <c r="AB25" s="8">
        <v>21389</v>
      </c>
      <c r="AC25" s="22" t="s">
        <v>2361</v>
      </c>
      <c r="AD25" s="8" t="s">
        <v>4361</v>
      </c>
      <c r="AE25" s="8" t="s">
        <v>4363</v>
      </c>
      <c r="AF25" s="9">
        <f t="shared" si="0"/>
        <v>15.956999999999999</v>
      </c>
      <c r="AG25" s="9">
        <f t="shared" si="1"/>
        <v>8.1674999999999986</v>
      </c>
      <c r="AH25" s="9">
        <f t="shared" si="2"/>
        <v>0.3436134560726255</v>
      </c>
      <c r="AI25" s="9">
        <f t="shared" si="3"/>
        <v>0.11807020719417413</v>
      </c>
      <c r="AJ25" s="9">
        <f t="shared" si="4"/>
        <v>0.23521635644748856</v>
      </c>
      <c r="AK25" s="9">
        <f t="shared" si="5"/>
        <v>5.5326734340431991E-2</v>
      </c>
      <c r="AL25" s="9">
        <f t="shared" si="6"/>
        <v>0.14331061409497389</v>
      </c>
      <c r="AM25" s="9">
        <f t="shared" si="7"/>
        <v>2.0537932112278529E-2</v>
      </c>
      <c r="AN25" s="9" t="s">
        <v>2361</v>
      </c>
    </row>
    <row r="26" spans="12:40" ht="23">
      <c r="L26" s="8"/>
      <c r="M26" s="8" t="s">
        <v>1546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8" t="s">
        <v>1546</v>
      </c>
      <c r="X26" s="8">
        <v>44.68</v>
      </c>
      <c r="Y26" s="8">
        <v>3.41</v>
      </c>
      <c r="Z26" s="9">
        <v>2.2400000000000002</v>
      </c>
      <c r="AA26" s="8">
        <v>7.3</v>
      </c>
      <c r="AB26" s="8">
        <v>13056</v>
      </c>
      <c r="AC26" s="21" t="s">
        <v>1546</v>
      </c>
      <c r="AD26" s="8" t="s">
        <v>4361</v>
      </c>
      <c r="AE26" s="8" t="s">
        <v>4363</v>
      </c>
      <c r="AF26" s="9">
        <f t="shared" si="0"/>
        <v>24.893000000000001</v>
      </c>
      <c r="AG26" s="9">
        <f t="shared" si="1"/>
        <v>17.52</v>
      </c>
      <c r="AH26" s="9">
        <f t="shared" si="2"/>
        <v>0.30967632460866246</v>
      </c>
      <c r="AI26" s="9">
        <f t="shared" si="3"/>
        <v>9.5899426023129675E-2</v>
      </c>
      <c r="AJ26" s="9">
        <f t="shared" si="4"/>
        <v>0.3669386953091015</v>
      </c>
      <c r="AK26" s="9">
        <f t="shared" si="5"/>
        <v>0.13464400611514563</v>
      </c>
      <c r="AL26" s="9">
        <f t="shared" si="6"/>
        <v>0.30741376907792384</v>
      </c>
      <c r="AM26" s="9">
        <f t="shared" si="7"/>
        <v>9.4503225418695089E-2</v>
      </c>
      <c r="AN26" s="8" t="s">
        <v>1546</v>
      </c>
    </row>
    <row r="27" spans="12:40" ht="23">
      <c r="L27" s="8"/>
      <c r="M27" s="8" t="s">
        <v>702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702</v>
      </c>
      <c r="X27" s="8">
        <v>6.34</v>
      </c>
      <c r="Y27" s="8">
        <v>6.77</v>
      </c>
      <c r="Z27" s="9">
        <v>4.1500000000000004</v>
      </c>
      <c r="AA27" s="8">
        <v>5.7</v>
      </c>
      <c r="AB27" s="8">
        <v>14919</v>
      </c>
      <c r="AC27" s="21" t="s">
        <v>702</v>
      </c>
      <c r="AD27" s="8" t="s">
        <v>4361</v>
      </c>
      <c r="AE27" s="8" t="s">
        <v>4363</v>
      </c>
      <c r="AF27" s="9">
        <f t="shared" si="0"/>
        <v>38.588999999999999</v>
      </c>
      <c r="AG27" s="9">
        <f t="shared" si="1"/>
        <v>24.225000000000001</v>
      </c>
      <c r="AH27" s="9">
        <f t="shared" si="2"/>
        <v>0.24180206168073645</v>
      </c>
      <c r="AI27" s="9">
        <f t="shared" si="3"/>
        <v>5.8468237033054676E-2</v>
      </c>
      <c r="AJ27" s="9">
        <f t="shared" si="4"/>
        <v>0.56882646982215557</v>
      </c>
      <c r="AK27" s="9">
        <f t="shared" si="5"/>
        <v>0.32356355277033566</v>
      </c>
      <c r="AL27" s="9">
        <f t="shared" si="6"/>
        <v>0.42506270296305398</v>
      </c>
      <c r="AM27" s="9">
        <f t="shared" si="7"/>
        <v>0.18067830145025746</v>
      </c>
      <c r="AN27" s="8" t="s">
        <v>702</v>
      </c>
    </row>
    <row r="28" spans="12:40" ht="23">
      <c r="L28" s="8"/>
      <c r="M28" s="9" t="s">
        <v>2254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9" t="s">
        <v>2254</v>
      </c>
      <c r="X28" s="8">
        <v>39.799999999999997</v>
      </c>
      <c r="Y28" s="8">
        <v>2.72</v>
      </c>
      <c r="Z28" s="9">
        <v>1</v>
      </c>
      <c r="AA28" s="8">
        <v>5.6</v>
      </c>
      <c r="AB28" s="8">
        <v>21688</v>
      </c>
      <c r="AC28" s="22" t="s">
        <v>2254</v>
      </c>
      <c r="AD28" s="8" t="s">
        <v>4361</v>
      </c>
      <c r="AE28" s="8" t="s">
        <v>4363</v>
      </c>
      <c r="AF28" s="9">
        <f t="shared" si="0"/>
        <v>15.231999999999999</v>
      </c>
      <c r="AG28" s="9">
        <f t="shared" si="1"/>
        <v>5.6933333333333325</v>
      </c>
      <c r="AH28" s="9">
        <f t="shared" si="2"/>
        <v>0.23755992024774106</v>
      </c>
      <c r="AI28" s="9">
        <f t="shared" si="3"/>
        <v>5.6434715708113092E-2</v>
      </c>
      <c r="AJ28" s="9">
        <f t="shared" si="4"/>
        <v>0.22452939408461148</v>
      </c>
      <c r="AK28" s="9">
        <f t="shared" si="5"/>
        <v>5.0413448808002762E-2</v>
      </c>
      <c r="AL28" s="9">
        <f t="shared" si="6"/>
        <v>9.9897777318320738E-2</v>
      </c>
      <c r="AM28" s="9">
        <f t="shared" si="7"/>
        <v>9.9795659131407966E-3</v>
      </c>
      <c r="AN28" s="9" t="s">
        <v>2254</v>
      </c>
    </row>
    <row r="29" spans="12:40" ht="23">
      <c r="L29" s="8"/>
      <c r="M29" s="8" t="s">
        <v>974</v>
      </c>
      <c r="N29" s="8" t="s">
        <v>150</v>
      </c>
      <c r="O29" s="8"/>
      <c r="P29" s="8" t="s">
        <v>3693</v>
      </c>
      <c r="Q29" s="8"/>
      <c r="R29" s="8"/>
      <c r="S29" s="8"/>
      <c r="T29" s="8"/>
      <c r="U29" s="8"/>
      <c r="V29" s="8"/>
      <c r="W29" s="8" t="s">
        <v>974</v>
      </c>
      <c r="X29" s="8">
        <v>27.75</v>
      </c>
      <c r="Y29" s="8">
        <v>4.05</v>
      </c>
      <c r="Z29" s="9">
        <v>4.25</v>
      </c>
      <c r="AA29" s="8">
        <v>4.2</v>
      </c>
      <c r="AB29" s="8">
        <v>24012</v>
      </c>
      <c r="AC29" s="21" t="s">
        <v>974</v>
      </c>
      <c r="AD29" s="8" t="s">
        <v>4361</v>
      </c>
      <c r="AE29" s="8" t="s">
        <v>4363</v>
      </c>
      <c r="AF29" s="9">
        <f t="shared" si="0"/>
        <v>17.010000000000002</v>
      </c>
      <c r="AG29" s="9">
        <f t="shared" si="1"/>
        <v>18.55</v>
      </c>
      <c r="AH29" s="9">
        <f t="shared" si="2"/>
        <v>0.17816994018580581</v>
      </c>
      <c r="AI29" s="9">
        <f t="shared" si="3"/>
        <v>3.1744527585813621E-2</v>
      </c>
      <c r="AJ29" s="9">
        <f t="shared" si="4"/>
        <v>0.25073824798970862</v>
      </c>
      <c r="AK29" s="9">
        <f t="shared" si="5"/>
        <v>6.2869669004948614E-2</v>
      </c>
      <c r="AL29" s="9">
        <f t="shared" si="6"/>
        <v>0.32548661052485661</v>
      </c>
      <c r="AM29" s="9">
        <f t="shared" si="7"/>
        <v>0.10594153363095971</v>
      </c>
      <c r="AN29" s="8" t="s">
        <v>974</v>
      </c>
    </row>
    <row r="30" spans="12:40" ht="23">
      <c r="L30" s="8"/>
      <c r="M30" s="9" t="s">
        <v>2860</v>
      </c>
      <c r="N30" s="8" t="s">
        <v>1717</v>
      </c>
      <c r="O30" s="8"/>
      <c r="P30" s="8" t="s">
        <v>3691</v>
      </c>
      <c r="Q30" s="8"/>
      <c r="R30" s="8"/>
      <c r="S30" s="8"/>
      <c r="T30" s="8"/>
      <c r="U30" s="8"/>
      <c r="V30" s="8"/>
      <c r="W30" s="9" t="s">
        <v>2860</v>
      </c>
      <c r="X30" s="8">
        <v>27.75</v>
      </c>
      <c r="Y30" s="8">
        <v>4</v>
      </c>
      <c r="Z30" s="9">
        <v>3.26</v>
      </c>
      <c r="AA30" s="8">
        <v>4.2</v>
      </c>
      <c r="AB30" s="8">
        <v>19741</v>
      </c>
      <c r="AC30" s="22" t="s">
        <v>2860</v>
      </c>
      <c r="AD30" s="8" t="s">
        <v>4361</v>
      </c>
      <c r="AE30" s="8" t="s">
        <v>4363</v>
      </c>
      <c r="AF30" s="9">
        <f t="shared" si="0"/>
        <v>16.8</v>
      </c>
      <c r="AG30" s="9">
        <f t="shared" si="1"/>
        <v>14.420000000000002</v>
      </c>
      <c r="AH30" s="9">
        <f t="shared" si="2"/>
        <v>0.17816994018580581</v>
      </c>
      <c r="AI30" s="9">
        <f t="shared" si="3"/>
        <v>3.1744527585813621E-2</v>
      </c>
      <c r="AJ30" s="9">
        <f t="shared" si="4"/>
        <v>0.24764271406390978</v>
      </c>
      <c r="AK30" s="9">
        <f t="shared" si="5"/>
        <v>6.1326913828939379E-2</v>
      </c>
      <c r="AL30" s="9">
        <f t="shared" si="6"/>
        <v>0.25301978025705835</v>
      </c>
      <c r="AM30" s="9">
        <f t="shared" si="7"/>
        <v>6.4019009201330093E-2</v>
      </c>
      <c r="AN30" s="9" t="s">
        <v>2860</v>
      </c>
    </row>
    <row r="31" spans="12:40" ht="23">
      <c r="L31" s="24"/>
      <c r="M31" s="24" t="s">
        <v>4885</v>
      </c>
      <c r="N31" s="24"/>
      <c r="O31" s="24"/>
      <c r="P31" s="24"/>
      <c r="Q31" s="24"/>
      <c r="R31" s="24"/>
      <c r="S31" s="24"/>
      <c r="T31" s="24"/>
      <c r="U31" s="24"/>
      <c r="V31" s="24"/>
      <c r="W31" s="24" t="s">
        <v>4885</v>
      </c>
      <c r="X31" s="24">
        <v>32.659999999999997</v>
      </c>
      <c r="Y31" s="24">
        <v>3.21</v>
      </c>
      <c r="Z31" s="25">
        <v>3.3</v>
      </c>
      <c r="AA31" s="24">
        <v>4.2</v>
      </c>
      <c r="AB31" s="24">
        <v>22906</v>
      </c>
      <c r="AC31" s="21" t="s">
        <v>4885</v>
      </c>
      <c r="AD31" s="8" t="s">
        <v>4361</v>
      </c>
      <c r="AE31" s="8" t="s">
        <v>4363</v>
      </c>
      <c r="AF31" s="25">
        <f t="shared" si="0"/>
        <v>13.482000000000001</v>
      </c>
      <c r="AG31" s="9">
        <f t="shared" si="1"/>
        <v>12.621</v>
      </c>
      <c r="AH31" s="25">
        <f t="shared" si="2"/>
        <v>0.17816994018580581</v>
      </c>
      <c r="AI31" s="25">
        <f t="shared" si="3"/>
        <v>3.1744527585813621E-2</v>
      </c>
      <c r="AJ31" s="25">
        <f t="shared" si="4"/>
        <v>0.1987332780362876</v>
      </c>
      <c r="AK31" s="25">
        <f t="shared" si="5"/>
        <v>3.9494915799048388E-2</v>
      </c>
      <c r="AL31" s="25">
        <f t="shared" si="6"/>
        <v>0.2214537202929496</v>
      </c>
      <c r="AM31" s="25">
        <f t="shared" si="7"/>
        <v>4.9041750231587959E-2</v>
      </c>
      <c r="AN31" s="24" t="s">
        <v>4885</v>
      </c>
    </row>
    <row r="32" spans="12:40" ht="23">
      <c r="L32" s="8"/>
      <c r="M32" s="8" t="s">
        <v>1870</v>
      </c>
      <c r="N32" s="8" t="s">
        <v>1869</v>
      </c>
      <c r="O32" s="8"/>
      <c r="P32" s="8"/>
      <c r="Q32" s="8"/>
      <c r="R32" s="8"/>
      <c r="S32" s="8"/>
      <c r="T32" s="8"/>
      <c r="U32" s="8"/>
      <c r="V32" s="8"/>
      <c r="W32" s="8" t="s">
        <v>1870</v>
      </c>
      <c r="X32" s="8">
        <v>31.38</v>
      </c>
      <c r="Y32" s="8">
        <v>2.13</v>
      </c>
      <c r="Z32" s="9">
        <v>3.42</v>
      </c>
      <c r="AA32" s="8">
        <v>4.0999999999999996</v>
      </c>
      <c r="AB32" s="8">
        <v>32454</v>
      </c>
      <c r="AC32" s="21" t="s">
        <v>1870</v>
      </c>
      <c r="AD32" s="8" t="s">
        <v>4361</v>
      </c>
      <c r="AE32" s="8" t="s">
        <v>4363</v>
      </c>
      <c r="AF32" s="9">
        <f t="shared" si="0"/>
        <v>8.7329999999999988</v>
      </c>
      <c r="AG32" s="9">
        <f t="shared" si="1"/>
        <v>15.17</v>
      </c>
      <c r="AH32" s="9">
        <f t="shared" si="2"/>
        <v>0.17392779875281042</v>
      </c>
      <c r="AI32" s="9">
        <f t="shared" si="3"/>
        <v>3.0250879178998123E-2</v>
      </c>
      <c r="AJ32" s="9">
        <f t="shared" si="4"/>
        <v>0.12872998940000735</v>
      </c>
      <c r="AK32" s="9">
        <f t="shared" si="5"/>
        <v>1.6571410170926004E-2</v>
      </c>
      <c r="AL32" s="9">
        <f t="shared" si="6"/>
        <v>0.26617961626210646</v>
      </c>
      <c r="AM32" s="9">
        <f t="shared" si="7"/>
        <v>7.0851588113442249E-2</v>
      </c>
      <c r="AN32" s="8" t="s">
        <v>1870</v>
      </c>
    </row>
    <row r="33" spans="12:40" ht="23">
      <c r="L33" s="8"/>
      <c r="M33" s="8" t="s">
        <v>1671</v>
      </c>
      <c r="N33" s="8" t="s">
        <v>1614</v>
      </c>
      <c r="O33" s="8"/>
      <c r="P33" s="8"/>
      <c r="Q33" s="8"/>
      <c r="R33" s="8"/>
      <c r="S33" s="8"/>
      <c r="T33" s="8"/>
      <c r="U33" s="8"/>
      <c r="V33" s="8"/>
      <c r="W33" s="8" t="s">
        <v>1671</v>
      </c>
      <c r="X33" s="8">
        <v>22.29</v>
      </c>
      <c r="Y33" s="8">
        <v>3.21</v>
      </c>
      <c r="Z33" s="9">
        <v>4.3099999999999996</v>
      </c>
      <c r="AA33" s="8">
        <v>3.8</v>
      </c>
      <c r="AB33" s="8">
        <v>26711</v>
      </c>
      <c r="AC33" s="21" t="s">
        <v>1671</v>
      </c>
      <c r="AD33" s="8" t="s">
        <v>4361</v>
      </c>
      <c r="AE33" s="8" t="s">
        <v>4363</v>
      </c>
      <c r="AF33" s="9">
        <f t="shared" si="0"/>
        <v>12.197999999999999</v>
      </c>
      <c r="AG33" s="9">
        <f t="shared" si="1"/>
        <v>17.163333333333334</v>
      </c>
      <c r="AH33" s="9">
        <f t="shared" si="2"/>
        <v>0.16120137445382429</v>
      </c>
      <c r="AI33" s="9">
        <f t="shared" si="3"/>
        <v>2.5985883125802075E-2</v>
      </c>
      <c r="AJ33" s="9">
        <f t="shared" si="4"/>
        <v>0.17980629917568874</v>
      </c>
      <c r="AK33" s="9">
        <f t="shared" si="5"/>
        <v>3.2330305223257284E-2</v>
      </c>
      <c r="AL33" s="9">
        <f t="shared" si="6"/>
        <v>0.30115553595552319</v>
      </c>
      <c r="AM33" s="9">
        <f t="shared" si="7"/>
        <v>9.0694656836658422E-2</v>
      </c>
      <c r="AN33" s="8" t="s">
        <v>1671</v>
      </c>
    </row>
    <row r="34" spans="12:40" ht="23">
      <c r="L34" s="8"/>
      <c r="M34" s="9" t="s">
        <v>3233</v>
      </c>
      <c r="N34" s="8" t="s">
        <v>1902</v>
      </c>
      <c r="O34" s="8"/>
      <c r="P34" s="8"/>
      <c r="Q34" s="8"/>
      <c r="R34" s="8"/>
      <c r="S34" s="8"/>
      <c r="T34" s="8"/>
      <c r="U34" s="8"/>
      <c r="V34" s="8"/>
      <c r="W34" s="9" t="s">
        <v>3233</v>
      </c>
      <c r="X34" s="8">
        <v>15.35</v>
      </c>
      <c r="Y34" s="8">
        <v>3.48</v>
      </c>
      <c r="Z34" s="9">
        <v>2.0699999999999998</v>
      </c>
      <c r="AA34" s="8">
        <v>3.3</v>
      </c>
      <c r="AB34" s="8">
        <v>33174</v>
      </c>
      <c r="AC34" s="22" t="s">
        <v>3233</v>
      </c>
      <c r="AD34" s="8" t="s">
        <v>4361</v>
      </c>
      <c r="AE34" s="8" t="s">
        <v>4363</v>
      </c>
      <c r="AF34" s="9">
        <f t="shared" si="0"/>
        <v>11.484</v>
      </c>
      <c r="AG34" s="9">
        <f t="shared" si="1"/>
        <v>6.9849999999999994</v>
      </c>
      <c r="AH34" s="9">
        <f t="shared" si="2"/>
        <v>0.1399906672888474</v>
      </c>
      <c r="AI34" s="9">
        <f t="shared" si="3"/>
        <v>1.959738692797677E-2</v>
      </c>
      <c r="AJ34" s="9">
        <f t="shared" si="4"/>
        <v>0.16928148382797259</v>
      </c>
      <c r="AK34" s="9">
        <f t="shared" si="5"/>
        <v>2.8656220767000147E-2</v>
      </c>
      <c r="AL34" s="9">
        <f t="shared" si="6"/>
        <v>0.12256193932701472</v>
      </c>
      <c r="AM34" s="9">
        <f t="shared" si="7"/>
        <v>1.5021428971598836E-2</v>
      </c>
      <c r="AN34" s="9" t="s">
        <v>3233</v>
      </c>
    </row>
    <row r="35" spans="12:40" ht="23">
      <c r="L35" s="24"/>
      <c r="M35" s="24" t="s">
        <v>4884</v>
      </c>
      <c r="N35" s="24"/>
      <c r="O35" s="24"/>
      <c r="P35" s="24"/>
      <c r="Q35" s="24"/>
      <c r="R35" s="24"/>
      <c r="S35" s="24"/>
      <c r="T35" s="24"/>
      <c r="U35" s="24"/>
      <c r="V35" s="24"/>
      <c r="W35" s="24" t="s">
        <v>4884</v>
      </c>
      <c r="X35" s="24">
        <v>34.79</v>
      </c>
      <c r="Y35" s="24">
        <v>2.9</v>
      </c>
      <c r="Z35" s="25">
        <v>8.3800000000000008</v>
      </c>
      <c r="AA35" s="24">
        <v>3.1</v>
      </c>
      <c r="AB35" s="24">
        <v>33403</v>
      </c>
      <c r="AC35" s="21" t="s">
        <v>4884</v>
      </c>
      <c r="AD35" s="8" t="s">
        <v>4361</v>
      </c>
      <c r="AE35" s="8" t="s">
        <v>4363</v>
      </c>
      <c r="AF35" s="25">
        <f t="shared" si="0"/>
        <v>8.99</v>
      </c>
      <c r="AG35" s="9">
        <f t="shared" si="1"/>
        <v>26.763333333333332</v>
      </c>
      <c r="AH35" s="25">
        <f t="shared" si="2"/>
        <v>0.13150638442285667</v>
      </c>
      <c r="AI35" s="25">
        <f t="shared" si="3"/>
        <v>1.729392914397216E-2</v>
      </c>
      <c r="AJ35" s="25">
        <f t="shared" si="4"/>
        <v>0.13251833329967552</v>
      </c>
      <c r="AK35" s="25">
        <f t="shared" si="5"/>
        <v>1.7561108660523891E-2</v>
      </c>
      <c r="AL35" s="25">
        <f t="shared" si="6"/>
        <v>0.46960143682013894</v>
      </c>
      <c r="AM35" s="25">
        <f t="shared" si="7"/>
        <v>0.22052550946353894</v>
      </c>
      <c r="AN35" s="24" t="s">
        <v>4884</v>
      </c>
    </row>
    <row r="36" spans="12:40" ht="23">
      <c r="L36" s="8"/>
      <c r="M36" s="9" t="s">
        <v>3219</v>
      </c>
      <c r="N36" s="8" t="s">
        <v>1902</v>
      </c>
      <c r="O36" s="8"/>
      <c r="P36" s="8"/>
      <c r="Q36" s="8"/>
      <c r="R36" s="8"/>
      <c r="S36" s="8"/>
      <c r="T36" s="8"/>
      <c r="U36" s="8"/>
      <c r="V36" s="8"/>
      <c r="W36" s="9" t="s">
        <v>3219</v>
      </c>
      <c r="X36" s="8">
        <v>36.58</v>
      </c>
      <c r="Y36" s="8">
        <v>2.85</v>
      </c>
      <c r="Z36" s="9">
        <v>7.3</v>
      </c>
      <c r="AA36" s="8">
        <v>3.1</v>
      </c>
      <c r="AB36" s="8">
        <v>30477</v>
      </c>
      <c r="AC36" s="22" t="s">
        <v>3219</v>
      </c>
      <c r="AD36" s="8" t="s">
        <v>4361</v>
      </c>
      <c r="AE36" s="8" t="s">
        <v>4363</v>
      </c>
      <c r="AF36" s="9">
        <f t="shared" si="0"/>
        <v>8.8350000000000009</v>
      </c>
      <c r="AG36" s="9">
        <f t="shared" si="1"/>
        <v>21.715499999999999</v>
      </c>
      <c r="AH36" s="9">
        <f t="shared" si="2"/>
        <v>0.13150638442285667</v>
      </c>
      <c r="AI36" s="9">
        <f t="shared" si="3"/>
        <v>1.729392914397216E-2</v>
      </c>
      <c r="AJ36" s="9">
        <f t="shared" si="4"/>
        <v>0.13023353444968111</v>
      </c>
      <c r="AK36" s="9">
        <f t="shared" si="5"/>
        <v>1.6960773495256275E-2</v>
      </c>
      <c r="AL36" s="9">
        <f t="shared" si="6"/>
        <v>0.38102989169016294</v>
      </c>
      <c r="AM36" s="9">
        <f t="shared" si="7"/>
        <v>0.1451837783614173</v>
      </c>
      <c r="AN36" s="9" t="s">
        <v>3219</v>
      </c>
    </row>
    <row r="37" spans="12:40" ht="23">
      <c r="L37" s="8"/>
      <c r="M37" s="8" t="s">
        <v>1698</v>
      </c>
      <c r="N37" s="8" t="s">
        <v>1614</v>
      </c>
      <c r="O37" s="8"/>
      <c r="P37" s="8"/>
      <c r="Q37" s="8"/>
      <c r="R37" s="8"/>
      <c r="S37" s="8"/>
      <c r="T37" s="8"/>
      <c r="U37" s="8"/>
      <c r="V37" s="8"/>
      <c r="W37" s="8" t="s">
        <v>1698</v>
      </c>
      <c r="X37" s="8">
        <v>33.26</v>
      </c>
      <c r="Y37" s="8">
        <v>2.66</v>
      </c>
      <c r="Z37" s="9">
        <v>2.54</v>
      </c>
      <c r="AA37" s="8">
        <v>3.1</v>
      </c>
      <c r="AB37" s="8">
        <v>29381</v>
      </c>
      <c r="AC37" s="21" t="s">
        <v>1698</v>
      </c>
      <c r="AD37" s="8" t="s">
        <v>4361</v>
      </c>
      <c r="AE37" s="8" t="s">
        <v>4363</v>
      </c>
      <c r="AF37" s="9">
        <f t="shared" si="0"/>
        <v>8.2460000000000004</v>
      </c>
      <c r="AG37" s="9">
        <f t="shared" si="1"/>
        <v>8.99</v>
      </c>
      <c r="AH37" s="9">
        <f t="shared" si="2"/>
        <v>0.13150638442285667</v>
      </c>
      <c r="AI37" s="9">
        <f t="shared" si="3"/>
        <v>1.729392914397216E-2</v>
      </c>
      <c r="AJ37" s="9">
        <f t="shared" si="4"/>
        <v>0.12155129881970238</v>
      </c>
      <c r="AK37" s="9">
        <f t="shared" si="5"/>
        <v>1.4774718244756581E-2</v>
      </c>
      <c r="AL37" s="9">
        <f t="shared" si="6"/>
        <v>0.15774256758051003</v>
      </c>
      <c r="AM37" s="9">
        <f t="shared" si="7"/>
        <v>2.4882717626891773E-2</v>
      </c>
      <c r="AN37" s="8" t="s">
        <v>1698</v>
      </c>
    </row>
    <row r="38" spans="12:40" ht="23">
      <c r="L38" s="8"/>
      <c r="M38" s="9" t="s">
        <v>3329</v>
      </c>
      <c r="N38" s="8" t="s">
        <v>1939</v>
      </c>
      <c r="O38" s="8"/>
      <c r="P38" s="8"/>
      <c r="Q38" s="8"/>
      <c r="R38" s="8"/>
      <c r="S38" s="8"/>
      <c r="T38" s="8"/>
      <c r="U38" s="8"/>
      <c r="V38" s="8"/>
      <c r="W38" s="9" t="s">
        <v>3329</v>
      </c>
      <c r="X38" s="8">
        <v>77.37</v>
      </c>
      <c r="Y38" s="8">
        <v>1.2</v>
      </c>
      <c r="Z38" s="9">
        <v>0.03</v>
      </c>
      <c r="AA38" s="8">
        <v>2.9</v>
      </c>
      <c r="AB38" s="8">
        <v>108341</v>
      </c>
      <c r="AC38" s="22" t="s">
        <v>3329</v>
      </c>
      <c r="AD38" s="8" t="s">
        <v>4361</v>
      </c>
      <c r="AE38" s="8" t="s">
        <v>4363</v>
      </c>
      <c r="AF38" s="9">
        <f t="shared" si="0"/>
        <v>3.48</v>
      </c>
      <c r="AG38" s="9">
        <f t="shared" si="1"/>
        <v>0.14499999999999999</v>
      </c>
      <c r="AH38" s="9">
        <f t="shared" si="2"/>
        <v>0.12302210155686591</v>
      </c>
      <c r="AI38" s="9">
        <f t="shared" si="3"/>
        <v>1.5134437471467829E-2</v>
      </c>
      <c r="AJ38" s="9">
        <f t="shared" si="4"/>
        <v>5.1297419341809876E-2</v>
      </c>
      <c r="AK38" s="9">
        <f t="shared" si="5"/>
        <v>2.6314252311294898E-3</v>
      </c>
      <c r="AL38" s="9">
        <f t="shared" si="6"/>
        <v>2.5442349609759675E-3</v>
      </c>
      <c r="AM38" s="9">
        <f t="shared" si="7"/>
        <v>6.473131536652383E-6</v>
      </c>
      <c r="AN38" s="9" t="s">
        <v>3329</v>
      </c>
    </row>
    <row r="39" spans="12:40" ht="23">
      <c r="L39" s="8"/>
      <c r="M39" s="8" t="s">
        <v>1887</v>
      </c>
      <c r="N39" s="8" t="s">
        <v>1869</v>
      </c>
      <c r="O39" s="8"/>
      <c r="P39" s="8"/>
      <c r="Q39" s="8"/>
      <c r="R39" s="8"/>
      <c r="S39" s="8"/>
      <c r="T39" s="8"/>
      <c r="U39" s="8"/>
      <c r="V39" s="8"/>
      <c r="W39" s="8" t="s">
        <v>1887</v>
      </c>
      <c r="X39" s="8">
        <v>12.22</v>
      </c>
      <c r="Y39" s="8">
        <v>3.48</v>
      </c>
      <c r="Z39" s="9">
        <v>5.35</v>
      </c>
      <c r="AA39" s="8">
        <v>2.7</v>
      </c>
      <c r="AB39" s="8">
        <v>30034</v>
      </c>
      <c r="AC39" s="21" t="s">
        <v>1887</v>
      </c>
      <c r="AD39" s="8" t="s">
        <v>4361</v>
      </c>
      <c r="AE39" s="8" t="s">
        <v>4363</v>
      </c>
      <c r="AF39" s="9">
        <f t="shared" si="0"/>
        <v>9.3960000000000008</v>
      </c>
      <c r="AG39" s="9">
        <f t="shared" si="1"/>
        <v>15.075000000000001</v>
      </c>
      <c r="AH39" s="9">
        <f t="shared" si="2"/>
        <v>0.11453781869087518</v>
      </c>
      <c r="AI39" s="9">
        <f t="shared" si="3"/>
        <v>1.3118911910463795E-2</v>
      </c>
      <c r="AJ39" s="9">
        <f t="shared" si="4"/>
        <v>0.13850303222288668</v>
      </c>
      <c r="AK39" s="9">
        <f t="shared" si="5"/>
        <v>1.9183089934933985E-2</v>
      </c>
      <c r="AL39" s="9">
        <f t="shared" si="6"/>
        <v>0.26451270370146701</v>
      </c>
      <c r="AM39" s="9">
        <f t="shared" si="7"/>
        <v>6.9966970419460081E-2</v>
      </c>
      <c r="AN39" s="8" t="s">
        <v>1887</v>
      </c>
    </row>
    <row r="40" spans="12:40" ht="23">
      <c r="L40" s="8"/>
      <c r="M40" s="9" t="s">
        <v>2317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9" t="s">
        <v>2317</v>
      </c>
      <c r="X40" s="8">
        <v>49.08</v>
      </c>
      <c r="Y40" s="8">
        <v>1.77</v>
      </c>
      <c r="Z40" s="9">
        <v>1.47</v>
      </c>
      <c r="AA40" s="8">
        <v>1.8</v>
      </c>
      <c r="AB40" s="8">
        <v>60770</v>
      </c>
      <c r="AC40" s="22" t="s">
        <v>2317</v>
      </c>
      <c r="AD40" s="8" t="s">
        <v>4361</v>
      </c>
      <c r="AE40" s="8" t="s">
        <v>4363</v>
      </c>
      <c r="AF40" s="9">
        <f t="shared" si="0"/>
        <v>3.1859999999999999</v>
      </c>
      <c r="AG40" s="9">
        <f t="shared" si="1"/>
        <v>3.21</v>
      </c>
      <c r="AH40" s="9">
        <f t="shared" si="2"/>
        <v>7.6358545793916779E-2</v>
      </c>
      <c r="AI40" s="9">
        <f t="shared" si="3"/>
        <v>5.8306275157616856E-3</v>
      </c>
      <c r="AJ40" s="9">
        <f t="shared" si="4"/>
        <v>4.696367184569146E-2</v>
      </c>
      <c r="AK40" s="9">
        <f t="shared" si="5"/>
        <v>2.2055864732297929E-3</v>
      </c>
      <c r="AL40" s="9">
        <f t="shared" si="6"/>
        <v>5.6324098101605907E-2</v>
      </c>
      <c r="AM40" s="9">
        <f t="shared" si="7"/>
        <v>3.172404026959326E-3</v>
      </c>
      <c r="AN40" s="9" t="s">
        <v>2317</v>
      </c>
    </row>
    <row r="41" spans="12:40" ht="23">
      <c r="L41" s="8"/>
      <c r="M41" s="9" t="s">
        <v>2839</v>
      </c>
      <c r="N41" s="8" t="s">
        <v>1614</v>
      </c>
      <c r="O41" s="8"/>
      <c r="P41" s="8"/>
      <c r="Q41" s="8"/>
      <c r="R41" s="8"/>
      <c r="S41" s="8"/>
      <c r="T41" s="8"/>
      <c r="U41" s="8"/>
      <c r="V41" s="8"/>
      <c r="W41" s="9" t="s">
        <v>2839</v>
      </c>
      <c r="X41" s="8">
        <v>41.35</v>
      </c>
      <c r="Y41" s="8">
        <v>4.4400000000000004</v>
      </c>
      <c r="Z41" s="9">
        <v>5.25</v>
      </c>
      <c r="AA41" s="8">
        <v>1.4</v>
      </c>
      <c r="AB41" s="8">
        <v>42292</v>
      </c>
      <c r="AC41" s="22" t="s">
        <v>2839</v>
      </c>
      <c r="AD41" s="8" t="s">
        <v>4361</v>
      </c>
      <c r="AE41" s="8" t="s">
        <v>4363</v>
      </c>
      <c r="AF41" s="9">
        <f t="shared" si="0"/>
        <v>6.2160000000000002</v>
      </c>
      <c r="AG41" s="9">
        <f t="shared" si="1"/>
        <v>7.583333333333333</v>
      </c>
      <c r="AH41" s="9">
        <f t="shared" si="2"/>
        <v>5.9389980061935264E-2</v>
      </c>
      <c r="AI41" s="9">
        <f t="shared" si="3"/>
        <v>3.5271697317570683E-3</v>
      </c>
      <c r="AJ41" s="9">
        <f t="shared" si="4"/>
        <v>9.1627804203646607E-2</v>
      </c>
      <c r="AK41" s="9">
        <f t="shared" si="5"/>
        <v>8.395654503181799E-3</v>
      </c>
      <c r="AL41" s="9">
        <f t="shared" si="6"/>
        <v>0.133060564051042</v>
      </c>
      <c r="AM41" s="9">
        <f t="shared" si="7"/>
        <v>1.7705113705581449E-2</v>
      </c>
      <c r="AN41" s="9" t="s">
        <v>2839</v>
      </c>
    </row>
    <row r="42" spans="12:40" ht="23">
      <c r="L42" s="8"/>
      <c r="M42" s="9" t="s">
        <v>3475</v>
      </c>
      <c r="N42" s="8" t="s">
        <v>2017</v>
      </c>
      <c r="O42" s="8"/>
      <c r="P42" s="8"/>
      <c r="Q42" s="8"/>
      <c r="R42" s="8"/>
      <c r="S42" s="8"/>
      <c r="T42" s="8"/>
      <c r="U42" s="8"/>
      <c r="V42" s="8"/>
      <c r="W42" s="9" t="s">
        <v>3475</v>
      </c>
      <c r="X42" s="8">
        <v>19.14</v>
      </c>
      <c r="Y42" s="8">
        <v>4.6500000000000004</v>
      </c>
      <c r="Z42" s="9">
        <v>1.4</v>
      </c>
      <c r="AA42" s="8">
        <v>1.1000000000000001</v>
      </c>
      <c r="AB42" s="8"/>
      <c r="AC42" s="22" t="s">
        <v>3475</v>
      </c>
      <c r="AD42" s="8" t="s">
        <v>4361</v>
      </c>
      <c r="AE42" s="8" t="s">
        <v>4363</v>
      </c>
      <c r="AF42" s="9">
        <f t="shared" si="0"/>
        <v>5.1150000000000011</v>
      </c>
      <c r="AG42" s="9">
        <f t="shared" si="1"/>
        <v>1.1073333333333333</v>
      </c>
      <c r="AH42" s="9">
        <f t="shared" si="2"/>
        <v>4.6663555762949151E-2</v>
      </c>
      <c r="AI42" s="9">
        <f t="shared" si="3"/>
        <v>2.1774874364418649E-3</v>
      </c>
      <c r="AJ42" s="9">
        <f t="shared" si="4"/>
        <v>7.5398362049815398E-2</v>
      </c>
      <c r="AK42" s="9">
        <f t="shared" si="5"/>
        <v>5.6849129997950431E-3</v>
      </c>
      <c r="AL42" s="9">
        <f t="shared" si="6"/>
        <v>1.9429766759453251E-2</v>
      </c>
      <c r="AM42" s="9">
        <f t="shared" si="7"/>
        <v>3.7751583632675452E-4</v>
      </c>
      <c r="AN42" s="9" t="s">
        <v>3475</v>
      </c>
    </row>
    <row r="43" spans="12:40" ht="23">
      <c r="L43" s="8"/>
      <c r="M43" s="8" t="s">
        <v>306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8" t="s">
        <v>306</v>
      </c>
      <c r="X43" s="8">
        <v>52.23</v>
      </c>
      <c r="Y43" s="8">
        <v>2.2200000000000002</v>
      </c>
      <c r="Z43" s="9">
        <v>1.47</v>
      </c>
      <c r="AA43" s="8">
        <v>1</v>
      </c>
      <c r="AB43" s="8">
        <v>67240</v>
      </c>
      <c r="AC43" s="21" t="s">
        <v>306</v>
      </c>
      <c r="AD43" s="8" t="s">
        <v>4361</v>
      </c>
      <c r="AE43" s="8" t="s">
        <v>4363</v>
      </c>
      <c r="AF43" s="9">
        <f t="shared" si="0"/>
        <v>2.2200000000000002</v>
      </c>
      <c r="AG43" s="9">
        <f t="shared" si="1"/>
        <v>1.7833333333333332</v>
      </c>
      <c r="AH43" s="9">
        <f t="shared" si="2"/>
        <v>4.242141432995377E-2</v>
      </c>
      <c r="AI43" s="9">
        <f t="shared" si="3"/>
        <v>1.7995763937536072E-3</v>
      </c>
      <c r="AJ43" s="9">
        <f t="shared" si="4"/>
        <v>3.2724215787016647E-2</v>
      </c>
      <c r="AK43" s="9">
        <f t="shared" si="5"/>
        <v>1.0708742988752296E-3</v>
      </c>
      <c r="AL43" s="9">
        <f t="shared" si="6"/>
        <v>3.1291165612003277E-2</v>
      </c>
      <c r="AM43" s="9">
        <f t="shared" si="7"/>
        <v>9.7913704535781639E-4</v>
      </c>
      <c r="AN43" s="8" t="s">
        <v>306</v>
      </c>
    </row>
    <row r="44" spans="12:40" ht="23"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9"/>
      <c r="AA44" s="8">
        <f>SUBTOTAL(109,Table13[ترافیک کل])</f>
        <v>2357.2999999999997</v>
      </c>
      <c r="AB44" s="8"/>
      <c r="AC44" s="21"/>
      <c r="AD44" s="8"/>
      <c r="AE44" s="8"/>
      <c r="AF44" s="9">
        <f>SUBTOTAL(109,Table13[[مجموع صفحات  مشاهده شده   ]])</f>
        <v>6783.9670000000015</v>
      </c>
      <c r="AG44" s="9">
        <f>SUBTOTAL(109,Table13[[مجموع زمان حضور در سایت ]])</f>
        <v>5699.1591666666682</v>
      </c>
      <c r="AH44" s="9">
        <f>SUBTOTAL(109,Table13[سهم سایت از کل ترافیک طبقه بندی])</f>
        <v>100.00000000000007</v>
      </c>
      <c r="AI44" s="9">
        <f>SUBTOTAL(109,Table13[شاخص هرفیندال هیرشمن (ترافیک)])</f>
        <v>1180.6003778797301</v>
      </c>
      <c r="AJ44" s="9">
        <f>SUBTOTAL(109,Table13[سهم سایت از کل صفحات مشاهده شده در طبقه بندی])</f>
        <v>99.999999999999943</v>
      </c>
      <c r="AK44" s="9">
        <f>SUBTOTAL(109,Table13[شاخص هرفیندال -هیرشمن (صفحات مشاهده شده )])</f>
        <v>1290.0758851475721</v>
      </c>
      <c r="AL44" s="9">
        <f>SUBTOTAL(109,Table13[سهم سایت از کل زمان حضور در طبقه بندی])</f>
        <v>100.00000000000003</v>
      </c>
      <c r="AM44" s="9">
        <f>SUBTOTAL(109,Table13[شاخص هرفیندال هیرشمن (زمان حضور)])</f>
        <v>1643.0691097869267</v>
      </c>
      <c r="AN44" s="9"/>
    </row>
  </sheetData>
  <conditionalFormatting sqref="AA1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{BB10CC2D-EA29-4BD0-AFD7-415BE7207E32}</x14:id>
        </ext>
      </extLst>
    </cfRule>
  </conditionalFormatting>
  <conditionalFormatting sqref="AH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{9CA29F50-3FC1-4C59-A41E-3C18B329F6A7}</x14:id>
        </ext>
      </extLst>
    </cfRule>
  </conditionalFormatting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{434F9174-AE67-4F54-B598-65122C413D42}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{0277886D-5E1F-48D7-BD30-0902030EE2B4}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{83D4BFE5-5572-492F-806B-94567BE87C11}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{4EAE320F-857B-482B-8888-E05407791225}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B10CC2D-EA29-4BD0-AFD7-415BE7207E3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CA29F50-3FC1-4C59-A41E-3C18B329F6A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434F9174-AE67-4F54-B598-65122C413D4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0277886D-5E1F-48D7-BD30-0902030EE2B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3D4BFE5-5572-492F-806B-94567BE87C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4EAE320F-857B-482B-8888-E0540779122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9"/>
  <sheetViews>
    <sheetView showGridLines="0" rightToLeft="1" topLeftCell="AA1" zoomScale="70" zoomScaleNormal="70" workbookViewId="0">
      <selection activeCell="AC19" sqref="AC19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7.0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4418</v>
      </c>
      <c r="N2" s="8"/>
      <c r="O2" s="8"/>
      <c r="P2" s="8"/>
      <c r="Q2" s="8"/>
      <c r="R2" s="8"/>
      <c r="S2" s="8"/>
      <c r="T2" s="8"/>
      <c r="U2" s="8"/>
      <c r="V2" s="8"/>
      <c r="W2" s="8" t="s">
        <v>4418</v>
      </c>
      <c r="X2" s="8">
        <v>47.75</v>
      </c>
      <c r="Y2" s="8">
        <v>3.39</v>
      </c>
      <c r="Z2" s="9">
        <v>4.01</v>
      </c>
      <c r="AA2" s="8">
        <v>12518.1</v>
      </c>
      <c r="AB2" s="8">
        <v>53</v>
      </c>
      <c r="AC2" s="21" t="s">
        <v>4418</v>
      </c>
      <c r="AD2" s="8" t="s">
        <v>4278</v>
      </c>
      <c r="AE2" s="8" t="s">
        <v>4364</v>
      </c>
      <c r="AF2" s="9">
        <f t="shared" ref="AF2:AF18" si="0">(AA2*Y2)</f>
        <v>42436.359000000004</v>
      </c>
      <c r="AG2" s="9">
        <f t="shared" ref="AG2:AG18" si="1">((((RIGHT(Z2,2))/60)+(LEFT(Z2,2)))*AA2)</f>
        <v>50281.035000000003</v>
      </c>
      <c r="AH2" s="9">
        <f t="shared" ref="AH2:AH18" si="2">(AA2/$AA$19)*100</f>
        <v>29.844579597227757</v>
      </c>
      <c r="AI2" s="9">
        <f t="shared" ref="AI2:AI18" si="3">(AH2*AH2)</f>
        <v>890.6989313352633</v>
      </c>
      <c r="AJ2" s="9">
        <f t="shared" ref="AJ2:AJ18" si="4">(AF2/$AF$19)*100</f>
        <v>36.257515311677388</v>
      </c>
      <c r="AK2" s="9">
        <f t="shared" ref="AK2:AK18" si="5">(AJ2*AJ2)</f>
        <v>1314.6074165765201</v>
      </c>
      <c r="AL2" s="9">
        <f t="shared" ref="AL2:AL18" si="6">(AG2/$AG$19)*100</f>
        <v>43.132016365232303</v>
      </c>
      <c r="AM2" s="9">
        <f t="shared" ref="AM2:AM18" si="7">(AL2*AL2)</f>
        <v>1860.3708357306673</v>
      </c>
      <c r="AN2" s="8" t="s">
        <v>4418</v>
      </c>
    </row>
    <row r="3" spans="8:40" ht="24" customHeight="1">
      <c r="M3" s="9" t="s">
        <v>4273</v>
      </c>
      <c r="N3" s="8"/>
      <c r="O3" s="8"/>
      <c r="P3" s="8"/>
      <c r="Q3" s="8"/>
      <c r="R3" s="8"/>
      <c r="S3" s="8"/>
      <c r="T3" s="8"/>
      <c r="U3" s="8"/>
      <c r="V3" s="8"/>
      <c r="W3" s="9" t="s">
        <v>4273</v>
      </c>
      <c r="X3" s="8">
        <v>68.069999999999993</v>
      </c>
      <c r="Y3" s="8">
        <v>2.04</v>
      </c>
      <c r="Z3" s="9">
        <v>2.1800000000000002</v>
      </c>
      <c r="AA3" s="8">
        <v>10634.2</v>
      </c>
      <c r="AB3" s="8">
        <v>63</v>
      </c>
      <c r="AC3" s="22" t="s">
        <v>4273</v>
      </c>
      <c r="AD3" s="8" t="s">
        <v>4278</v>
      </c>
      <c r="AE3" s="8" t="s">
        <v>4364</v>
      </c>
      <c r="AF3" s="9">
        <f t="shared" si="0"/>
        <v>21693.768000000004</v>
      </c>
      <c r="AG3" s="9">
        <f t="shared" si="1"/>
        <v>24458.66</v>
      </c>
      <c r="AH3" s="9">
        <f t="shared" si="2"/>
        <v>25.353146911499302</v>
      </c>
      <c r="AI3" s="9">
        <f t="shared" si="3"/>
        <v>642.78205831606658</v>
      </c>
      <c r="AJ3" s="9">
        <f t="shared" si="4"/>
        <v>18.535099239498305</v>
      </c>
      <c r="AK3" s="9">
        <f t="shared" si="5"/>
        <v>343.54990381805061</v>
      </c>
      <c r="AL3" s="9">
        <f t="shared" si="6"/>
        <v>20.98109801024686</v>
      </c>
      <c r="AM3" s="9">
        <f t="shared" si="7"/>
        <v>440.20647371558476</v>
      </c>
      <c r="AN3" s="9" t="s">
        <v>4273</v>
      </c>
    </row>
    <row r="4" spans="8:40" ht="20.5" customHeight="1">
      <c r="M4" s="8" t="s">
        <v>3952</v>
      </c>
      <c r="N4" s="8"/>
      <c r="O4" s="8"/>
      <c r="P4" s="8" t="s">
        <v>4722</v>
      </c>
      <c r="Q4" s="8"/>
      <c r="R4" s="8"/>
      <c r="S4" s="8"/>
      <c r="T4" s="8"/>
      <c r="U4" s="8"/>
      <c r="V4" s="8"/>
      <c r="W4" s="8" t="s">
        <v>3952</v>
      </c>
      <c r="X4" s="8">
        <v>33.159999999999997</v>
      </c>
      <c r="Y4" s="8">
        <v>3.65</v>
      </c>
      <c r="Z4" s="9">
        <v>3.3</v>
      </c>
      <c r="AA4" s="8">
        <v>8705.9</v>
      </c>
      <c r="AB4" s="8">
        <v>70</v>
      </c>
      <c r="AC4" s="21" t="s">
        <v>3952</v>
      </c>
      <c r="AD4" s="8" t="s">
        <v>4278</v>
      </c>
      <c r="AE4" s="8" t="s">
        <v>4364</v>
      </c>
      <c r="AF4" s="9">
        <f t="shared" si="0"/>
        <v>31776.534999999996</v>
      </c>
      <c r="AG4" s="9">
        <f t="shared" si="1"/>
        <v>26161.229499999998</v>
      </c>
      <c r="AH4" s="9">
        <f t="shared" si="2"/>
        <v>20.755859556602449</v>
      </c>
      <c r="AI4" s="9">
        <f t="shared" si="3"/>
        <v>430.80570593340519</v>
      </c>
      <c r="AJ4" s="9">
        <f t="shared" si="4"/>
        <v>27.149789271849457</v>
      </c>
      <c r="AK4" s="9">
        <f t="shared" si="5"/>
        <v>737.11105750583181</v>
      </c>
      <c r="AL4" s="9">
        <f t="shared" si="6"/>
        <v>22.441594110554767</v>
      </c>
      <c r="AM4" s="9">
        <f t="shared" si="7"/>
        <v>503.62514622288643</v>
      </c>
      <c r="AN4" s="8" t="s">
        <v>3952</v>
      </c>
    </row>
    <row r="5" spans="8:40" ht="23">
      <c r="M5" s="8" t="s">
        <v>3887</v>
      </c>
      <c r="N5" s="8"/>
      <c r="O5" s="8"/>
      <c r="P5" s="8"/>
      <c r="Q5" s="8"/>
      <c r="R5" s="8"/>
      <c r="S5" s="8"/>
      <c r="T5" s="8"/>
      <c r="U5" s="8"/>
      <c r="V5" s="8"/>
      <c r="W5" s="8" t="s">
        <v>3887</v>
      </c>
      <c r="X5" s="8">
        <v>58</v>
      </c>
      <c r="Y5" s="8">
        <v>2.58</v>
      </c>
      <c r="Z5" s="9">
        <v>2.36</v>
      </c>
      <c r="AA5" s="8">
        <v>2217.1999999999998</v>
      </c>
      <c r="AB5" s="8">
        <v>254</v>
      </c>
      <c r="AC5" s="21" t="s">
        <v>3887</v>
      </c>
      <c r="AD5" s="8" t="s">
        <v>4278</v>
      </c>
      <c r="AE5" s="8" t="s">
        <v>4364</v>
      </c>
      <c r="AF5" s="9">
        <f t="shared" si="0"/>
        <v>5720.3759999999993</v>
      </c>
      <c r="AG5" s="9">
        <f t="shared" si="1"/>
        <v>5764.7199999999993</v>
      </c>
      <c r="AH5" s="9">
        <f t="shared" si="2"/>
        <v>5.2860579387425704</v>
      </c>
      <c r="AI5" s="9">
        <f t="shared" si="3"/>
        <v>27.94240853174335</v>
      </c>
      <c r="AJ5" s="9">
        <f t="shared" si="4"/>
        <v>4.8874744510609833</v>
      </c>
      <c r="AK5" s="9">
        <f t="shared" si="5"/>
        <v>23.887406509773861</v>
      </c>
      <c r="AL5" s="9">
        <f t="shared" si="6"/>
        <v>4.9450851077544833</v>
      </c>
      <c r="AM5" s="9">
        <f t="shared" si="7"/>
        <v>24.453866722935171</v>
      </c>
      <c r="AN5" s="8" t="s">
        <v>3887</v>
      </c>
    </row>
    <row r="6" spans="8:40" ht="19.5" customHeight="1">
      <c r="M6" s="8" t="s">
        <v>4286</v>
      </c>
      <c r="N6" s="8"/>
      <c r="O6" s="8"/>
      <c r="P6" s="8"/>
      <c r="Q6" s="8"/>
      <c r="R6" s="8"/>
      <c r="S6" s="8"/>
      <c r="T6" s="8"/>
      <c r="U6" s="8"/>
      <c r="V6" s="8"/>
      <c r="W6" s="8" t="s">
        <v>4286</v>
      </c>
      <c r="X6" s="8">
        <v>68.63</v>
      </c>
      <c r="Y6" s="8">
        <v>1.75</v>
      </c>
      <c r="Z6" s="9">
        <v>1.0900000000000001</v>
      </c>
      <c r="AA6" s="8">
        <v>2154.8000000000002</v>
      </c>
      <c r="AB6" s="8">
        <v>482</v>
      </c>
      <c r="AC6" s="21" t="s">
        <v>4286</v>
      </c>
      <c r="AD6" s="8" t="s">
        <v>4278</v>
      </c>
      <c r="AE6" s="8" t="s">
        <v>4364</v>
      </c>
      <c r="AF6" s="9">
        <f t="shared" si="0"/>
        <v>3770.9000000000005</v>
      </c>
      <c r="AG6" s="9">
        <f t="shared" si="1"/>
        <v>2478.02</v>
      </c>
      <c r="AH6" s="9">
        <f t="shared" si="2"/>
        <v>5.1372892145059055</v>
      </c>
      <c r="AI6" s="9">
        <f t="shared" si="3"/>
        <v>26.391740473478702</v>
      </c>
      <c r="AJ6" s="9">
        <f t="shared" si="4"/>
        <v>3.2218472015660971</v>
      </c>
      <c r="AK6" s="9">
        <f t="shared" si="5"/>
        <v>10.380299390239291</v>
      </c>
      <c r="AL6" s="9">
        <f t="shared" si="6"/>
        <v>2.1256921062458827</v>
      </c>
      <c r="AM6" s="9">
        <f t="shared" si="7"/>
        <v>4.518566930556057</v>
      </c>
      <c r="AN6" s="8" t="s">
        <v>4286</v>
      </c>
    </row>
    <row r="7" spans="8:40" ht="23">
      <c r="M7" s="8" t="s">
        <v>3976</v>
      </c>
      <c r="N7" s="8"/>
      <c r="O7" s="8"/>
      <c r="P7" s="8"/>
      <c r="Q7" s="8"/>
      <c r="R7" s="8"/>
      <c r="S7" s="8"/>
      <c r="T7" s="8"/>
      <c r="U7" s="8"/>
      <c r="V7" s="8"/>
      <c r="W7" s="8" t="s">
        <v>3976</v>
      </c>
      <c r="X7" s="8">
        <v>81.89</v>
      </c>
      <c r="Y7" s="8">
        <v>1.47</v>
      </c>
      <c r="Z7" s="9">
        <v>0.54</v>
      </c>
      <c r="AA7" s="8">
        <v>1984.6</v>
      </c>
      <c r="AB7" s="8">
        <v>739</v>
      </c>
      <c r="AC7" s="21" t="s">
        <v>3976</v>
      </c>
      <c r="AD7" s="8" t="s">
        <v>4278</v>
      </c>
      <c r="AE7" s="8" t="s">
        <v>4364</v>
      </c>
      <c r="AF7" s="9">
        <f t="shared" si="0"/>
        <v>2917.3619999999996</v>
      </c>
      <c r="AG7" s="9">
        <f t="shared" si="1"/>
        <v>1786.1399999999999</v>
      </c>
      <c r="AH7" s="9">
        <f t="shared" si="2"/>
        <v>4.7315129826937152</v>
      </c>
      <c r="AI7" s="9">
        <f t="shared" si="3"/>
        <v>22.387215105399179</v>
      </c>
      <c r="AJ7" s="9">
        <f t="shared" si="4"/>
        <v>2.4925865431741148</v>
      </c>
      <c r="AK7" s="9">
        <f t="shared" si="5"/>
        <v>6.2129876752126831</v>
      </c>
      <c r="AL7" s="9">
        <f t="shared" si="6"/>
        <v>1.5321844451013393</v>
      </c>
      <c r="AM7" s="9">
        <f t="shared" si="7"/>
        <v>2.347589173810499</v>
      </c>
      <c r="AN7" s="8" t="s">
        <v>3976</v>
      </c>
    </row>
    <row r="8" spans="8:40" ht="24" customHeight="1">
      <c r="M8" s="9" t="s">
        <v>3302</v>
      </c>
      <c r="N8" s="8" t="s">
        <v>1939</v>
      </c>
      <c r="O8" s="8"/>
      <c r="P8" s="8"/>
      <c r="Q8" s="8"/>
      <c r="R8" s="8"/>
      <c r="S8" s="8"/>
      <c r="T8" s="8"/>
      <c r="U8" s="8"/>
      <c r="V8" s="8"/>
      <c r="W8" s="9" t="s">
        <v>3302</v>
      </c>
      <c r="X8" s="8">
        <v>53.55</v>
      </c>
      <c r="Y8" s="8">
        <v>3.24</v>
      </c>
      <c r="Z8" s="9">
        <v>2.41</v>
      </c>
      <c r="AA8" s="8">
        <v>1263.2</v>
      </c>
      <c r="AB8" s="8">
        <v>8721</v>
      </c>
      <c r="AC8" s="22" t="s">
        <v>3302</v>
      </c>
      <c r="AD8" s="8" t="s">
        <v>4278</v>
      </c>
      <c r="AE8" s="8" t="s">
        <v>4364</v>
      </c>
      <c r="AF8" s="9">
        <f t="shared" si="0"/>
        <v>4092.7680000000005</v>
      </c>
      <c r="AG8" s="9">
        <f t="shared" si="1"/>
        <v>3389.586666666667</v>
      </c>
      <c r="AH8" s="9">
        <f t="shared" si="2"/>
        <v>3.0116130201243081</v>
      </c>
      <c r="AI8" s="9">
        <f t="shared" si="3"/>
        <v>9.0698129829822562</v>
      </c>
      <c r="AJ8" s="9">
        <f t="shared" si="4"/>
        <v>3.4968503878276462</v>
      </c>
      <c r="AK8" s="9">
        <f t="shared" si="5"/>
        <v>12.227962634850361</v>
      </c>
      <c r="AL8" s="9">
        <f t="shared" si="6"/>
        <v>2.9076511169278811</v>
      </c>
      <c r="AM8" s="9">
        <f t="shared" si="7"/>
        <v>8.4544350177719547</v>
      </c>
      <c r="AN8" s="9" t="s">
        <v>3302</v>
      </c>
    </row>
    <row r="9" spans="8:40" ht="21.5" customHeight="1">
      <c r="M9" s="9" t="s">
        <v>4275</v>
      </c>
      <c r="N9" s="8"/>
      <c r="O9" s="8"/>
      <c r="P9" s="8"/>
      <c r="Q9" s="8"/>
      <c r="R9" s="8"/>
      <c r="S9" s="8"/>
      <c r="T9" s="8"/>
      <c r="U9" s="8"/>
      <c r="V9" s="8"/>
      <c r="W9" s="9" t="s">
        <v>4275</v>
      </c>
      <c r="X9" s="8">
        <v>49.64</v>
      </c>
      <c r="Y9" s="8">
        <v>1.95</v>
      </c>
      <c r="Z9" s="9">
        <v>1.18</v>
      </c>
      <c r="AA9" s="8">
        <v>706.7</v>
      </c>
      <c r="AB9" s="8">
        <v>1374</v>
      </c>
      <c r="AC9" s="22" t="s">
        <v>4275</v>
      </c>
      <c r="AD9" s="8" t="s">
        <v>4278</v>
      </c>
      <c r="AE9" s="8" t="s">
        <v>4364</v>
      </c>
      <c r="AF9" s="9">
        <f t="shared" si="0"/>
        <v>1378.0650000000001</v>
      </c>
      <c r="AG9" s="9">
        <f t="shared" si="1"/>
        <v>918.71</v>
      </c>
      <c r="AH9" s="9">
        <f t="shared" si="2"/>
        <v>1.6848534842636547</v>
      </c>
      <c r="AI9" s="9">
        <f t="shared" si="3"/>
        <v>2.8387312634353772</v>
      </c>
      <c r="AJ9" s="9">
        <f t="shared" si="4"/>
        <v>1.1774151698072566</v>
      </c>
      <c r="AK9" s="9">
        <f t="shared" si="5"/>
        <v>1.3863064820922508</v>
      </c>
      <c r="AL9" s="9">
        <f t="shared" si="6"/>
        <v>0.78808669620469374</v>
      </c>
      <c r="AM9" s="9">
        <f t="shared" si="7"/>
        <v>0.62108064073482927</v>
      </c>
      <c r="AN9" s="9" t="s">
        <v>4275</v>
      </c>
    </row>
    <row r="10" spans="8:40" ht="23">
      <c r="M10" s="8" t="s">
        <v>4274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4274</v>
      </c>
      <c r="X10" s="8">
        <v>39.39</v>
      </c>
      <c r="Y10" s="8">
        <v>2.2999999999999998</v>
      </c>
      <c r="Z10" s="9">
        <v>1.1299999999999999</v>
      </c>
      <c r="AA10" s="8">
        <v>519.5</v>
      </c>
      <c r="AB10" s="8">
        <v>1034</v>
      </c>
      <c r="AC10" s="21" t="s">
        <v>4274</v>
      </c>
      <c r="AD10" s="8" t="s">
        <v>4278</v>
      </c>
      <c r="AE10" s="8" t="s">
        <v>4364</v>
      </c>
      <c r="AF10" s="9">
        <f t="shared" si="0"/>
        <v>1194.8499999999999</v>
      </c>
      <c r="AG10" s="9">
        <f t="shared" si="1"/>
        <v>632.05833333333339</v>
      </c>
      <c r="AH10" s="9">
        <f t="shared" si="2"/>
        <v>1.2385473115536558</v>
      </c>
      <c r="AI10" s="9">
        <f t="shared" si="3"/>
        <v>1.5339994429567887</v>
      </c>
      <c r="AJ10" s="9">
        <f t="shared" si="4"/>
        <v>1.0208767479358376</v>
      </c>
      <c r="AK10" s="9">
        <f t="shared" si="5"/>
        <v>1.0421893344760518</v>
      </c>
      <c r="AL10" s="9">
        <f t="shared" si="6"/>
        <v>0.54219151171241386</v>
      </c>
      <c r="AM10" s="9">
        <f t="shared" si="7"/>
        <v>0.29397163537299265</v>
      </c>
      <c r="AN10" s="8" t="s">
        <v>4274</v>
      </c>
    </row>
    <row r="11" spans="8:40" ht="23">
      <c r="M11" s="8" t="s">
        <v>4509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4509</v>
      </c>
      <c r="X11" s="8">
        <v>50.27</v>
      </c>
      <c r="Y11" s="8">
        <v>1.77</v>
      </c>
      <c r="Z11" s="9">
        <v>0.49</v>
      </c>
      <c r="AA11" s="8">
        <v>485.1</v>
      </c>
      <c r="AB11" s="8">
        <v>3153</v>
      </c>
      <c r="AC11" s="21" t="s">
        <v>4509</v>
      </c>
      <c r="AD11" s="8" t="s">
        <v>4278</v>
      </c>
      <c r="AE11" s="8" t="s">
        <v>4364</v>
      </c>
      <c r="AF11" s="9">
        <f t="shared" si="0"/>
        <v>858.62700000000007</v>
      </c>
      <c r="AG11" s="9">
        <f t="shared" si="1"/>
        <v>396.16500000000002</v>
      </c>
      <c r="AH11" s="9">
        <f t="shared" si="2"/>
        <v>1.1565337840898526</v>
      </c>
      <c r="AI11" s="9">
        <f t="shared" si="3"/>
        <v>1.3375703937411938</v>
      </c>
      <c r="AJ11" s="9">
        <f t="shared" si="4"/>
        <v>0.73360868682253388</v>
      </c>
      <c r="AK11" s="9">
        <f t="shared" si="5"/>
        <v>0.53818170538148258</v>
      </c>
      <c r="AL11" s="9">
        <f t="shared" si="6"/>
        <v>0.33983777906187207</v>
      </c>
      <c r="AM11" s="9">
        <f t="shared" si="7"/>
        <v>0.11548971607770578</v>
      </c>
      <c r="AN11" s="8" t="s">
        <v>4509</v>
      </c>
    </row>
    <row r="12" spans="8:40" ht="23">
      <c r="M12" s="8" t="s">
        <v>4512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4512</v>
      </c>
      <c r="X12" s="8">
        <v>74.23</v>
      </c>
      <c r="Y12" s="8">
        <v>1.66</v>
      </c>
      <c r="Z12" s="9">
        <v>0.27</v>
      </c>
      <c r="AA12" s="8">
        <v>410.5</v>
      </c>
      <c r="AB12" s="8">
        <v>2756</v>
      </c>
      <c r="AC12" s="21" t="s">
        <v>4512</v>
      </c>
      <c r="AD12" s="8" t="s">
        <v>4278</v>
      </c>
      <c r="AE12" s="8" t="s">
        <v>4364</v>
      </c>
      <c r="AF12" s="9">
        <f t="shared" si="0"/>
        <v>681.43</v>
      </c>
      <c r="AG12" s="9">
        <f t="shared" si="1"/>
        <v>184.72499999999999</v>
      </c>
      <c r="AH12" s="9">
        <f t="shared" si="2"/>
        <v>0.97867886697358164</v>
      </c>
      <c r="AI12" s="9">
        <f t="shared" si="3"/>
        <v>0.95781232466069355</v>
      </c>
      <c r="AJ12" s="9">
        <f t="shared" si="4"/>
        <v>0.58221202857757703</v>
      </c>
      <c r="AK12" s="9">
        <f t="shared" si="5"/>
        <v>0.3389708462204174</v>
      </c>
      <c r="AL12" s="9">
        <f t="shared" si="6"/>
        <v>0.15846057510684769</v>
      </c>
      <c r="AM12" s="9">
        <f t="shared" si="7"/>
        <v>2.5109753863192918E-2</v>
      </c>
      <c r="AN12" s="8" t="s">
        <v>4512</v>
      </c>
    </row>
    <row r="13" spans="8:40" ht="23">
      <c r="M13" s="8" t="s">
        <v>4514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4514</v>
      </c>
      <c r="X13" s="8">
        <v>29.76</v>
      </c>
      <c r="Y13" s="8">
        <v>1.66</v>
      </c>
      <c r="Z13" s="9">
        <v>0.28999999999999998</v>
      </c>
      <c r="AA13" s="8">
        <v>113.3</v>
      </c>
      <c r="AB13" s="8">
        <v>9233</v>
      </c>
      <c r="AC13" s="21" t="s">
        <v>4514</v>
      </c>
      <c r="AD13" s="8" t="s">
        <v>4278</v>
      </c>
      <c r="AE13" s="8" t="s">
        <v>4364</v>
      </c>
      <c r="AF13" s="9">
        <f t="shared" si="0"/>
        <v>188.07799999999997</v>
      </c>
      <c r="AG13" s="9">
        <f t="shared" si="1"/>
        <v>54.761666666666663</v>
      </c>
      <c r="AH13" s="9">
        <f t="shared" si="2"/>
        <v>0.27012013551304948</v>
      </c>
      <c r="AI13" s="9">
        <f t="shared" si="3"/>
        <v>7.2964887609588205E-2</v>
      </c>
      <c r="AJ13" s="9">
        <f t="shared" si="4"/>
        <v>0.16069335648681965</v>
      </c>
      <c r="AK13" s="9">
        <f t="shared" si="5"/>
        <v>2.5822354819000103E-2</v>
      </c>
      <c r="AL13" s="9">
        <f t="shared" si="6"/>
        <v>4.6975586378722373E-2</v>
      </c>
      <c r="AM13" s="9">
        <f t="shared" si="7"/>
        <v>2.206705715624807E-3</v>
      </c>
      <c r="AN13" s="8" t="s">
        <v>4514</v>
      </c>
    </row>
    <row r="14" spans="8:40" ht="23">
      <c r="M14" s="8" t="s">
        <v>4511</v>
      </c>
      <c r="N14" s="8"/>
      <c r="O14" s="8"/>
      <c r="P14" s="8"/>
      <c r="Q14" s="8"/>
      <c r="R14" s="8"/>
      <c r="S14" s="8"/>
      <c r="T14" s="8"/>
      <c r="U14" s="8"/>
      <c r="V14" s="8"/>
      <c r="W14" s="8" t="s">
        <v>4511</v>
      </c>
      <c r="X14" s="8">
        <v>30.22</v>
      </c>
      <c r="Y14" s="8">
        <v>1.18</v>
      </c>
      <c r="Z14" s="9">
        <v>0.11</v>
      </c>
      <c r="AA14" s="8">
        <v>71.900000000000006</v>
      </c>
      <c r="AB14" s="8">
        <v>15320</v>
      </c>
      <c r="AC14" s="21" t="s">
        <v>4511</v>
      </c>
      <c r="AD14" s="8" t="s">
        <v>4278</v>
      </c>
      <c r="AE14" s="8" t="s">
        <v>4364</v>
      </c>
      <c r="AF14" s="9">
        <f t="shared" si="0"/>
        <v>84.841999999999999</v>
      </c>
      <c r="AG14" s="9">
        <f t="shared" si="1"/>
        <v>13.181666666666667</v>
      </c>
      <c r="AH14" s="9">
        <f t="shared" si="2"/>
        <v>0.17141780885603053</v>
      </c>
      <c r="AI14" s="9">
        <f t="shared" si="3"/>
        <v>2.9384065193002618E-2</v>
      </c>
      <c r="AJ14" s="9">
        <f t="shared" si="4"/>
        <v>7.2488785243647616E-2</v>
      </c>
      <c r="AK14" s="9">
        <f t="shared" si="5"/>
        <v>5.2546239860996645E-3</v>
      </c>
      <c r="AL14" s="9">
        <f t="shared" si="6"/>
        <v>1.1307481287680412E-2</v>
      </c>
      <c r="AM14" s="9">
        <f t="shared" si="7"/>
        <v>1.2785913307124266E-4</v>
      </c>
      <c r="AN14" s="8" t="s">
        <v>4511</v>
      </c>
    </row>
    <row r="15" spans="8:40" ht="23">
      <c r="M15" s="8" t="s">
        <v>4510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4510</v>
      </c>
      <c r="X15" s="8">
        <v>31.47</v>
      </c>
      <c r="Y15" s="8">
        <v>1.1200000000000001</v>
      </c>
      <c r="Z15" s="9">
        <v>0.16</v>
      </c>
      <c r="AA15" s="8">
        <v>48.1</v>
      </c>
      <c r="AB15" s="8">
        <v>31246</v>
      </c>
      <c r="AC15" s="21" t="s">
        <v>4510</v>
      </c>
      <c r="AD15" s="8" t="s">
        <v>4278</v>
      </c>
      <c r="AE15" s="8" t="s">
        <v>4364</v>
      </c>
      <c r="AF15" s="9">
        <f t="shared" si="0"/>
        <v>53.872000000000007</v>
      </c>
      <c r="AG15" s="9">
        <f t="shared" si="1"/>
        <v>12.826666666666666</v>
      </c>
      <c r="AH15" s="9">
        <f t="shared" si="2"/>
        <v>0.11467589159909691</v>
      </c>
      <c r="AI15" s="9">
        <f t="shared" si="3"/>
        <v>1.3150560114047825E-2</v>
      </c>
      <c r="AJ15" s="9">
        <f t="shared" si="4"/>
        <v>4.602809738862574E-2</v>
      </c>
      <c r="AK15" s="9">
        <f t="shared" si="5"/>
        <v>2.1185857492168158E-3</v>
      </c>
      <c r="AL15" s="9">
        <f t="shared" si="6"/>
        <v>1.1002955618913698E-2</v>
      </c>
      <c r="AM15" s="9">
        <f t="shared" si="7"/>
        <v>1.2106503235178452E-4</v>
      </c>
      <c r="AN15" s="8" t="s">
        <v>4510</v>
      </c>
    </row>
    <row r="16" spans="8:40" ht="23">
      <c r="M16" s="9" t="s">
        <v>4276</v>
      </c>
      <c r="N16" s="8"/>
      <c r="O16" s="8"/>
      <c r="P16" s="8"/>
      <c r="Q16" s="8"/>
      <c r="R16" s="8"/>
      <c r="S16" s="8"/>
      <c r="T16" s="8"/>
      <c r="U16" s="8"/>
      <c r="V16" s="8"/>
      <c r="W16" s="9" t="s">
        <v>4276</v>
      </c>
      <c r="X16" s="8">
        <v>35.450000000000003</v>
      </c>
      <c r="Y16" s="8">
        <v>1.1599999999999999</v>
      </c>
      <c r="Z16" s="9">
        <v>0.08</v>
      </c>
      <c r="AA16" s="8">
        <v>47.1</v>
      </c>
      <c r="AB16" s="8">
        <v>19504</v>
      </c>
      <c r="AC16" s="22" t="s">
        <v>4276</v>
      </c>
      <c r="AD16" s="8" t="s">
        <v>4278</v>
      </c>
      <c r="AE16" s="8" t="s">
        <v>4364</v>
      </c>
      <c r="AF16" s="9">
        <f t="shared" si="0"/>
        <v>54.635999999999996</v>
      </c>
      <c r="AG16" s="9">
        <f t="shared" si="1"/>
        <v>6.28</v>
      </c>
      <c r="AH16" s="9">
        <f t="shared" si="2"/>
        <v>0.11229177742863752</v>
      </c>
      <c r="AI16" s="9">
        <f t="shared" si="3"/>
        <v>1.2609443278082668E-2</v>
      </c>
      <c r="AJ16" s="9">
        <f t="shared" si="4"/>
        <v>4.6680857011526494E-2</v>
      </c>
      <c r="AK16" s="9">
        <f t="shared" si="5"/>
        <v>2.179102411330582E-3</v>
      </c>
      <c r="AL16" s="9">
        <f t="shared" si="6"/>
        <v>5.3871019714224035E-3</v>
      </c>
      <c r="AM16" s="9">
        <f t="shared" si="7"/>
        <v>2.9020867650503145E-5</v>
      </c>
      <c r="AN16" s="9" t="s">
        <v>4276</v>
      </c>
    </row>
    <row r="17" spans="13:40" ht="23">
      <c r="M17" s="8" t="s">
        <v>4513</v>
      </c>
      <c r="N17" s="8"/>
      <c r="O17" s="8"/>
      <c r="P17" s="8"/>
      <c r="Q17" s="8"/>
      <c r="R17" s="8"/>
      <c r="S17" s="8"/>
      <c r="T17" s="8"/>
      <c r="U17" s="8"/>
      <c r="V17" s="8"/>
      <c r="W17" s="8" t="s">
        <v>4513</v>
      </c>
      <c r="X17" s="8">
        <v>21.44</v>
      </c>
      <c r="Y17" s="8">
        <v>2.35</v>
      </c>
      <c r="Z17" s="9">
        <v>0.13</v>
      </c>
      <c r="AA17" s="8">
        <v>43.1</v>
      </c>
      <c r="AB17" s="8">
        <v>14556</v>
      </c>
      <c r="AC17" s="21" t="s">
        <v>4513</v>
      </c>
      <c r="AD17" s="8" t="s">
        <v>4278</v>
      </c>
      <c r="AE17" s="8" t="s">
        <v>4364</v>
      </c>
      <c r="AF17" s="9">
        <f t="shared" si="0"/>
        <v>101.28500000000001</v>
      </c>
      <c r="AG17" s="9">
        <f t="shared" si="1"/>
        <v>9.3383333333333347</v>
      </c>
      <c r="AH17" s="9">
        <f t="shared" si="2"/>
        <v>0.10275532074679994</v>
      </c>
      <c r="AI17" s="9">
        <f t="shared" si="3"/>
        <v>1.0558655941777734E-2</v>
      </c>
      <c r="AJ17" s="9">
        <f t="shared" si="4"/>
        <v>8.6537641892021039E-2</v>
      </c>
      <c r="AK17" s="9">
        <f t="shared" si="5"/>
        <v>7.4887634642316746E-3</v>
      </c>
      <c r="AL17" s="9">
        <f t="shared" si="6"/>
        <v>8.0105977563375078E-3</v>
      </c>
      <c r="AM17" s="9">
        <f t="shared" si="7"/>
        <v>6.416967641383952E-5</v>
      </c>
      <c r="AN17" s="8" t="s">
        <v>4513</v>
      </c>
    </row>
    <row r="18" spans="13:40" ht="23">
      <c r="M18" s="8" t="s">
        <v>4277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4277</v>
      </c>
      <c r="X18" s="8">
        <v>31.01</v>
      </c>
      <c r="Y18" s="8">
        <v>1.8</v>
      </c>
      <c r="Z18" s="9">
        <v>1.18</v>
      </c>
      <c r="AA18" s="8">
        <v>21</v>
      </c>
      <c r="AB18" s="8">
        <v>13915</v>
      </c>
      <c r="AC18" s="21" t="s">
        <v>4277</v>
      </c>
      <c r="AD18" s="8" t="s">
        <v>4278</v>
      </c>
      <c r="AE18" s="8" t="s">
        <v>4364</v>
      </c>
      <c r="AF18" s="9">
        <f t="shared" si="0"/>
        <v>37.800000000000004</v>
      </c>
      <c r="AG18" s="9">
        <f t="shared" si="1"/>
        <v>27.3</v>
      </c>
      <c r="AH18" s="9">
        <f t="shared" si="2"/>
        <v>5.0066397579647294E-2</v>
      </c>
      <c r="AI18" s="9">
        <f t="shared" si="3"/>
        <v>2.5066441666033125E-3</v>
      </c>
      <c r="AJ18" s="9">
        <f t="shared" si="4"/>
        <v>3.2296222180168782E-2</v>
      </c>
      <c r="AK18" s="9">
        <f t="shared" si="5"/>
        <v>1.0430459671108259E-3</v>
      </c>
      <c r="AL18" s="9">
        <f t="shared" si="6"/>
        <v>2.3418452837552804E-2</v>
      </c>
      <c r="AM18" s="9">
        <f t="shared" si="7"/>
        <v>5.4842393330468498E-4</v>
      </c>
      <c r="AN18" s="8" t="s">
        <v>4277</v>
      </c>
    </row>
    <row r="19" spans="13:40" ht="23"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9"/>
      <c r="AA19" s="8">
        <f>SUBTOTAL(109,Table1365152[ترافیک کل])</f>
        <v>41944.299999999996</v>
      </c>
      <c r="AB19" s="8"/>
      <c r="AC19" s="21"/>
      <c r="AD19" s="8"/>
      <c r="AE19" s="8"/>
      <c r="AF19" s="9">
        <f>SUBTOTAL(109,Table1365152[[مجموع صفحات  مشاهده شده   ]])</f>
        <v>117041.553</v>
      </c>
      <c r="AG19" s="9">
        <f>SUBTOTAL(109,Table1365152[[مجموع زمان حضور در سایت ]])</f>
        <v>116574.73783333336</v>
      </c>
      <c r="AH19" s="9">
        <f>SUBTOTAL(109,Table1365152[سهم سایت از کل ترافیک طبقه بندی])</f>
        <v>100.00000000000003</v>
      </c>
      <c r="AI19" s="9">
        <f>SUBTOTAL(109,Table1365152[شاخص هرفیندال هیرشمن (ترافیک)])</f>
        <v>2056.8871603594353</v>
      </c>
      <c r="AJ19" s="9">
        <f>SUBTOTAL(109,Table1365152[سهم سایت از کل صفحات مشاهده شده در طبقه بندی])</f>
        <v>100</v>
      </c>
      <c r="AK19" s="9">
        <f>SUBTOTAL(109,Table1365152[شاخص هرفیندال -هیرشمن (صفحات مشاهده شده )])</f>
        <v>2451.3265889550457</v>
      </c>
      <c r="AL19" s="9">
        <f>SUBTOTAL(109,Table1365152[سهم سایت از کل زمان حضور در طبقه بندی])</f>
        <v>99.999999999999972</v>
      </c>
      <c r="AM19" s="9">
        <f>SUBTOTAL(109,Table1365152[شاخص هرفیندال هیرشمن (زمان حضور)])</f>
        <v>2845.0356625046197</v>
      </c>
      <c r="AN19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{C84AECA3-FA8B-495A-A6FD-A18E5D35F87A}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{7C952A39-70EE-4FF8-BCCB-4EBD20305A06}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{310D0BB8-0C5A-4760-8E34-DF1EF4DF8A01}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{F5C56215-12DB-4B47-A172-5640C3E5B246}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{A58C4AF4-7D65-4B0D-B210-EF4707E9259A}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{FF69F84A-0B9C-46A4-A4AA-7BEB27575698}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4AECA3-FA8B-495A-A6FD-A18E5D35F87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C952A39-70EE-4FF8-BCCB-4EBD20305A0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10D0BB8-0C5A-4760-8E34-DF1EF4DF8A0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5C56215-12DB-4B47-A172-5640C3E5B2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58C4AF4-7D65-4B0D-B210-EF4707E9259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FF69F84A-0B9C-46A4-A4AA-7BEB2757569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7"/>
  <sheetViews>
    <sheetView showGridLines="0" rightToLeft="1" topLeftCell="Z1" zoomScale="70" zoomScaleNormal="70" workbookViewId="0">
      <selection activeCell="AD17" sqref="AD17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3828</v>
      </c>
      <c r="N2" s="8"/>
      <c r="O2" s="8"/>
      <c r="P2" s="8"/>
      <c r="Q2" s="8"/>
      <c r="R2" s="8"/>
      <c r="S2" s="8"/>
      <c r="T2" s="8"/>
      <c r="U2" s="8"/>
      <c r="V2" s="8"/>
      <c r="W2" s="8" t="s">
        <v>3828</v>
      </c>
      <c r="X2" s="8">
        <v>35.71</v>
      </c>
      <c r="Y2" s="8">
        <v>3.54</v>
      </c>
      <c r="Z2" s="9">
        <v>5.09</v>
      </c>
      <c r="AA2" s="8">
        <v>8471.1</v>
      </c>
      <c r="AB2" s="8">
        <v>72</v>
      </c>
      <c r="AC2" s="21" t="s">
        <v>3828</v>
      </c>
      <c r="AD2" s="8" t="s">
        <v>4297</v>
      </c>
      <c r="AE2" s="8" t="s">
        <v>4364</v>
      </c>
      <c r="AF2" s="9">
        <f t="shared" ref="AF2:AF16" si="0">(AA2*Y2)</f>
        <v>29987.694000000003</v>
      </c>
      <c r="AG2" s="9">
        <f t="shared" ref="AG2:AG16" si="1">((((RIGHT(Z2,2))/60)+(LEFT(Z2,2)))*AA2)</f>
        <v>43626.165000000008</v>
      </c>
      <c r="AH2" s="9">
        <f t="shared" ref="AH2:AH16" si="2">(AA2/$AA$17)*100</f>
        <v>86.837654150136828</v>
      </c>
      <c r="AI2" s="9">
        <f t="shared" ref="AI2:AI16" si="3">(AH2*AH2)</f>
        <v>7540.7781782987759</v>
      </c>
      <c r="AJ2" s="9">
        <f t="shared" ref="AJ2:AJ16" si="4">(AF2/$AF$17)*100</f>
        <v>82.072990914760027</v>
      </c>
      <c r="AK2" s="9">
        <f t="shared" ref="AK2:AK16" si="5">(AJ2*AJ2)</f>
        <v>6735.9758376942818</v>
      </c>
      <c r="AL2" s="9">
        <f t="shared" ref="AL2:AL16" si="6">(AG2/$AG$17)*100</f>
        <v>85.308488784035561</v>
      </c>
      <c r="AM2" s="9">
        <f t="shared" ref="AM2:AM16" si="7">(AL2*AL2)</f>
        <v>7277.5382586159212</v>
      </c>
      <c r="AN2" s="8" t="s">
        <v>3828</v>
      </c>
    </row>
    <row r="3" spans="8:40" ht="23">
      <c r="M3" s="8" t="s">
        <v>4302</v>
      </c>
      <c r="N3" s="8"/>
      <c r="O3" s="8"/>
      <c r="P3" s="8" t="s">
        <v>3700</v>
      </c>
      <c r="Q3" s="8"/>
      <c r="R3" s="8"/>
      <c r="S3" s="8"/>
      <c r="T3" s="8"/>
      <c r="U3" s="8"/>
      <c r="V3" s="8"/>
      <c r="W3" s="8" t="s">
        <v>4302</v>
      </c>
      <c r="X3" s="8">
        <v>29.09</v>
      </c>
      <c r="Y3" s="8">
        <v>4.6900000000000004</v>
      </c>
      <c r="Z3" s="9">
        <v>5.31</v>
      </c>
      <c r="AA3" s="8">
        <v>557.20000000000005</v>
      </c>
      <c r="AB3" s="8">
        <v>621</v>
      </c>
      <c r="AC3" s="21" t="s">
        <v>4302</v>
      </c>
      <c r="AD3" s="8" t="s">
        <v>4242</v>
      </c>
      <c r="AE3" s="8" t="s">
        <v>4364</v>
      </c>
      <c r="AF3" s="9">
        <f t="shared" si="0"/>
        <v>2613.2680000000005</v>
      </c>
      <c r="AG3" s="9">
        <f t="shared" si="1"/>
        <v>3073.8866666666668</v>
      </c>
      <c r="AH3" s="9">
        <f t="shared" si="2"/>
        <v>5.7118840401431035</v>
      </c>
      <c r="AI3" s="9">
        <f t="shared" si="3"/>
        <v>32.625619288041506</v>
      </c>
      <c r="AJ3" s="9">
        <f t="shared" si="4"/>
        <v>7.1522245365660044</v>
      </c>
      <c r="AK3" s="9">
        <f t="shared" si="5"/>
        <v>51.154315821456798</v>
      </c>
      <c r="AL3" s="9">
        <f t="shared" si="6"/>
        <v>6.0108108568958505</v>
      </c>
      <c r="AM3" s="9">
        <f t="shared" si="7"/>
        <v>36.129847157377029</v>
      </c>
      <c r="AN3" s="8" t="s">
        <v>4302</v>
      </c>
    </row>
    <row r="4" spans="8:40" ht="23">
      <c r="M4" s="8" t="s">
        <v>4304</v>
      </c>
      <c r="N4" s="8"/>
      <c r="O4" s="8"/>
      <c r="P4" s="8" t="s">
        <v>3692</v>
      </c>
      <c r="Q4" s="8"/>
      <c r="R4" s="8"/>
      <c r="S4" s="8"/>
      <c r="T4" s="8"/>
      <c r="U4" s="8"/>
      <c r="V4" s="8"/>
      <c r="W4" s="8" t="s">
        <v>4304</v>
      </c>
      <c r="X4" s="8">
        <v>31.58</v>
      </c>
      <c r="Y4" s="8">
        <v>3.77</v>
      </c>
      <c r="Z4" s="9">
        <v>4.17</v>
      </c>
      <c r="AA4" s="8">
        <v>245.1</v>
      </c>
      <c r="AB4" s="8">
        <v>954</v>
      </c>
      <c r="AC4" s="21" t="s">
        <v>4304</v>
      </c>
      <c r="AD4" s="8" t="s">
        <v>4242</v>
      </c>
      <c r="AE4" s="8" t="s">
        <v>4364</v>
      </c>
      <c r="AF4" s="9">
        <f t="shared" si="0"/>
        <v>924.02699999999993</v>
      </c>
      <c r="AG4" s="9">
        <f t="shared" si="1"/>
        <v>1049.845</v>
      </c>
      <c r="AH4" s="9">
        <f t="shared" si="2"/>
        <v>2.5125319063874274</v>
      </c>
      <c r="AI4" s="9">
        <f t="shared" si="3"/>
        <v>6.3128165806148404</v>
      </c>
      <c r="AJ4" s="9">
        <f t="shared" si="4"/>
        <v>2.5289593649979536</v>
      </c>
      <c r="AK4" s="9">
        <f t="shared" si="5"/>
        <v>6.3956354698108528</v>
      </c>
      <c r="AL4" s="9">
        <f t="shared" si="6"/>
        <v>2.0529122925995398</v>
      </c>
      <c r="AM4" s="9">
        <f t="shared" si="7"/>
        <v>4.2144488811062981</v>
      </c>
      <c r="AN4" s="8" t="s">
        <v>4304</v>
      </c>
    </row>
    <row r="5" spans="8:40" ht="23">
      <c r="M5" s="8" t="s">
        <v>4303</v>
      </c>
      <c r="N5" s="8"/>
      <c r="O5" s="8"/>
      <c r="P5" s="8" t="s">
        <v>3704</v>
      </c>
      <c r="Q5" s="8"/>
      <c r="R5" s="8"/>
      <c r="S5" s="8"/>
      <c r="T5" s="8"/>
      <c r="U5" s="8"/>
      <c r="V5" s="8"/>
      <c r="W5" s="8" t="s">
        <v>4303</v>
      </c>
      <c r="X5" s="8">
        <v>15.73</v>
      </c>
      <c r="Y5" s="8">
        <v>6.84</v>
      </c>
      <c r="Z5" s="9">
        <v>7.18</v>
      </c>
      <c r="AA5" s="8">
        <v>196.7</v>
      </c>
      <c r="AB5" s="8">
        <v>913</v>
      </c>
      <c r="AC5" s="21" t="s">
        <v>4303</v>
      </c>
      <c r="AD5" s="8" t="s">
        <v>4242</v>
      </c>
      <c r="AE5" s="8" t="s">
        <v>4364</v>
      </c>
      <c r="AF5" s="9">
        <f t="shared" si="0"/>
        <v>1345.4279999999999</v>
      </c>
      <c r="AG5" s="9">
        <f t="shared" si="1"/>
        <v>1435.9099999999999</v>
      </c>
      <c r="AH5" s="9">
        <f t="shared" si="2"/>
        <v>2.0163811749751406</v>
      </c>
      <c r="AI5" s="9">
        <f t="shared" si="3"/>
        <v>4.0657930427941285</v>
      </c>
      <c r="AJ5" s="9">
        <f t="shared" si="4"/>
        <v>3.6822871415342484</v>
      </c>
      <c r="AK5" s="9">
        <f t="shared" si="5"/>
        <v>13.559238592708466</v>
      </c>
      <c r="AL5" s="9">
        <f t="shared" si="6"/>
        <v>2.8078404812773359</v>
      </c>
      <c r="AM5" s="9">
        <f t="shared" si="7"/>
        <v>7.8839681682997416</v>
      </c>
      <c r="AN5" s="8" t="s">
        <v>4303</v>
      </c>
    </row>
    <row r="6" spans="8:40" ht="23">
      <c r="M6" s="8" t="s">
        <v>4317</v>
      </c>
      <c r="N6" s="8"/>
      <c r="O6" s="8"/>
      <c r="P6" s="8" t="s">
        <v>4653</v>
      </c>
      <c r="Q6" s="8"/>
      <c r="R6" s="8"/>
      <c r="S6" s="8"/>
      <c r="T6" s="8"/>
      <c r="U6" s="8"/>
      <c r="V6" s="8"/>
      <c r="W6" s="8" t="s">
        <v>4317</v>
      </c>
      <c r="X6" s="8">
        <v>29.08</v>
      </c>
      <c r="Y6" s="8">
        <v>7.49</v>
      </c>
      <c r="Z6" s="9">
        <v>8.3000000000000007</v>
      </c>
      <c r="AA6" s="8">
        <v>92.1</v>
      </c>
      <c r="AB6" s="8">
        <v>1828</v>
      </c>
      <c r="AC6" s="21" t="s">
        <v>4317</v>
      </c>
      <c r="AD6" s="8" t="s">
        <v>4242</v>
      </c>
      <c r="AE6" s="8" t="s">
        <v>4364</v>
      </c>
      <c r="AF6" s="9">
        <f t="shared" si="0"/>
        <v>689.82899999999995</v>
      </c>
      <c r="AG6" s="9">
        <f t="shared" si="1"/>
        <v>737.26049999999998</v>
      </c>
      <c r="AH6" s="9">
        <f t="shared" si="2"/>
        <v>0.94412153642709951</v>
      </c>
      <c r="AI6" s="9">
        <f t="shared" si="3"/>
        <v>0.89136547554546697</v>
      </c>
      <c r="AJ6" s="9">
        <f t="shared" si="4"/>
        <v>1.8879854266132627</v>
      </c>
      <c r="AK6" s="9">
        <f t="shared" si="5"/>
        <v>3.5644889711040637</v>
      </c>
      <c r="AL6" s="9">
        <f t="shared" si="6"/>
        <v>1.4416710498198144</v>
      </c>
      <c r="AM6" s="9">
        <f t="shared" si="7"/>
        <v>2.0784154158885659</v>
      </c>
      <c r="AN6" s="8" t="s">
        <v>4317</v>
      </c>
    </row>
    <row r="7" spans="8:40" ht="23">
      <c r="M7" s="8" t="s">
        <v>5186</v>
      </c>
      <c r="N7" s="8"/>
      <c r="O7" s="8"/>
      <c r="P7" s="8" t="s">
        <v>4653</v>
      </c>
      <c r="Q7" s="8"/>
      <c r="R7" s="8"/>
      <c r="S7" s="8"/>
      <c r="T7" s="8"/>
      <c r="U7" s="8"/>
      <c r="V7" s="8"/>
      <c r="W7" s="8" t="s">
        <v>5186</v>
      </c>
      <c r="X7" s="8">
        <v>37.549999999999997</v>
      </c>
      <c r="Y7" s="8">
        <v>3.71</v>
      </c>
      <c r="Z7" s="9">
        <v>5.2</v>
      </c>
      <c r="AA7" s="8">
        <v>59.9</v>
      </c>
      <c r="AB7" s="8">
        <v>3690</v>
      </c>
      <c r="AC7" s="21" t="s">
        <v>5186</v>
      </c>
      <c r="AD7" s="8" t="s">
        <v>4242</v>
      </c>
      <c r="AE7" s="8" t="s">
        <v>4364</v>
      </c>
      <c r="AF7" s="9">
        <f t="shared" si="0"/>
        <v>222.22899999999998</v>
      </c>
      <c r="AG7" s="9">
        <f t="shared" si="1"/>
        <v>299.69966666666664</v>
      </c>
      <c r="AH7" s="9">
        <f t="shared" si="2"/>
        <v>0.61403778536355325</v>
      </c>
      <c r="AI7" s="9">
        <f t="shared" si="3"/>
        <v>0.37704240185417709</v>
      </c>
      <c r="AJ7" s="9">
        <f t="shared" si="4"/>
        <v>0.60821611351630445</v>
      </c>
      <c r="AK7" s="9">
        <f t="shared" si="5"/>
        <v>0.36992684074087812</v>
      </c>
      <c r="AL7" s="9">
        <f t="shared" si="6"/>
        <v>0.58604568273219804</v>
      </c>
      <c r="AM7" s="9">
        <f t="shared" si="7"/>
        <v>0.34344954224904811</v>
      </c>
      <c r="AN7" s="8" t="s">
        <v>5186</v>
      </c>
    </row>
    <row r="8" spans="8:40" ht="23">
      <c r="M8" s="8" t="s">
        <v>5187</v>
      </c>
      <c r="N8" s="8"/>
      <c r="O8" s="8"/>
      <c r="P8" s="8"/>
      <c r="Q8" s="8"/>
      <c r="R8" s="8"/>
      <c r="S8" s="8"/>
      <c r="T8" s="8"/>
      <c r="U8" s="8"/>
      <c r="V8" s="8"/>
      <c r="W8" s="8" t="s">
        <v>5187</v>
      </c>
      <c r="X8" s="8">
        <v>29.36</v>
      </c>
      <c r="Y8" s="8">
        <v>5.94</v>
      </c>
      <c r="Z8" s="9">
        <v>7.11</v>
      </c>
      <c r="AA8" s="8">
        <v>33.799999999999997</v>
      </c>
      <c r="AB8" s="8">
        <v>5276</v>
      </c>
      <c r="AC8" s="21" t="s">
        <v>5187</v>
      </c>
      <c r="AD8" s="8" t="s">
        <v>4242</v>
      </c>
      <c r="AE8" s="8" t="s">
        <v>4364</v>
      </c>
      <c r="AF8" s="9">
        <f t="shared" si="0"/>
        <v>200.77199999999999</v>
      </c>
      <c r="AG8" s="9">
        <f t="shared" si="1"/>
        <v>242.79666666666665</v>
      </c>
      <c r="AH8" s="9">
        <f t="shared" si="2"/>
        <v>0.3464854281350267</v>
      </c>
      <c r="AI8" s="9">
        <f t="shared" si="3"/>
        <v>0.12005215190991275</v>
      </c>
      <c r="AJ8" s="9">
        <f t="shared" si="4"/>
        <v>0.54949068547712265</v>
      </c>
      <c r="AK8" s="9">
        <f t="shared" si="5"/>
        <v>0.30194001342611815</v>
      </c>
      <c r="AL8" s="9">
        <f t="shared" si="6"/>
        <v>0.47477509689734476</v>
      </c>
      <c r="AM8" s="9">
        <f t="shared" si="7"/>
        <v>0.2254113926338831</v>
      </c>
      <c r="AN8" s="8" t="s">
        <v>5187</v>
      </c>
    </row>
    <row r="9" spans="8:40" ht="23">
      <c r="M9" s="8" t="s">
        <v>4319</v>
      </c>
      <c r="N9" s="8"/>
      <c r="O9" s="8"/>
      <c r="P9" s="8"/>
      <c r="Q9" s="8"/>
      <c r="R9" s="8"/>
      <c r="S9" s="8"/>
      <c r="T9" s="8"/>
      <c r="U9" s="8"/>
      <c r="V9" s="8"/>
      <c r="W9" s="8" t="s">
        <v>4319</v>
      </c>
      <c r="X9" s="8">
        <v>19.149999999999999</v>
      </c>
      <c r="Y9" s="8">
        <v>7.85</v>
      </c>
      <c r="Z9" s="9">
        <v>10.15</v>
      </c>
      <c r="AA9" s="8">
        <v>24.5</v>
      </c>
      <c r="AB9" s="8">
        <v>5071</v>
      </c>
      <c r="AC9" s="21" t="s">
        <v>4319</v>
      </c>
      <c r="AD9" s="8" t="s">
        <v>4242</v>
      </c>
      <c r="AE9" s="8" t="s">
        <v>4364</v>
      </c>
      <c r="AF9" s="9">
        <f t="shared" si="0"/>
        <v>192.32499999999999</v>
      </c>
      <c r="AG9" s="9">
        <f t="shared" si="1"/>
        <v>251.125</v>
      </c>
      <c r="AH9" s="9">
        <f t="shared" si="2"/>
        <v>0.251150680157046</v>
      </c>
      <c r="AI9" s="9">
        <f t="shared" si="3"/>
        <v>6.3076664143346825E-2</v>
      </c>
      <c r="AJ9" s="9">
        <f t="shared" si="4"/>
        <v>0.52637218379249906</v>
      </c>
      <c r="AK9" s="9">
        <f t="shared" si="5"/>
        <v>0.27706767587048442</v>
      </c>
      <c r="AL9" s="9">
        <f t="shared" si="6"/>
        <v>0.49106067988994517</v>
      </c>
      <c r="AM9" s="9">
        <f t="shared" si="7"/>
        <v>0.2411405913339752</v>
      </c>
      <c r="AN9" s="8" t="s">
        <v>4319</v>
      </c>
    </row>
    <row r="10" spans="8:40" ht="23">
      <c r="M10" s="8" t="s">
        <v>4316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4316</v>
      </c>
      <c r="X10" s="8">
        <v>36.29</v>
      </c>
      <c r="Y10" s="8">
        <v>4.72</v>
      </c>
      <c r="Z10" s="9">
        <v>6.59</v>
      </c>
      <c r="AA10" s="8">
        <v>22.6</v>
      </c>
      <c r="AB10" s="8">
        <v>8230</v>
      </c>
      <c r="AC10" s="21" t="s">
        <v>4316</v>
      </c>
      <c r="AD10" s="8" t="s">
        <v>4242</v>
      </c>
      <c r="AE10" s="8" t="s">
        <v>4364</v>
      </c>
      <c r="AF10" s="9">
        <f t="shared" si="0"/>
        <v>106.672</v>
      </c>
      <c r="AG10" s="9">
        <f t="shared" si="1"/>
        <v>157.82333333333335</v>
      </c>
      <c r="AH10" s="9">
        <f t="shared" si="2"/>
        <v>0.23167368863466287</v>
      </c>
      <c r="AI10" s="9">
        <f t="shared" si="3"/>
        <v>5.367269800559072E-2</v>
      </c>
      <c r="AJ10" s="9">
        <f t="shared" si="4"/>
        <v>0.29194942721702044</v>
      </c>
      <c r="AK10" s="9">
        <f t="shared" si="5"/>
        <v>8.5234468052346316E-2</v>
      </c>
      <c r="AL10" s="9">
        <f t="shared" si="6"/>
        <v>0.30861456792101188</v>
      </c>
      <c r="AM10" s="9">
        <f t="shared" si="7"/>
        <v>9.5242951533072856E-2</v>
      </c>
      <c r="AN10" s="8" t="s">
        <v>4316</v>
      </c>
    </row>
    <row r="11" spans="8:40" ht="23">
      <c r="M11" s="9" t="s">
        <v>5188</v>
      </c>
      <c r="N11" s="8"/>
      <c r="O11" s="8"/>
      <c r="P11" s="8"/>
      <c r="Q11" s="8"/>
      <c r="R11" s="8"/>
      <c r="S11" s="8"/>
      <c r="T11" s="8"/>
      <c r="U11" s="8"/>
      <c r="V11" s="8"/>
      <c r="W11" s="9" t="s">
        <v>5188</v>
      </c>
      <c r="X11" s="8">
        <v>37.99</v>
      </c>
      <c r="Y11" s="8">
        <v>6.25</v>
      </c>
      <c r="Z11" s="9">
        <v>3.48</v>
      </c>
      <c r="AA11" s="8">
        <v>20.8</v>
      </c>
      <c r="AB11" s="8">
        <v>9455</v>
      </c>
      <c r="AC11" s="22" t="s">
        <v>5188</v>
      </c>
      <c r="AD11" s="8" t="s">
        <v>4242</v>
      </c>
      <c r="AE11" s="8" t="s">
        <v>4364</v>
      </c>
      <c r="AF11" s="9">
        <f t="shared" si="0"/>
        <v>130</v>
      </c>
      <c r="AG11" s="9">
        <f t="shared" si="1"/>
        <v>79.039999999999992</v>
      </c>
      <c r="AH11" s="9">
        <f t="shared" si="2"/>
        <v>0.21322180192924722</v>
      </c>
      <c r="AI11" s="9">
        <f t="shared" si="3"/>
        <v>4.5463536817955133E-2</v>
      </c>
      <c r="AJ11" s="9">
        <f t="shared" si="4"/>
        <v>0.35579557464201156</v>
      </c>
      <c r="AK11" s="9">
        <f t="shared" si="5"/>
        <v>0.12659049093483921</v>
      </c>
      <c r="AL11" s="9">
        <f t="shared" si="6"/>
        <v>0.1545582325077203</v>
      </c>
      <c r="AM11" s="9">
        <f t="shared" si="7"/>
        <v>2.3888247235910529E-2</v>
      </c>
      <c r="AN11" s="9" t="s">
        <v>5188</v>
      </c>
    </row>
    <row r="12" spans="8:40" ht="23">
      <c r="M12" s="9" t="s">
        <v>4315</v>
      </c>
      <c r="N12" s="8"/>
      <c r="O12" s="8"/>
      <c r="P12" s="8"/>
      <c r="Q12" s="8"/>
      <c r="R12" s="8"/>
      <c r="S12" s="8"/>
      <c r="T12" s="8"/>
      <c r="U12" s="8"/>
      <c r="V12" s="8"/>
      <c r="W12" s="9" t="s">
        <v>4315</v>
      </c>
      <c r="X12" s="8">
        <v>19.89</v>
      </c>
      <c r="Y12" s="8">
        <v>4.79</v>
      </c>
      <c r="Z12" s="9">
        <v>7.56</v>
      </c>
      <c r="AA12" s="8">
        <v>19.100000000000001</v>
      </c>
      <c r="AB12" s="8">
        <v>8499</v>
      </c>
      <c r="AC12" s="22" t="s">
        <v>4315</v>
      </c>
      <c r="AD12" s="8" t="s">
        <v>4242</v>
      </c>
      <c r="AE12" s="8" t="s">
        <v>4364</v>
      </c>
      <c r="AF12" s="9">
        <f t="shared" si="0"/>
        <v>91.489000000000004</v>
      </c>
      <c r="AG12" s="9">
        <f t="shared" si="1"/>
        <v>151.52666666666667</v>
      </c>
      <c r="AH12" s="9">
        <f t="shared" si="2"/>
        <v>0.19579502004079913</v>
      </c>
      <c r="AI12" s="9">
        <f t="shared" si="3"/>
        <v>3.8335689872776933E-2</v>
      </c>
      <c r="AJ12" s="9">
        <f t="shared" si="4"/>
        <v>0.25039524098786919</v>
      </c>
      <c r="AK12" s="9">
        <f t="shared" si="5"/>
        <v>6.2697776709373085E-2</v>
      </c>
      <c r="AL12" s="9">
        <f t="shared" si="6"/>
        <v>0.29630179374729881</v>
      </c>
      <c r="AM12" s="9">
        <f t="shared" si="7"/>
        <v>8.7794752977866805E-2</v>
      </c>
      <c r="AN12" s="9" t="s">
        <v>4315</v>
      </c>
    </row>
    <row r="13" spans="8:40" ht="23">
      <c r="M13" s="9" t="s">
        <v>3308</v>
      </c>
      <c r="N13" s="8" t="s">
        <v>1939</v>
      </c>
      <c r="O13" s="8"/>
      <c r="P13" s="8"/>
      <c r="Q13" s="8"/>
      <c r="R13" s="8"/>
      <c r="S13" s="8"/>
      <c r="T13" s="8"/>
      <c r="U13" s="8"/>
      <c r="V13" s="8"/>
      <c r="W13" s="9" t="s">
        <v>3308</v>
      </c>
      <c r="X13" s="8">
        <v>26.37</v>
      </c>
      <c r="Y13" s="8">
        <v>3.8</v>
      </c>
      <c r="Z13" s="9">
        <v>4.32</v>
      </c>
      <c r="AA13" s="8">
        <v>6.2</v>
      </c>
      <c r="AB13" s="8">
        <v>20216</v>
      </c>
      <c r="AC13" s="22" t="s">
        <v>3308</v>
      </c>
      <c r="AD13" s="8" t="s">
        <v>4242</v>
      </c>
      <c r="AE13" s="8" t="s">
        <v>4364</v>
      </c>
      <c r="AF13" s="9">
        <f t="shared" si="0"/>
        <v>23.56</v>
      </c>
      <c r="AG13" s="9">
        <f t="shared" si="1"/>
        <v>28.106666666666666</v>
      </c>
      <c r="AH13" s="9">
        <f t="shared" si="2"/>
        <v>6.3556498651987162E-2</v>
      </c>
      <c r="AI13" s="9">
        <f t="shared" si="3"/>
        <v>4.0394285209000456E-3</v>
      </c>
      <c r="AJ13" s="9">
        <f t="shared" si="4"/>
        <v>6.4481105681275325E-2</v>
      </c>
      <c r="AK13" s="9">
        <f t="shared" si="5"/>
        <v>4.1578129898797974E-3</v>
      </c>
      <c r="AL13" s="9">
        <f t="shared" si="6"/>
        <v>5.496099091198961E-2</v>
      </c>
      <c r="AM13" s="9">
        <f t="shared" si="7"/>
        <v>3.0207105220278045E-3</v>
      </c>
      <c r="AN13" s="9" t="s">
        <v>3308</v>
      </c>
    </row>
    <row r="14" spans="8:40" ht="23">
      <c r="M14" s="8" t="s">
        <v>4318</v>
      </c>
      <c r="N14" s="8"/>
      <c r="O14" s="8"/>
      <c r="P14" s="8" t="s">
        <v>3693</v>
      </c>
      <c r="Q14" s="8"/>
      <c r="R14" s="8"/>
      <c r="S14" s="8"/>
      <c r="T14" s="8"/>
      <c r="U14" s="8"/>
      <c r="V14" s="8"/>
      <c r="W14" s="8" t="s">
        <v>4318</v>
      </c>
      <c r="X14" s="8">
        <v>79.28</v>
      </c>
      <c r="Y14" s="8">
        <v>1.17</v>
      </c>
      <c r="Z14" s="9">
        <v>7.0000000000000007E-2</v>
      </c>
      <c r="AA14" s="8">
        <v>2.6</v>
      </c>
      <c r="AB14" s="8">
        <v>46632</v>
      </c>
      <c r="AC14" s="21" t="s">
        <v>4318</v>
      </c>
      <c r="AD14" s="8" t="s">
        <v>4242</v>
      </c>
      <c r="AE14" s="8" t="s">
        <v>4364</v>
      </c>
      <c r="AF14" s="9">
        <f t="shared" si="0"/>
        <v>3.0419999999999998</v>
      </c>
      <c r="AG14" s="9">
        <f t="shared" si="1"/>
        <v>0.30333333333333334</v>
      </c>
      <c r="AH14" s="9">
        <f t="shared" si="2"/>
        <v>2.6652725241155903E-2</v>
      </c>
      <c r="AI14" s="9">
        <f t="shared" si="3"/>
        <v>7.1036776278054895E-4</v>
      </c>
      <c r="AJ14" s="9">
        <f t="shared" si="4"/>
        <v>8.3256164466230711E-3</v>
      </c>
      <c r="AK14" s="9">
        <f t="shared" si="5"/>
        <v>6.9315889216280574E-5</v>
      </c>
      <c r="AL14" s="9">
        <f t="shared" si="6"/>
        <v>5.931511115976108E-4</v>
      </c>
      <c r="AM14" s="9">
        <f t="shared" si="7"/>
        <v>3.5182824118948134E-7</v>
      </c>
      <c r="AN14" s="8" t="s">
        <v>4318</v>
      </c>
    </row>
    <row r="15" spans="8:40" ht="23">
      <c r="M15" s="24" t="s">
        <v>5189</v>
      </c>
      <c r="N15" s="24"/>
      <c r="O15" s="24"/>
      <c r="P15" s="24"/>
      <c r="Q15" s="24"/>
      <c r="R15" s="24"/>
      <c r="S15" s="24"/>
      <c r="T15" s="24"/>
      <c r="U15" s="24"/>
      <c r="V15" s="24"/>
      <c r="W15" s="24" t="s">
        <v>5189</v>
      </c>
      <c r="X15" s="24">
        <v>43.07</v>
      </c>
      <c r="Y15" s="24">
        <v>2.06</v>
      </c>
      <c r="Z15" s="25">
        <v>1.27</v>
      </c>
      <c r="AA15" s="24">
        <v>1.8</v>
      </c>
      <c r="AB15" s="24">
        <v>62684</v>
      </c>
      <c r="AC15" s="21" t="s">
        <v>5189</v>
      </c>
      <c r="AD15" s="8" t="s">
        <v>4242</v>
      </c>
      <c r="AE15" s="8" t="s">
        <v>4364</v>
      </c>
      <c r="AF15" s="25">
        <f t="shared" si="0"/>
        <v>3.7080000000000002</v>
      </c>
      <c r="AG15" s="25">
        <f t="shared" si="1"/>
        <v>2.61</v>
      </c>
      <c r="AH15" s="9">
        <f t="shared" si="2"/>
        <v>1.8451886705415626E-2</v>
      </c>
      <c r="AI15" s="25">
        <f t="shared" si="3"/>
        <v>3.4047212298949394E-4</v>
      </c>
      <c r="AJ15" s="9">
        <f t="shared" si="4"/>
        <v>1.0148384544404454E-2</v>
      </c>
      <c r="AK15" s="25">
        <f t="shared" si="5"/>
        <v>1.029897088611072E-4</v>
      </c>
      <c r="AL15" s="9">
        <f t="shared" si="6"/>
        <v>5.1037068173728486E-3</v>
      </c>
      <c r="AM15" s="25">
        <f t="shared" si="7"/>
        <v>2.6047823277698093E-5</v>
      </c>
      <c r="AN15" s="24" t="s">
        <v>5189</v>
      </c>
    </row>
    <row r="16" spans="8:40" ht="23">
      <c r="M16" s="24" t="s">
        <v>5190</v>
      </c>
      <c r="N16" s="24"/>
      <c r="O16" s="24"/>
      <c r="P16" s="24"/>
      <c r="Q16" s="24"/>
      <c r="R16" s="24"/>
      <c r="S16" s="24"/>
      <c r="T16" s="24"/>
      <c r="U16" s="24"/>
      <c r="V16" s="24"/>
      <c r="W16" s="24" t="s">
        <v>5190</v>
      </c>
      <c r="X16" s="24">
        <v>35.85</v>
      </c>
      <c r="Y16" s="24">
        <v>2.37</v>
      </c>
      <c r="Z16" s="25">
        <v>2.1</v>
      </c>
      <c r="AA16" s="24">
        <v>1.6</v>
      </c>
      <c r="AB16" s="24">
        <v>57011</v>
      </c>
      <c r="AC16" s="21" t="s">
        <v>5190</v>
      </c>
      <c r="AD16" s="8" t="s">
        <v>4242</v>
      </c>
      <c r="AE16" s="8" t="s">
        <v>4364</v>
      </c>
      <c r="AF16" s="25">
        <f t="shared" si="0"/>
        <v>3.7920000000000003</v>
      </c>
      <c r="AG16" s="25">
        <f t="shared" si="1"/>
        <v>3.2026666666666666</v>
      </c>
      <c r="AH16" s="9">
        <f t="shared" si="2"/>
        <v>1.6401677071480558E-2</v>
      </c>
      <c r="AI16" s="25">
        <f t="shared" si="3"/>
        <v>2.6901501075713102E-4</v>
      </c>
      <c r="AJ16" s="9">
        <f t="shared" si="4"/>
        <v>1.0378283223403909E-2</v>
      </c>
      <c r="AK16" s="25">
        <f t="shared" si="5"/>
        <v>1.0770876266518702E-4</v>
      </c>
      <c r="AL16" s="9">
        <f t="shared" si="6"/>
        <v>6.2626328354174129E-3</v>
      </c>
      <c r="AM16" s="25">
        <f t="shared" si="7"/>
        <v>3.9220570031248346E-5</v>
      </c>
      <c r="AN16" s="24" t="s">
        <v>5190</v>
      </c>
    </row>
    <row r="17" spans="13:40" ht="23"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9"/>
      <c r="AA17" s="8">
        <f>SUBTOTAL(109,Table13684[ترافیک کل])</f>
        <v>9755.1000000000022</v>
      </c>
      <c r="AB17" s="8"/>
      <c r="AC17" s="21"/>
      <c r="AD17" s="8"/>
      <c r="AE17" s="8"/>
      <c r="AF17" s="9">
        <f>SUBTOTAL(109,Table13684[[مجموع صفحات  مشاهده شده   ]])</f>
        <v>36537.834999999992</v>
      </c>
      <c r="AG17" s="9">
        <f>SUBTOTAL(109,Table13684[[مجموع زمان حضور در سایت ]])</f>
        <v>51139.301166666672</v>
      </c>
      <c r="AH17" s="9">
        <f>SUBTOTAL(109,Table13684[سهم سایت از کل ترافیک طبقه بندی])</f>
        <v>99.999999999999972</v>
      </c>
      <c r="AI17" s="9">
        <f>SUBTOTAL(109,Table13684[شاخص هرفیندال هیرشمن (ترافیک)])</f>
        <v>7585.3767751117912</v>
      </c>
      <c r="AJ17" s="9">
        <f>SUBTOTAL(109,Table13684[سهم سایت از کل صفحات مشاهده شده در طبقه بندی])</f>
        <v>100.00000000000007</v>
      </c>
      <c r="AK17" s="9">
        <f>SUBTOTAL(109,Table13684[شاخص هرفیندال -هیرشمن (صفحات مشاهده شده )])</f>
        <v>6811.8774116424465</v>
      </c>
      <c r="AL17" s="9">
        <f>SUBTOTAL(109,Table13684[سهم سایت از کل زمان حضور در طبقه بندی])</f>
        <v>100.00000000000001</v>
      </c>
      <c r="AM17" s="9">
        <f>SUBTOTAL(109,Table13684[شاخص هرفیندال هیرشمن (زمان حضور)])</f>
        <v>7328.8649520472991</v>
      </c>
      <c r="AN17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{18191A16-CAD8-41C6-93C0-887C62494981}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{4ACB4FB2-2B65-4557-92A8-E21A336E6DA8}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{FFFE8FE1-3B23-4EBD-8446-D8642D27F689}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{EB073946-5075-43D7-8753-0AB4407B5C0A}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{DCDE5A6C-5945-46ED-A4F0-DC79EE6124F5}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{A9C9E199-2293-4820-A725-A0C09C876FA8}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8191A16-CAD8-41C6-93C0-887C624949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4ACB4FB2-2B65-4557-92A8-E21A336E6DA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FFE8FE1-3B23-4EBD-8446-D8642D27F6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B073946-5075-43D7-8753-0AB4407B5C0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CDE5A6C-5945-46ED-A4F0-DC79EE6124F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A9C9E199-2293-4820-A725-A0C09C876FA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1"/>
  <sheetViews>
    <sheetView showGridLines="0" rightToLeft="1" topLeftCell="Z1" zoomScale="70" zoomScaleNormal="70" workbookViewId="0">
      <selection activeCell="AC31" sqref="AC3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83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4" customHeight="1">
      <c r="M2" s="8" t="s">
        <v>3826</v>
      </c>
      <c r="N2" s="8"/>
      <c r="O2" s="8"/>
      <c r="P2" s="8"/>
      <c r="Q2" s="8"/>
      <c r="R2" s="8"/>
      <c r="S2" s="8"/>
      <c r="T2" s="8"/>
      <c r="U2" s="8"/>
      <c r="V2" s="8"/>
      <c r="W2" s="8" t="s">
        <v>3826</v>
      </c>
      <c r="X2" s="8">
        <v>56.7</v>
      </c>
      <c r="Y2" s="8">
        <v>2.85</v>
      </c>
      <c r="Z2" s="9">
        <v>3.49</v>
      </c>
      <c r="AA2" s="8">
        <v>13514</v>
      </c>
      <c r="AB2" s="8">
        <v>212</v>
      </c>
      <c r="AC2" s="21" t="s">
        <v>3826</v>
      </c>
      <c r="AD2" s="8" t="s">
        <v>4296</v>
      </c>
      <c r="AE2" s="8" t="s">
        <v>4364</v>
      </c>
      <c r="AF2" s="9">
        <f t="shared" ref="AF2:AF30" si="0">(AA2*Y2)</f>
        <v>38514.9</v>
      </c>
      <c r="AG2" s="9">
        <f t="shared" ref="AG2:AG30" si="1">((((RIGHT(Z2,2))/60)+(LEFT(Z2,2)))*AA2)</f>
        <v>51578.433333333327</v>
      </c>
      <c r="AH2" s="9">
        <f t="shared" ref="AH2:AH30" si="2">(AA2/$AA$31)*100</f>
        <v>13.627709608977309</v>
      </c>
      <c r="AI2" s="9">
        <f t="shared" ref="AI2:AI30" si="3">(AH2*AH2)</f>
        <v>185.71446918661249</v>
      </c>
      <c r="AJ2" s="9">
        <f t="shared" ref="AJ2:AJ30" si="4">(AF2/$AF$31)*100</f>
        <v>15.253837324331453</v>
      </c>
      <c r="AK2" s="9">
        <f t="shared" ref="AK2:AK30" si="5">(AJ2*AJ2)</f>
        <v>232.67955311716736</v>
      </c>
      <c r="AL2" s="9">
        <f t="shared" ref="AL2:AL30" si="6">(AG2/$AG$31)*100</f>
        <v>16.522335763080818</v>
      </c>
      <c r="AM2" s="9">
        <f t="shared" ref="AM2:AM30" si="7">(AL2*AL2)</f>
        <v>272.98757906797942</v>
      </c>
      <c r="AN2" s="8" t="s">
        <v>3826</v>
      </c>
    </row>
    <row r="3" spans="8:40" ht="23" customHeight="1">
      <c r="M3" s="8" t="s">
        <v>3900</v>
      </c>
      <c r="N3" s="8"/>
      <c r="O3" s="8"/>
      <c r="P3" s="8"/>
      <c r="Q3" s="8"/>
      <c r="R3" s="8"/>
      <c r="S3" s="8"/>
      <c r="T3" s="8"/>
      <c r="U3" s="8"/>
      <c r="V3" s="8"/>
      <c r="W3" s="8" t="s">
        <v>3900</v>
      </c>
      <c r="X3" s="8">
        <v>40.200000000000003</v>
      </c>
      <c r="Y3" s="8">
        <v>3.09</v>
      </c>
      <c r="Z3" s="9">
        <v>3.3</v>
      </c>
      <c r="AA3" s="8">
        <v>9048.7000000000007</v>
      </c>
      <c r="AB3" s="8">
        <v>405</v>
      </c>
      <c r="AC3" s="21" t="s">
        <v>3900</v>
      </c>
      <c r="AD3" s="8" t="s">
        <v>4289</v>
      </c>
      <c r="AE3" s="8" t="s">
        <v>4364</v>
      </c>
      <c r="AF3" s="9">
        <f t="shared" si="0"/>
        <v>27960.483</v>
      </c>
      <c r="AG3" s="9">
        <f t="shared" si="1"/>
        <v>27191.343500000003</v>
      </c>
      <c r="AH3" s="9">
        <f t="shared" si="2"/>
        <v>9.1248376453124891</v>
      </c>
      <c r="AI3" s="9">
        <f t="shared" si="3"/>
        <v>83.262662053311971</v>
      </c>
      <c r="AJ3" s="9">
        <f t="shared" si="4"/>
        <v>11.073757407957311</v>
      </c>
      <c r="AK3" s="9">
        <f t="shared" si="5"/>
        <v>122.62810313028943</v>
      </c>
      <c r="AL3" s="9">
        <f t="shared" si="6"/>
        <v>8.7103170476859226</v>
      </c>
      <c r="AM3" s="9">
        <f t="shared" si="7"/>
        <v>75.869623071208011</v>
      </c>
      <c r="AN3" s="8" t="s">
        <v>3900</v>
      </c>
    </row>
    <row r="4" spans="8:40" ht="23" customHeight="1">
      <c r="M4" s="8" t="s">
        <v>3738</v>
      </c>
      <c r="N4" s="8"/>
      <c r="O4" s="8"/>
      <c r="P4" s="8"/>
      <c r="Q4" s="8"/>
      <c r="R4" s="8"/>
      <c r="S4" s="8"/>
      <c r="T4" s="8"/>
      <c r="U4" s="8"/>
      <c r="V4" s="8"/>
      <c r="W4" s="8" t="s">
        <v>3738</v>
      </c>
      <c r="X4" s="8">
        <v>53.88</v>
      </c>
      <c r="Y4" s="8">
        <v>3.16</v>
      </c>
      <c r="Z4" s="9">
        <v>6.56</v>
      </c>
      <c r="AA4" s="8">
        <v>8879.2000000000007</v>
      </c>
      <c r="AB4" s="8">
        <v>26</v>
      </c>
      <c r="AC4" s="21" t="s">
        <v>3738</v>
      </c>
      <c r="AD4" s="8" t="s">
        <v>4289</v>
      </c>
      <c r="AE4" s="8" t="s">
        <v>4364</v>
      </c>
      <c r="AF4" s="9">
        <f t="shared" si="0"/>
        <v>28058.272000000004</v>
      </c>
      <c r="AG4" s="9">
        <f t="shared" si="1"/>
        <v>61562.453333333338</v>
      </c>
      <c r="AH4" s="9">
        <f t="shared" si="2"/>
        <v>8.9539114370305839</v>
      </c>
      <c r="AI4" s="9">
        <f t="shared" si="3"/>
        <v>80.17253002218709</v>
      </c>
      <c r="AJ4" s="9">
        <f t="shared" si="4"/>
        <v>11.112486769791541</v>
      </c>
      <c r="AK4" s="9">
        <f t="shared" si="5"/>
        <v>123.48736220879205</v>
      </c>
      <c r="AL4" s="9">
        <f t="shared" si="6"/>
        <v>19.720558742038708</v>
      </c>
      <c r="AM4" s="9">
        <f t="shared" si="7"/>
        <v>388.90043709819935</v>
      </c>
      <c r="AN4" s="8" t="s">
        <v>3738</v>
      </c>
    </row>
    <row r="5" spans="8:40" ht="22" customHeight="1">
      <c r="M5" s="8" t="s">
        <v>3784</v>
      </c>
      <c r="N5" s="8"/>
      <c r="O5" s="8"/>
      <c r="P5" s="8"/>
      <c r="Q5" s="8"/>
      <c r="R5" s="8"/>
      <c r="S5" s="8"/>
      <c r="T5" s="8"/>
      <c r="U5" s="8"/>
      <c r="V5" s="8"/>
      <c r="W5" s="8" t="s">
        <v>3784</v>
      </c>
      <c r="X5" s="8">
        <v>56.33</v>
      </c>
      <c r="Y5" s="8">
        <v>1.96</v>
      </c>
      <c r="Z5" s="9">
        <v>2.09</v>
      </c>
      <c r="AA5" s="8">
        <v>6853.5</v>
      </c>
      <c r="AB5" s="8">
        <v>126</v>
      </c>
      <c r="AC5" s="21" t="s">
        <v>3784</v>
      </c>
      <c r="AD5" s="8" t="s">
        <v>4289</v>
      </c>
      <c r="AE5" s="8" t="s">
        <v>4364</v>
      </c>
      <c r="AF5" s="9">
        <f t="shared" si="0"/>
        <v>13432.86</v>
      </c>
      <c r="AG5" s="9">
        <f t="shared" si="1"/>
        <v>14735.025</v>
      </c>
      <c r="AH5" s="9">
        <f t="shared" si="2"/>
        <v>6.9111667755754018</v>
      </c>
      <c r="AI5" s="9">
        <f t="shared" si="3"/>
        <v>47.764226199817294</v>
      </c>
      <c r="AJ5" s="9">
        <f t="shared" si="4"/>
        <v>5.3200881020207511</v>
      </c>
      <c r="AK5" s="9">
        <f t="shared" si="5"/>
        <v>28.303337413262756</v>
      </c>
      <c r="AL5" s="9">
        <f t="shared" si="6"/>
        <v>4.7201323265096571</v>
      </c>
      <c r="AM5" s="9">
        <f t="shared" si="7"/>
        <v>22.279649179761467</v>
      </c>
      <c r="AN5" s="8" t="s">
        <v>3784</v>
      </c>
    </row>
    <row r="6" spans="8:40" ht="22" customHeight="1">
      <c r="M6" s="8" t="s">
        <v>3762</v>
      </c>
      <c r="N6" s="8"/>
      <c r="O6" s="8"/>
      <c r="P6" s="8" t="s">
        <v>3700</v>
      </c>
      <c r="Q6" s="8"/>
      <c r="R6" s="8"/>
      <c r="S6" s="8"/>
      <c r="T6" s="8"/>
      <c r="U6" s="8"/>
      <c r="V6" s="8"/>
      <c r="W6" s="8" t="s">
        <v>3762</v>
      </c>
      <c r="X6" s="8">
        <v>45.45</v>
      </c>
      <c r="Y6" s="8">
        <v>2.57</v>
      </c>
      <c r="Z6" s="9">
        <v>2.4</v>
      </c>
      <c r="AA6" s="8">
        <v>6242.4</v>
      </c>
      <c r="AB6" s="8">
        <v>67</v>
      </c>
      <c r="AC6" s="21" t="s">
        <v>3762</v>
      </c>
      <c r="AD6" s="8" t="s">
        <v>4289</v>
      </c>
      <c r="AE6" s="8" t="s">
        <v>4364</v>
      </c>
      <c r="AF6" s="9">
        <f t="shared" si="0"/>
        <v>16042.967999999999</v>
      </c>
      <c r="AG6" s="9">
        <f t="shared" si="1"/>
        <v>12526.416000000001</v>
      </c>
      <c r="AH6" s="9">
        <f t="shared" si="2"/>
        <v>6.2949248529732094</v>
      </c>
      <c r="AI6" s="9">
        <f t="shared" si="3"/>
        <v>39.626078904579785</v>
      </c>
      <c r="AJ6" s="9">
        <f t="shared" si="4"/>
        <v>6.3538221330304667</v>
      </c>
      <c r="AK6" s="9">
        <f t="shared" si="5"/>
        <v>40.371055698187831</v>
      </c>
      <c r="AL6" s="9">
        <f t="shared" si="6"/>
        <v>4.0126393471953934</v>
      </c>
      <c r="AM6" s="9">
        <f t="shared" si="7"/>
        <v>16.101274530660675</v>
      </c>
      <c r="AN6" s="8" t="s">
        <v>3762</v>
      </c>
    </row>
    <row r="7" spans="8:40" ht="22.5" customHeight="1">
      <c r="M7" s="8" t="s">
        <v>3795</v>
      </c>
      <c r="N7" s="8"/>
      <c r="O7" s="8"/>
      <c r="P7" s="8"/>
      <c r="Q7" s="8"/>
      <c r="R7" s="8"/>
      <c r="S7" s="8"/>
      <c r="T7" s="8"/>
      <c r="U7" s="8"/>
      <c r="V7" s="8"/>
      <c r="W7" s="8" t="s">
        <v>3795</v>
      </c>
      <c r="X7" s="8">
        <v>54.04</v>
      </c>
      <c r="Y7" s="8">
        <v>1.97</v>
      </c>
      <c r="Z7" s="9">
        <v>2</v>
      </c>
      <c r="AA7" s="8">
        <v>6201.2</v>
      </c>
      <c r="AB7" s="8">
        <v>198</v>
      </c>
      <c r="AC7" s="21" t="s">
        <v>3795</v>
      </c>
      <c r="AD7" s="8" t="s">
        <v>4289</v>
      </c>
      <c r="AE7" s="8" t="s">
        <v>4364</v>
      </c>
      <c r="AF7" s="9">
        <f t="shared" si="0"/>
        <v>12216.364</v>
      </c>
      <c r="AG7" s="9">
        <f t="shared" si="1"/>
        <v>12609.106666666665</v>
      </c>
      <c r="AH7" s="9">
        <f t="shared" si="2"/>
        <v>6.2533781875973125</v>
      </c>
      <c r="AI7" s="9">
        <f t="shared" si="3"/>
        <v>39.10473875711785</v>
      </c>
      <c r="AJ7" s="9">
        <f t="shared" si="4"/>
        <v>4.8382945081207298</v>
      </c>
      <c r="AK7" s="9">
        <f t="shared" si="5"/>
        <v>23.409093747311214</v>
      </c>
      <c r="AL7" s="9">
        <f t="shared" si="6"/>
        <v>4.039127995082584</v>
      </c>
      <c r="AM7" s="9">
        <f t="shared" si="7"/>
        <v>16.314554960659855</v>
      </c>
      <c r="AN7" s="8" t="s">
        <v>3795</v>
      </c>
    </row>
    <row r="8" spans="8:40" ht="24" customHeight="1">
      <c r="M8" s="8" t="s">
        <v>3939</v>
      </c>
      <c r="N8" s="8"/>
      <c r="O8" s="8"/>
      <c r="P8" s="8"/>
      <c r="Q8" s="8"/>
      <c r="R8" s="8"/>
      <c r="S8" s="8"/>
      <c r="T8" s="8"/>
      <c r="U8" s="8"/>
      <c r="V8" s="8"/>
      <c r="W8" s="8" t="s">
        <v>3939</v>
      </c>
      <c r="X8" s="8">
        <v>65.430000000000007</v>
      </c>
      <c r="Y8" s="8">
        <v>1.7</v>
      </c>
      <c r="Z8" s="9">
        <v>2.4300000000000002</v>
      </c>
      <c r="AA8" s="8">
        <v>5883</v>
      </c>
      <c r="AB8" s="8">
        <v>686</v>
      </c>
      <c r="AC8" s="21" t="s">
        <v>3939</v>
      </c>
      <c r="AD8" s="8" t="s">
        <v>4289</v>
      </c>
      <c r="AE8" s="8" t="s">
        <v>4364</v>
      </c>
      <c r="AF8" s="9">
        <f t="shared" si="0"/>
        <v>10001.1</v>
      </c>
      <c r="AG8" s="9">
        <f t="shared" si="1"/>
        <v>15982.150000000001</v>
      </c>
      <c r="AH8" s="9">
        <f t="shared" si="2"/>
        <v>5.9325007865630832</v>
      </c>
      <c r="AI8" s="9">
        <f t="shared" si="3"/>
        <v>35.194565582571599</v>
      </c>
      <c r="AJ8" s="9">
        <f t="shared" si="4"/>
        <v>3.9609385579183973</v>
      </c>
      <c r="AK8" s="9">
        <f t="shared" si="5"/>
        <v>15.689034259604673</v>
      </c>
      <c r="AL8" s="9">
        <f t="shared" si="6"/>
        <v>5.1196291056259708</v>
      </c>
      <c r="AM8" s="9">
        <f t="shared" si="7"/>
        <v>26.210602179172579</v>
      </c>
      <c r="AN8" s="8" t="s">
        <v>3939</v>
      </c>
    </row>
    <row r="9" spans="8:40" ht="21.5" customHeight="1">
      <c r="M9" s="8" t="s">
        <v>3750</v>
      </c>
      <c r="N9" s="8"/>
      <c r="O9" s="8"/>
      <c r="P9" s="8"/>
      <c r="Q9" s="8"/>
      <c r="R9" s="8"/>
      <c r="S9" s="8"/>
      <c r="T9" s="8"/>
      <c r="U9" s="8"/>
      <c r="V9" s="8"/>
      <c r="W9" s="8" t="s">
        <v>3750</v>
      </c>
      <c r="X9" s="8">
        <v>42.51</v>
      </c>
      <c r="Y9" s="8">
        <v>2.83</v>
      </c>
      <c r="Z9" s="9">
        <v>3.51</v>
      </c>
      <c r="AA9" s="8">
        <v>5441.7</v>
      </c>
      <c r="AB9" s="8">
        <v>37</v>
      </c>
      <c r="AC9" s="21" t="s">
        <v>3750</v>
      </c>
      <c r="AD9" s="8" t="s">
        <v>4289</v>
      </c>
      <c r="AE9" s="8" t="s">
        <v>4364</v>
      </c>
      <c r="AF9" s="9">
        <f t="shared" si="0"/>
        <v>15400.011</v>
      </c>
      <c r="AG9" s="9">
        <f t="shared" si="1"/>
        <v>20950.544999999998</v>
      </c>
      <c r="AH9" s="9">
        <f t="shared" si="2"/>
        <v>5.4874875965052405</v>
      </c>
      <c r="AI9" s="9">
        <f t="shared" si="3"/>
        <v>30.112520121798863</v>
      </c>
      <c r="AJ9" s="9">
        <f t="shared" si="4"/>
        <v>6.0991788265558258</v>
      </c>
      <c r="AK9" s="9">
        <f t="shared" si="5"/>
        <v>37.199982358306897</v>
      </c>
      <c r="AL9" s="9">
        <f t="shared" si="6"/>
        <v>6.7111759031623812</v>
      </c>
      <c r="AM9" s="9">
        <f t="shared" si="7"/>
        <v>45.039882003187401</v>
      </c>
      <c r="AN9" s="8" t="s">
        <v>3750</v>
      </c>
    </row>
    <row r="10" spans="8:40" ht="21" customHeight="1">
      <c r="M10" s="8" t="s">
        <v>3785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3785</v>
      </c>
      <c r="X10" s="8">
        <v>54</v>
      </c>
      <c r="Y10" s="8">
        <v>1.98</v>
      </c>
      <c r="Z10" s="9">
        <v>1.35</v>
      </c>
      <c r="AA10" s="8">
        <v>5101.5</v>
      </c>
      <c r="AB10" s="8">
        <v>107</v>
      </c>
      <c r="AC10" s="21" t="s">
        <v>3785</v>
      </c>
      <c r="AD10" s="8" t="s">
        <v>4289</v>
      </c>
      <c r="AE10" s="8" t="s">
        <v>4364</v>
      </c>
      <c r="AF10" s="9">
        <f t="shared" si="0"/>
        <v>10100.969999999999</v>
      </c>
      <c r="AG10" s="9">
        <f t="shared" si="1"/>
        <v>8077.3750000000009</v>
      </c>
      <c r="AH10" s="9">
        <f t="shared" si="2"/>
        <v>5.1444250828916482</v>
      </c>
      <c r="AI10" s="9">
        <f t="shared" si="3"/>
        <v>26.465109433484741</v>
      </c>
      <c r="AJ10" s="9">
        <f t="shared" si="4"/>
        <v>4.000492100406654</v>
      </c>
      <c r="AK10" s="9">
        <f t="shared" si="5"/>
        <v>16.003937045416041</v>
      </c>
      <c r="AL10" s="9">
        <f t="shared" si="6"/>
        <v>2.5874593935769332</v>
      </c>
      <c r="AM10" s="9">
        <f t="shared" si="7"/>
        <v>6.694946113409511</v>
      </c>
      <c r="AN10" s="8" t="s">
        <v>3785</v>
      </c>
    </row>
    <row r="11" spans="8:40" ht="23.5" customHeight="1">
      <c r="M11" s="8" t="s">
        <v>3920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3920</v>
      </c>
      <c r="X11" s="8">
        <v>57.62</v>
      </c>
      <c r="Y11" s="8">
        <v>2.23</v>
      </c>
      <c r="Z11" s="9">
        <v>2.38</v>
      </c>
      <c r="AA11" s="8">
        <v>4930.3999999999996</v>
      </c>
      <c r="AB11" s="8">
        <v>343</v>
      </c>
      <c r="AC11" s="21" t="s">
        <v>3920</v>
      </c>
      <c r="AD11" s="8" t="s">
        <v>4289</v>
      </c>
      <c r="AE11" s="8" t="s">
        <v>4364</v>
      </c>
      <c r="AF11" s="9">
        <f t="shared" si="0"/>
        <v>10994.791999999999</v>
      </c>
      <c r="AG11" s="9">
        <f t="shared" si="1"/>
        <v>12983.386666666665</v>
      </c>
      <c r="AH11" s="9">
        <f t="shared" si="2"/>
        <v>4.9718854118766993</v>
      </c>
      <c r="AI11" s="9">
        <f t="shared" si="3"/>
        <v>24.719644548832335</v>
      </c>
      <c r="AJ11" s="9">
        <f t="shared" si="4"/>
        <v>4.3544905629473485</v>
      </c>
      <c r="AK11" s="9">
        <f t="shared" si="5"/>
        <v>18.961588062797517</v>
      </c>
      <c r="AL11" s="9">
        <f t="shared" si="6"/>
        <v>4.1590226764398288</v>
      </c>
      <c r="AM11" s="9">
        <f t="shared" si="7"/>
        <v>17.297469623140717</v>
      </c>
      <c r="AN11" s="8" t="s">
        <v>3920</v>
      </c>
    </row>
    <row r="12" spans="8:40" ht="20.5" customHeight="1">
      <c r="M12" s="8" t="s">
        <v>1796</v>
      </c>
      <c r="N12" s="8" t="s">
        <v>1717</v>
      </c>
      <c r="O12" s="8"/>
      <c r="P12" s="8"/>
      <c r="Q12" s="8"/>
      <c r="R12" s="8"/>
      <c r="S12" s="8"/>
      <c r="T12" s="8"/>
      <c r="U12" s="8"/>
      <c r="V12" s="8"/>
      <c r="W12" s="8" t="s">
        <v>1796</v>
      </c>
      <c r="X12" s="8">
        <v>42.49</v>
      </c>
      <c r="Y12" s="8">
        <v>2.89</v>
      </c>
      <c r="Z12" s="9">
        <v>3.14</v>
      </c>
      <c r="AA12" s="8">
        <v>4874.2</v>
      </c>
      <c r="AB12" s="8">
        <v>702</v>
      </c>
      <c r="AC12" s="21" t="s">
        <v>1796</v>
      </c>
      <c r="AD12" s="8" t="s">
        <v>4289</v>
      </c>
      <c r="AE12" s="8" t="s">
        <v>4364</v>
      </c>
      <c r="AF12" s="9">
        <f t="shared" si="0"/>
        <v>14086.438</v>
      </c>
      <c r="AG12" s="9">
        <f t="shared" si="1"/>
        <v>15759.913333333334</v>
      </c>
      <c r="AH12" s="9">
        <f t="shared" si="2"/>
        <v>4.9152125333785106</v>
      </c>
      <c r="AI12" s="9">
        <f t="shared" si="3"/>
        <v>24.159314248281195</v>
      </c>
      <c r="AJ12" s="9">
        <f t="shared" si="4"/>
        <v>5.578937858628243</v>
      </c>
      <c r="AK12" s="9">
        <f t="shared" si="5"/>
        <v>31.124547630435487</v>
      </c>
      <c r="AL12" s="9">
        <f t="shared" si="6"/>
        <v>5.0484391025910877</v>
      </c>
      <c r="AM12" s="9">
        <f t="shared" si="7"/>
        <v>25.486737372570708</v>
      </c>
      <c r="AN12" s="8" t="s">
        <v>1796</v>
      </c>
    </row>
    <row r="13" spans="8:40" ht="23">
      <c r="M13" s="8" t="s">
        <v>3832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3832</v>
      </c>
      <c r="X13" s="8">
        <v>56.5</v>
      </c>
      <c r="Y13" s="8">
        <v>2.4700000000000002</v>
      </c>
      <c r="Z13" s="9">
        <v>2.27</v>
      </c>
      <c r="AA13" s="8">
        <v>3786.2</v>
      </c>
      <c r="AB13" s="8">
        <v>152</v>
      </c>
      <c r="AC13" s="21" t="s">
        <v>3832</v>
      </c>
      <c r="AD13" s="8" t="s">
        <v>4289</v>
      </c>
      <c r="AE13" s="8" t="s">
        <v>4364</v>
      </c>
      <c r="AF13" s="9">
        <f t="shared" si="0"/>
        <v>9351.9140000000007</v>
      </c>
      <c r="AG13" s="9">
        <f t="shared" si="1"/>
        <v>9276.19</v>
      </c>
      <c r="AH13" s="9">
        <f t="shared" si="2"/>
        <v>3.8180578749082343</v>
      </c>
      <c r="AI13" s="9">
        <f t="shared" si="3"/>
        <v>14.577565936148783</v>
      </c>
      <c r="AJ13" s="9">
        <f t="shared" si="4"/>
        <v>3.7038282541857273</v>
      </c>
      <c r="AK13" s="9">
        <f t="shared" si="5"/>
        <v>13.718343736504492</v>
      </c>
      <c r="AL13" s="9">
        <f t="shared" si="6"/>
        <v>2.9714808278808906</v>
      </c>
      <c r="AM13" s="9">
        <f t="shared" si="7"/>
        <v>8.8296983104637032</v>
      </c>
      <c r="AN13" s="8" t="s">
        <v>3832</v>
      </c>
    </row>
    <row r="14" spans="8:40" ht="23" customHeight="1">
      <c r="M14" s="9" t="s">
        <v>4723</v>
      </c>
      <c r="N14" s="8" t="s">
        <v>1902</v>
      </c>
      <c r="O14" s="8"/>
      <c r="P14" s="8"/>
      <c r="Q14" s="8"/>
      <c r="R14" s="8"/>
      <c r="S14" s="8"/>
      <c r="T14" s="8"/>
      <c r="U14" s="8"/>
      <c r="V14" s="8"/>
      <c r="W14" s="9" t="s">
        <v>4723</v>
      </c>
      <c r="X14" s="8">
        <v>49.98</v>
      </c>
      <c r="Y14" s="8">
        <v>2.86</v>
      </c>
      <c r="Z14" s="9">
        <v>2.11</v>
      </c>
      <c r="AA14" s="8">
        <v>3395.3</v>
      </c>
      <c r="AB14" s="8">
        <v>137</v>
      </c>
      <c r="AC14" s="22" t="s">
        <v>4723</v>
      </c>
      <c r="AD14" s="8" t="s">
        <v>4296</v>
      </c>
      <c r="AE14" s="8" t="s">
        <v>4364</v>
      </c>
      <c r="AF14" s="9">
        <f t="shared" si="0"/>
        <v>9710.5580000000009</v>
      </c>
      <c r="AG14" s="9">
        <f t="shared" si="1"/>
        <v>7413.0716666666667</v>
      </c>
      <c r="AH14" s="9">
        <f t="shared" si="2"/>
        <v>3.4238687609412946</v>
      </c>
      <c r="AI14" s="9">
        <f t="shared" si="3"/>
        <v>11.722877292149676</v>
      </c>
      <c r="AJ14" s="9">
        <f t="shared" si="4"/>
        <v>3.8458693144857032</v>
      </c>
      <c r="AK14" s="9">
        <f t="shared" si="5"/>
        <v>14.790710784102734</v>
      </c>
      <c r="AL14" s="9">
        <f t="shared" si="6"/>
        <v>2.3746603220942042</v>
      </c>
      <c r="AM14" s="9">
        <f t="shared" si="7"/>
        <v>5.6390116453285497</v>
      </c>
      <c r="AN14" s="9" t="s">
        <v>4723</v>
      </c>
    </row>
    <row r="15" spans="8:40" ht="22.5" customHeight="1">
      <c r="M15" s="8" t="s">
        <v>3811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3811</v>
      </c>
      <c r="X15" s="8">
        <v>45.99</v>
      </c>
      <c r="Y15" s="8">
        <v>2.41</v>
      </c>
      <c r="Z15" s="9">
        <v>2.25</v>
      </c>
      <c r="AA15" s="8">
        <v>2933.3</v>
      </c>
      <c r="AB15" s="8">
        <v>177</v>
      </c>
      <c r="AC15" s="21" t="s">
        <v>3811</v>
      </c>
      <c r="AD15" s="8" t="s">
        <v>4289</v>
      </c>
      <c r="AE15" s="8" t="s">
        <v>4364</v>
      </c>
      <c r="AF15" s="9">
        <f t="shared" si="0"/>
        <v>7069.2530000000006</v>
      </c>
      <c r="AG15" s="9">
        <f t="shared" si="1"/>
        <v>7088.8083333333334</v>
      </c>
      <c r="AH15" s="9">
        <f t="shared" si="2"/>
        <v>2.9579813967746884</v>
      </c>
      <c r="AI15" s="9">
        <f t="shared" si="3"/>
        <v>8.7496539436651375</v>
      </c>
      <c r="AJ15" s="9">
        <f t="shared" si="4"/>
        <v>2.7997797025707483</v>
      </c>
      <c r="AK15" s="9">
        <f t="shared" si="5"/>
        <v>7.8387663829271474</v>
      </c>
      <c r="AL15" s="9">
        <f t="shared" si="6"/>
        <v>2.2707876892368839</v>
      </c>
      <c r="AM15" s="9">
        <f t="shared" si="7"/>
        <v>5.1564767295897864</v>
      </c>
      <c r="AN15" s="8" t="s">
        <v>3811</v>
      </c>
    </row>
    <row r="16" spans="8:40" ht="22" customHeight="1">
      <c r="M16" s="9" t="s">
        <v>3235</v>
      </c>
      <c r="N16" s="8" t="s">
        <v>1902</v>
      </c>
      <c r="O16" s="8"/>
      <c r="P16" s="8"/>
      <c r="Q16" s="8"/>
      <c r="R16" s="8"/>
      <c r="S16" s="8"/>
      <c r="T16" s="8"/>
      <c r="U16" s="8"/>
      <c r="V16" s="8"/>
      <c r="W16" s="9" t="s">
        <v>3235</v>
      </c>
      <c r="X16" s="8">
        <v>62.24</v>
      </c>
      <c r="Y16" s="8">
        <v>1.66</v>
      </c>
      <c r="Z16" s="9">
        <v>0.53</v>
      </c>
      <c r="AA16" s="8">
        <v>2083.1</v>
      </c>
      <c r="AB16" s="8">
        <v>2431</v>
      </c>
      <c r="AC16" s="22" t="s">
        <v>3235</v>
      </c>
      <c r="AD16" s="8" t="s">
        <v>4289</v>
      </c>
      <c r="AE16" s="8" t="s">
        <v>4364</v>
      </c>
      <c r="AF16" s="9">
        <f t="shared" si="0"/>
        <v>3457.9459999999995</v>
      </c>
      <c r="AG16" s="9">
        <f t="shared" si="1"/>
        <v>1840.0716666666665</v>
      </c>
      <c r="AH16" s="9">
        <f t="shared" si="2"/>
        <v>2.1006276370031545</v>
      </c>
      <c r="AI16" s="9">
        <f t="shared" si="3"/>
        <v>4.4126364693414564</v>
      </c>
      <c r="AJ16" s="9">
        <f t="shared" si="4"/>
        <v>1.3695205170030986</v>
      </c>
      <c r="AK16" s="9">
        <f t="shared" si="5"/>
        <v>1.8755864464924346</v>
      </c>
      <c r="AL16" s="9">
        <f t="shared" si="6"/>
        <v>0.58943787044323537</v>
      </c>
      <c r="AM16" s="9">
        <f t="shared" si="7"/>
        <v>0.3474370031126563</v>
      </c>
      <c r="AN16" s="9" t="s">
        <v>3235</v>
      </c>
    </row>
    <row r="17" spans="13:40" ht="21" customHeight="1">
      <c r="M17" s="8" t="s">
        <v>3810</v>
      </c>
      <c r="N17" s="8"/>
      <c r="O17" s="8"/>
      <c r="P17" s="8" t="s">
        <v>3691</v>
      </c>
      <c r="Q17" s="8"/>
      <c r="R17" s="8"/>
      <c r="S17" s="8"/>
      <c r="T17" s="8"/>
      <c r="U17" s="8"/>
      <c r="V17" s="8"/>
      <c r="W17" s="8" t="s">
        <v>3810</v>
      </c>
      <c r="X17" s="8">
        <v>39.270000000000003</v>
      </c>
      <c r="Y17" s="8">
        <v>4.05</v>
      </c>
      <c r="Z17" s="9">
        <v>7.21</v>
      </c>
      <c r="AA17" s="8">
        <v>2053.6999999999998</v>
      </c>
      <c r="AB17" s="8">
        <v>192</v>
      </c>
      <c r="AC17" s="21" t="s">
        <v>3810</v>
      </c>
      <c r="AD17" s="8" t="s">
        <v>4289</v>
      </c>
      <c r="AE17" s="8" t="s">
        <v>4364</v>
      </c>
      <c r="AF17" s="9">
        <f t="shared" si="0"/>
        <v>8317.4849999999988</v>
      </c>
      <c r="AG17" s="9">
        <f t="shared" si="1"/>
        <v>15094.694999999998</v>
      </c>
      <c r="AH17" s="9">
        <f t="shared" si="2"/>
        <v>2.070980259283461</v>
      </c>
      <c r="AI17" s="9">
        <f t="shared" si="3"/>
        <v>4.2889592343417915</v>
      </c>
      <c r="AJ17" s="9">
        <f t="shared" si="4"/>
        <v>3.2941423484824566</v>
      </c>
      <c r="AK17" s="9">
        <f t="shared" si="5"/>
        <v>10.851373812065514</v>
      </c>
      <c r="AL17" s="9">
        <f t="shared" si="6"/>
        <v>4.8353469253227379</v>
      </c>
      <c r="AM17" s="9">
        <f t="shared" si="7"/>
        <v>23.380579888228056</v>
      </c>
      <c r="AN17" s="8" t="s">
        <v>3810</v>
      </c>
    </row>
    <row r="18" spans="13:40" ht="21.5" customHeight="1">
      <c r="M18" s="8" t="s">
        <v>3854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3854</v>
      </c>
      <c r="X18" s="8">
        <v>45.94</v>
      </c>
      <c r="Y18" s="8">
        <v>2.1800000000000002</v>
      </c>
      <c r="Z18" s="9">
        <v>1.22</v>
      </c>
      <c r="AA18" s="8">
        <v>1585.7</v>
      </c>
      <c r="AB18" s="8">
        <v>414</v>
      </c>
      <c r="AC18" s="21" t="s">
        <v>3854</v>
      </c>
      <c r="AD18" s="8" t="s">
        <v>4289</v>
      </c>
      <c r="AE18" s="8" t="s">
        <v>4364</v>
      </c>
      <c r="AF18" s="9">
        <f t="shared" si="0"/>
        <v>3456.8260000000005</v>
      </c>
      <c r="AG18" s="9">
        <f t="shared" si="1"/>
        <v>2167.1233333333334</v>
      </c>
      <c r="AH18" s="9">
        <f t="shared" si="2"/>
        <v>1.5990424098679383</v>
      </c>
      <c r="AI18" s="9">
        <f t="shared" si="3"/>
        <v>2.5569366285562638</v>
      </c>
      <c r="AJ18" s="9">
        <f t="shared" si="4"/>
        <v>1.3690769406780079</v>
      </c>
      <c r="AK18" s="9">
        <f t="shared" si="5"/>
        <v>1.8743716694962536</v>
      </c>
      <c r="AL18" s="9">
        <f t="shared" si="6"/>
        <v>0.69420370180573365</v>
      </c>
      <c r="AM18" s="9">
        <f t="shared" si="7"/>
        <v>0.48191877960078394</v>
      </c>
      <c r="AN18" s="8" t="s">
        <v>3854</v>
      </c>
    </row>
    <row r="19" spans="13:40" ht="21" customHeight="1">
      <c r="M19" s="8" t="s">
        <v>3986</v>
      </c>
      <c r="N19" s="8"/>
      <c r="O19" s="8"/>
      <c r="P19" s="8"/>
      <c r="Q19" s="8"/>
      <c r="R19" s="8"/>
      <c r="S19" s="8"/>
      <c r="T19" s="8"/>
      <c r="U19" s="8"/>
      <c r="V19" s="8"/>
      <c r="W19" s="8" t="s">
        <v>3986</v>
      </c>
      <c r="X19" s="8">
        <v>50.65</v>
      </c>
      <c r="Y19" s="8">
        <v>2.79</v>
      </c>
      <c r="Z19" s="9">
        <v>3.25</v>
      </c>
      <c r="AA19" s="8">
        <v>1377.5</v>
      </c>
      <c r="AB19" s="8">
        <v>514</v>
      </c>
      <c r="AC19" s="21" t="s">
        <v>3986</v>
      </c>
      <c r="AD19" s="8" t="s">
        <v>4289</v>
      </c>
      <c r="AE19" s="8" t="s">
        <v>4364</v>
      </c>
      <c r="AF19" s="9">
        <f t="shared" si="0"/>
        <v>3843.2249999999999</v>
      </c>
      <c r="AG19" s="9">
        <f t="shared" si="1"/>
        <v>4706.458333333333</v>
      </c>
      <c r="AH19" s="9">
        <f t="shared" si="2"/>
        <v>1.3890905717305198</v>
      </c>
      <c r="AI19" s="9">
        <f t="shared" si="3"/>
        <v>1.9295726164706222</v>
      </c>
      <c r="AJ19" s="9">
        <f t="shared" si="4"/>
        <v>1.5221103767841471</v>
      </c>
      <c r="AK19" s="9">
        <f t="shared" si="5"/>
        <v>2.316819999113978</v>
      </c>
      <c r="AL19" s="9">
        <f t="shared" si="6"/>
        <v>1.5076395270817273</v>
      </c>
      <c r="AM19" s="9">
        <f t="shared" si="7"/>
        <v>2.2729769436192142</v>
      </c>
      <c r="AN19" s="8" t="s">
        <v>3986</v>
      </c>
    </row>
    <row r="20" spans="13:40" ht="22.5" customHeight="1">
      <c r="M20" s="8" t="s">
        <v>5191</v>
      </c>
      <c r="N20" s="8"/>
      <c r="O20" s="8"/>
      <c r="P20" s="8"/>
      <c r="Q20" s="8"/>
      <c r="R20" s="8"/>
      <c r="S20" s="8"/>
      <c r="T20" s="8"/>
      <c r="U20" s="8"/>
      <c r="V20" s="8"/>
      <c r="W20" s="8" t="s">
        <v>5191</v>
      </c>
      <c r="X20" s="8">
        <v>62.18</v>
      </c>
      <c r="Y20" s="8">
        <v>1.74</v>
      </c>
      <c r="Z20" s="9">
        <v>2.44</v>
      </c>
      <c r="AA20" s="8">
        <v>1197.4000000000001</v>
      </c>
      <c r="AB20" s="8">
        <v>2817</v>
      </c>
      <c r="AC20" s="21" t="s">
        <v>5191</v>
      </c>
      <c r="AD20" s="8" t="s">
        <v>4296</v>
      </c>
      <c r="AE20" s="8" t="s">
        <v>4364</v>
      </c>
      <c r="AF20" s="9">
        <f t="shared" si="0"/>
        <v>2083.4760000000001</v>
      </c>
      <c r="AG20" s="9">
        <f t="shared" si="1"/>
        <v>3272.8933333333334</v>
      </c>
      <c r="AH20" s="9">
        <f t="shared" si="2"/>
        <v>1.2074751728421955</v>
      </c>
      <c r="AI20" s="9">
        <f t="shared" si="3"/>
        <v>1.4579962930302899</v>
      </c>
      <c r="AJ20" s="9">
        <f t="shared" si="4"/>
        <v>0.82516127454955868</v>
      </c>
      <c r="AK20" s="9">
        <f t="shared" si="5"/>
        <v>0.68089112901625215</v>
      </c>
      <c r="AL20" s="9">
        <f t="shared" si="6"/>
        <v>1.0484196412211459</v>
      </c>
      <c r="AM20" s="9">
        <f t="shared" si="7"/>
        <v>1.0991837440982763</v>
      </c>
      <c r="AN20" s="8" t="s">
        <v>5191</v>
      </c>
    </row>
    <row r="21" spans="13:40" ht="22" customHeight="1">
      <c r="M21" s="8" t="s">
        <v>3983</v>
      </c>
      <c r="N21" s="8"/>
      <c r="O21" s="8"/>
      <c r="P21" s="8"/>
      <c r="Q21" s="8"/>
      <c r="R21" s="8"/>
      <c r="S21" s="8"/>
      <c r="T21" s="8"/>
      <c r="U21" s="8"/>
      <c r="V21" s="8"/>
      <c r="W21" s="8" t="s">
        <v>3983</v>
      </c>
      <c r="X21" s="8">
        <v>44.28</v>
      </c>
      <c r="Y21" s="8">
        <v>2.25</v>
      </c>
      <c r="Z21" s="9">
        <v>2.14</v>
      </c>
      <c r="AA21" s="8">
        <v>1123.2</v>
      </c>
      <c r="AB21" s="8">
        <v>598</v>
      </c>
      <c r="AC21" s="21" t="s">
        <v>3983</v>
      </c>
      <c r="AD21" s="8" t="s">
        <v>4289</v>
      </c>
      <c r="AE21" s="8" t="s">
        <v>4364</v>
      </c>
      <c r="AF21" s="9">
        <f t="shared" si="0"/>
        <v>2527.2000000000003</v>
      </c>
      <c r="AG21" s="9">
        <f t="shared" si="1"/>
        <v>2508.48</v>
      </c>
      <c r="AH21" s="9">
        <f t="shared" si="2"/>
        <v>1.1326508385972556</v>
      </c>
      <c r="AI21" s="9">
        <f t="shared" si="3"/>
        <v>1.2828979221750663</v>
      </c>
      <c r="AJ21" s="9">
        <f t="shared" si="4"/>
        <v>1.0008982935448476</v>
      </c>
      <c r="AK21" s="9">
        <f t="shared" si="5"/>
        <v>1.0017973940209879</v>
      </c>
      <c r="AL21" s="9">
        <f t="shared" si="6"/>
        <v>0.80355191378385471</v>
      </c>
      <c r="AM21" s="9">
        <f t="shared" si="7"/>
        <v>0.64569567814569551</v>
      </c>
      <c r="AN21" s="8" t="s">
        <v>3983</v>
      </c>
    </row>
    <row r="22" spans="13:40" ht="22" customHeight="1">
      <c r="M22" s="8" t="s">
        <v>3806</v>
      </c>
      <c r="N22" s="8"/>
      <c r="O22" s="8"/>
      <c r="P22" s="8"/>
      <c r="Q22" s="8"/>
      <c r="R22" s="8"/>
      <c r="S22" s="8"/>
      <c r="T22" s="8"/>
      <c r="U22" s="8"/>
      <c r="V22" s="8"/>
      <c r="W22" s="8" t="s">
        <v>3806</v>
      </c>
      <c r="X22" s="8">
        <v>57.48</v>
      </c>
      <c r="Y22" s="8">
        <v>1.47</v>
      </c>
      <c r="Z22" s="9">
        <v>1.24</v>
      </c>
      <c r="AA22" s="8">
        <v>721.6</v>
      </c>
      <c r="AB22" s="8">
        <v>881</v>
      </c>
      <c r="AC22" s="21" t="s">
        <v>3806</v>
      </c>
      <c r="AD22" s="8" t="s">
        <v>4289</v>
      </c>
      <c r="AE22" s="8" t="s">
        <v>4364</v>
      </c>
      <c r="AF22" s="9">
        <f t="shared" si="0"/>
        <v>1060.752</v>
      </c>
      <c r="AG22" s="9">
        <f t="shared" si="1"/>
        <v>1010.24</v>
      </c>
      <c r="AH22" s="9">
        <f t="shared" si="2"/>
        <v>0.72767169260308018</v>
      </c>
      <c r="AI22" s="9">
        <f t="shared" si="3"/>
        <v>0.52950609221583156</v>
      </c>
      <c r="AJ22" s="9">
        <f t="shared" si="4"/>
        <v>0.42011113749378132</v>
      </c>
      <c r="AK22" s="9">
        <f t="shared" si="5"/>
        <v>0.17649336784631883</v>
      </c>
      <c r="AL22" s="9">
        <f t="shared" si="6"/>
        <v>0.32361441405990937</v>
      </c>
      <c r="AM22" s="9">
        <f t="shared" si="7"/>
        <v>0.10472628898733848</v>
      </c>
      <c r="AN22" s="8" t="s">
        <v>3806</v>
      </c>
    </row>
    <row r="23" spans="13:40" ht="21" customHeight="1">
      <c r="M23" s="8" t="s">
        <v>4468</v>
      </c>
      <c r="N23" s="8"/>
      <c r="O23" s="8"/>
      <c r="P23" s="8"/>
      <c r="Q23" s="8"/>
      <c r="R23" s="8"/>
      <c r="S23" s="8"/>
      <c r="T23" s="8"/>
      <c r="U23" s="8"/>
      <c r="V23" s="8"/>
      <c r="W23" s="8" t="s">
        <v>4468</v>
      </c>
      <c r="X23" s="8">
        <v>52.74</v>
      </c>
      <c r="Y23" s="8">
        <v>2.2799999999999998</v>
      </c>
      <c r="Z23" s="9">
        <v>1.58</v>
      </c>
      <c r="AA23" s="8">
        <v>611.1</v>
      </c>
      <c r="AB23" s="8">
        <v>845</v>
      </c>
      <c r="AC23" s="21" t="s">
        <v>4468</v>
      </c>
      <c r="AD23" s="8" t="s">
        <v>4289</v>
      </c>
      <c r="AE23" s="8" t="s">
        <v>4364</v>
      </c>
      <c r="AF23" s="9">
        <f t="shared" si="0"/>
        <v>1393.308</v>
      </c>
      <c r="AG23" s="9">
        <f t="shared" si="1"/>
        <v>1201.8300000000002</v>
      </c>
      <c r="AH23" s="9">
        <f t="shared" si="2"/>
        <v>0.61624192260219279</v>
      </c>
      <c r="AI23" s="9">
        <f t="shared" si="3"/>
        <v>0.37975410717244695</v>
      </c>
      <c r="AJ23" s="9">
        <f t="shared" si="4"/>
        <v>0.55182003782145628</v>
      </c>
      <c r="AK23" s="9">
        <f t="shared" si="5"/>
        <v>0.30450535414127344</v>
      </c>
      <c r="AL23" s="9">
        <f t="shared" si="6"/>
        <v>0.38498724189264028</v>
      </c>
      <c r="AM23" s="9">
        <f t="shared" si="7"/>
        <v>0.14821517642010232</v>
      </c>
      <c r="AN23" s="8" t="s">
        <v>4468</v>
      </c>
    </row>
    <row r="24" spans="13:40" ht="22.5" customHeight="1">
      <c r="M24" s="8" t="s">
        <v>433</v>
      </c>
      <c r="N24" s="8" t="s">
        <v>150</v>
      </c>
      <c r="O24" s="8" t="s">
        <v>4163</v>
      </c>
      <c r="P24" s="8" t="s">
        <v>3691</v>
      </c>
      <c r="Q24" s="8"/>
      <c r="R24" s="8"/>
      <c r="S24" s="8"/>
      <c r="T24" s="8"/>
      <c r="U24" s="8"/>
      <c r="V24" s="8"/>
      <c r="W24" s="8" t="s">
        <v>433</v>
      </c>
      <c r="X24" s="8">
        <v>10.97</v>
      </c>
      <c r="Y24" s="8">
        <v>3.82</v>
      </c>
      <c r="Z24" s="9">
        <v>3.21</v>
      </c>
      <c r="AA24" s="8">
        <v>359.6</v>
      </c>
      <c r="AB24" s="8">
        <v>2975</v>
      </c>
      <c r="AC24" s="21" t="s">
        <v>433</v>
      </c>
      <c r="AD24" s="8" t="s">
        <v>4289</v>
      </c>
      <c r="AE24" s="8" t="s">
        <v>4364</v>
      </c>
      <c r="AF24" s="9">
        <f t="shared" si="0"/>
        <v>1373.672</v>
      </c>
      <c r="AG24" s="9">
        <f t="shared" si="1"/>
        <v>1204.6600000000001</v>
      </c>
      <c r="AH24" s="9">
        <f t="shared" si="2"/>
        <v>0.36262574925175672</v>
      </c>
      <c r="AI24" s="9">
        <f t="shared" si="3"/>
        <v>0.13149743402039793</v>
      </c>
      <c r="AJ24" s="9">
        <f t="shared" si="4"/>
        <v>0.54404319432191273</v>
      </c>
      <c r="AK24" s="9">
        <f t="shared" si="5"/>
        <v>0.29598299728799049</v>
      </c>
      <c r="AL24" s="9">
        <f t="shared" si="6"/>
        <v>0.38589378765581495</v>
      </c>
      <c r="AM24" s="9">
        <f t="shared" si="7"/>
        <v>0.14891401535135121</v>
      </c>
      <c r="AN24" s="8" t="s">
        <v>433</v>
      </c>
    </row>
    <row r="25" spans="13:40" ht="19.5" customHeight="1">
      <c r="M25" s="9" t="s">
        <v>2892</v>
      </c>
      <c r="N25" s="8" t="s">
        <v>1717</v>
      </c>
      <c r="O25" s="8"/>
      <c r="P25" s="8"/>
      <c r="Q25" s="8"/>
      <c r="R25" s="8"/>
      <c r="S25" s="8"/>
      <c r="T25" s="8"/>
      <c r="U25" s="8"/>
      <c r="V25" s="8"/>
      <c r="W25" s="9" t="s">
        <v>2892</v>
      </c>
      <c r="X25" s="8">
        <v>41.61</v>
      </c>
      <c r="Y25" s="8">
        <v>1.69</v>
      </c>
      <c r="Z25" s="9">
        <v>2.13</v>
      </c>
      <c r="AA25" s="8">
        <v>356.4</v>
      </c>
      <c r="AB25" s="8">
        <v>1554</v>
      </c>
      <c r="AC25" s="22" t="s">
        <v>2892</v>
      </c>
      <c r="AD25" s="8" t="s">
        <v>4289</v>
      </c>
      <c r="AE25" s="8" t="s">
        <v>4364</v>
      </c>
      <c r="AF25" s="9">
        <f t="shared" si="0"/>
        <v>602.31599999999992</v>
      </c>
      <c r="AG25" s="9">
        <f t="shared" si="1"/>
        <v>790.02</v>
      </c>
      <c r="AH25" s="9">
        <f t="shared" si="2"/>
        <v>0.35939882378566762</v>
      </c>
      <c r="AI25" s="9">
        <f t="shared" si="3"/>
        <v>0.12916751453852138</v>
      </c>
      <c r="AJ25" s="9">
        <f t="shared" si="4"/>
        <v>0.23854742662818862</v>
      </c>
      <c r="AK25" s="9">
        <f t="shared" si="5"/>
        <v>5.6904874750931034E-2</v>
      </c>
      <c r="AL25" s="9">
        <f t="shared" si="6"/>
        <v>0.25307041831209376</v>
      </c>
      <c r="AM25" s="9">
        <f t="shared" si="7"/>
        <v>6.4044636624658119E-2</v>
      </c>
      <c r="AN25" s="9" t="s">
        <v>2892</v>
      </c>
    </row>
    <row r="26" spans="13:40" ht="21" customHeight="1">
      <c r="M26" s="8" t="s">
        <v>4467</v>
      </c>
      <c r="N26" s="8"/>
      <c r="O26" s="8"/>
      <c r="P26" s="8"/>
      <c r="Q26" s="8"/>
      <c r="R26" s="8"/>
      <c r="S26" s="8"/>
      <c r="T26" s="8"/>
      <c r="U26" s="8"/>
      <c r="V26" s="8"/>
      <c r="W26" s="8" t="s">
        <v>4467</v>
      </c>
      <c r="X26" s="8">
        <v>16.739999999999998</v>
      </c>
      <c r="Y26" s="8">
        <v>3.35</v>
      </c>
      <c r="Z26" s="9">
        <v>1.37</v>
      </c>
      <c r="AA26" s="8">
        <v>253.8</v>
      </c>
      <c r="AB26" s="8">
        <v>2844</v>
      </c>
      <c r="AC26" s="21" t="s">
        <v>4467</v>
      </c>
      <c r="AD26" s="8" t="s">
        <v>4289</v>
      </c>
      <c r="AE26" s="8" t="s">
        <v>4364</v>
      </c>
      <c r="AF26" s="9">
        <f t="shared" si="0"/>
        <v>850.23</v>
      </c>
      <c r="AG26" s="9">
        <f t="shared" si="1"/>
        <v>410.31</v>
      </c>
      <c r="AH26" s="9">
        <f t="shared" si="2"/>
        <v>0.25593552602918757</v>
      </c>
      <c r="AI26" s="9">
        <f t="shared" si="3"/>
        <v>6.5502993483836952E-2</v>
      </c>
      <c r="AJ26" s="9">
        <f t="shared" si="4"/>
        <v>0.33673383828768427</v>
      </c>
      <c r="AK26" s="9">
        <f t="shared" si="5"/>
        <v>0.1133896778479563</v>
      </c>
      <c r="AL26" s="9">
        <f t="shared" si="6"/>
        <v>0.13143632229264474</v>
      </c>
      <c r="AM26" s="9">
        <f t="shared" si="7"/>
        <v>1.7275506817815981E-2</v>
      </c>
      <c r="AN26" s="8" t="s">
        <v>4467</v>
      </c>
    </row>
    <row r="27" spans="13:40" ht="24.5" customHeight="1">
      <c r="M27" s="8" t="s">
        <v>4466</v>
      </c>
      <c r="N27" s="8"/>
      <c r="O27" s="8"/>
      <c r="P27" s="8"/>
      <c r="Q27" s="8"/>
      <c r="R27" s="8"/>
      <c r="S27" s="8"/>
      <c r="T27" s="8"/>
      <c r="U27" s="8"/>
      <c r="V27" s="8"/>
      <c r="W27" s="8" t="s">
        <v>4466</v>
      </c>
      <c r="X27" s="8">
        <v>32.08</v>
      </c>
      <c r="Y27" s="8">
        <v>1.95</v>
      </c>
      <c r="Z27" s="9">
        <v>1.01</v>
      </c>
      <c r="AA27" s="8">
        <v>170.4</v>
      </c>
      <c r="AB27" s="8">
        <v>2776</v>
      </c>
      <c r="AC27" s="21" t="s">
        <v>4466</v>
      </c>
      <c r="AD27" s="8" t="s">
        <v>4289</v>
      </c>
      <c r="AE27" s="8" t="s">
        <v>4364</v>
      </c>
      <c r="AF27" s="9">
        <f t="shared" si="0"/>
        <v>332.28000000000003</v>
      </c>
      <c r="AG27" s="9">
        <f t="shared" si="1"/>
        <v>173.24</v>
      </c>
      <c r="AH27" s="9">
        <f t="shared" si="2"/>
        <v>0.17183378106924177</v>
      </c>
      <c r="AI27" s="9">
        <f t="shared" si="3"/>
        <v>2.9526848316552112E-2</v>
      </c>
      <c r="AJ27" s="9">
        <f t="shared" si="4"/>
        <v>0.13159959044756331</v>
      </c>
      <c r="AK27" s="9">
        <f t="shared" si="5"/>
        <v>1.7318452205966395E-2</v>
      </c>
      <c r="AL27" s="9">
        <f t="shared" si="6"/>
        <v>5.5494695410732806E-2</v>
      </c>
      <c r="AM27" s="9">
        <f t="shared" si="7"/>
        <v>3.0796612187300085E-3</v>
      </c>
      <c r="AN27" s="8" t="s">
        <v>4466</v>
      </c>
    </row>
    <row r="28" spans="13:40" ht="23.5" customHeight="1">
      <c r="M28" s="8" t="s">
        <v>948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948</v>
      </c>
      <c r="X28" s="8">
        <v>25.94</v>
      </c>
      <c r="Y28" s="8">
        <v>1.43</v>
      </c>
      <c r="Z28" s="9">
        <v>0.15</v>
      </c>
      <c r="AA28" s="8">
        <v>105.5</v>
      </c>
      <c r="AB28" s="8">
        <v>7057</v>
      </c>
      <c r="AC28" s="21" t="s">
        <v>948</v>
      </c>
      <c r="AD28" s="8" t="s">
        <v>4289</v>
      </c>
      <c r="AE28" s="8" t="s">
        <v>4364</v>
      </c>
      <c r="AF28" s="9">
        <f t="shared" si="0"/>
        <v>150.86499999999998</v>
      </c>
      <c r="AG28" s="9">
        <f t="shared" si="1"/>
        <v>26.375</v>
      </c>
      <c r="AH28" s="9">
        <f t="shared" si="2"/>
        <v>0.10638769896012329</v>
      </c>
      <c r="AI28" s="9">
        <f t="shared" si="3"/>
        <v>1.1318342490029817E-2</v>
      </c>
      <c r="AJ28" s="9">
        <f t="shared" si="4"/>
        <v>5.9750127040061496E-2</v>
      </c>
      <c r="AK28" s="9">
        <f t="shared" si="5"/>
        <v>3.5700776813034881E-3</v>
      </c>
      <c r="AL28" s="9">
        <f t="shared" si="6"/>
        <v>8.4488143122724395E-3</v>
      </c>
      <c r="AM28" s="9">
        <f t="shared" si="7"/>
        <v>7.1382463283259617E-5</v>
      </c>
      <c r="AN28" s="8" t="s">
        <v>948</v>
      </c>
    </row>
    <row r="29" spans="13:40" ht="23" customHeight="1">
      <c r="M29" s="8" t="s">
        <v>1983</v>
      </c>
      <c r="N29" s="8" t="s">
        <v>1964</v>
      </c>
      <c r="O29" s="8"/>
      <c r="P29" s="8" t="s">
        <v>3693</v>
      </c>
      <c r="Q29" s="8"/>
      <c r="R29" s="8"/>
      <c r="S29" s="8"/>
      <c r="T29" s="8"/>
      <c r="U29" s="8"/>
      <c r="V29" s="8"/>
      <c r="W29" s="8" t="s">
        <v>1983</v>
      </c>
      <c r="X29" s="8">
        <v>36.049999999999997</v>
      </c>
      <c r="Y29" s="8">
        <v>1.17</v>
      </c>
      <c r="Z29" s="9">
        <v>7.0000000000000007E-2</v>
      </c>
      <c r="AA29" s="8">
        <v>46.3</v>
      </c>
      <c r="AB29" s="8">
        <v>13382</v>
      </c>
      <c r="AC29" s="21" t="s">
        <v>1983</v>
      </c>
      <c r="AD29" s="8" t="s">
        <v>4296</v>
      </c>
      <c r="AE29" s="8" t="s">
        <v>4364</v>
      </c>
      <c r="AF29" s="9">
        <f t="shared" si="0"/>
        <v>54.170999999999992</v>
      </c>
      <c r="AG29" s="9">
        <f t="shared" si="1"/>
        <v>5.4016666666666664</v>
      </c>
      <c r="AH29" s="9">
        <f t="shared" si="2"/>
        <v>4.6689577837475904E-2</v>
      </c>
      <c r="AI29" s="9">
        <f t="shared" si="3"/>
        <v>2.179916678641721E-3</v>
      </c>
      <c r="AJ29" s="9">
        <f t="shared" si="4"/>
        <v>2.1454440273669644E-2</v>
      </c>
      <c r="AK29" s="9">
        <f t="shared" si="5"/>
        <v>4.60293007456458E-4</v>
      </c>
      <c r="AL29" s="9">
        <f t="shared" si="6"/>
        <v>1.7303385267661913E-3</v>
      </c>
      <c r="AM29" s="9">
        <f t="shared" si="7"/>
        <v>2.9940714172113934E-6</v>
      </c>
      <c r="AN29" s="8" t="s">
        <v>1983</v>
      </c>
    </row>
    <row r="30" spans="13:40" ht="22" customHeight="1">
      <c r="M30" s="8" t="s">
        <v>63</v>
      </c>
      <c r="N30" s="8" t="s">
        <v>24</v>
      </c>
      <c r="O30" s="8"/>
      <c r="P30" s="8" t="s">
        <v>4167</v>
      </c>
      <c r="Q30" s="8"/>
      <c r="R30" s="8"/>
      <c r="S30" s="8"/>
      <c r="T30" s="8"/>
      <c r="U30" s="8"/>
      <c r="V30" s="8"/>
      <c r="W30" s="8" t="s">
        <v>63</v>
      </c>
      <c r="X30" s="8">
        <v>28.29</v>
      </c>
      <c r="Y30" s="8">
        <v>1.36</v>
      </c>
      <c r="Z30" s="9">
        <v>0.47</v>
      </c>
      <c r="AA30" s="8">
        <v>35.700000000000003</v>
      </c>
      <c r="AB30" s="8">
        <v>16158</v>
      </c>
      <c r="AC30" s="21" t="s">
        <v>63</v>
      </c>
      <c r="AD30" s="8" t="s">
        <v>4289</v>
      </c>
      <c r="AE30" s="8" t="s">
        <v>4364</v>
      </c>
      <c r="AF30" s="9">
        <f t="shared" si="0"/>
        <v>48.552000000000007</v>
      </c>
      <c r="AG30" s="9">
        <f t="shared" si="1"/>
        <v>27.965000000000003</v>
      </c>
      <c r="AH30" s="9">
        <f t="shared" si="2"/>
        <v>3.6000387231055933E-2</v>
      </c>
      <c r="AI30" s="9">
        <f t="shared" si="3"/>
        <v>1.2960278807859751E-3</v>
      </c>
      <c r="AJ30" s="9">
        <f t="shared" si="4"/>
        <v>1.922903369269921E-2</v>
      </c>
      <c r="AK30" s="9">
        <f t="shared" si="5"/>
        <v>3.6975573675496144E-4</v>
      </c>
      <c r="AL30" s="9">
        <f t="shared" si="6"/>
        <v>8.9581456774482961E-3</v>
      </c>
      <c r="AM30" s="9">
        <f t="shared" si="7"/>
        <v>8.0248373978385594E-5</v>
      </c>
      <c r="AN30" s="8" t="s">
        <v>63</v>
      </c>
    </row>
    <row r="31" spans="13:40" ht="23"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9"/>
      <c r="AA31" s="8">
        <f>SUBTOTAL(109,Table13658[ترافیک کل])</f>
        <v>99165.599999999991</v>
      </c>
      <c r="AB31" s="8"/>
      <c r="AC31" s="21"/>
      <c r="AD31" s="8"/>
      <c r="AE31" s="8"/>
      <c r="AF31" s="9">
        <f>SUBTOTAL(109,Table13658[[مجموع صفحات  مشاهده شده   ]])</f>
        <v>252493.18699999992</v>
      </c>
      <c r="AG31" s="9">
        <f>SUBTOTAL(109,Table13658[[مجموع زمان حضور در سایت ]])</f>
        <v>312173.98116666661</v>
      </c>
      <c r="AH31" s="9">
        <f>SUBTOTAL(109,Table13658[سهم سایت از کل ترافیک طبقه بندی])</f>
        <v>100</v>
      </c>
      <c r="AI31" s="9">
        <f>SUBTOTAL(109,Table13658[شاخص هرفیندال هیرشمن (ترافیک)])</f>
        <v>668.55470467127122</v>
      </c>
      <c r="AJ31" s="9">
        <f>SUBTOTAL(109,Table13658[سهم سایت از کل صفحات مشاهده شده در طبقه بندی])</f>
        <v>100.00000000000001</v>
      </c>
      <c r="AK31" s="9">
        <f>SUBTOTAL(109,Table13658[شاخص هرفیندال -هیرشمن (صفحات مشاهده شده )])</f>
        <v>745.77525087581671</v>
      </c>
      <c r="AL31" s="9">
        <f>SUBTOTAL(109,Table13658[سهم سایت از کل زمان حضور در طبقه بندی])</f>
        <v>100.00000000000001</v>
      </c>
      <c r="AM31" s="9">
        <f>SUBTOTAL(109,Table13658[شاخص هرفیندال هیرشمن (زمان حضور)])</f>
        <v>961.52214383246496</v>
      </c>
      <c r="AN31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{4B0C8A78-6B92-455A-BB6E-1FC122B7936B}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{17896393-59A5-401A-84F7-1DD5B455F7B9}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{67D7F5D3-87C6-4BB9-9884-D4214CA96C43}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{B5653366-0A22-4657-B249-E0D815F860B3}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{DA240613-B1D8-4C25-8D34-0436BB9F7FCD}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{AFEBB568-137D-4C84-80AD-C59B246F6D28}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0C8A78-6B92-455A-BB6E-1FC122B7936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7896393-59A5-401A-84F7-1DD5B455F7B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7D7F5D3-87C6-4BB9-9884-D4214CA96C4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5653366-0A22-4657-B249-E0D815F860B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A240613-B1D8-4C25-8D34-0436BB9F7FC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AFEBB568-137D-4C84-80AD-C59B246F6D2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6"/>
  <sheetViews>
    <sheetView showGridLines="0" rightToLeft="1" topLeftCell="Z1" zoomScale="70" zoomScaleNormal="70" workbookViewId="0">
      <selection activeCell="AC26" sqref="AC26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2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4724</v>
      </c>
      <c r="N2" s="8"/>
      <c r="O2" s="8"/>
      <c r="P2" s="8"/>
      <c r="Q2" s="8"/>
      <c r="R2" s="8"/>
      <c r="S2" s="8"/>
      <c r="T2" s="8"/>
      <c r="U2" s="8"/>
      <c r="V2" s="8"/>
      <c r="W2" s="8" t="s">
        <v>4724</v>
      </c>
      <c r="X2" s="8">
        <v>41.34</v>
      </c>
      <c r="Y2" s="8">
        <v>3.68</v>
      </c>
      <c r="Z2" s="9">
        <v>3.44</v>
      </c>
      <c r="AA2" s="8">
        <v>8337.7000000000007</v>
      </c>
      <c r="AB2" s="8">
        <v>39</v>
      </c>
      <c r="AC2" s="21" t="s">
        <v>4724</v>
      </c>
      <c r="AD2" s="8" t="s">
        <v>4294</v>
      </c>
      <c r="AE2" s="8" t="s">
        <v>4364</v>
      </c>
      <c r="AF2" s="9">
        <f t="shared" ref="AF2:AF25" si="0">(AA2*Y2)</f>
        <v>30682.736000000004</v>
      </c>
      <c r="AG2" s="9">
        <f t="shared" ref="AG2:AG25" si="1">((((RIGHT(Z2,2))/60)+(LEFT(Z2,2)))*AA2)</f>
        <v>31127.413333333338</v>
      </c>
      <c r="AH2" s="9">
        <f t="shared" ref="AH2:AH25" si="2">(AA2/$AA$26)*100</f>
        <v>12.154790366785239</v>
      </c>
      <c r="AI2" s="9">
        <f t="shared" ref="AI2:AI25" si="3">(AH2*AH2)</f>
        <v>147.73892886049524</v>
      </c>
      <c r="AJ2" s="9">
        <f t="shared" ref="AJ2:AJ25" si="4">(AF2/$AF$26)*100</f>
        <v>12.97977020071586</v>
      </c>
      <c r="AK2" s="9">
        <f t="shared" ref="AK2:AK25" si="5">(AJ2*AJ2)</f>
        <v>168.47443446339145</v>
      </c>
      <c r="AL2" s="9">
        <f t="shared" ref="AL2:AL25" si="6">(AG2/$AG$26)*100</f>
        <v>11.854977218436352</v>
      </c>
      <c r="AM2" s="9">
        <f t="shared" ref="AM2:AM25" si="7">(AL2*AL2)</f>
        <v>140.54048484964488</v>
      </c>
      <c r="AN2" s="8" t="s">
        <v>4724</v>
      </c>
    </row>
    <row r="3" spans="8:40" ht="23">
      <c r="M3" s="8" t="s">
        <v>4729</v>
      </c>
      <c r="N3" s="8"/>
      <c r="O3" s="8"/>
      <c r="P3" s="8"/>
      <c r="Q3" s="8"/>
      <c r="R3" s="8"/>
      <c r="S3" s="8"/>
      <c r="T3" s="8"/>
      <c r="U3" s="8"/>
      <c r="V3" s="8"/>
      <c r="W3" s="8" t="s">
        <v>4729</v>
      </c>
      <c r="X3" s="8">
        <v>39.479999999999997</v>
      </c>
      <c r="Y3" s="8">
        <v>6.72</v>
      </c>
      <c r="Z3" s="9">
        <v>7.51</v>
      </c>
      <c r="AA3" s="8">
        <v>6264.9</v>
      </c>
      <c r="AB3" s="8">
        <v>22</v>
      </c>
      <c r="AC3" s="21" t="s">
        <v>4729</v>
      </c>
      <c r="AD3" s="8" t="s">
        <v>4294</v>
      </c>
      <c r="AE3" s="8" t="s">
        <v>4364</v>
      </c>
      <c r="AF3" s="9">
        <f t="shared" si="0"/>
        <v>42100.127999999997</v>
      </c>
      <c r="AG3" s="9">
        <f t="shared" si="1"/>
        <v>49179.464999999997</v>
      </c>
      <c r="AH3" s="9">
        <f t="shared" si="2"/>
        <v>9.1330398273951854</v>
      </c>
      <c r="AI3" s="9">
        <f t="shared" si="3"/>
        <v>83.412416488786675</v>
      </c>
      <c r="AJ3" s="9">
        <f t="shared" si="4"/>
        <v>17.809689033622142</v>
      </c>
      <c r="AK3" s="9">
        <f t="shared" si="5"/>
        <v>317.18502347432081</v>
      </c>
      <c r="AL3" s="9">
        <f t="shared" si="6"/>
        <v>18.730160162892467</v>
      </c>
      <c r="AM3" s="9">
        <f t="shared" si="7"/>
        <v>350.81889972760399</v>
      </c>
      <c r="AN3" s="8" t="s">
        <v>4729</v>
      </c>
    </row>
    <row r="4" spans="8:40" ht="23">
      <c r="M4" s="8" t="s">
        <v>4732</v>
      </c>
      <c r="N4" s="8"/>
      <c r="O4" s="8"/>
      <c r="P4" s="8"/>
      <c r="Q4" s="8"/>
      <c r="R4" s="8"/>
      <c r="S4" s="8"/>
      <c r="T4" s="8"/>
      <c r="U4" s="8"/>
      <c r="V4" s="8"/>
      <c r="W4" s="8" t="s">
        <v>4732</v>
      </c>
      <c r="X4" s="8">
        <v>45.41</v>
      </c>
      <c r="Y4" s="8">
        <v>3.59</v>
      </c>
      <c r="Z4" s="9">
        <v>4</v>
      </c>
      <c r="AA4" s="8">
        <v>5450.3</v>
      </c>
      <c r="AB4" s="8">
        <v>103</v>
      </c>
      <c r="AC4" s="21" t="s">
        <v>4732</v>
      </c>
      <c r="AD4" s="8" t="s">
        <v>4294</v>
      </c>
      <c r="AE4" s="8" t="s">
        <v>4364</v>
      </c>
      <c r="AF4" s="9">
        <f t="shared" si="0"/>
        <v>19566.577000000001</v>
      </c>
      <c r="AG4" s="9">
        <f t="shared" si="1"/>
        <v>22164.553333333333</v>
      </c>
      <c r="AH4" s="9">
        <f t="shared" si="2"/>
        <v>7.9455070266487864</v>
      </c>
      <c r="AI4" s="9">
        <f t="shared" si="3"/>
        <v>63.131081910525239</v>
      </c>
      <c r="AJ4" s="9">
        <f t="shared" si="4"/>
        <v>8.2772824781535874</v>
      </c>
      <c r="AK4" s="9">
        <f t="shared" si="5"/>
        <v>68.513405223148396</v>
      </c>
      <c r="AL4" s="9">
        <f t="shared" si="6"/>
        <v>8.4414426605150243</v>
      </c>
      <c r="AM4" s="9">
        <f t="shared" si="7"/>
        <v>71.257954190762973</v>
      </c>
      <c r="AN4" s="8" t="s">
        <v>4732</v>
      </c>
    </row>
    <row r="5" spans="8:40" ht="23">
      <c r="M5" s="8" t="s">
        <v>3863</v>
      </c>
      <c r="N5" s="8"/>
      <c r="O5" s="8"/>
      <c r="P5" s="8"/>
      <c r="Q5" s="8"/>
      <c r="R5" s="8"/>
      <c r="S5" s="8"/>
      <c r="T5" s="8"/>
      <c r="U5" s="8"/>
      <c r="V5" s="8"/>
      <c r="W5" s="8" t="s">
        <v>3863</v>
      </c>
      <c r="X5" s="8">
        <v>55.57</v>
      </c>
      <c r="Y5" s="8">
        <v>2.2000000000000002</v>
      </c>
      <c r="Z5" s="9">
        <v>2.37</v>
      </c>
      <c r="AA5" s="8">
        <v>5227.6000000000004</v>
      </c>
      <c r="AB5" s="8">
        <v>142</v>
      </c>
      <c r="AC5" s="21" t="s">
        <v>3863</v>
      </c>
      <c r="AD5" s="8" t="s">
        <v>4294</v>
      </c>
      <c r="AE5" s="8" t="s">
        <v>4364</v>
      </c>
      <c r="AF5" s="9">
        <f t="shared" si="0"/>
        <v>11500.720000000001</v>
      </c>
      <c r="AG5" s="9">
        <f t="shared" si="1"/>
        <v>13678.886666666667</v>
      </c>
      <c r="AH5" s="9">
        <f t="shared" si="2"/>
        <v>7.6208525278441908</v>
      </c>
      <c r="AI5" s="9">
        <f t="shared" si="3"/>
        <v>58.077393251149189</v>
      </c>
      <c r="AJ5" s="9">
        <f t="shared" si="4"/>
        <v>4.8651692190284752</v>
      </c>
      <c r="AK5" s="9">
        <f t="shared" si="5"/>
        <v>23.669871529782142</v>
      </c>
      <c r="AL5" s="9">
        <f t="shared" si="6"/>
        <v>5.2096487449938902</v>
      </c>
      <c r="AM5" s="9">
        <f t="shared" si="7"/>
        <v>27.140440046216415</v>
      </c>
      <c r="AN5" s="8" t="s">
        <v>3863</v>
      </c>
    </row>
    <row r="6" spans="8:40" ht="23">
      <c r="M6" s="8" t="s">
        <v>4731</v>
      </c>
      <c r="N6" s="8"/>
      <c r="O6" s="8"/>
      <c r="P6" s="8"/>
      <c r="Q6" s="8"/>
      <c r="R6" s="8"/>
      <c r="S6" s="8"/>
      <c r="T6" s="8"/>
      <c r="U6" s="8"/>
      <c r="V6" s="8"/>
      <c r="W6" s="8" t="s">
        <v>4731</v>
      </c>
      <c r="X6" s="8">
        <v>46.39</v>
      </c>
      <c r="Y6" s="8">
        <v>2.59</v>
      </c>
      <c r="Z6" s="9">
        <v>3.07</v>
      </c>
      <c r="AA6" s="8">
        <v>5171</v>
      </c>
      <c r="AB6" s="8">
        <v>133</v>
      </c>
      <c r="AC6" s="21" t="s">
        <v>4731</v>
      </c>
      <c r="AD6" s="8" t="s">
        <v>4294</v>
      </c>
      <c r="AE6" s="8" t="s">
        <v>4364</v>
      </c>
      <c r="AF6" s="9">
        <f t="shared" si="0"/>
        <v>13392.89</v>
      </c>
      <c r="AG6" s="9">
        <f t="shared" si="1"/>
        <v>16116.283333333333</v>
      </c>
      <c r="AH6" s="9">
        <f t="shared" si="2"/>
        <v>7.5383404280132975</v>
      </c>
      <c r="AI6" s="9">
        <f t="shared" si="3"/>
        <v>56.826576408619708</v>
      </c>
      <c r="AJ6" s="9">
        <f t="shared" si="4"/>
        <v>5.665617125000372</v>
      </c>
      <c r="AK6" s="9">
        <f t="shared" si="5"/>
        <v>32.099217407097477</v>
      </c>
      <c r="AL6" s="9">
        <f t="shared" si="6"/>
        <v>6.1379392407763653</v>
      </c>
      <c r="AM6" s="9">
        <f t="shared" si="7"/>
        <v>37.674298123462343</v>
      </c>
      <c r="AN6" s="8" t="s">
        <v>4731</v>
      </c>
    </row>
    <row r="7" spans="8:40" ht="23">
      <c r="M7" s="8" t="s">
        <v>3745</v>
      </c>
      <c r="N7" s="8"/>
      <c r="O7" s="8"/>
      <c r="P7" s="8"/>
      <c r="Q7" s="8"/>
      <c r="R7" s="8"/>
      <c r="S7" s="8"/>
      <c r="T7" s="8"/>
      <c r="U7" s="8"/>
      <c r="V7" s="8"/>
      <c r="W7" s="8" t="s">
        <v>3745</v>
      </c>
      <c r="X7" s="8">
        <v>36.69</v>
      </c>
      <c r="Y7" s="8">
        <v>5.58</v>
      </c>
      <c r="Z7" s="9">
        <v>5.56</v>
      </c>
      <c r="AA7" s="8">
        <v>4977.3</v>
      </c>
      <c r="AB7" s="8">
        <v>32</v>
      </c>
      <c r="AC7" s="21" t="s">
        <v>3745</v>
      </c>
      <c r="AD7" s="8" t="s">
        <v>4294</v>
      </c>
      <c r="AE7" s="8" t="s">
        <v>4364</v>
      </c>
      <c r="AF7" s="9">
        <f t="shared" si="0"/>
        <v>27773.334000000003</v>
      </c>
      <c r="AG7" s="9">
        <f t="shared" si="1"/>
        <v>29531.980000000003</v>
      </c>
      <c r="AH7" s="9">
        <f t="shared" si="2"/>
        <v>7.2559624467899013</v>
      </c>
      <c r="AI7" s="9">
        <f t="shared" si="3"/>
        <v>52.648991029225293</v>
      </c>
      <c r="AJ7" s="9">
        <f t="shared" si="4"/>
        <v>11.749000904864827</v>
      </c>
      <c r="AK7" s="9">
        <f t="shared" si="5"/>
        <v>138.03902226251452</v>
      </c>
      <c r="AL7" s="9">
        <f t="shared" si="6"/>
        <v>11.247351213099556</v>
      </c>
      <c r="AM7" s="9">
        <f t="shared" si="7"/>
        <v>126.50290931081206</v>
      </c>
      <c r="AN7" s="8" t="s">
        <v>3745</v>
      </c>
    </row>
    <row r="8" spans="8:40" ht="23">
      <c r="M8" s="8" t="s">
        <v>4730</v>
      </c>
      <c r="N8" s="8"/>
      <c r="O8" s="8"/>
      <c r="P8" s="8"/>
      <c r="Q8" s="8"/>
      <c r="R8" s="8"/>
      <c r="S8" s="8"/>
      <c r="T8" s="8"/>
      <c r="U8" s="8"/>
      <c r="V8" s="8"/>
      <c r="W8" s="8" t="s">
        <v>4730</v>
      </c>
      <c r="X8" s="8">
        <v>49.56</v>
      </c>
      <c r="Y8" s="8">
        <v>2.61</v>
      </c>
      <c r="Z8" s="9">
        <v>2.52</v>
      </c>
      <c r="AA8" s="8">
        <v>4208</v>
      </c>
      <c r="AB8" s="8">
        <v>128</v>
      </c>
      <c r="AC8" s="21" t="s">
        <v>4730</v>
      </c>
      <c r="AD8" s="8" t="s">
        <v>4294</v>
      </c>
      <c r="AE8" s="8" t="s">
        <v>4364</v>
      </c>
      <c r="AF8" s="9">
        <f t="shared" si="0"/>
        <v>10982.88</v>
      </c>
      <c r="AG8" s="9">
        <f t="shared" si="1"/>
        <v>12062.933333333334</v>
      </c>
      <c r="AH8" s="9">
        <f t="shared" si="2"/>
        <v>6.1344684821272395</v>
      </c>
      <c r="AI8" s="9">
        <f t="shared" si="3"/>
        <v>37.631703558212479</v>
      </c>
      <c r="AJ8" s="9">
        <f t="shared" si="4"/>
        <v>4.6461064796189682</v>
      </c>
      <c r="AK8" s="9">
        <f t="shared" si="5"/>
        <v>21.586305419957363</v>
      </c>
      <c r="AL8" s="9">
        <f t="shared" si="6"/>
        <v>4.5942076305146395</v>
      </c>
      <c r="AM8" s="9">
        <f t="shared" si="7"/>
        <v>21.106743752278938</v>
      </c>
      <c r="AN8" s="8" t="s">
        <v>4730</v>
      </c>
    </row>
    <row r="9" spans="8:40" ht="23">
      <c r="M9" s="8" t="s">
        <v>4733</v>
      </c>
      <c r="N9" s="8"/>
      <c r="O9" s="8"/>
      <c r="P9" s="8"/>
      <c r="Q9" s="8"/>
      <c r="R9" s="8"/>
      <c r="S9" s="8"/>
      <c r="T9" s="8"/>
      <c r="U9" s="8"/>
      <c r="V9" s="8"/>
      <c r="W9" s="8" t="s">
        <v>4733</v>
      </c>
      <c r="X9" s="8">
        <v>47.21</v>
      </c>
      <c r="Y9" s="8">
        <v>3.14</v>
      </c>
      <c r="Z9" s="9">
        <v>2.57</v>
      </c>
      <c r="AA9" s="8">
        <v>4182.6000000000004</v>
      </c>
      <c r="AB9" s="8">
        <v>284</v>
      </c>
      <c r="AC9" s="21" t="s">
        <v>4733</v>
      </c>
      <c r="AD9" s="8" t="s">
        <v>4294</v>
      </c>
      <c r="AE9" s="8" t="s">
        <v>4364</v>
      </c>
      <c r="AF9" s="9">
        <f t="shared" si="0"/>
        <v>13133.364000000001</v>
      </c>
      <c r="AG9" s="9">
        <f t="shared" si="1"/>
        <v>12338.670000000002</v>
      </c>
      <c r="AH9" s="9">
        <f t="shared" si="2"/>
        <v>6.0974400839699125</v>
      </c>
      <c r="AI9" s="9">
        <f t="shared" si="3"/>
        <v>37.178775577603012</v>
      </c>
      <c r="AJ9" s="9">
        <f t="shared" si="4"/>
        <v>5.5558293980808759</v>
      </c>
      <c r="AK9" s="9">
        <f t="shared" si="5"/>
        <v>30.867240300579709</v>
      </c>
      <c r="AL9" s="9">
        <f t="shared" si="6"/>
        <v>4.6992228422386546</v>
      </c>
      <c r="AM9" s="9">
        <f t="shared" si="7"/>
        <v>22.082695321017539</v>
      </c>
      <c r="AN9" s="8" t="s">
        <v>4733</v>
      </c>
    </row>
    <row r="10" spans="8:40" ht="23">
      <c r="M10" s="8" t="s">
        <v>4735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4735</v>
      </c>
      <c r="X10" s="8">
        <v>54.89</v>
      </c>
      <c r="Y10" s="8">
        <v>2.02</v>
      </c>
      <c r="Z10" s="9">
        <v>2.52</v>
      </c>
      <c r="AA10" s="8">
        <v>4167.8</v>
      </c>
      <c r="AB10" s="8">
        <v>141</v>
      </c>
      <c r="AC10" s="21" t="s">
        <v>4735</v>
      </c>
      <c r="AD10" s="8" t="s">
        <v>4294</v>
      </c>
      <c r="AE10" s="8" t="s">
        <v>4364</v>
      </c>
      <c r="AF10" s="9">
        <f t="shared" si="0"/>
        <v>8418.9560000000001</v>
      </c>
      <c r="AG10" s="9">
        <f t="shared" si="1"/>
        <v>11947.693333333335</v>
      </c>
      <c r="AH10" s="9">
        <f t="shared" si="2"/>
        <v>6.0758644818939898</v>
      </c>
      <c r="AI10" s="9">
        <f t="shared" si="3"/>
        <v>36.916129202340919</v>
      </c>
      <c r="AJ10" s="9">
        <f t="shared" si="4"/>
        <v>3.5614853320100912</v>
      </c>
      <c r="AK10" s="9">
        <f t="shared" si="5"/>
        <v>12.68417777012303</v>
      </c>
      <c r="AL10" s="9">
        <f t="shared" si="6"/>
        <v>4.5503180994436585</v>
      </c>
      <c r="AM10" s="9">
        <f t="shared" si="7"/>
        <v>20.705394806124549</v>
      </c>
      <c r="AN10" s="8" t="s">
        <v>4735</v>
      </c>
    </row>
    <row r="11" spans="8:40" ht="23">
      <c r="M11" s="24" t="s">
        <v>5208</v>
      </c>
      <c r="N11" s="24"/>
      <c r="O11" s="24"/>
      <c r="P11" s="24"/>
      <c r="Q11" s="24"/>
      <c r="R11" s="24"/>
      <c r="S11" s="24"/>
      <c r="T11" s="24"/>
      <c r="U11" s="24"/>
      <c r="V11" s="24"/>
      <c r="W11" s="24" t="s">
        <v>5208</v>
      </c>
      <c r="X11" s="24">
        <v>46.02</v>
      </c>
      <c r="Y11" s="24">
        <v>3.12</v>
      </c>
      <c r="Z11" s="25">
        <v>3.35</v>
      </c>
      <c r="AA11" s="24">
        <v>3771.2</v>
      </c>
      <c r="AB11" s="24">
        <v>194</v>
      </c>
      <c r="AC11" s="21" t="s">
        <v>5208</v>
      </c>
      <c r="AD11" s="8" t="s">
        <v>4294</v>
      </c>
      <c r="AE11" s="8" t="s">
        <v>4364</v>
      </c>
      <c r="AF11" s="25">
        <f t="shared" si="0"/>
        <v>11766.144</v>
      </c>
      <c r="AG11" s="25">
        <f t="shared" si="1"/>
        <v>13513.466666666667</v>
      </c>
      <c r="AH11" s="9">
        <f t="shared" si="2"/>
        <v>5.4976966586973006</v>
      </c>
      <c r="AI11" s="25">
        <f t="shared" si="3"/>
        <v>30.224668551051465</v>
      </c>
      <c r="AJ11" s="9">
        <f t="shared" si="4"/>
        <v>4.9774519869587799</v>
      </c>
      <c r="AK11" s="25">
        <f t="shared" si="5"/>
        <v>24.775028282479905</v>
      </c>
      <c r="AL11" s="9">
        <f t="shared" si="6"/>
        <v>5.1466479967314669</v>
      </c>
      <c r="AM11" s="25">
        <f t="shared" si="7"/>
        <v>26.487985602260022</v>
      </c>
      <c r="AN11" s="24" t="s">
        <v>5208</v>
      </c>
    </row>
    <row r="12" spans="8:40" ht="23">
      <c r="M12" s="8" t="s">
        <v>4737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4737</v>
      </c>
      <c r="X12" s="8">
        <v>55.03</v>
      </c>
      <c r="Y12" s="8">
        <v>2.0299999999999998</v>
      </c>
      <c r="Z12" s="9">
        <v>2.19</v>
      </c>
      <c r="AA12" s="8">
        <v>3254.9</v>
      </c>
      <c r="AB12" s="8">
        <v>277</v>
      </c>
      <c r="AC12" s="21" t="s">
        <v>4737</v>
      </c>
      <c r="AD12" s="8" t="s">
        <v>4294</v>
      </c>
      <c r="AE12" s="8" t="s">
        <v>4364</v>
      </c>
      <c r="AF12" s="9">
        <f t="shared" si="0"/>
        <v>6607.4469999999992</v>
      </c>
      <c r="AG12" s="9">
        <f t="shared" si="1"/>
        <v>7540.5183333333325</v>
      </c>
      <c r="AH12" s="9">
        <f t="shared" si="2"/>
        <v>4.7450288646568328</v>
      </c>
      <c r="AI12" s="9">
        <f t="shared" si="3"/>
        <v>22.51529892642651</v>
      </c>
      <c r="AJ12" s="9">
        <f t="shared" si="4"/>
        <v>2.7951595865964944</v>
      </c>
      <c r="AK12" s="9">
        <f t="shared" si="5"/>
        <v>7.8129171145422855</v>
      </c>
      <c r="AL12" s="9">
        <f t="shared" si="6"/>
        <v>2.8718310801990281</v>
      </c>
      <c r="AM12" s="9">
        <f t="shared" si="7"/>
        <v>8.247413753197117</v>
      </c>
      <c r="AN12" s="8" t="s">
        <v>4737</v>
      </c>
    </row>
    <row r="13" spans="8:40" ht="23">
      <c r="M13" s="8" t="s">
        <v>4736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4736</v>
      </c>
      <c r="X13" s="8">
        <v>26.01</v>
      </c>
      <c r="Y13" s="8">
        <v>4.18</v>
      </c>
      <c r="Z13" s="9">
        <v>5.56</v>
      </c>
      <c r="AA13" s="8">
        <v>2608.6999999999998</v>
      </c>
      <c r="AB13" s="8">
        <v>129</v>
      </c>
      <c r="AC13" s="21" t="s">
        <v>4736</v>
      </c>
      <c r="AD13" s="8" t="s">
        <v>4294</v>
      </c>
      <c r="AE13" s="8" t="s">
        <v>4364</v>
      </c>
      <c r="AF13" s="9">
        <f t="shared" si="0"/>
        <v>10904.365999999998</v>
      </c>
      <c r="AG13" s="9">
        <f t="shared" si="1"/>
        <v>15478.286666666667</v>
      </c>
      <c r="AH13" s="9">
        <f t="shared" si="2"/>
        <v>3.8029914280716079</v>
      </c>
      <c r="AI13" s="9">
        <f t="shared" si="3"/>
        <v>14.462743801986129</v>
      </c>
      <c r="AJ13" s="9">
        <f t="shared" si="4"/>
        <v>4.6128925681366599</v>
      </c>
      <c r="AK13" s="9">
        <f t="shared" si="5"/>
        <v>21.278777845170431</v>
      </c>
      <c r="AL13" s="9">
        <f t="shared" si="6"/>
        <v>5.8949561227197096</v>
      </c>
      <c r="AM13" s="9">
        <f t="shared" si="7"/>
        <v>34.750507688790591</v>
      </c>
      <c r="AN13" s="8" t="s">
        <v>4736</v>
      </c>
    </row>
    <row r="14" spans="8:40" ht="23">
      <c r="M14" s="8" t="s">
        <v>4734</v>
      </c>
      <c r="N14" s="8"/>
      <c r="O14" s="8"/>
      <c r="P14" s="8"/>
      <c r="Q14" s="8"/>
      <c r="R14" s="8"/>
      <c r="S14" s="8"/>
      <c r="T14" s="8"/>
      <c r="U14" s="8"/>
      <c r="V14" s="8"/>
      <c r="W14" s="8" t="s">
        <v>4734</v>
      </c>
      <c r="X14" s="8">
        <v>39.340000000000003</v>
      </c>
      <c r="Y14" s="8">
        <v>2.97</v>
      </c>
      <c r="Z14" s="9">
        <v>2.46</v>
      </c>
      <c r="AA14" s="8">
        <v>2502.1999999999998</v>
      </c>
      <c r="AB14" s="8">
        <v>181</v>
      </c>
      <c r="AC14" s="21" t="s">
        <v>4734</v>
      </c>
      <c r="AD14" s="8" t="s">
        <v>4294</v>
      </c>
      <c r="AE14" s="8" t="s">
        <v>4364</v>
      </c>
      <c r="AF14" s="9">
        <f t="shared" si="0"/>
        <v>7431.5339999999997</v>
      </c>
      <c r="AG14" s="9">
        <f t="shared" si="1"/>
        <v>6922.7533333333331</v>
      </c>
      <c r="AH14" s="9">
        <f t="shared" si="2"/>
        <v>3.6477345617820287</v>
      </c>
      <c r="AI14" s="9">
        <f t="shared" si="3"/>
        <v>13.305967433219129</v>
      </c>
      <c r="AJ14" s="9">
        <f t="shared" si="4"/>
        <v>3.1437745173313982</v>
      </c>
      <c r="AK14" s="9">
        <f t="shared" si="5"/>
        <v>9.8833182158222659</v>
      </c>
      <c r="AL14" s="9">
        <f t="shared" si="6"/>
        <v>2.6365532585913862</v>
      </c>
      <c r="AM14" s="9">
        <f t="shared" si="7"/>
        <v>6.9514130853888574</v>
      </c>
      <c r="AN14" s="8" t="s">
        <v>4734</v>
      </c>
    </row>
    <row r="15" spans="8:40" ht="23">
      <c r="M15" s="8" t="s">
        <v>3969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3969</v>
      </c>
      <c r="X15" s="8">
        <v>53.94</v>
      </c>
      <c r="Y15" s="8">
        <v>2.06</v>
      </c>
      <c r="Z15" s="9">
        <v>2.09</v>
      </c>
      <c r="AA15" s="8">
        <v>2374.3000000000002</v>
      </c>
      <c r="AB15" s="8">
        <v>336</v>
      </c>
      <c r="AC15" s="21" t="s">
        <v>3969</v>
      </c>
      <c r="AD15" s="8" t="s">
        <v>4294</v>
      </c>
      <c r="AE15" s="8" t="s">
        <v>4364</v>
      </c>
      <c r="AF15" s="9">
        <f t="shared" si="0"/>
        <v>4891.0580000000009</v>
      </c>
      <c r="AG15" s="9">
        <f t="shared" si="1"/>
        <v>5104.7449999999999</v>
      </c>
      <c r="AH15" s="9">
        <f t="shared" si="2"/>
        <v>3.4612805411394261</v>
      </c>
      <c r="AI15" s="9">
        <f t="shared" si="3"/>
        <v>11.980462984470439</v>
      </c>
      <c r="AJ15" s="9">
        <f t="shared" si="4"/>
        <v>2.0690726171998781</v>
      </c>
      <c r="AK15" s="9">
        <f t="shared" si="5"/>
        <v>4.2810614952463535</v>
      </c>
      <c r="AL15" s="9">
        <f t="shared" si="6"/>
        <v>1.9441588362281801</v>
      </c>
      <c r="AM15" s="9">
        <f t="shared" si="7"/>
        <v>3.7797535804841114</v>
      </c>
      <c r="AN15" s="8" t="s">
        <v>3969</v>
      </c>
    </row>
    <row r="16" spans="8:40" ht="23">
      <c r="M16" s="8" t="s">
        <v>5151</v>
      </c>
      <c r="N16" s="8"/>
      <c r="O16" s="8"/>
      <c r="P16" s="8"/>
      <c r="Q16" s="8"/>
      <c r="R16" s="8"/>
      <c r="S16" s="8"/>
      <c r="T16" s="8"/>
      <c r="U16" s="8"/>
      <c r="V16" s="8"/>
      <c r="W16" s="8" t="s">
        <v>5151</v>
      </c>
      <c r="X16" s="8">
        <v>32.590000000000003</v>
      </c>
      <c r="Y16" s="8">
        <v>3</v>
      </c>
      <c r="Z16" s="9">
        <v>2.54</v>
      </c>
      <c r="AA16" s="8">
        <v>1682.3</v>
      </c>
      <c r="AB16" s="8">
        <v>452</v>
      </c>
      <c r="AC16" s="21" t="s">
        <v>5151</v>
      </c>
      <c r="AD16" s="8" t="s">
        <v>4294</v>
      </c>
      <c r="AE16" s="8" t="s">
        <v>4364</v>
      </c>
      <c r="AF16" s="9">
        <f t="shared" si="0"/>
        <v>5046.8999999999996</v>
      </c>
      <c r="AG16" s="9">
        <f t="shared" si="1"/>
        <v>4878.67</v>
      </c>
      <c r="AH16" s="9">
        <f t="shared" si="2"/>
        <v>2.4524753629949272</v>
      </c>
      <c r="AI16" s="9">
        <f t="shared" si="3"/>
        <v>6.0146354060971001</v>
      </c>
      <c r="AJ16" s="9">
        <f t="shared" si="4"/>
        <v>2.1349987245594022</v>
      </c>
      <c r="AK16" s="9">
        <f t="shared" si="5"/>
        <v>4.5582195538702743</v>
      </c>
      <c r="AL16" s="9">
        <f t="shared" si="6"/>
        <v>1.8580574327495956</v>
      </c>
      <c r="AM16" s="9">
        <f t="shared" si="7"/>
        <v>3.4523774233960181</v>
      </c>
      <c r="AN16" s="8" t="s">
        <v>5151</v>
      </c>
    </row>
    <row r="17" spans="13:40" ht="23">
      <c r="M17" s="24" t="s">
        <v>5213</v>
      </c>
      <c r="N17" s="24"/>
      <c r="O17" s="24"/>
      <c r="P17" s="24"/>
      <c r="Q17" s="24"/>
      <c r="R17" s="24"/>
      <c r="S17" s="24"/>
      <c r="T17" s="24"/>
      <c r="U17" s="24"/>
      <c r="V17" s="24"/>
      <c r="W17" s="24" t="s">
        <v>5213</v>
      </c>
      <c r="X17" s="24">
        <v>32.61</v>
      </c>
      <c r="Y17" s="24">
        <v>3.26</v>
      </c>
      <c r="Z17" s="25">
        <v>3.05</v>
      </c>
      <c r="AA17" s="24">
        <v>1217.9000000000001</v>
      </c>
      <c r="AB17" s="24">
        <v>292</v>
      </c>
      <c r="AC17" s="21" t="s">
        <v>5213</v>
      </c>
      <c r="AD17" s="8" t="s">
        <v>4294</v>
      </c>
      <c r="AE17" s="8" t="s">
        <v>4364</v>
      </c>
      <c r="AF17" s="25">
        <f t="shared" si="0"/>
        <v>3970.3539999999998</v>
      </c>
      <c r="AG17" s="25">
        <f t="shared" si="1"/>
        <v>3755.1916666666671</v>
      </c>
      <c r="AH17" s="9">
        <f t="shared" si="2"/>
        <v>1.7754679573152958</v>
      </c>
      <c r="AI17" s="25">
        <f t="shared" si="3"/>
        <v>3.1522864674533491</v>
      </c>
      <c r="AJ17" s="9">
        <f t="shared" si="4"/>
        <v>1.6795856319818743</v>
      </c>
      <c r="AK17" s="25">
        <f t="shared" si="5"/>
        <v>2.8210078951599522</v>
      </c>
      <c r="AL17" s="9">
        <f t="shared" si="6"/>
        <v>1.4301770334229089</v>
      </c>
      <c r="AM17" s="25">
        <f t="shared" si="7"/>
        <v>2.0454063469303523</v>
      </c>
      <c r="AN17" s="24" t="s">
        <v>5213</v>
      </c>
    </row>
    <row r="18" spans="13:40" ht="23">
      <c r="M18" s="8" t="s">
        <v>4738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4738</v>
      </c>
      <c r="X18" s="8">
        <v>46.5</v>
      </c>
      <c r="Y18" s="8">
        <v>2.98</v>
      </c>
      <c r="Z18" s="9">
        <v>2.23</v>
      </c>
      <c r="AA18" s="8">
        <v>1103</v>
      </c>
      <c r="AB18" s="8">
        <v>934</v>
      </c>
      <c r="AC18" s="21" t="s">
        <v>4738</v>
      </c>
      <c r="AD18" s="8" t="s">
        <v>4294</v>
      </c>
      <c r="AE18" s="8" t="s">
        <v>4364</v>
      </c>
      <c r="AF18" s="9">
        <f t="shared" si="0"/>
        <v>3286.94</v>
      </c>
      <c r="AG18" s="9">
        <f t="shared" si="1"/>
        <v>2628.8166666666666</v>
      </c>
      <c r="AH18" s="9">
        <f t="shared" si="2"/>
        <v>1.6079654790366789</v>
      </c>
      <c r="AI18" s="9">
        <f t="shared" si="3"/>
        <v>2.585552981773656</v>
      </c>
      <c r="AJ18" s="9">
        <f t="shared" si="4"/>
        <v>1.3904798406354957</v>
      </c>
      <c r="AK18" s="9">
        <f t="shared" si="5"/>
        <v>1.9334341872137135</v>
      </c>
      <c r="AL18" s="9">
        <f t="shared" si="6"/>
        <v>1.0011934291181852</v>
      </c>
      <c r="AM18" s="9">
        <f t="shared" si="7"/>
        <v>1.0023882825094306</v>
      </c>
      <c r="AN18" s="8" t="s">
        <v>4738</v>
      </c>
    </row>
    <row r="19" spans="13:40" ht="23">
      <c r="M19" s="8" t="s">
        <v>4439</v>
      </c>
      <c r="N19" s="8"/>
      <c r="O19" s="8"/>
      <c r="P19" s="8"/>
      <c r="Q19" s="8"/>
      <c r="R19" s="8"/>
      <c r="S19" s="8"/>
      <c r="T19" s="8"/>
      <c r="U19" s="8"/>
      <c r="V19" s="8"/>
      <c r="W19" s="8" t="s">
        <v>4439</v>
      </c>
      <c r="X19" s="8">
        <v>43.47</v>
      </c>
      <c r="Y19" s="8">
        <v>1.9</v>
      </c>
      <c r="Z19" s="9">
        <v>1.34</v>
      </c>
      <c r="AA19" s="8">
        <v>694.9</v>
      </c>
      <c r="AB19" s="8">
        <v>1768</v>
      </c>
      <c r="AC19" s="21" t="s">
        <v>4439</v>
      </c>
      <c r="AD19" s="8" t="s">
        <v>4294</v>
      </c>
      <c r="AE19" s="8" t="s">
        <v>4364</v>
      </c>
      <c r="AF19" s="9">
        <f t="shared" si="0"/>
        <v>1320.31</v>
      </c>
      <c r="AG19" s="9">
        <f t="shared" si="1"/>
        <v>1088.6766666666667</v>
      </c>
      <c r="AH19" s="9">
        <f t="shared" si="2"/>
        <v>1.0130328299026186</v>
      </c>
      <c r="AI19" s="9">
        <f t="shared" si="3"/>
        <v>1.0262355144605078</v>
      </c>
      <c r="AJ19" s="9">
        <f t="shared" si="4"/>
        <v>0.55853299372347875</v>
      </c>
      <c r="AK19" s="9">
        <f t="shared" si="5"/>
        <v>0.31195910507771157</v>
      </c>
      <c r="AL19" s="9">
        <f t="shared" si="6"/>
        <v>0.41462607070391194</v>
      </c>
      <c r="AM19" s="9">
        <f t="shared" si="7"/>
        <v>0.17191477850736539</v>
      </c>
      <c r="AN19" s="8" t="s">
        <v>4439</v>
      </c>
    </row>
    <row r="20" spans="13:40" ht="23">
      <c r="M20" s="24" t="s">
        <v>5215</v>
      </c>
      <c r="N20" s="24"/>
      <c r="O20" s="24"/>
      <c r="P20" s="24"/>
      <c r="Q20" s="24"/>
      <c r="R20" s="24"/>
      <c r="S20" s="24"/>
      <c r="T20" s="24"/>
      <c r="U20" s="24"/>
      <c r="V20" s="24"/>
      <c r="W20" s="24" t="s">
        <v>5215</v>
      </c>
      <c r="X20" s="24">
        <v>43.2</v>
      </c>
      <c r="Y20" s="24">
        <v>1.84</v>
      </c>
      <c r="Z20" s="25">
        <v>2.1800000000000002</v>
      </c>
      <c r="AA20" s="24">
        <v>667.4</v>
      </c>
      <c r="AB20" s="24">
        <v>1070</v>
      </c>
      <c r="AC20" s="21" t="s">
        <v>5215</v>
      </c>
      <c r="AD20" s="8" t="s">
        <v>4294</v>
      </c>
      <c r="AE20" s="8" t="s">
        <v>4364</v>
      </c>
      <c r="AF20" s="25">
        <f t="shared" si="0"/>
        <v>1228.0160000000001</v>
      </c>
      <c r="AG20" s="25">
        <f t="shared" si="1"/>
        <v>1535.0199999999998</v>
      </c>
      <c r="AH20" s="9">
        <f t="shared" si="2"/>
        <v>0.97294302874803218</v>
      </c>
      <c r="AI20" s="25">
        <f t="shared" si="3"/>
        <v>0.94661813718939414</v>
      </c>
      <c r="AJ20" s="9">
        <f t="shared" si="4"/>
        <v>0.51948970531188243</v>
      </c>
      <c r="AK20" s="25">
        <f t="shared" si="5"/>
        <v>0.26986955392502643</v>
      </c>
      <c r="AL20" s="9">
        <f t="shared" si="6"/>
        <v>0.58461738966137988</v>
      </c>
      <c r="AM20" s="25">
        <f t="shared" si="7"/>
        <v>0.34177749229448567</v>
      </c>
      <c r="AN20" s="24" t="s">
        <v>5215</v>
      </c>
    </row>
    <row r="21" spans="13:40" ht="23">
      <c r="M21" s="8" t="s">
        <v>5152</v>
      </c>
      <c r="N21" s="8"/>
      <c r="O21" s="8"/>
      <c r="P21" s="8"/>
      <c r="Q21" s="8"/>
      <c r="R21" s="8"/>
      <c r="S21" s="8"/>
      <c r="T21" s="8"/>
      <c r="U21" s="8"/>
      <c r="V21" s="8"/>
      <c r="W21" s="8" t="s">
        <v>5152</v>
      </c>
      <c r="X21" s="8">
        <v>29.73</v>
      </c>
      <c r="Y21" s="8">
        <v>5.2</v>
      </c>
      <c r="Z21" s="9">
        <v>5.09</v>
      </c>
      <c r="AA21" s="8">
        <v>326.7</v>
      </c>
      <c r="AB21" s="8">
        <v>977</v>
      </c>
      <c r="AC21" s="21" t="s">
        <v>5152</v>
      </c>
      <c r="AD21" s="8" t="s">
        <v>4294</v>
      </c>
      <c r="AE21" s="8" t="s">
        <v>4364</v>
      </c>
      <c r="AF21" s="9">
        <f t="shared" si="0"/>
        <v>1698.84</v>
      </c>
      <c r="AG21" s="9">
        <f t="shared" si="1"/>
        <v>1682.5050000000001</v>
      </c>
      <c r="AH21" s="9">
        <f t="shared" si="2"/>
        <v>0.47626683771648498</v>
      </c>
      <c r="AI21" s="9">
        <f t="shared" si="3"/>
        <v>0.22683010070846063</v>
      </c>
      <c r="AJ21" s="9">
        <f t="shared" si="4"/>
        <v>0.71866318596177747</v>
      </c>
      <c r="AK21" s="9">
        <f t="shared" si="5"/>
        <v>0.51647677485673238</v>
      </c>
      <c r="AL21" s="9">
        <f t="shared" si="6"/>
        <v>0.64078753448959624</v>
      </c>
      <c r="AM21" s="9">
        <f t="shared" si="7"/>
        <v>0.41060866435725552</v>
      </c>
      <c r="AN21" s="8" t="s">
        <v>5152</v>
      </c>
    </row>
    <row r="22" spans="13:40" ht="23">
      <c r="M22" s="24" t="s">
        <v>5214</v>
      </c>
      <c r="N22" s="24"/>
      <c r="O22" s="24"/>
      <c r="P22" s="24"/>
      <c r="Q22" s="24"/>
      <c r="R22" s="24"/>
      <c r="S22" s="24"/>
      <c r="T22" s="24"/>
      <c r="U22" s="24"/>
      <c r="V22" s="24"/>
      <c r="W22" s="24" t="s">
        <v>5214</v>
      </c>
      <c r="X22" s="24">
        <v>35.24</v>
      </c>
      <c r="Y22" s="24">
        <v>2.15</v>
      </c>
      <c r="Z22" s="25">
        <v>1.24</v>
      </c>
      <c r="AA22" s="24">
        <v>151.19999999999999</v>
      </c>
      <c r="AB22" s="24">
        <v>6456</v>
      </c>
      <c r="AC22" s="21" t="s">
        <v>5214</v>
      </c>
      <c r="AD22" s="8" t="s">
        <v>4294</v>
      </c>
      <c r="AE22" s="8" t="s">
        <v>4364</v>
      </c>
      <c r="AF22" s="25">
        <f t="shared" si="0"/>
        <v>325.08</v>
      </c>
      <c r="AG22" s="25">
        <f t="shared" si="1"/>
        <v>211.67999999999998</v>
      </c>
      <c r="AH22" s="9">
        <f t="shared" si="2"/>
        <v>0.22042101580267073</v>
      </c>
      <c r="AI22" s="25">
        <f t="shared" si="3"/>
        <v>4.8585424207481222E-2</v>
      </c>
      <c r="AJ22" s="9">
        <f t="shared" si="4"/>
        <v>0.13751914747266056</v>
      </c>
      <c r="AK22" s="25">
        <f t="shared" si="5"/>
        <v>1.8911515921607364E-2</v>
      </c>
      <c r="AL22" s="9">
        <f t="shared" si="6"/>
        <v>8.0619020627432147E-2</v>
      </c>
      <c r="AM22" s="25">
        <f t="shared" si="7"/>
        <v>6.49942648692633E-3</v>
      </c>
      <c r="AN22" s="24" t="s">
        <v>5214</v>
      </c>
    </row>
    <row r="23" spans="13:40" ht="23">
      <c r="M23" s="24" t="s">
        <v>5212</v>
      </c>
      <c r="N23" s="24"/>
      <c r="O23" s="24"/>
      <c r="P23" s="24"/>
      <c r="Q23" s="24"/>
      <c r="R23" s="24"/>
      <c r="S23" s="24"/>
      <c r="T23" s="24"/>
      <c r="U23" s="24"/>
      <c r="V23" s="24"/>
      <c r="W23" s="24" t="s">
        <v>5212</v>
      </c>
      <c r="X23" s="24">
        <v>44.35</v>
      </c>
      <c r="Y23" s="24">
        <v>1.27</v>
      </c>
      <c r="Z23" s="25">
        <v>0.12</v>
      </c>
      <c r="AA23" s="24">
        <v>146.80000000000001</v>
      </c>
      <c r="AB23" s="24">
        <v>4194</v>
      </c>
      <c r="AC23" s="21" t="s">
        <v>5212</v>
      </c>
      <c r="AD23" s="8" t="s">
        <v>4294</v>
      </c>
      <c r="AE23" s="8" t="s">
        <v>4364</v>
      </c>
      <c r="AF23" s="25">
        <f t="shared" si="0"/>
        <v>186.43600000000001</v>
      </c>
      <c r="AG23" s="25">
        <f t="shared" si="1"/>
        <v>29.360000000000003</v>
      </c>
      <c r="AH23" s="9">
        <f t="shared" si="2"/>
        <v>0.21400664761793697</v>
      </c>
      <c r="AI23" s="25">
        <f t="shared" si="3"/>
        <v>4.5798845224667852E-2</v>
      </c>
      <c r="AJ23" s="9">
        <f t="shared" si="4"/>
        <v>7.8868339418644476E-2</v>
      </c>
      <c r="AK23" s="25">
        <f t="shared" si="5"/>
        <v>6.2202149626545099E-3</v>
      </c>
      <c r="AL23" s="9">
        <f t="shared" si="6"/>
        <v>1.1181852067372489E-2</v>
      </c>
      <c r="AM23" s="25">
        <f t="shared" si="7"/>
        <v>1.2503381565660241E-4</v>
      </c>
      <c r="AN23" s="24" t="s">
        <v>5212</v>
      </c>
    </row>
    <row r="24" spans="13:40" ht="23">
      <c r="M24" s="24" t="s">
        <v>5211</v>
      </c>
      <c r="N24" s="24"/>
      <c r="O24" s="24"/>
      <c r="P24" s="24"/>
      <c r="Q24" s="24"/>
      <c r="R24" s="24"/>
      <c r="S24" s="24"/>
      <c r="T24" s="24"/>
      <c r="U24" s="24"/>
      <c r="V24" s="24"/>
      <c r="W24" s="24" t="s">
        <v>5211</v>
      </c>
      <c r="X24" s="24">
        <v>28.9</v>
      </c>
      <c r="Y24" s="24">
        <v>1.58</v>
      </c>
      <c r="Z24" s="25">
        <v>0.27</v>
      </c>
      <c r="AA24" s="24">
        <v>102.9</v>
      </c>
      <c r="AB24" s="24">
        <v>12088</v>
      </c>
      <c r="AC24" s="21" t="s">
        <v>5211</v>
      </c>
      <c r="AD24" s="8" t="s">
        <v>4294</v>
      </c>
      <c r="AE24" s="8" t="s">
        <v>4364</v>
      </c>
      <c r="AF24" s="25">
        <f t="shared" si="0"/>
        <v>162.58200000000002</v>
      </c>
      <c r="AG24" s="25">
        <f t="shared" si="1"/>
        <v>46.305000000000007</v>
      </c>
      <c r="AH24" s="9">
        <f t="shared" si="2"/>
        <v>0.1500087468657065</v>
      </c>
      <c r="AI24" s="25">
        <f t="shared" si="3"/>
        <v>2.2502624136219611E-2</v>
      </c>
      <c r="AJ24" s="9">
        <f t="shared" si="4"/>
        <v>6.8777341068045103E-2</v>
      </c>
      <c r="AK24" s="25">
        <f t="shared" si="5"/>
        <v>4.7303226443902039E-3</v>
      </c>
      <c r="AL24" s="9">
        <f t="shared" si="6"/>
        <v>1.7635410762250787E-2</v>
      </c>
      <c r="AM24" s="25">
        <f t="shared" si="7"/>
        <v>3.1100771275331088E-4</v>
      </c>
      <c r="AN24" s="24" t="s">
        <v>5211</v>
      </c>
    </row>
    <row r="25" spans="13:40" ht="23">
      <c r="M25" s="8" t="s">
        <v>3824</v>
      </c>
      <c r="N25" s="8"/>
      <c r="O25" s="8"/>
      <c r="P25" s="8"/>
      <c r="Q25" s="8"/>
      <c r="R25" s="8"/>
      <c r="S25" s="8"/>
      <c r="T25" s="8"/>
      <c r="U25" s="8"/>
      <c r="V25" s="8"/>
      <c r="W25" s="8" t="s">
        <v>3824</v>
      </c>
      <c r="X25" s="8">
        <v>45.42</v>
      </c>
      <c r="Y25" s="8">
        <v>2.57</v>
      </c>
      <c r="Z25" s="9">
        <v>1.5</v>
      </c>
      <c r="AA25" s="8">
        <v>4.4000000000000004</v>
      </c>
      <c r="AB25" s="8">
        <v>47085</v>
      </c>
      <c r="AC25" s="21" t="s">
        <v>3824</v>
      </c>
      <c r="AD25" s="8" t="s">
        <v>4294</v>
      </c>
      <c r="AE25" s="8" t="s">
        <v>4364</v>
      </c>
      <c r="AF25" s="9">
        <f t="shared" si="0"/>
        <v>11.308</v>
      </c>
      <c r="AG25" s="9">
        <f t="shared" si="1"/>
        <v>4.4366666666666665</v>
      </c>
      <c r="AH25" s="9">
        <f t="shared" si="2"/>
        <v>6.4143681847338057E-3</v>
      </c>
      <c r="AI25" s="9">
        <f t="shared" si="3"/>
        <v>4.1144119209325257E-5</v>
      </c>
      <c r="AJ25" s="9">
        <f t="shared" si="4"/>
        <v>4.7836425483599281E-3</v>
      </c>
      <c r="AK25" s="9">
        <f t="shared" si="5"/>
        <v>2.2883236030479467E-5</v>
      </c>
      <c r="AL25" s="9">
        <f t="shared" si="6"/>
        <v>1.6897190169928224E-3</v>
      </c>
      <c r="AM25" s="9">
        <f t="shared" si="7"/>
        <v>2.8551503563871899E-6</v>
      </c>
      <c r="AN25" s="8" t="s">
        <v>3824</v>
      </c>
    </row>
    <row r="26" spans="13:40" ht="23"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9"/>
      <c r="AA26" s="8">
        <f>SUBTOTAL(109,Table13659[ترافیک کل])</f>
        <v>68595.999999999985</v>
      </c>
      <c r="AB26" s="8"/>
      <c r="AC26" s="21"/>
      <c r="AD26" s="8"/>
      <c r="AE26" s="8"/>
      <c r="AF26" s="9">
        <f>SUBTOTAL(109,Table13659[[مجموع صفحات  مشاهده شده   ]])</f>
        <v>236388.89999999994</v>
      </c>
      <c r="AG26" s="9">
        <f>SUBTOTAL(109,Table13659[[مجموع زمان حضور در سایت ]])</f>
        <v>262568.31</v>
      </c>
      <c r="AH26" s="9">
        <f>SUBTOTAL(109,Table13659[سهم سایت از کل ترافیک طبقه بندی])</f>
        <v>100.00000000000003</v>
      </c>
      <c r="AI26" s="9">
        <f>SUBTOTAL(109,Table13659[شاخص هرفیندال هیرشمن (ترافیک)])</f>
        <v>680.1202246294813</v>
      </c>
      <c r="AJ26" s="9">
        <f>SUBTOTAL(109,Table13659[سهم سایت از کل صفحات مشاهده شده در طبقه بندی])</f>
        <v>100.00000000000003</v>
      </c>
      <c r="AK26" s="9">
        <f>SUBTOTAL(109,Table13659[شاخص هرفیندال -هیرشمن (صفحات مشاهده شده )])</f>
        <v>891.59065281104427</v>
      </c>
      <c r="AL26" s="9">
        <f>SUBTOTAL(109,Table13659[سهم سایت از کل زمان حضور در طبقه بندی])</f>
        <v>100.00000000000001</v>
      </c>
      <c r="AM26" s="9">
        <f>SUBTOTAL(109,Table13659[شاخص هرفیندال هیرشمن (زمان حضور)])</f>
        <v>905.47830514920474</v>
      </c>
      <c r="AN26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{AEA17347-B756-4981-BB3B-58E00C5BC342}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{379FD6A1-0C33-4251-AC78-CFB8291E842E}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{4744B288-0521-471E-8393-254E857BD076}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{C3EDC691-3C18-4EB6-B6F8-38BD79DD6EF8}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{83EF6B39-D8E4-40EA-A645-60BA95716644}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{3C7891EB-A039-49E4-9BC4-909083444C09}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EA17347-B756-4981-BB3B-58E00C5BC34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79FD6A1-0C33-4251-AC78-CFB8291E842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4744B288-0521-471E-8393-254E857BD07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3EDC691-3C18-4EB6-B6F8-38BD79DD6EF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3EF6B39-D8E4-40EA-A645-60BA957166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3C7891EB-A039-49E4-9BC4-909083444C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9"/>
  <sheetViews>
    <sheetView showGridLines="0" rightToLeft="1" topLeftCell="AA1" zoomScale="70" zoomScaleNormal="70" workbookViewId="0">
      <selection activeCell="AE2" sqref="AE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1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3799</v>
      </c>
      <c r="N2" s="8"/>
      <c r="O2" s="8"/>
      <c r="P2" s="8"/>
      <c r="Q2" s="8"/>
      <c r="R2" s="8"/>
      <c r="S2" s="8"/>
      <c r="T2" s="8"/>
      <c r="U2" s="8"/>
      <c r="V2" s="8"/>
      <c r="W2" s="8" t="s">
        <v>3799</v>
      </c>
      <c r="X2" s="8">
        <v>57.15</v>
      </c>
      <c r="Y2" s="8">
        <v>2.61</v>
      </c>
      <c r="Z2" s="9">
        <v>3.13</v>
      </c>
      <c r="AA2" s="8">
        <v>16843.599999999999</v>
      </c>
      <c r="AB2" s="8">
        <v>88</v>
      </c>
      <c r="AC2" s="21" t="s">
        <v>3799</v>
      </c>
      <c r="AD2" s="8" t="s">
        <v>4293</v>
      </c>
      <c r="AE2" s="8" t="s">
        <v>4364</v>
      </c>
      <c r="AF2" s="9">
        <f t="shared" ref="AF2:AF28" si="0">(AA2*Y2)</f>
        <v>43961.795999999995</v>
      </c>
      <c r="AG2" s="9">
        <f t="shared" ref="AG2:AG28" si="1">((((RIGHT(Z2,2))/60)+(LEFT(Z2,2)))*AA2)</f>
        <v>54180.246666666666</v>
      </c>
      <c r="AH2" s="9">
        <f t="shared" ref="AH2:AH28" si="2">(AA2/$AA$29)*100</f>
        <v>19.266386654587713</v>
      </c>
      <c r="AI2" s="9">
        <f t="shared" ref="AI2:AI28" si="3">(AH2*AH2)</f>
        <v>371.19365472407554</v>
      </c>
      <c r="AJ2" s="9">
        <f t="shared" ref="AJ2:AJ28" si="4">(AF2/$AF$29)*100</f>
        <v>18.210575224460811</v>
      </c>
      <c r="AK2" s="9">
        <f t="shared" ref="AK2:AK28" si="5">(AJ2*AJ2)</f>
        <v>331.62505000574595</v>
      </c>
      <c r="AL2" s="9">
        <f t="shared" ref="AL2:AL28" si="6">(AG2/$AG$29)*100</f>
        <v>19.172268975178206</v>
      </c>
      <c r="AM2" s="9">
        <f t="shared" ref="AM2:AM28" si="7">(AL2*AL2)</f>
        <v>367.57589765658076</v>
      </c>
      <c r="AN2" s="8" t="s">
        <v>3799</v>
      </c>
    </row>
    <row r="3" spans="8:40" ht="23">
      <c r="M3" s="8" t="s">
        <v>3877</v>
      </c>
      <c r="N3" s="8"/>
      <c r="O3" s="8"/>
      <c r="P3" s="8"/>
      <c r="Q3" s="8"/>
      <c r="R3" s="8"/>
      <c r="S3" s="8"/>
      <c r="T3" s="8"/>
      <c r="U3" s="8"/>
      <c r="V3" s="8"/>
      <c r="W3" s="8" t="s">
        <v>3877</v>
      </c>
      <c r="X3" s="8">
        <v>61.98</v>
      </c>
      <c r="Y3" s="8">
        <v>2.97</v>
      </c>
      <c r="Z3" s="9">
        <v>3.5</v>
      </c>
      <c r="AA3" s="8">
        <v>10761.7</v>
      </c>
      <c r="AB3" s="8">
        <v>193</v>
      </c>
      <c r="AC3" s="21" t="s">
        <v>3877</v>
      </c>
      <c r="AD3" s="8" t="s">
        <v>4293</v>
      </c>
      <c r="AE3" s="8" t="s">
        <v>4364</v>
      </c>
      <c r="AF3" s="9">
        <f t="shared" si="0"/>
        <v>31962.249000000003</v>
      </c>
      <c r="AG3" s="9">
        <f t="shared" si="1"/>
        <v>32374.780833333334</v>
      </c>
      <c r="AH3" s="9">
        <f t="shared" si="2"/>
        <v>12.309664992084626</v>
      </c>
      <c r="AI3" s="9">
        <f t="shared" si="3"/>
        <v>151.5278522173538</v>
      </c>
      <c r="AJ3" s="9">
        <f t="shared" si="4"/>
        <v>13.239926315964148</v>
      </c>
      <c r="AK3" s="9">
        <f t="shared" si="5"/>
        <v>175.29564885215999</v>
      </c>
      <c r="AL3" s="9">
        <f t="shared" si="6"/>
        <v>11.456167964089078</v>
      </c>
      <c r="AM3" s="9">
        <f t="shared" si="7"/>
        <v>131.24378442142088</v>
      </c>
      <c r="AN3" s="8" t="s">
        <v>3877</v>
      </c>
    </row>
    <row r="4" spans="8:40" ht="23">
      <c r="M4" s="8" t="s">
        <v>3786</v>
      </c>
      <c r="N4" s="8"/>
      <c r="O4" s="8"/>
      <c r="P4" s="8"/>
      <c r="Q4" s="8"/>
      <c r="R4" s="8"/>
      <c r="S4" s="8"/>
      <c r="T4" s="8"/>
      <c r="U4" s="8"/>
      <c r="V4" s="8"/>
      <c r="W4" s="8" t="s">
        <v>3786</v>
      </c>
      <c r="X4" s="8">
        <v>53.18</v>
      </c>
      <c r="Y4" s="8">
        <v>2.64</v>
      </c>
      <c r="Z4" s="9">
        <v>3.33</v>
      </c>
      <c r="AA4" s="8">
        <v>10174.700000000001</v>
      </c>
      <c r="AB4" s="8">
        <v>169</v>
      </c>
      <c r="AC4" s="21" t="s">
        <v>3786</v>
      </c>
      <c r="AD4" s="8" t="s">
        <v>4293</v>
      </c>
      <c r="AE4" s="8" t="s">
        <v>4364</v>
      </c>
      <c r="AF4" s="9">
        <f t="shared" si="0"/>
        <v>26861.208000000002</v>
      </c>
      <c r="AG4" s="9">
        <f t="shared" si="1"/>
        <v>36120.184999999998</v>
      </c>
      <c r="AH4" s="9">
        <f t="shared" si="2"/>
        <v>11.63823079949854</v>
      </c>
      <c r="AI4" s="9">
        <f t="shared" si="3"/>
        <v>135.44841614239644</v>
      </c>
      <c r="AJ4" s="9">
        <f t="shared" si="4"/>
        <v>11.126889558922676</v>
      </c>
      <c r="AK4" s="9">
        <f t="shared" si="5"/>
        <v>123.80767125646246</v>
      </c>
      <c r="AL4" s="9">
        <f t="shared" si="6"/>
        <v>12.78151992392548</v>
      </c>
      <c r="AM4" s="9">
        <f t="shared" si="7"/>
        <v>163.36725156570401</v>
      </c>
      <c r="AN4" s="8" t="s">
        <v>3786</v>
      </c>
    </row>
    <row r="5" spans="8:40" ht="23">
      <c r="M5" s="8" t="s">
        <v>3890</v>
      </c>
      <c r="N5" s="8"/>
      <c r="O5" s="8"/>
      <c r="P5" s="8"/>
      <c r="Q5" s="8"/>
      <c r="R5" s="8"/>
      <c r="S5" s="8"/>
      <c r="T5" s="8"/>
      <c r="U5" s="8"/>
      <c r="V5" s="8"/>
      <c r="W5" s="8" t="s">
        <v>3890</v>
      </c>
      <c r="X5" s="8">
        <v>56.85</v>
      </c>
      <c r="Y5" s="8">
        <v>2.58</v>
      </c>
      <c r="Z5" s="9">
        <v>2.08</v>
      </c>
      <c r="AA5" s="8">
        <v>4624.5</v>
      </c>
      <c r="AB5" s="8">
        <v>339</v>
      </c>
      <c r="AC5" s="21" t="s">
        <v>3890</v>
      </c>
      <c r="AD5" s="8" t="s">
        <v>4293</v>
      </c>
      <c r="AE5" s="8" t="s">
        <v>4364</v>
      </c>
      <c r="AF5" s="9">
        <f t="shared" si="0"/>
        <v>11931.210000000001</v>
      </c>
      <c r="AG5" s="9">
        <f t="shared" si="1"/>
        <v>9865.6</v>
      </c>
      <c r="AH5" s="9">
        <f t="shared" si="2"/>
        <v>5.2896889669750458</v>
      </c>
      <c r="AI5" s="9">
        <f t="shared" si="3"/>
        <v>27.980809367337528</v>
      </c>
      <c r="AJ5" s="9">
        <f t="shared" si="4"/>
        <v>4.9423412370104058</v>
      </c>
      <c r="AK5" s="9">
        <f t="shared" si="5"/>
        <v>24.426736903053548</v>
      </c>
      <c r="AL5" s="9">
        <f t="shared" si="6"/>
        <v>3.4910497540773737</v>
      </c>
      <c r="AM5" s="9">
        <f t="shared" si="7"/>
        <v>12.187428385443692</v>
      </c>
      <c r="AN5" s="8" t="s">
        <v>3890</v>
      </c>
    </row>
    <row r="6" spans="8:40" ht="23">
      <c r="M6" s="8" t="s">
        <v>4309</v>
      </c>
      <c r="N6" s="8"/>
      <c r="O6" s="8"/>
      <c r="P6" s="8"/>
      <c r="Q6" s="8"/>
      <c r="R6" s="8"/>
      <c r="S6" s="8"/>
      <c r="T6" s="8"/>
      <c r="U6" s="8"/>
      <c r="V6" s="8"/>
      <c r="W6" s="8" t="s">
        <v>4309</v>
      </c>
      <c r="X6" s="8">
        <v>37.56</v>
      </c>
      <c r="Y6" s="8">
        <v>6</v>
      </c>
      <c r="Z6" s="9">
        <v>9.36</v>
      </c>
      <c r="AA6" s="8">
        <v>4219.8</v>
      </c>
      <c r="AB6" s="8">
        <v>232</v>
      </c>
      <c r="AC6" s="21" t="s">
        <v>4309</v>
      </c>
      <c r="AD6" s="8" t="s">
        <v>4293</v>
      </c>
      <c r="AE6" s="8" t="s">
        <v>4364</v>
      </c>
      <c r="AF6" s="9">
        <f t="shared" si="0"/>
        <v>25318.800000000003</v>
      </c>
      <c r="AG6" s="9">
        <f t="shared" si="1"/>
        <v>40510.080000000002</v>
      </c>
      <c r="AH6" s="9">
        <f t="shared" si="2"/>
        <v>4.8267768413539409</v>
      </c>
      <c r="AI6" s="9">
        <f t="shared" si="3"/>
        <v>23.297774676230727</v>
      </c>
      <c r="AJ6" s="9">
        <f t="shared" si="4"/>
        <v>10.487968052831111</v>
      </c>
      <c r="AK6" s="9">
        <f t="shared" si="5"/>
        <v>109.99747387720599</v>
      </c>
      <c r="AL6" s="9">
        <f t="shared" si="6"/>
        <v>14.334931967812878</v>
      </c>
      <c r="AM6" s="9">
        <f t="shared" si="7"/>
        <v>205.49027452182358</v>
      </c>
      <c r="AN6" s="8" t="s">
        <v>4309</v>
      </c>
    </row>
    <row r="7" spans="8:40" ht="23">
      <c r="M7" s="8" t="s">
        <v>3959</v>
      </c>
      <c r="N7" s="8"/>
      <c r="O7" s="8"/>
      <c r="P7" s="8"/>
      <c r="Q7" s="8"/>
      <c r="R7" s="8"/>
      <c r="S7" s="8"/>
      <c r="T7" s="8"/>
      <c r="U7" s="8"/>
      <c r="V7" s="8"/>
      <c r="W7" s="8" t="s">
        <v>3959</v>
      </c>
      <c r="X7" s="8">
        <v>65.540000000000006</v>
      </c>
      <c r="Y7" s="8">
        <v>1.8</v>
      </c>
      <c r="Z7" s="9">
        <v>3.49</v>
      </c>
      <c r="AA7" s="8">
        <v>4014.2</v>
      </c>
      <c r="AB7" s="8">
        <v>841</v>
      </c>
      <c r="AC7" s="21" t="s">
        <v>3959</v>
      </c>
      <c r="AD7" s="8" t="s">
        <v>4293</v>
      </c>
      <c r="AE7" s="8" t="s">
        <v>4364</v>
      </c>
      <c r="AF7" s="9">
        <f t="shared" si="0"/>
        <v>7225.5599999999995</v>
      </c>
      <c r="AG7" s="9">
        <f t="shared" si="1"/>
        <v>15320.863333333331</v>
      </c>
      <c r="AH7" s="9">
        <f t="shared" si="2"/>
        <v>4.5916032979200407</v>
      </c>
      <c r="AI7" s="9">
        <f t="shared" si="3"/>
        <v>21.082820845470195</v>
      </c>
      <c r="AJ7" s="9">
        <f t="shared" si="4"/>
        <v>2.9930898164136668</v>
      </c>
      <c r="AK7" s="9">
        <f t="shared" si="5"/>
        <v>8.9585866491191979</v>
      </c>
      <c r="AL7" s="9">
        <f t="shared" si="6"/>
        <v>5.4214539584096633</v>
      </c>
      <c r="AM7" s="9">
        <f t="shared" si="7"/>
        <v>29.392163023155806</v>
      </c>
      <c r="AN7" s="8" t="s">
        <v>3959</v>
      </c>
    </row>
    <row r="8" spans="8:40" ht="23">
      <c r="M8" s="8" t="s">
        <v>4517</v>
      </c>
      <c r="N8" s="8"/>
      <c r="O8" s="8"/>
      <c r="P8" s="8"/>
      <c r="Q8" s="8"/>
      <c r="R8" s="8"/>
      <c r="S8" s="8"/>
      <c r="T8" s="8"/>
      <c r="U8" s="8"/>
      <c r="V8" s="8"/>
      <c r="W8" s="8" t="s">
        <v>4517</v>
      </c>
      <c r="X8" s="8">
        <v>58.75</v>
      </c>
      <c r="Y8" s="8">
        <v>2.21</v>
      </c>
      <c r="Z8" s="9">
        <v>3.29</v>
      </c>
      <c r="AA8" s="8">
        <v>3999.9</v>
      </c>
      <c r="AB8" s="8">
        <v>595</v>
      </c>
      <c r="AC8" s="21" t="s">
        <v>4517</v>
      </c>
      <c r="AD8" s="8" t="s">
        <v>4293</v>
      </c>
      <c r="AE8" s="8" t="s">
        <v>4364</v>
      </c>
      <c r="AF8" s="9">
        <f t="shared" si="0"/>
        <v>8839.7790000000005</v>
      </c>
      <c r="AG8" s="9">
        <f t="shared" si="1"/>
        <v>13932.985000000001</v>
      </c>
      <c r="AH8" s="9">
        <f t="shared" si="2"/>
        <v>4.5752463831773138</v>
      </c>
      <c r="AI8" s="9">
        <f t="shared" si="3"/>
        <v>20.932879466777091</v>
      </c>
      <c r="AJ8" s="9">
        <f t="shared" si="4"/>
        <v>3.6617580511749113</v>
      </c>
      <c r="AK8" s="9">
        <f t="shared" si="5"/>
        <v>13.408472025344285</v>
      </c>
      <c r="AL8" s="9">
        <f t="shared" si="6"/>
        <v>4.9303381302519602</v>
      </c>
      <c r="AM8" s="9">
        <f t="shared" si="7"/>
        <v>24.308234078616394</v>
      </c>
      <c r="AN8" s="8" t="s">
        <v>4517</v>
      </c>
    </row>
    <row r="9" spans="8:40" ht="23">
      <c r="M9" s="8" t="s">
        <v>4739</v>
      </c>
      <c r="N9" s="8"/>
      <c r="O9" s="8"/>
      <c r="P9" s="8"/>
      <c r="Q9" s="8"/>
      <c r="R9" s="8"/>
      <c r="S9" s="8"/>
      <c r="T9" s="8"/>
      <c r="U9" s="8"/>
      <c r="V9" s="8"/>
      <c r="W9" s="8" t="s">
        <v>4739</v>
      </c>
      <c r="X9" s="8">
        <v>51.8</v>
      </c>
      <c r="Y9" s="8">
        <v>3.14</v>
      </c>
      <c r="Z9" s="9">
        <v>3</v>
      </c>
      <c r="AA9" s="8">
        <v>3452.9</v>
      </c>
      <c r="AB9" s="8">
        <v>512</v>
      </c>
      <c r="AC9" s="21" t="s">
        <v>4739</v>
      </c>
      <c r="AD9" s="8" t="s">
        <v>4293</v>
      </c>
      <c r="AE9" s="8" t="s">
        <v>4364</v>
      </c>
      <c r="AF9" s="9">
        <f t="shared" si="0"/>
        <v>10842.106000000002</v>
      </c>
      <c r="AG9" s="9">
        <f t="shared" si="1"/>
        <v>10531.344999999999</v>
      </c>
      <c r="AH9" s="9">
        <f t="shared" si="2"/>
        <v>3.9495657982631931</v>
      </c>
      <c r="AI9" s="9">
        <f t="shared" si="3"/>
        <v>15.599069994810373</v>
      </c>
      <c r="AJ9" s="9">
        <f t="shared" si="4"/>
        <v>4.4911947388268203</v>
      </c>
      <c r="AK9" s="9">
        <f t="shared" si="5"/>
        <v>20.170830182065711</v>
      </c>
      <c r="AL9" s="9">
        <f t="shared" si="6"/>
        <v>3.7266308559392205</v>
      </c>
      <c r="AM9" s="9">
        <f t="shared" si="7"/>
        <v>13.887777536438287</v>
      </c>
      <c r="AN9" s="8" t="s">
        <v>4739</v>
      </c>
    </row>
    <row r="10" spans="8:40" ht="20.5" customHeight="1">
      <c r="M10" s="8" t="s">
        <v>4524</v>
      </c>
      <c r="N10" s="8"/>
      <c r="O10" s="8"/>
      <c r="P10" s="8" t="s">
        <v>4653</v>
      </c>
      <c r="Q10" s="8"/>
      <c r="R10" s="8"/>
      <c r="S10" s="8"/>
      <c r="T10" s="8"/>
      <c r="U10" s="8"/>
      <c r="V10" s="8"/>
      <c r="W10" s="8" t="s">
        <v>4524</v>
      </c>
      <c r="X10" s="8">
        <v>62.65</v>
      </c>
      <c r="Y10" s="8">
        <v>2.29</v>
      </c>
      <c r="Z10" s="9">
        <v>1.29</v>
      </c>
      <c r="AA10" s="8">
        <v>3416.4</v>
      </c>
      <c r="AB10" s="8">
        <v>433</v>
      </c>
      <c r="AC10" s="21" t="s">
        <v>4524</v>
      </c>
      <c r="AD10" s="8" t="s">
        <v>4293</v>
      </c>
      <c r="AE10" s="8" t="s">
        <v>4364</v>
      </c>
      <c r="AF10" s="9">
        <f t="shared" si="0"/>
        <v>7823.5560000000005</v>
      </c>
      <c r="AG10" s="9">
        <f t="shared" si="1"/>
        <v>5067.6600000000008</v>
      </c>
      <c r="AH10" s="9">
        <f t="shared" si="2"/>
        <v>3.9078156312625247</v>
      </c>
      <c r="AI10" s="9">
        <f t="shared" si="3"/>
        <v>15.271023007939725</v>
      </c>
      <c r="AJ10" s="9">
        <f t="shared" si="4"/>
        <v>3.2408015145873872</v>
      </c>
      <c r="AK10" s="9">
        <f t="shared" si="5"/>
        <v>10.502794456951904</v>
      </c>
      <c r="AL10" s="9">
        <f t="shared" si="6"/>
        <v>1.7932465533518231</v>
      </c>
      <c r="AM10" s="9">
        <f t="shared" si="7"/>
        <v>3.2157332011081929</v>
      </c>
      <c r="AN10" s="8" t="s">
        <v>4524</v>
      </c>
    </row>
    <row r="11" spans="8:40" ht="23" customHeight="1">
      <c r="M11" s="8" t="s">
        <v>4516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4516</v>
      </c>
      <c r="X11" s="8">
        <v>56.07</v>
      </c>
      <c r="Y11" s="8">
        <v>2.12</v>
      </c>
      <c r="Z11" s="9">
        <v>3.15</v>
      </c>
      <c r="AA11" s="8">
        <v>3200.4</v>
      </c>
      <c r="AB11" s="8">
        <v>750</v>
      </c>
      <c r="AC11" s="21" t="s">
        <v>4516</v>
      </c>
      <c r="AD11" s="8" t="s">
        <v>4293</v>
      </c>
      <c r="AE11" s="8" t="s">
        <v>4364</v>
      </c>
      <c r="AF11" s="9">
        <f t="shared" si="0"/>
        <v>6784.8480000000009</v>
      </c>
      <c r="AG11" s="9">
        <f t="shared" si="1"/>
        <v>10401.300000000001</v>
      </c>
      <c r="AH11" s="9">
        <f t="shared" si="2"/>
        <v>3.6607461498339142</v>
      </c>
      <c r="AI11" s="9">
        <f t="shared" si="3"/>
        <v>13.401062373523827</v>
      </c>
      <c r="AJ11" s="9">
        <f t="shared" si="4"/>
        <v>2.8105308730001046</v>
      </c>
      <c r="AK11" s="9">
        <f t="shared" si="5"/>
        <v>7.8990837880867302</v>
      </c>
      <c r="AL11" s="9">
        <f t="shared" si="6"/>
        <v>3.6806130196931748</v>
      </c>
      <c r="AM11" s="9">
        <f t="shared" si="7"/>
        <v>13.54691220073491</v>
      </c>
      <c r="AN11" s="8" t="s">
        <v>4516</v>
      </c>
    </row>
    <row r="12" spans="8:40" ht="27.5" customHeight="1">
      <c r="M12" s="8" t="s">
        <v>4515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4515</v>
      </c>
      <c r="X12" s="8">
        <v>54.26</v>
      </c>
      <c r="Y12" s="8">
        <v>3.22</v>
      </c>
      <c r="Z12" s="9">
        <v>2.4500000000000002</v>
      </c>
      <c r="AA12" s="8">
        <v>3024.6</v>
      </c>
      <c r="AB12" s="8">
        <v>632</v>
      </c>
      <c r="AC12" s="21" t="s">
        <v>4515</v>
      </c>
      <c r="AD12" s="8" t="s">
        <v>4293</v>
      </c>
      <c r="AE12" s="8" t="s">
        <v>4364</v>
      </c>
      <c r="AF12" s="9">
        <f t="shared" si="0"/>
        <v>9739.2119999999995</v>
      </c>
      <c r="AG12" s="9">
        <f t="shared" si="1"/>
        <v>8317.65</v>
      </c>
      <c r="AH12" s="9">
        <f t="shared" si="2"/>
        <v>3.4596590441156283</v>
      </c>
      <c r="AI12" s="9">
        <f t="shared" si="3"/>
        <v>11.969240701531064</v>
      </c>
      <c r="AJ12" s="9">
        <f t="shared" si="4"/>
        <v>4.0343359209658187</v>
      </c>
      <c r="AK12" s="9">
        <f t="shared" si="5"/>
        <v>16.275866323195121</v>
      </c>
      <c r="AL12" s="9">
        <f t="shared" si="6"/>
        <v>2.9432908274207006</v>
      </c>
      <c r="AM12" s="9">
        <f t="shared" si="7"/>
        <v>8.6629608947788324</v>
      </c>
      <c r="AN12" s="8" t="s">
        <v>4515</v>
      </c>
    </row>
    <row r="13" spans="8:40" ht="25" customHeight="1">
      <c r="M13" s="8" t="s">
        <v>4518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4518</v>
      </c>
      <c r="X13" s="8">
        <v>57.74</v>
      </c>
      <c r="Y13" s="8">
        <v>2.2999999999999998</v>
      </c>
      <c r="Z13" s="9">
        <v>2.17</v>
      </c>
      <c r="AA13" s="8">
        <v>2471.8000000000002</v>
      </c>
      <c r="AB13" s="8">
        <v>1887</v>
      </c>
      <c r="AC13" s="21" t="s">
        <v>4518</v>
      </c>
      <c r="AD13" s="8" t="s">
        <v>4293</v>
      </c>
      <c r="AE13" s="8" t="s">
        <v>4364</v>
      </c>
      <c r="AF13" s="9">
        <f t="shared" si="0"/>
        <v>5685.14</v>
      </c>
      <c r="AG13" s="9">
        <f t="shared" si="1"/>
        <v>5643.9433333333336</v>
      </c>
      <c r="AH13" s="9">
        <f t="shared" si="2"/>
        <v>2.8273441860890736</v>
      </c>
      <c r="AI13" s="9">
        <f t="shared" si="3"/>
        <v>7.9938751466116855</v>
      </c>
      <c r="AJ13" s="9">
        <f t="shared" si="4"/>
        <v>2.3549918122451401</v>
      </c>
      <c r="AK13" s="9">
        <f t="shared" si="5"/>
        <v>5.5459864357416491</v>
      </c>
      <c r="AL13" s="9">
        <f t="shared" si="6"/>
        <v>1.9971706724233664</v>
      </c>
      <c r="AM13" s="9">
        <f t="shared" si="7"/>
        <v>3.9886906947880014</v>
      </c>
      <c r="AN13" s="8" t="s">
        <v>4518</v>
      </c>
    </row>
    <row r="14" spans="8:40" ht="25" customHeight="1">
      <c r="M14" s="8" t="s">
        <v>4520</v>
      </c>
      <c r="N14" s="8"/>
      <c r="O14" s="8"/>
      <c r="P14" s="8"/>
      <c r="Q14" s="8"/>
      <c r="R14" s="8"/>
      <c r="S14" s="8"/>
      <c r="T14" s="8"/>
      <c r="U14" s="8"/>
      <c r="V14" s="8"/>
      <c r="W14" s="8" t="s">
        <v>4520</v>
      </c>
      <c r="X14" s="8">
        <v>65.44</v>
      </c>
      <c r="Y14" s="8">
        <v>1.69</v>
      </c>
      <c r="Z14" s="9">
        <v>1.1000000000000001</v>
      </c>
      <c r="AA14" s="8">
        <v>2383.3000000000002</v>
      </c>
      <c r="AB14" s="8">
        <v>1252</v>
      </c>
      <c r="AC14" s="21" t="s">
        <v>4520</v>
      </c>
      <c r="AD14" s="8" t="s">
        <v>4293</v>
      </c>
      <c r="AE14" s="8" t="s">
        <v>4364</v>
      </c>
      <c r="AF14" s="9">
        <f t="shared" si="0"/>
        <v>4027.777</v>
      </c>
      <c r="AG14" s="9">
        <f t="shared" si="1"/>
        <v>2387.2721666666671</v>
      </c>
      <c r="AH14" s="9">
        <f t="shared" si="2"/>
        <v>2.7261143291148509</v>
      </c>
      <c r="AI14" s="9">
        <f t="shared" si="3"/>
        <v>7.4316993354053134</v>
      </c>
      <c r="AJ14" s="9">
        <f t="shared" si="4"/>
        <v>1.6684517631138887</v>
      </c>
      <c r="AK14" s="9">
        <f t="shared" si="5"/>
        <v>2.7837312858378436</v>
      </c>
      <c r="AL14" s="9">
        <f t="shared" si="6"/>
        <v>0.84476219493567817</v>
      </c>
      <c r="AM14" s="9">
        <f t="shared" si="7"/>
        <v>0.71362316599254472</v>
      </c>
      <c r="AN14" s="8" t="s">
        <v>4520</v>
      </c>
    </row>
    <row r="15" spans="8:40" ht="23">
      <c r="M15" s="8" t="s">
        <v>4308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4308</v>
      </c>
      <c r="X15" s="8">
        <v>45.98</v>
      </c>
      <c r="Y15" s="8">
        <v>3.6</v>
      </c>
      <c r="Z15" s="9">
        <v>3.24</v>
      </c>
      <c r="AA15" s="8">
        <v>2288.5</v>
      </c>
      <c r="AB15" s="8">
        <v>1079</v>
      </c>
      <c r="AC15" s="21" t="s">
        <v>4308</v>
      </c>
      <c r="AD15" s="8" t="s">
        <v>4293</v>
      </c>
      <c r="AE15" s="8" t="s">
        <v>4364</v>
      </c>
      <c r="AF15" s="9">
        <f t="shared" si="0"/>
        <v>8238.6</v>
      </c>
      <c r="AG15" s="9">
        <f t="shared" si="1"/>
        <v>7780.9</v>
      </c>
      <c r="AH15" s="9">
        <f t="shared" si="2"/>
        <v>2.6176782789322934</v>
      </c>
      <c r="AI15" s="9">
        <f t="shared" si="3"/>
        <v>6.852239571993934</v>
      </c>
      <c r="AJ15" s="9">
        <f t="shared" si="4"/>
        <v>3.412727838604293</v>
      </c>
      <c r="AK15" s="9">
        <f t="shared" si="5"/>
        <v>11.646711300384728</v>
      </c>
      <c r="AL15" s="9">
        <f t="shared" si="6"/>
        <v>2.7533560078961883</v>
      </c>
      <c r="AM15" s="9">
        <f t="shared" si="7"/>
        <v>7.5809693062180346</v>
      </c>
      <c r="AN15" s="8" t="s">
        <v>4308</v>
      </c>
    </row>
    <row r="16" spans="8:40" ht="23">
      <c r="M16" s="8" t="s">
        <v>3911</v>
      </c>
      <c r="N16" s="8"/>
      <c r="O16" s="8"/>
      <c r="P16" s="8"/>
      <c r="Q16" s="8"/>
      <c r="R16" s="8"/>
      <c r="S16" s="8"/>
      <c r="T16" s="8"/>
      <c r="U16" s="8"/>
      <c r="V16" s="8"/>
      <c r="W16" s="8" t="s">
        <v>3911</v>
      </c>
      <c r="X16" s="8">
        <v>60.05</v>
      </c>
      <c r="Y16" s="8">
        <v>2.89</v>
      </c>
      <c r="Z16" s="9">
        <v>1.51</v>
      </c>
      <c r="AA16" s="8">
        <v>2109.8000000000002</v>
      </c>
      <c r="AB16" s="8">
        <v>1014</v>
      </c>
      <c r="AC16" s="21" t="s">
        <v>3911</v>
      </c>
      <c r="AD16" s="8" t="s">
        <v>4293</v>
      </c>
      <c r="AE16" s="8" t="s">
        <v>4364</v>
      </c>
      <c r="AF16" s="9">
        <f t="shared" si="0"/>
        <v>6097.322000000001</v>
      </c>
      <c r="AG16" s="9">
        <f t="shared" si="1"/>
        <v>3903.1300000000006</v>
      </c>
      <c r="AH16" s="9">
        <f t="shared" si="2"/>
        <v>2.4132740366577905</v>
      </c>
      <c r="AI16" s="9">
        <f t="shared" si="3"/>
        <v>5.823891576006587</v>
      </c>
      <c r="AJ16" s="9">
        <f t="shared" si="4"/>
        <v>2.5257325917430644</v>
      </c>
      <c r="AK16" s="9">
        <f t="shared" si="5"/>
        <v>6.3793251249931373</v>
      </c>
      <c r="AL16" s="9">
        <f t="shared" si="6"/>
        <v>1.381164959721864</v>
      </c>
      <c r="AM16" s="9">
        <f t="shared" si="7"/>
        <v>1.9076166459634982</v>
      </c>
      <c r="AN16" s="8" t="s">
        <v>3911</v>
      </c>
    </row>
    <row r="17" spans="13:40" ht="23">
      <c r="M17" s="8" t="s">
        <v>4521</v>
      </c>
      <c r="N17" s="8"/>
      <c r="O17" s="8"/>
      <c r="P17" s="8"/>
      <c r="Q17" s="8"/>
      <c r="R17" s="8"/>
      <c r="S17" s="8"/>
      <c r="T17" s="8"/>
      <c r="U17" s="8"/>
      <c r="V17" s="8"/>
      <c r="W17" s="8" t="s">
        <v>4521</v>
      </c>
      <c r="X17" s="8">
        <v>65.39</v>
      </c>
      <c r="Y17" s="8">
        <v>1.82</v>
      </c>
      <c r="Z17" s="9">
        <v>1.38</v>
      </c>
      <c r="AA17" s="8">
        <v>1881.6</v>
      </c>
      <c r="AB17" s="8">
        <v>719</v>
      </c>
      <c r="AC17" s="21" t="s">
        <v>4521</v>
      </c>
      <c r="AD17" s="8" t="s">
        <v>4293</v>
      </c>
      <c r="AE17" s="8" t="s">
        <v>4364</v>
      </c>
      <c r="AF17" s="9">
        <f t="shared" si="0"/>
        <v>3424.5120000000002</v>
      </c>
      <c r="AG17" s="9">
        <f t="shared" si="1"/>
        <v>3073.2799999999997</v>
      </c>
      <c r="AH17" s="9">
        <f t="shared" si="2"/>
        <v>2.1522497048892304</v>
      </c>
      <c r="AI17" s="9">
        <f t="shared" si="3"/>
        <v>4.6321787921957798</v>
      </c>
      <c r="AJ17" s="9">
        <f t="shared" si="4"/>
        <v>1.4185574534550125</v>
      </c>
      <c r="AK17" s="9">
        <f t="shared" si="5"/>
        <v>2.0123052487527699</v>
      </c>
      <c r="AL17" s="9">
        <f t="shared" si="6"/>
        <v>1.0875135205371096</v>
      </c>
      <c r="AM17" s="9">
        <f t="shared" si="7"/>
        <v>1.1826856573510183</v>
      </c>
      <c r="AN17" s="8" t="s">
        <v>4521</v>
      </c>
    </row>
    <row r="18" spans="13:40" ht="23">
      <c r="M18" s="8" t="s">
        <v>4525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4525</v>
      </c>
      <c r="X18" s="8">
        <v>73.010000000000005</v>
      </c>
      <c r="Y18" s="8">
        <v>1.71</v>
      </c>
      <c r="Z18" s="9">
        <v>1.23</v>
      </c>
      <c r="AA18" s="8">
        <v>1809.4</v>
      </c>
      <c r="AB18" s="8">
        <v>1481</v>
      </c>
      <c r="AC18" s="21" t="s">
        <v>4525</v>
      </c>
      <c r="AD18" s="8" t="s">
        <v>4293</v>
      </c>
      <c r="AE18" s="8" t="s">
        <v>4364</v>
      </c>
      <c r="AF18" s="9">
        <f t="shared" si="0"/>
        <v>3094.0740000000001</v>
      </c>
      <c r="AG18" s="9">
        <f t="shared" si="1"/>
        <v>2503.0033333333336</v>
      </c>
      <c r="AH18" s="9">
        <f t="shared" si="2"/>
        <v>2.0696644430413338</v>
      </c>
      <c r="AI18" s="9">
        <f t="shared" si="3"/>
        <v>4.2835109067895942</v>
      </c>
      <c r="AJ18" s="9">
        <f t="shared" si="4"/>
        <v>1.2816780125873011</v>
      </c>
      <c r="AK18" s="9">
        <f t="shared" si="5"/>
        <v>1.6426985279497339</v>
      </c>
      <c r="AL18" s="9">
        <f t="shared" si="6"/>
        <v>0.8857149257306377</v>
      </c>
      <c r="AM18" s="9">
        <f t="shared" si="7"/>
        <v>0.78449092966202905</v>
      </c>
      <c r="AN18" s="8" t="s">
        <v>4525</v>
      </c>
    </row>
    <row r="19" spans="13:40" ht="23">
      <c r="M19" s="8" t="s">
        <v>5148</v>
      </c>
      <c r="N19" s="8"/>
      <c r="O19" s="8"/>
      <c r="P19" s="8"/>
      <c r="Q19" s="8"/>
      <c r="R19" s="8"/>
      <c r="S19" s="8"/>
      <c r="T19" s="8"/>
      <c r="U19" s="8"/>
      <c r="V19" s="8"/>
      <c r="W19" s="8" t="s">
        <v>5148</v>
      </c>
      <c r="X19" s="8">
        <v>57.68</v>
      </c>
      <c r="Y19" s="8">
        <v>3.99</v>
      </c>
      <c r="Z19" s="9">
        <v>5.03</v>
      </c>
      <c r="AA19" s="8">
        <v>1674.6</v>
      </c>
      <c r="AB19" s="8">
        <v>1864</v>
      </c>
      <c r="AC19" s="21" t="s">
        <v>5148</v>
      </c>
      <c r="AD19" s="8" t="s">
        <v>4293</v>
      </c>
      <c r="AE19" s="8" t="s">
        <v>4364</v>
      </c>
      <c r="AF19" s="9">
        <f t="shared" si="0"/>
        <v>6681.6539999999995</v>
      </c>
      <c r="AG19" s="9">
        <f t="shared" si="1"/>
        <v>8456.73</v>
      </c>
      <c r="AH19" s="9">
        <f t="shared" si="2"/>
        <v>1.9154747851868117</v>
      </c>
      <c r="AI19" s="9">
        <f t="shared" si="3"/>
        <v>3.6690436526864625</v>
      </c>
      <c r="AJ19" s="9">
        <f t="shared" si="4"/>
        <v>2.7677841640232232</v>
      </c>
      <c r="AK19" s="9">
        <f t="shared" si="5"/>
        <v>7.6606291786177332</v>
      </c>
      <c r="AL19" s="9">
        <f t="shared" si="6"/>
        <v>2.99250579658599</v>
      </c>
      <c r="AM19" s="9">
        <f t="shared" si="7"/>
        <v>8.9550909426007514</v>
      </c>
      <c r="AN19" s="8" t="s">
        <v>5148</v>
      </c>
    </row>
    <row r="20" spans="13:40" ht="23">
      <c r="M20" s="8" t="s">
        <v>4740</v>
      </c>
      <c r="N20" s="8"/>
      <c r="O20" s="8"/>
      <c r="P20" s="8"/>
      <c r="Q20" s="8"/>
      <c r="R20" s="8"/>
      <c r="S20" s="8"/>
      <c r="T20" s="8"/>
      <c r="U20" s="8"/>
      <c r="V20" s="8"/>
      <c r="W20" s="8" t="s">
        <v>4740</v>
      </c>
      <c r="X20" s="8">
        <v>46.13</v>
      </c>
      <c r="Y20" s="8">
        <v>5.07</v>
      </c>
      <c r="Z20" s="9">
        <v>6.35</v>
      </c>
      <c r="AA20" s="8">
        <v>977.3</v>
      </c>
      <c r="AB20" s="8"/>
      <c r="AC20" s="21" t="s">
        <v>4740</v>
      </c>
      <c r="AD20" s="8" t="s">
        <v>4293</v>
      </c>
      <c r="AE20" s="8" t="s">
        <v>4364</v>
      </c>
      <c r="AF20" s="9">
        <f t="shared" si="0"/>
        <v>4954.9110000000001</v>
      </c>
      <c r="AG20" s="9">
        <f t="shared" si="1"/>
        <v>6433.8916666666664</v>
      </c>
      <c r="AH20" s="9">
        <f t="shared" si="2"/>
        <v>1.1178750194452831</v>
      </c>
      <c r="AI20" s="9">
        <f t="shared" si="3"/>
        <v>1.249644559099792</v>
      </c>
      <c r="AJ20" s="9">
        <f t="shared" si="4"/>
        <v>2.0525043948615829</v>
      </c>
      <c r="AK20" s="9">
        <f t="shared" si="5"/>
        <v>4.2127742909261121</v>
      </c>
      <c r="AL20" s="9">
        <f t="shared" si="6"/>
        <v>2.2767024733089856</v>
      </c>
      <c r="AM20" s="9">
        <f t="shared" si="7"/>
        <v>5.1833741519712522</v>
      </c>
      <c r="AN20" s="8" t="s">
        <v>4740</v>
      </c>
    </row>
    <row r="21" spans="13:40" ht="23">
      <c r="M21" s="8" t="s">
        <v>4440</v>
      </c>
      <c r="N21" s="8"/>
      <c r="O21" s="8"/>
      <c r="P21" s="8"/>
      <c r="Q21" s="8"/>
      <c r="R21" s="8"/>
      <c r="S21" s="8"/>
      <c r="T21" s="8"/>
      <c r="U21" s="8"/>
      <c r="V21" s="8"/>
      <c r="W21" s="8" t="s">
        <v>4440</v>
      </c>
      <c r="X21" s="8">
        <v>57.44</v>
      </c>
      <c r="Y21" s="8">
        <v>2.29</v>
      </c>
      <c r="Z21" s="9">
        <v>1.23</v>
      </c>
      <c r="AA21" s="8">
        <v>952.8</v>
      </c>
      <c r="AB21" s="8">
        <v>877</v>
      </c>
      <c r="AC21" s="21" t="s">
        <v>4440</v>
      </c>
      <c r="AD21" s="8" t="s">
        <v>4293</v>
      </c>
      <c r="AE21" s="8" t="s">
        <v>4364</v>
      </c>
      <c r="AF21" s="9">
        <f t="shared" si="0"/>
        <v>2181.9119999999998</v>
      </c>
      <c r="AG21" s="9">
        <f t="shared" si="1"/>
        <v>1318.04</v>
      </c>
      <c r="AH21" s="9">
        <f t="shared" si="2"/>
        <v>1.0898509347462046</v>
      </c>
      <c r="AI21" s="9">
        <f t="shared" si="3"/>
        <v>1.1877750599671759</v>
      </c>
      <c r="AJ21" s="9">
        <f t="shared" si="4"/>
        <v>0.90382732791794362</v>
      </c>
      <c r="AK21" s="9">
        <f t="shared" si="5"/>
        <v>0.81690383869129002</v>
      </c>
      <c r="AL21" s="9">
        <f t="shared" si="6"/>
        <v>0.46640277508353684</v>
      </c>
      <c r="AM21" s="9">
        <f t="shared" si="7"/>
        <v>0.21753154860562424</v>
      </c>
      <c r="AN21" s="8" t="s">
        <v>4440</v>
      </c>
    </row>
    <row r="22" spans="13:40" ht="23">
      <c r="M22" s="8" t="s">
        <v>4523</v>
      </c>
      <c r="N22" s="8"/>
      <c r="O22" s="8"/>
      <c r="P22" s="8"/>
      <c r="Q22" s="8"/>
      <c r="R22" s="8"/>
      <c r="S22" s="8"/>
      <c r="T22" s="8"/>
      <c r="U22" s="8"/>
      <c r="V22" s="8"/>
      <c r="W22" s="8" t="s">
        <v>4523</v>
      </c>
      <c r="X22" s="8">
        <v>63.56</v>
      </c>
      <c r="Y22" s="8">
        <v>1.76</v>
      </c>
      <c r="Z22" s="9">
        <v>1.0900000000000001</v>
      </c>
      <c r="AA22" s="8">
        <v>837.4</v>
      </c>
      <c r="AB22" s="8">
        <v>2843</v>
      </c>
      <c r="AC22" s="21" t="s">
        <v>4523</v>
      </c>
      <c r="AD22" s="8" t="s">
        <v>4293</v>
      </c>
      <c r="AE22" s="8" t="s">
        <v>4364</v>
      </c>
      <c r="AF22" s="9">
        <f t="shared" si="0"/>
        <v>1473.8240000000001</v>
      </c>
      <c r="AG22" s="9">
        <f t="shared" si="1"/>
        <v>963.00999999999988</v>
      </c>
      <c r="AH22" s="9">
        <f t="shared" si="2"/>
        <v>0.95785177661258591</v>
      </c>
      <c r="AI22" s="9">
        <f t="shared" si="3"/>
        <v>0.9174800259598872</v>
      </c>
      <c r="AJ22" s="9">
        <f t="shared" si="4"/>
        <v>0.61051151821949534</v>
      </c>
      <c r="AK22" s="9">
        <f t="shared" si="5"/>
        <v>0.37272431387867322</v>
      </c>
      <c r="AL22" s="9">
        <f t="shared" si="6"/>
        <v>0.34077155202664317</v>
      </c>
      <c r="AM22" s="9">
        <f t="shared" si="7"/>
        <v>0.11612525067064718</v>
      </c>
      <c r="AN22" s="8" t="s">
        <v>4523</v>
      </c>
    </row>
    <row r="23" spans="13:40" ht="23">
      <c r="M23" s="8" t="s">
        <v>3974</v>
      </c>
      <c r="N23" s="8"/>
      <c r="O23" s="8"/>
      <c r="P23" s="8"/>
      <c r="Q23" s="8"/>
      <c r="R23" s="8"/>
      <c r="S23" s="8"/>
      <c r="T23" s="8"/>
      <c r="U23" s="8"/>
      <c r="V23" s="8"/>
      <c r="W23" s="8" t="s">
        <v>3974</v>
      </c>
      <c r="X23" s="8">
        <v>43.47</v>
      </c>
      <c r="Y23" s="8">
        <v>1.9</v>
      </c>
      <c r="Z23" s="9">
        <v>1.34</v>
      </c>
      <c r="AA23" s="8">
        <v>694.9</v>
      </c>
      <c r="AB23" s="8">
        <v>1768</v>
      </c>
      <c r="AC23" s="21" t="s">
        <v>3974</v>
      </c>
      <c r="AD23" s="8" t="s">
        <v>4293</v>
      </c>
      <c r="AE23" s="8" t="s">
        <v>4364</v>
      </c>
      <c r="AF23" s="9">
        <f t="shared" si="0"/>
        <v>1320.31</v>
      </c>
      <c r="AG23" s="9">
        <f t="shared" si="1"/>
        <v>1088.6766666666667</v>
      </c>
      <c r="AH23" s="9">
        <f t="shared" si="2"/>
        <v>0.7948545492812108</v>
      </c>
      <c r="AI23" s="9">
        <f t="shared" si="3"/>
        <v>0.63179375451303676</v>
      </c>
      <c r="AJ23" s="9">
        <f t="shared" si="4"/>
        <v>0.5469204346111759</v>
      </c>
      <c r="AK23" s="9">
        <f t="shared" si="5"/>
        <v>0.29912196179527756</v>
      </c>
      <c r="AL23" s="9">
        <f t="shared" si="6"/>
        <v>0.38524006745017447</v>
      </c>
      <c r="AM23" s="9">
        <f t="shared" si="7"/>
        <v>0.14840990956901498</v>
      </c>
      <c r="AN23" s="8" t="s">
        <v>3974</v>
      </c>
    </row>
    <row r="24" spans="13:40" ht="23">
      <c r="M24" s="8" t="s">
        <v>4522</v>
      </c>
      <c r="N24" s="8"/>
      <c r="O24" s="8"/>
      <c r="P24" s="8"/>
      <c r="Q24" s="8"/>
      <c r="R24" s="8"/>
      <c r="S24" s="8"/>
      <c r="T24" s="8"/>
      <c r="U24" s="8"/>
      <c r="V24" s="8"/>
      <c r="W24" s="8" t="s">
        <v>4522</v>
      </c>
      <c r="X24" s="8">
        <v>52.28</v>
      </c>
      <c r="Y24" s="8">
        <v>1.71</v>
      </c>
      <c r="Z24" s="9">
        <v>1.51</v>
      </c>
      <c r="AA24" s="8">
        <v>523.9</v>
      </c>
      <c r="AB24" s="8">
        <v>2780</v>
      </c>
      <c r="AC24" s="21" t="s">
        <v>4522</v>
      </c>
      <c r="AD24" s="8" t="s">
        <v>4293</v>
      </c>
      <c r="AE24" s="8" t="s">
        <v>4364</v>
      </c>
      <c r="AF24" s="9">
        <f t="shared" si="0"/>
        <v>895.86899999999991</v>
      </c>
      <c r="AG24" s="9">
        <f t="shared" si="1"/>
        <v>969.21500000000003</v>
      </c>
      <c r="AH24" s="9">
        <f t="shared" si="2"/>
        <v>0.59925787648356066</v>
      </c>
      <c r="AI24" s="9">
        <f t="shared" si="3"/>
        <v>0.35911000252758646</v>
      </c>
      <c r="AJ24" s="9">
        <f t="shared" si="4"/>
        <v>0.37110153133330775</v>
      </c>
      <c r="AK24" s="9">
        <f t="shared" si="5"/>
        <v>0.137716346557926</v>
      </c>
      <c r="AL24" s="9">
        <f t="shared" si="6"/>
        <v>0.3429672586966937</v>
      </c>
      <c r="AM24" s="9">
        <f t="shared" si="7"/>
        <v>0.11762654053792482</v>
      </c>
      <c r="AN24" s="8" t="s">
        <v>4522</v>
      </c>
    </row>
    <row r="25" spans="13:40" ht="23">
      <c r="M25" s="8" t="s">
        <v>4519</v>
      </c>
      <c r="N25" s="8"/>
      <c r="O25" s="8"/>
      <c r="P25" s="8"/>
      <c r="Q25" s="8"/>
      <c r="R25" s="8"/>
      <c r="S25" s="8"/>
      <c r="T25" s="8"/>
      <c r="U25" s="8"/>
      <c r="V25" s="8"/>
      <c r="W25" s="8" t="s">
        <v>4519</v>
      </c>
      <c r="X25" s="8">
        <v>41.02</v>
      </c>
      <c r="Y25" s="8">
        <v>1.79</v>
      </c>
      <c r="Z25" s="9">
        <v>0.19</v>
      </c>
      <c r="AA25" s="8">
        <v>340.5</v>
      </c>
      <c r="AB25" s="8">
        <v>5166</v>
      </c>
      <c r="AC25" s="21" t="s">
        <v>4519</v>
      </c>
      <c r="AD25" s="8" t="s">
        <v>4293</v>
      </c>
      <c r="AE25" s="8" t="s">
        <v>4364</v>
      </c>
      <c r="AF25" s="9">
        <f t="shared" si="0"/>
        <v>609.495</v>
      </c>
      <c r="AG25" s="9">
        <f t="shared" si="1"/>
        <v>107.82499999999999</v>
      </c>
      <c r="AH25" s="9">
        <f t="shared" si="2"/>
        <v>0.38947758530760146</v>
      </c>
      <c r="AI25" s="9">
        <f t="shared" si="3"/>
        <v>0.15169278945703998</v>
      </c>
      <c r="AJ25" s="9">
        <f t="shared" si="4"/>
        <v>0.25247500230501829</v>
      </c>
      <c r="AK25" s="9">
        <f t="shared" si="5"/>
        <v>6.3743626788918997E-2</v>
      </c>
      <c r="AL25" s="9">
        <f t="shared" si="6"/>
        <v>3.815504781598613E-2</v>
      </c>
      <c r="AM25" s="9">
        <f t="shared" si="7"/>
        <v>1.455807673840188E-3</v>
      </c>
      <c r="AN25" s="8" t="s">
        <v>4519</v>
      </c>
    </row>
    <row r="26" spans="13:40" ht="23">
      <c r="M26" s="8" t="s">
        <v>4741</v>
      </c>
      <c r="N26" s="8"/>
      <c r="O26" s="8"/>
      <c r="P26" s="8"/>
      <c r="Q26" s="8"/>
      <c r="R26" s="8"/>
      <c r="S26" s="8"/>
      <c r="T26" s="8"/>
      <c r="U26" s="8"/>
      <c r="V26" s="8"/>
      <c r="W26" s="8" t="s">
        <v>4741</v>
      </c>
      <c r="X26" s="8">
        <v>37.76</v>
      </c>
      <c r="Y26" s="8">
        <v>2.39</v>
      </c>
      <c r="Z26" s="9">
        <v>1.05</v>
      </c>
      <c r="AA26" s="8">
        <v>320.7</v>
      </c>
      <c r="AB26" s="8">
        <v>4641</v>
      </c>
      <c r="AC26" s="21" t="s">
        <v>4741</v>
      </c>
      <c r="AD26" s="8" t="s">
        <v>4293</v>
      </c>
      <c r="AE26" s="8" t="s">
        <v>4364</v>
      </c>
      <c r="AF26" s="9">
        <f t="shared" si="0"/>
        <v>766.47299999999996</v>
      </c>
      <c r="AG26" s="9">
        <f t="shared" si="1"/>
        <v>347.42499999999995</v>
      </c>
      <c r="AH26" s="9">
        <f t="shared" si="2"/>
        <v>0.36682954950997881</v>
      </c>
      <c r="AI26" s="9">
        <f t="shared" si="3"/>
        <v>0.134563918393694</v>
      </c>
      <c r="AJ26" s="9">
        <f t="shared" si="4"/>
        <v>0.31750100073295806</v>
      </c>
      <c r="AK26" s="9">
        <f t="shared" si="5"/>
        <v>0.10080688546642984</v>
      </c>
      <c r="AL26" s="9">
        <f t="shared" si="6"/>
        <v>0.12294011117522818</v>
      </c>
      <c r="AM26" s="9">
        <f t="shared" si="7"/>
        <v>1.5114270935777465E-2</v>
      </c>
      <c r="AN26" s="8" t="s">
        <v>4741</v>
      </c>
    </row>
    <row r="27" spans="13:40" ht="23">
      <c r="M27" s="8" t="s">
        <v>4526</v>
      </c>
      <c r="N27" s="8"/>
      <c r="O27" s="8"/>
      <c r="P27" s="8"/>
      <c r="Q27" s="8"/>
      <c r="R27" s="8"/>
      <c r="S27" s="8"/>
      <c r="T27" s="8"/>
      <c r="U27" s="8"/>
      <c r="V27" s="8"/>
      <c r="W27" s="8" t="s">
        <v>4526</v>
      </c>
      <c r="X27" s="8">
        <v>39.31</v>
      </c>
      <c r="Y27" s="8">
        <v>1.51</v>
      </c>
      <c r="Z27" s="9">
        <v>0.32</v>
      </c>
      <c r="AA27" s="8">
        <v>270.89999999999998</v>
      </c>
      <c r="AB27" s="8">
        <v>22922</v>
      </c>
      <c r="AC27" s="21" t="s">
        <v>4526</v>
      </c>
      <c r="AD27" s="8" t="s">
        <v>4293</v>
      </c>
      <c r="AE27" s="8" t="s">
        <v>4364</v>
      </c>
      <c r="AF27" s="9">
        <f t="shared" si="0"/>
        <v>409.05899999999997</v>
      </c>
      <c r="AG27" s="9">
        <f t="shared" si="1"/>
        <v>144.47999999999999</v>
      </c>
      <c r="AH27" s="9">
        <f t="shared" si="2"/>
        <v>0.30986630795838249</v>
      </c>
      <c r="AI27" s="9">
        <f t="shared" si="3"/>
        <v>9.6017128807759131E-2</v>
      </c>
      <c r="AJ27" s="9">
        <f t="shared" si="4"/>
        <v>0.16944711928381442</v>
      </c>
      <c r="AK27" s="9">
        <f t="shared" si="5"/>
        <v>2.8712326233583232E-2</v>
      </c>
      <c r="AL27" s="9">
        <f t="shared" si="6"/>
        <v>5.1125817838661491E-2</v>
      </c>
      <c r="AM27" s="9">
        <f t="shared" si="7"/>
        <v>2.6138492496719976E-3</v>
      </c>
      <c r="AN27" s="8" t="s">
        <v>4526</v>
      </c>
    </row>
    <row r="28" spans="13:40" ht="23">
      <c r="M28" s="8" t="s">
        <v>3851</v>
      </c>
      <c r="N28" s="8"/>
      <c r="O28" s="8"/>
      <c r="P28" s="8"/>
      <c r="Q28" s="8"/>
      <c r="R28" s="8"/>
      <c r="S28" s="8"/>
      <c r="T28" s="8"/>
      <c r="U28" s="8"/>
      <c r="V28" s="8"/>
      <c r="W28" s="8" t="s">
        <v>3851</v>
      </c>
      <c r="X28" s="8">
        <v>28.14</v>
      </c>
      <c r="Y28" s="8">
        <v>1.66</v>
      </c>
      <c r="Z28" s="9">
        <v>5.31</v>
      </c>
      <c r="AA28" s="8">
        <v>154.69999999999999</v>
      </c>
      <c r="AB28" s="8">
        <v>23743</v>
      </c>
      <c r="AC28" s="21" t="s">
        <v>3851</v>
      </c>
      <c r="AD28" s="8" t="s">
        <v>4293</v>
      </c>
      <c r="AE28" s="8" t="s">
        <v>4364</v>
      </c>
      <c r="AF28" s="9">
        <f t="shared" si="0"/>
        <v>256.80199999999996</v>
      </c>
      <c r="AG28" s="9">
        <f t="shared" si="1"/>
        <v>853.42833333333328</v>
      </c>
      <c r="AH28" s="9">
        <f t="shared" si="2"/>
        <v>0.17695207767132437</v>
      </c>
      <c r="AI28" s="9">
        <f t="shared" si="3"/>
        <v>3.1312037792198412E-2</v>
      </c>
      <c r="AJ28" s="9">
        <f t="shared" si="4"/>
        <v>0.10637673080490127</v>
      </c>
      <c r="AK28" s="9">
        <f t="shared" si="5"/>
        <v>1.1316008856738431E-2</v>
      </c>
      <c r="AL28" s="9">
        <f t="shared" si="6"/>
        <v>0.30199488862370216</v>
      </c>
      <c r="AM28" s="9">
        <f t="shared" si="7"/>
        <v>9.1200912754842267E-2</v>
      </c>
      <c r="AN28" s="8" t="s">
        <v>3851</v>
      </c>
    </row>
    <row r="29" spans="13:40" ht="23"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9"/>
      <c r="AA29" s="8">
        <f>SUBTOTAL(109,Table13660[ترافیک کل])</f>
        <v>87424.8</v>
      </c>
      <c r="AB29" s="8"/>
      <c r="AC29" s="21"/>
      <c r="AD29" s="8"/>
      <c r="AE29" s="8"/>
      <c r="AF29" s="9">
        <f>SUBTOTAL(109,Table13660[[مجموع صفحات  مشاهده شده   ]])</f>
        <v>241408.05800000005</v>
      </c>
      <c r="AG29" s="9">
        <f>SUBTOTAL(109,Table13660[[مجموع زمان حضور در سایت ]])</f>
        <v>282596.94633333333</v>
      </c>
      <c r="AH29" s="9">
        <f>SUBTOTAL(109,Table13660[سهم سایت از کل ترافیک طبقه بندی])</f>
        <v>100.00000000000001</v>
      </c>
      <c r="AI29" s="9">
        <f>SUBTOTAL(109,Table13660[شاخص هرفیندال هیرشمن (ترافیک)])</f>
        <v>853.15043177565371</v>
      </c>
      <c r="AJ29" s="9">
        <f>SUBTOTAL(109,Table13660[سهم سایت از کل صفحات مشاهده شده در طبقه بندی])</f>
        <v>100</v>
      </c>
      <c r="AK29" s="9">
        <f>SUBTOTAL(109,Table13660[شاخص هرفیندال -هیرشمن (صفحات مشاهده شده )])</f>
        <v>886.08342102086317</v>
      </c>
      <c r="AL29" s="9">
        <f>SUBTOTAL(109,Table13660[سهم سایت از کل زمان حضور در طبقه بندی])</f>
        <v>99.999999999999972</v>
      </c>
      <c r="AM29" s="9">
        <f>SUBTOTAL(109,Table13660[شاخص هرفیندال هیرشمن (زمان حضور)])</f>
        <v>1003.88503707035</v>
      </c>
      <c r="AN29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{ABD2EECB-66F0-4CFF-A9B4-E1B0900CF7AF}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{80ED8A33-626F-458E-90AF-35650C7BFC94}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{DAF20413-C362-450E-ABB3-4BEE6312AA5C}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{13CCA560-065E-4B84-87D0-17ED2736F95A}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{EB5F29EC-392D-4602-8DD5-FA927D6D29CE}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{D8C665D6-F584-4584-83A8-C75FFEA35AC9}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BD2EECB-66F0-4CFF-A9B4-E1B0900CF7A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0ED8A33-626F-458E-90AF-35650C7BFC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AF20413-C362-450E-ABB3-4BEE6312AA5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3CCA560-065E-4B84-87D0-17ED2736F95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B5F29EC-392D-4602-8DD5-FA927D6D29C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D8C665D6-F584-4584-83A8-C75FFEA35AC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2"/>
  <sheetViews>
    <sheetView showGridLines="0" rightToLeft="1" topLeftCell="AA1" zoomScale="70" zoomScaleNormal="70" workbookViewId="0">
      <selection activeCell="AE2" sqref="AE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6.6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619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619</v>
      </c>
      <c r="X2" s="8">
        <v>71.3</v>
      </c>
      <c r="Y2" s="8">
        <v>1.77</v>
      </c>
      <c r="Z2" s="9">
        <v>2.09</v>
      </c>
      <c r="AA2" s="8">
        <v>24277.3</v>
      </c>
      <c r="AB2" s="8">
        <v>207</v>
      </c>
      <c r="AC2" s="21" t="s">
        <v>619</v>
      </c>
      <c r="AD2" s="8" t="s">
        <v>4031</v>
      </c>
      <c r="AE2" s="8" t="s">
        <v>4364</v>
      </c>
      <c r="AF2" s="9">
        <f t="shared" ref="AF2:AF11" si="0">(AA2*Y2)</f>
        <v>42970.820999999996</v>
      </c>
      <c r="AG2" s="9">
        <f t="shared" ref="AG2:AG11" si="1">((((RIGHT(Z2,2))/60)+(LEFT(Z2,2)))*AA2)</f>
        <v>52196.195</v>
      </c>
      <c r="AH2" s="9">
        <f t="shared" ref="AH2:AH11" si="2">(AA2/$AA$12)*100</f>
        <v>74.345272364246611</v>
      </c>
      <c r="AI2" s="9">
        <f t="shared" ref="AI2:AI11" si="3">(AH2*AH2)</f>
        <v>5527.2195229140107</v>
      </c>
      <c r="AJ2" s="9">
        <f t="shared" ref="AJ2:AJ11" si="4">(AF2/$AF$12)*100</f>
        <v>68.778428180607008</v>
      </c>
      <c r="AK2" s="9">
        <f t="shared" ref="AK2:AK11" si="5">(AJ2*AJ2)</f>
        <v>4730.4721829949167</v>
      </c>
      <c r="AL2" s="9">
        <f t="shared" ref="AL2:AL11" si="6">(AG2/$AG$12)*100</f>
        <v>81.194547107667404</v>
      </c>
      <c r="AM2" s="9">
        <f t="shared" ref="AM2:AM11" si="7">(AL2*AL2)</f>
        <v>6592.554480019221</v>
      </c>
      <c r="AN2" s="8" t="s">
        <v>619</v>
      </c>
    </row>
    <row r="3" spans="8:40" ht="23">
      <c r="M3" s="8" t="s">
        <v>285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285</v>
      </c>
      <c r="X3" s="8">
        <v>48.51</v>
      </c>
      <c r="Y3" s="8">
        <v>3.02</v>
      </c>
      <c r="Z3" s="9">
        <v>1.57</v>
      </c>
      <c r="AA3" s="8">
        <v>4161.7</v>
      </c>
      <c r="AB3" s="8">
        <v>523</v>
      </c>
      <c r="AC3" s="21" t="s">
        <v>285</v>
      </c>
      <c r="AD3" s="8" t="s">
        <v>4031</v>
      </c>
      <c r="AE3" s="8" t="s">
        <v>4364</v>
      </c>
      <c r="AF3" s="9">
        <f t="shared" si="0"/>
        <v>12568.333999999999</v>
      </c>
      <c r="AG3" s="9">
        <f t="shared" si="1"/>
        <v>8115.3149999999996</v>
      </c>
      <c r="AH3" s="9">
        <f t="shared" si="2"/>
        <v>12.744527603905093</v>
      </c>
      <c r="AI3" s="9">
        <f t="shared" si="3"/>
        <v>162.42298384669888</v>
      </c>
      <c r="AJ3" s="9">
        <f t="shared" si="4"/>
        <v>20.11668004595214</v>
      </c>
      <c r="AK3" s="9">
        <f t="shared" si="5"/>
        <v>404.68081607120899</v>
      </c>
      <c r="AL3" s="9">
        <f t="shared" si="6"/>
        <v>12.623895785144107</v>
      </c>
      <c r="AM3" s="9">
        <f t="shared" si="7"/>
        <v>159.36274479417915</v>
      </c>
      <c r="AN3" s="8" t="s">
        <v>285</v>
      </c>
    </row>
    <row r="4" spans="8:40" ht="23">
      <c r="M4" s="8" t="s">
        <v>679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679</v>
      </c>
      <c r="X4" s="8">
        <v>71.33</v>
      </c>
      <c r="Y4" s="8">
        <v>1.51</v>
      </c>
      <c r="Z4" s="9">
        <v>1.18</v>
      </c>
      <c r="AA4" s="8">
        <v>1330.1</v>
      </c>
      <c r="AB4" s="8">
        <v>2020</v>
      </c>
      <c r="AC4" s="21" t="s">
        <v>679</v>
      </c>
      <c r="AD4" s="8" t="s">
        <v>4031</v>
      </c>
      <c r="AE4" s="8" t="s">
        <v>4364</v>
      </c>
      <c r="AF4" s="9">
        <f t="shared" si="0"/>
        <v>2008.4509999999998</v>
      </c>
      <c r="AG4" s="9">
        <f t="shared" si="1"/>
        <v>1729.1299999999999</v>
      </c>
      <c r="AH4" s="9">
        <f t="shared" si="2"/>
        <v>4.0732143513357917</v>
      </c>
      <c r="AI4" s="9">
        <f t="shared" si="3"/>
        <v>16.591075151927853</v>
      </c>
      <c r="AJ4" s="9">
        <f t="shared" si="4"/>
        <v>3.2146954524738618</v>
      </c>
      <c r="AK4" s="9">
        <f t="shared" si="5"/>
        <v>10.334266852156127</v>
      </c>
      <c r="AL4" s="9">
        <f t="shared" si="6"/>
        <v>2.6897732150836076</v>
      </c>
      <c r="AM4" s="9">
        <f t="shared" si="7"/>
        <v>7.2348799485812068</v>
      </c>
      <c r="AN4" s="8" t="s">
        <v>679</v>
      </c>
    </row>
    <row r="5" spans="8:40" ht="23">
      <c r="M5" s="9" t="s">
        <v>4746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9" t="s">
        <v>4746</v>
      </c>
      <c r="X5" s="8">
        <v>54.55</v>
      </c>
      <c r="Y5" s="8">
        <v>1.69</v>
      </c>
      <c r="Z5" s="9">
        <v>0.57999999999999996</v>
      </c>
      <c r="AA5" s="8">
        <v>792.6</v>
      </c>
      <c r="AB5" s="8">
        <v>11307</v>
      </c>
      <c r="AC5" s="22" t="s">
        <v>4746</v>
      </c>
      <c r="AD5" s="8" t="s">
        <v>4031</v>
      </c>
      <c r="AE5" s="8" t="s">
        <v>4364</v>
      </c>
      <c r="AF5" s="9">
        <f t="shared" si="0"/>
        <v>1339.4939999999999</v>
      </c>
      <c r="AG5" s="9">
        <f t="shared" si="1"/>
        <v>766.18000000000006</v>
      </c>
      <c r="AH5" s="9">
        <f t="shared" si="2"/>
        <v>2.4272082511606263</v>
      </c>
      <c r="AI5" s="9">
        <f t="shared" si="3"/>
        <v>5.8913398945022264</v>
      </c>
      <c r="AJ5" s="9">
        <f t="shared" si="4"/>
        <v>2.1439732761297252</v>
      </c>
      <c r="AK5" s="9">
        <f t="shared" si="5"/>
        <v>4.596621408758427</v>
      </c>
      <c r="AL5" s="9">
        <f t="shared" si="6"/>
        <v>1.1918423958480617</v>
      </c>
      <c r="AM5" s="9">
        <f t="shared" si="7"/>
        <v>1.4204882965408479</v>
      </c>
      <c r="AN5" s="9" t="s">
        <v>4746</v>
      </c>
    </row>
    <row r="6" spans="8:40" ht="23">
      <c r="M6" s="8" t="s">
        <v>954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954</v>
      </c>
      <c r="X6" s="8">
        <v>34.35</v>
      </c>
      <c r="Y6" s="8">
        <v>1.56</v>
      </c>
      <c r="Z6" s="9">
        <v>1.4</v>
      </c>
      <c r="AA6" s="8">
        <v>545.79999999999995</v>
      </c>
      <c r="AB6" s="8">
        <v>4320</v>
      </c>
      <c r="AC6" s="21" t="s">
        <v>954</v>
      </c>
      <c r="AD6" s="8" t="s">
        <v>4031</v>
      </c>
      <c r="AE6" s="8" t="s">
        <v>4364</v>
      </c>
      <c r="AF6" s="9">
        <f t="shared" si="0"/>
        <v>851.44799999999998</v>
      </c>
      <c r="AG6" s="9">
        <f t="shared" si="1"/>
        <v>549.43866666666656</v>
      </c>
      <c r="AH6" s="9">
        <f t="shared" si="2"/>
        <v>1.6714234966988009</v>
      </c>
      <c r="AI6" s="9">
        <f t="shared" si="3"/>
        <v>2.7936565053168465</v>
      </c>
      <c r="AJ6" s="9">
        <f t="shared" si="4"/>
        <v>1.362814434416356</v>
      </c>
      <c r="AK6" s="9">
        <f t="shared" si="5"/>
        <v>1.8572631826535722</v>
      </c>
      <c r="AL6" s="9">
        <f t="shared" si="6"/>
        <v>0.85468727564223068</v>
      </c>
      <c r="AM6" s="9">
        <f t="shared" si="7"/>
        <v>0.73049033914473838</v>
      </c>
      <c r="AN6" s="8" t="s">
        <v>954</v>
      </c>
    </row>
    <row r="7" spans="8:40" ht="23">
      <c r="M7" s="8" t="s">
        <v>1292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1292</v>
      </c>
      <c r="X7" s="8">
        <v>60.4</v>
      </c>
      <c r="Y7" s="8">
        <v>1.31</v>
      </c>
      <c r="Z7" s="9">
        <v>0.32</v>
      </c>
      <c r="AA7" s="8">
        <v>466.6</v>
      </c>
      <c r="AB7" s="8">
        <v>15363</v>
      </c>
      <c r="AC7" s="21" t="s">
        <v>1292</v>
      </c>
      <c r="AD7" s="8" t="s">
        <v>4031</v>
      </c>
      <c r="AE7" s="8" t="s">
        <v>4364</v>
      </c>
      <c r="AF7" s="9">
        <f t="shared" si="0"/>
        <v>611.24600000000009</v>
      </c>
      <c r="AG7" s="9">
        <f t="shared" si="1"/>
        <v>248.85333333333335</v>
      </c>
      <c r="AH7" s="9">
        <f t="shared" si="2"/>
        <v>1.428886411798572</v>
      </c>
      <c r="AI7" s="9">
        <f t="shared" si="3"/>
        <v>2.0417163778225982</v>
      </c>
      <c r="AJ7" s="9">
        <f t="shared" si="4"/>
        <v>0.97835084676839934</v>
      </c>
      <c r="AK7" s="9">
        <f t="shared" si="5"/>
        <v>0.95717037937244398</v>
      </c>
      <c r="AL7" s="9">
        <f t="shared" si="6"/>
        <v>0.38710740689495454</v>
      </c>
      <c r="AM7" s="9">
        <f t="shared" si="7"/>
        <v>0.14985214447293591</v>
      </c>
      <c r="AN7" s="8" t="s">
        <v>1292</v>
      </c>
    </row>
    <row r="8" spans="8:40" ht="23">
      <c r="M8" s="8" t="s">
        <v>4252</v>
      </c>
      <c r="N8" s="8" t="s">
        <v>150</v>
      </c>
      <c r="O8" s="8"/>
      <c r="P8" s="8" t="s">
        <v>3691</v>
      </c>
      <c r="Q8" s="8"/>
      <c r="R8" s="8"/>
      <c r="S8" s="8"/>
      <c r="T8" s="8"/>
      <c r="U8" s="8"/>
      <c r="V8" s="8"/>
      <c r="W8" s="8" t="s">
        <v>4252</v>
      </c>
      <c r="X8" s="8">
        <v>19.55</v>
      </c>
      <c r="Y8" s="8">
        <v>1.93</v>
      </c>
      <c r="Z8" s="9">
        <v>0.31</v>
      </c>
      <c r="AA8" s="8">
        <v>390.9</v>
      </c>
      <c r="AB8" s="8">
        <v>3460</v>
      </c>
      <c r="AC8" s="21" t="s">
        <v>4252</v>
      </c>
      <c r="AD8" s="8" t="s">
        <v>4031</v>
      </c>
      <c r="AE8" s="8" t="s">
        <v>4364</v>
      </c>
      <c r="AF8" s="9">
        <f t="shared" si="0"/>
        <v>754.4369999999999</v>
      </c>
      <c r="AG8" s="9">
        <f t="shared" si="1"/>
        <v>201.965</v>
      </c>
      <c r="AH8" s="9">
        <f t="shared" si="2"/>
        <v>1.1970675061552973</v>
      </c>
      <c r="AI8" s="9">
        <f t="shared" si="3"/>
        <v>1.4329706142928629</v>
      </c>
      <c r="AJ8" s="9">
        <f t="shared" si="4"/>
        <v>1.2075401356956295</v>
      </c>
      <c r="AK8" s="9">
        <f t="shared" si="5"/>
        <v>1.4581531793158191</v>
      </c>
      <c r="AL8" s="9">
        <f t="shared" si="6"/>
        <v>0.31416958087845381</v>
      </c>
      <c r="AM8" s="9">
        <f t="shared" si="7"/>
        <v>9.8702525549343334E-2</v>
      </c>
      <c r="AN8" s="8" t="s">
        <v>4252</v>
      </c>
    </row>
    <row r="9" spans="8:40" ht="23">
      <c r="M9" s="9" t="s">
        <v>2326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9" t="s">
        <v>2326</v>
      </c>
      <c r="X9" s="8">
        <v>18.54</v>
      </c>
      <c r="Y9" s="8">
        <v>2.44</v>
      </c>
      <c r="Z9" s="9">
        <v>0.12</v>
      </c>
      <c r="AA9" s="8">
        <v>262.3</v>
      </c>
      <c r="AB9" s="8">
        <v>13171</v>
      </c>
      <c r="AC9" s="22" t="s">
        <v>2326</v>
      </c>
      <c r="AD9" s="8" t="s">
        <v>4031</v>
      </c>
      <c r="AE9" s="8" t="s">
        <v>4364</v>
      </c>
      <c r="AF9" s="9">
        <f t="shared" si="0"/>
        <v>640.01200000000006</v>
      </c>
      <c r="AG9" s="9">
        <f t="shared" si="1"/>
        <v>52.460000000000008</v>
      </c>
      <c r="AH9" s="9">
        <f t="shared" si="2"/>
        <v>0.80325097688548097</v>
      </c>
      <c r="AI9" s="9">
        <f t="shared" si="3"/>
        <v>0.6452121318674795</v>
      </c>
      <c r="AJ9" s="9">
        <f t="shared" si="4"/>
        <v>1.024393259247401</v>
      </c>
      <c r="AK9" s="9">
        <f t="shared" si="5"/>
        <v>1.0493815495915129</v>
      </c>
      <c r="AL9" s="9">
        <f t="shared" si="6"/>
        <v>8.1604912796195833E-2</v>
      </c>
      <c r="AM9" s="9">
        <f t="shared" si="7"/>
        <v>6.6593617924747264E-3</v>
      </c>
      <c r="AN9" s="9" t="s">
        <v>2326</v>
      </c>
    </row>
    <row r="10" spans="8:40" ht="23">
      <c r="M10" s="8" t="s">
        <v>113</v>
      </c>
      <c r="N10" s="8" t="s">
        <v>90</v>
      </c>
      <c r="O10" s="8"/>
      <c r="P10" s="8" t="s">
        <v>4745</v>
      </c>
      <c r="Q10" s="8"/>
      <c r="R10" s="8"/>
      <c r="S10" s="8"/>
      <c r="T10" s="8"/>
      <c r="U10" s="8"/>
      <c r="V10" s="8"/>
      <c r="W10" s="8" t="s">
        <v>113</v>
      </c>
      <c r="X10" s="8">
        <v>19.62</v>
      </c>
      <c r="Y10" s="8">
        <v>1.65</v>
      </c>
      <c r="Z10" s="9">
        <v>0.31</v>
      </c>
      <c r="AA10" s="8">
        <v>215.5</v>
      </c>
      <c r="AB10" s="8">
        <v>12860</v>
      </c>
      <c r="AC10" s="21" t="s">
        <v>113</v>
      </c>
      <c r="AD10" s="8" t="s">
        <v>4031</v>
      </c>
      <c r="AE10" s="8" t="s">
        <v>4364</v>
      </c>
      <c r="AF10" s="9">
        <f t="shared" si="0"/>
        <v>355.57499999999999</v>
      </c>
      <c r="AG10" s="9">
        <f t="shared" si="1"/>
        <v>111.34166666666668</v>
      </c>
      <c r="AH10" s="9">
        <f t="shared" si="2"/>
        <v>0.65993360853534555</v>
      </c>
      <c r="AI10" s="9">
        <f t="shared" si="3"/>
        <v>0.4355123676744827</v>
      </c>
      <c r="AJ10" s="9">
        <f t="shared" si="4"/>
        <v>0.56912781816105718</v>
      </c>
      <c r="AK10" s="9">
        <f t="shared" si="5"/>
        <v>0.32390647340476536</v>
      </c>
      <c r="AL10" s="9">
        <f t="shared" si="6"/>
        <v>0.17319914218292864</v>
      </c>
      <c r="AM10" s="9">
        <f t="shared" si="7"/>
        <v>2.9997942852902332E-2</v>
      </c>
      <c r="AN10" s="8" t="s">
        <v>113</v>
      </c>
    </row>
    <row r="11" spans="8:40" ht="23">
      <c r="M11" s="8" t="s">
        <v>1904</v>
      </c>
      <c r="N11" s="8" t="s">
        <v>1902</v>
      </c>
      <c r="O11" s="8"/>
      <c r="P11" s="8" t="s">
        <v>3691</v>
      </c>
      <c r="Q11" s="8"/>
      <c r="R11" s="8"/>
      <c r="S11" s="8"/>
      <c r="T11" s="8"/>
      <c r="U11" s="8"/>
      <c r="V11" s="8"/>
      <c r="W11" s="8" t="s">
        <v>1904</v>
      </c>
      <c r="X11" s="8">
        <v>40.26</v>
      </c>
      <c r="Y11" s="8">
        <v>1.78</v>
      </c>
      <c r="Z11" s="9">
        <v>1.29</v>
      </c>
      <c r="AA11" s="8">
        <v>212</v>
      </c>
      <c r="AB11" s="8">
        <v>5935</v>
      </c>
      <c r="AC11" s="21" t="s">
        <v>1904</v>
      </c>
      <c r="AD11" s="8" t="s">
        <v>4031</v>
      </c>
      <c r="AE11" s="8" t="s">
        <v>4364</v>
      </c>
      <c r="AF11" s="9">
        <f t="shared" si="0"/>
        <v>377.36</v>
      </c>
      <c r="AG11" s="9">
        <f t="shared" si="1"/>
        <v>314.4666666666667</v>
      </c>
      <c r="AH11" s="9">
        <f t="shared" si="2"/>
        <v>0.64921542927839104</v>
      </c>
      <c r="AI11" s="9">
        <f t="shared" si="3"/>
        <v>0.42148067361312558</v>
      </c>
      <c r="AJ11" s="9">
        <f t="shared" si="4"/>
        <v>0.60399655054842594</v>
      </c>
      <c r="AK11" s="9">
        <f t="shared" si="5"/>
        <v>0.36481183307439724</v>
      </c>
      <c r="AL11" s="9">
        <f t="shared" si="6"/>
        <v>0.48917317786206088</v>
      </c>
      <c r="AM11" s="9">
        <f t="shared" si="7"/>
        <v>0.23929039793966744</v>
      </c>
      <c r="AN11" s="8" t="s">
        <v>1904</v>
      </c>
    </row>
    <row r="12" spans="8:40" ht="18"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9"/>
      <c r="AA12" s="48">
        <f>SUBTOTAL(109,Table13664[ترافیک کل])</f>
        <v>32654.799999999996</v>
      </c>
      <c r="AB12" s="48"/>
      <c r="AC12" s="53"/>
      <c r="AD12" s="48"/>
      <c r="AE12" s="48"/>
      <c r="AF12" s="49">
        <f>SUBTOTAL(109,Table13664[[مجموع صفحات  مشاهده شده   ]])</f>
        <v>62477.177999999993</v>
      </c>
      <c r="AG12" s="49">
        <f>SUBTOTAL(109,Table13664[[مجموع زمان حضور در سایت ]])</f>
        <v>64285.345333333331</v>
      </c>
      <c r="AH12" s="49">
        <f>SUBTOTAL(109,Table13664[سهم سایت از کل ترافیک طبقه بندی])</f>
        <v>100</v>
      </c>
      <c r="AI12" s="49">
        <f>SUBTOTAL(109,Table13664[شاخص هرفیندال هیرشمن (ترافیک)])</f>
        <v>5719.8954704777261</v>
      </c>
      <c r="AJ12" s="49">
        <f>SUBTOTAL(109,Table13664[سهم سایت از کل صفحات مشاهده شده در طبقه بندی])</f>
        <v>100</v>
      </c>
      <c r="AK12" s="49">
        <f>SUBTOTAL(109,Table13664[شاخص هرفیندال -هیرشمن (صفحات مشاهده شده )])</f>
        <v>5156.0945739244526</v>
      </c>
      <c r="AL12" s="49">
        <f>SUBTOTAL(109,Table13664[سهم سایت از کل زمان حضور در طبقه بندی])</f>
        <v>99.999999999999986</v>
      </c>
      <c r="AM12" s="49">
        <f>SUBTOTAL(109,Table13664[شاخص هرفیندال هیرشمن (زمان حضور)])</f>
        <v>6761.8275857702729</v>
      </c>
      <c r="AN12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{D22FB7A7-2172-430E-8D60-5C5C7732293C}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{9BB81A0F-8802-46F2-815B-BD8343AE5D1B}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{20BF122D-E833-46AB-B384-570CF99AEED8}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{2BF9E7CD-332E-4AF8-A7A3-61F7ED063241}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{87AA2E80-CA1E-4659-A6B5-C3B2A06A92EB}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{7F9EE269-7BCD-472E-8999-838738D90F80}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2FB7A7-2172-430E-8D60-5C5C7732293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BB81A0F-8802-46F2-815B-BD8343AE5D1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0BF122D-E833-46AB-B384-570CF99AEE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BF9E7CD-332E-4AF8-A7A3-61F7ED0632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7AA2E80-CA1E-4659-A6B5-C3B2A06A92E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7F9EE269-7BCD-472E-8999-838738D90F8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58"/>
  <sheetViews>
    <sheetView showGridLines="0" rightToLeft="1" topLeftCell="AA1" zoomScale="70" zoomScaleNormal="70" workbookViewId="0">
      <selection activeCell="AE2" sqref="AE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31.332031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2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4018</v>
      </c>
      <c r="N2" s="8"/>
      <c r="O2" s="8"/>
      <c r="P2" s="8" t="s">
        <v>3691</v>
      </c>
      <c r="Q2" s="8"/>
      <c r="R2" s="8"/>
      <c r="S2" s="8"/>
      <c r="T2" s="8"/>
      <c r="U2" s="8"/>
      <c r="V2" s="8"/>
      <c r="W2" s="8" t="s">
        <v>4018</v>
      </c>
      <c r="X2" s="8">
        <v>52.87</v>
      </c>
      <c r="Y2" s="8">
        <v>1.94</v>
      </c>
      <c r="Z2" s="9">
        <v>1.32</v>
      </c>
      <c r="AA2" s="8">
        <v>1035.5999999999999</v>
      </c>
      <c r="AB2" s="8">
        <v>532</v>
      </c>
      <c r="AC2" s="21" t="s">
        <v>4018</v>
      </c>
      <c r="AD2" s="8" t="s">
        <v>4002</v>
      </c>
      <c r="AE2" s="8" t="s">
        <v>4364</v>
      </c>
      <c r="AF2" s="9">
        <f t="shared" ref="AF2:AF33" si="0">(AA2*Y2)</f>
        <v>2009.0639999999999</v>
      </c>
      <c r="AG2" s="9">
        <f t="shared" ref="AG2:AG33" si="1">((((RIGHT(Z2,2))/60)+(LEFT(Z2,2)))*AA2)</f>
        <v>1587.9199999999998</v>
      </c>
      <c r="AH2" s="9">
        <f t="shared" ref="AH2:AH33" si="2">(AA2/$AA$158)*100</f>
        <v>11.699051061906921</v>
      </c>
      <c r="AI2" s="9">
        <f t="shared" ref="AI2:AI33" si="3">(AH2*AH2)</f>
        <v>136.86779574910545</v>
      </c>
      <c r="AJ2" s="9">
        <f t="shared" ref="AJ2:AJ33" si="4">(AF2/$AF$158)*100</f>
        <v>8.2014998183399204</v>
      </c>
      <c r="AK2" s="9">
        <f t="shared" ref="AK2:AK33" si="5">(AJ2*AJ2)</f>
        <v>67.264599270229752</v>
      </c>
      <c r="AL2" s="9">
        <f t="shared" ref="AL2:AL33" si="6">(AG2/$AG$158)*100</f>
        <v>11.155490740335704</v>
      </c>
      <c r="AM2" s="9">
        <f t="shared" ref="AM2:AM33" si="7">(AL2*AL2)</f>
        <v>124.44497365771564</v>
      </c>
      <c r="AN2" s="8" t="s">
        <v>4018</v>
      </c>
    </row>
    <row r="3" spans="8:40" ht="23">
      <c r="M3" s="8" t="s">
        <v>1911</v>
      </c>
      <c r="N3" s="8" t="s">
        <v>1902</v>
      </c>
      <c r="O3" s="8"/>
      <c r="P3" s="8" t="s">
        <v>3691</v>
      </c>
      <c r="Q3" s="8"/>
      <c r="R3" s="8"/>
      <c r="S3" s="8"/>
      <c r="T3" s="8"/>
      <c r="U3" s="8"/>
      <c r="V3" s="8"/>
      <c r="W3" s="8" t="s">
        <v>1911</v>
      </c>
      <c r="X3" s="8">
        <v>38.799999999999997</v>
      </c>
      <c r="Y3" s="8">
        <v>1.92</v>
      </c>
      <c r="Z3" s="9">
        <v>1.1000000000000001</v>
      </c>
      <c r="AA3" s="8">
        <v>461.4</v>
      </c>
      <c r="AB3" s="8">
        <v>1339</v>
      </c>
      <c r="AC3" s="21" t="s">
        <v>1911</v>
      </c>
      <c r="AD3" s="8" t="s">
        <v>4002</v>
      </c>
      <c r="AE3" s="8" t="s">
        <v>4364</v>
      </c>
      <c r="AF3" s="9">
        <f t="shared" si="0"/>
        <v>885.88799999999992</v>
      </c>
      <c r="AG3" s="9">
        <f t="shared" si="1"/>
        <v>462.16899999999998</v>
      </c>
      <c r="AH3" s="9">
        <f t="shared" si="2"/>
        <v>5.2123813827383678</v>
      </c>
      <c r="AI3" s="9">
        <f t="shared" si="3"/>
        <v>27.16891967911754</v>
      </c>
      <c r="AJ3" s="9">
        <f t="shared" si="4"/>
        <v>3.6164155403060909</v>
      </c>
      <c r="AK3" s="9">
        <f t="shared" si="5"/>
        <v>13.078461360167395</v>
      </c>
      <c r="AL3" s="9">
        <f t="shared" si="6"/>
        <v>3.2468398911596377</v>
      </c>
      <c r="AM3" s="9">
        <f t="shared" si="7"/>
        <v>10.541969278825528</v>
      </c>
      <c r="AN3" s="8" t="s">
        <v>1911</v>
      </c>
    </row>
    <row r="4" spans="8:40" ht="26" customHeight="1">
      <c r="M4" s="9" t="s">
        <v>3501</v>
      </c>
      <c r="N4" s="8" t="s">
        <v>2032</v>
      </c>
      <c r="O4" s="8"/>
      <c r="P4" s="8" t="s">
        <v>3693</v>
      </c>
      <c r="Q4" s="8"/>
      <c r="R4" s="8"/>
      <c r="S4" s="8"/>
      <c r="T4" s="8"/>
      <c r="U4" s="8"/>
      <c r="V4" s="8"/>
      <c r="W4" s="9" t="s">
        <v>3501</v>
      </c>
      <c r="X4" s="8">
        <v>40.47</v>
      </c>
      <c r="Y4" s="8">
        <v>2.06</v>
      </c>
      <c r="Z4" s="9">
        <v>1.1299999999999999</v>
      </c>
      <c r="AA4" s="8">
        <v>368.4</v>
      </c>
      <c r="AB4" s="8">
        <v>2812</v>
      </c>
      <c r="AC4" s="22" t="s">
        <v>3501</v>
      </c>
      <c r="AD4" s="8" t="s">
        <v>4002</v>
      </c>
      <c r="AE4" s="8" t="s">
        <v>4364</v>
      </c>
      <c r="AF4" s="9">
        <f t="shared" si="0"/>
        <v>758.904</v>
      </c>
      <c r="AG4" s="9">
        <f t="shared" si="1"/>
        <v>448.22</v>
      </c>
      <c r="AH4" s="9">
        <f t="shared" si="2"/>
        <v>4.1617713511070979</v>
      </c>
      <c r="AI4" s="9">
        <f t="shared" si="3"/>
        <v>17.320340778895801</v>
      </c>
      <c r="AJ4" s="9">
        <f t="shared" si="4"/>
        <v>3.0980352134812228</v>
      </c>
      <c r="AK4" s="9">
        <f t="shared" si="5"/>
        <v>9.5978221839696456</v>
      </c>
      <c r="AL4" s="9">
        <f t="shared" si="6"/>
        <v>3.1488450675306501</v>
      </c>
      <c r="AM4" s="9">
        <f t="shared" si="7"/>
        <v>9.9152252593121037</v>
      </c>
      <c r="AN4" s="9" t="s">
        <v>3501</v>
      </c>
    </row>
    <row r="5" spans="8:40" ht="23">
      <c r="M5" s="8" t="s">
        <v>1739</v>
      </c>
      <c r="N5" s="8" t="s">
        <v>1717</v>
      </c>
      <c r="O5" s="8"/>
      <c r="P5" s="8" t="s">
        <v>3693</v>
      </c>
      <c r="Q5" s="8"/>
      <c r="R5" s="8"/>
      <c r="S5" s="8"/>
      <c r="T5" s="8"/>
      <c r="U5" s="8"/>
      <c r="V5" s="8"/>
      <c r="W5" s="8" t="s">
        <v>1739</v>
      </c>
      <c r="X5" s="8">
        <v>13.06</v>
      </c>
      <c r="Y5" s="8">
        <v>5.32</v>
      </c>
      <c r="Z5" s="9">
        <v>6.04</v>
      </c>
      <c r="AA5" s="8">
        <v>305.8</v>
      </c>
      <c r="AB5" s="8">
        <v>1598</v>
      </c>
      <c r="AC5" s="21" t="s">
        <v>1739</v>
      </c>
      <c r="AD5" s="8" t="s">
        <v>4002</v>
      </c>
      <c r="AE5" s="8" t="s">
        <v>4364</v>
      </c>
      <c r="AF5" s="9">
        <f t="shared" si="0"/>
        <v>1626.8560000000002</v>
      </c>
      <c r="AG5" s="9">
        <f t="shared" si="1"/>
        <v>1855.1866666666667</v>
      </c>
      <c r="AH5" s="9">
        <f t="shared" si="2"/>
        <v>3.4545865341165869</v>
      </c>
      <c r="AI5" s="9">
        <f t="shared" si="3"/>
        <v>11.934168121699653</v>
      </c>
      <c r="AJ5" s="9">
        <f t="shared" si="4"/>
        <v>6.6412315329253886</v>
      </c>
      <c r="AK5" s="9">
        <f t="shared" si="5"/>
        <v>44.105956273922509</v>
      </c>
      <c r="AL5" s="9">
        <f t="shared" si="6"/>
        <v>13.033098444250507</v>
      </c>
      <c r="AM5" s="9">
        <f t="shared" si="7"/>
        <v>169.86165505752498</v>
      </c>
      <c r="AN5" s="8" t="s">
        <v>1739</v>
      </c>
    </row>
    <row r="6" spans="8:40" ht="23">
      <c r="M6" s="9" t="s">
        <v>5209</v>
      </c>
      <c r="N6" s="8"/>
      <c r="O6" s="8"/>
      <c r="P6" s="8"/>
      <c r="Q6" s="8"/>
      <c r="R6" s="8"/>
      <c r="S6" s="8"/>
      <c r="T6" s="8"/>
      <c r="U6" s="8"/>
      <c r="V6" s="8"/>
      <c r="W6" s="9" t="s">
        <v>5209</v>
      </c>
      <c r="X6" s="8">
        <v>9.7799999999999994</v>
      </c>
      <c r="Y6" s="8">
        <v>3.05</v>
      </c>
      <c r="Z6" s="9">
        <v>0.31</v>
      </c>
      <c r="AA6" s="8">
        <v>304.2</v>
      </c>
      <c r="AB6" s="8">
        <v>2808</v>
      </c>
      <c r="AC6" s="22" t="s">
        <v>5209</v>
      </c>
      <c r="AD6" s="8" t="s">
        <v>4002</v>
      </c>
      <c r="AE6" s="8" t="s">
        <v>4364</v>
      </c>
      <c r="AF6" s="9">
        <f t="shared" si="0"/>
        <v>927.81</v>
      </c>
      <c r="AG6" s="9">
        <f t="shared" si="1"/>
        <v>157.17000000000002</v>
      </c>
      <c r="AH6" s="9">
        <f t="shared" si="2"/>
        <v>3.4365115228197047</v>
      </c>
      <c r="AI6" s="9">
        <f t="shared" si="3"/>
        <v>11.809611446472607</v>
      </c>
      <c r="AJ6" s="9">
        <f t="shared" si="4"/>
        <v>3.7875515894237126</v>
      </c>
      <c r="AK6" s="9">
        <f t="shared" si="5"/>
        <v>14.345547042546091</v>
      </c>
      <c r="AL6" s="9">
        <f t="shared" si="6"/>
        <v>1.1041541637227084</v>
      </c>
      <c r="AM6" s="9">
        <f t="shared" si="7"/>
        <v>1.2191564172661935</v>
      </c>
      <c r="AN6" s="9" t="s">
        <v>5209</v>
      </c>
    </row>
    <row r="7" spans="8:40" ht="23">
      <c r="M7" s="8" t="s">
        <v>908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908</v>
      </c>
      <c r="X7" s="8">
        <v>47.81</v>
      </c>
      <c r="Y7" s="8">
        <v>1.32</v>
      </c>
      <c r="Z7" s="9">
        <v>0.28000000000000003</v>
      </c>
      <c r="AA7" s="8">
        <v>300.39999999999998</v>
      </c>
      <c r="AB7" s="8">
        <v>7562</v>
      </c>
      <c r="AC7" s="21" t="s">
        <v>908</v>
      </c>
      <c r="AD7" s="8" t="s">
        <v>4002</v>
      </c>
      <c r="AE7" s="8" t="s">
        <v>4364</v>
      </c>
      <c r="AF7" s="9">
        <f t="shared" si="0"/>
        <v>396.52799999999996</v>
      </c>
      <c r="AG7" s="9">
        <f t="shared" si="1"/>
        <v>140.18666666666667</v>
      </c>
      <c r="AH7" s="9">
        <f t="shared" si="2"/>
        <v>3.3935833709896093</v>
      </c>
      <c r="AI7" s="9">
        <f t="shared" si="3"/>
        <v>11.5164080958572</v>
      </c>
      <c r="AJ7" s="9">
        <f t="shared" si="4"/>
        <v>1.6187260933283816</v>
      </c>
      <c r="AK7" s="9">
        <f t="shared" si="5"/>
        <v>2.6202741652221642</v>
      </c>
      <c r="AL7" s="9">
        <f t="shared" si="6"/>
        <v>0.98484247438065409</v>
      </c>
      <c r="AM7" s="9">
        <f t="shared" si="7"/>
        <v>0.96991469934420926</v>
      </c>
      <c r="AN7" s="8" t="s">
        <v>908</v>
      </c>
    </row>
    <row r="8" spans="8:40" ht="23">
      <c r="M8" s="9" t="s">
        <v>2785</v>
      </c>
      <c r="N8" s="8" t="s">
        <v>1614</v>
      </c>
      <c r="O8" s="8"/>
      <c r="P8" s="8"/>
      <c r="Q8" s="8"/>
      <c r="R8" s="8"/>
      <c r="S8" s="8"/>
      <c r="T8" s="8"/>
      <c r="U8" s="8"/>
      <c r="V8" s="8"/>
      <c r="W8" s="9" t="s">
        <v>2785</v>
      </c>
      <c r="X8" s="8">
        <v>29.47</v>
      </c>
      <c r="Y8" s="8">
        <v>2.5499999999999998</v>
      </c>
      <c r="Z8" s="9">
        <v>1.19</v>
      </c>
      <c r="AA8" s="8">
        <v>262.3</v>
      </c>
      <c r="AB8" s="8">
        <v>3770</v>
      </c>
      <c r="AC8" s="22" t="s">
        <v>2785</v>
      </c>
      <c r="AD8" s="8" t="s">
        <v>4002</v>
      </c>
      <c r="AE8" s="8" t="s">
        <v>4364</v>
      </c>
      <c r="AF8" s="9">
        <f t="shared" si="0"/>
        <v>668.86500000000001</v>
      </c>
      <c r="AG8" s="9">
        <f t="shared" si="1"/>
        <v>345.36166666666668</v>
      </c>
      <c r="AH8" s="9">
        <f t="shared" si="2"/>
        <v>2.9631721644826055</v>
      </c>
      <c r="AI8" s="9">
        <f t="shared" si="3"/>
        <v>8.780389276364529</v>
      </c>
      <c r="AJ8" s="9">
        <f t="shared" si="4"/>
        <v>2.7304735817245898</v>
      </c>
      <c r="AK8" s="9">
        <f t="shared" si="5"/>
        <v>7.4554859804959097</v>
      </c>
      <c r="AL8" s="9">
        <f t="shared" si="6"/>
        <v>2.4262424269276202</v>
      </c>
      <c r="AM8" s="9">
        <f t="shared" si="7"/>
        <v>5.8866523142236282</v>
      </c>
      <c r="AN8" s="9" t="s">
        <v>2785</v>
      </c>
    </row>
    <row r="9" spans="8:40" ht="23">
      <c r="M9" s="9" t="s">
        <v>2978</v>
      </c>
      <c r="N9" s="8" t="s">
        <v>1717</v>
      </c>
      <c r="O9" s="8"/>
      <c r="P9" s="8" t="s">
        <v>3693</v>
      </c>
      <c r="Q9" s="8"/>
      <c r="R9" s="8"/>
      <c r="S9" s="8"/>
      <c r="T9" s="8"/>
      <c r="U9" s="8"/>
      <c r="V9" s="8"/>
      <c r="W9" s="9" t="s">
        <v>2978</v>
      </c>
      <c r="X9" s="8">
        <v>15.45</v>
      </c>
      <c r="Y9" s="8">
        <v>4.2699999999999996</v>
      </c>
      <c r="Z9" s="9">
        <v>2.2799999999999998</v>
      </c>
      <c r="AA9" s="8">
        <v>222.7</v>
      </c>
      <c r="AB9" s="8">
        <v>1318</v>
      </c>
      <c r="AC9" s="22" t="s">
        <v>2978</v>
      </c>
      <c r="AD9" s="8" t="s">
        <v>4002</v>
      </c>
      <c r="AE9" s="8" t="s">
        <v>4364</v>
      </c>
      <c r="AF9" s="9">
        <f t="shared" si="0"/>
        <v>950.92899999999986</v>
      </c>
      <c r="AG9" s="9">
        <f t="shared" si="1"/>
        <v>549.32666666666671</v>
      </c>
      <c r="AH9" s="9">
        <f t="shared" si="2"/>
        <v>2.5158156348847736</v>
      </c>
      <c r="AI9" s="9">
        <f t="shared" si="3"/>
        <v>6.329328308730676</v>
      </c>
      <c r="AJ9" s="9">
        <f t="shared" si="4"/>
        <v>3.8819291076611604</v>
      </c>
      <c r="AK9" s="9">
        <f t="shared" si="5"/>
        <v>15.069373596906972</v>
      </c>
      <c r="AL9" s="9">
        <f t="shared" si="6"/>
        <v>3.8591418606853485</v>
      </c>
      <c r="AM9" s="9">
        <f t="shared" si="7"/>
        <v>14.892975900893974</v>
      </c>
      <c r="AN9" s="9" t="s">
        <v>2978</v>
      </c>
    </row>
    <row r="10" spans="8:40" ht="23">
      <c r="M10" s="9" t="s">
        <v>2910</v>
      </c>
      <c r="N10" s="8" t="s">
        <v>1717</v>
      </c>
      <c r="O10" s="8"/>
      <c r="P10" s="8"/>
      <c r="Q10" s="8"/>
      <c r="R10" s="8"/>
      <c r="S10" s="8"/>
      <c r="T10" s="8"/>
      <c r="U10" s="8"/>
      <c r="V10" s="8"/>
      <c r="W10" s="9" t="s">
        <v>2910</v>
      </c>
      <c r="X10" s="8">
        <v>24.7</v>
      </c>
      <c r="Y10" s="8">
        <v>2.2000000000000002</v>
      </c>
      <c r="Z10" s="9">
        <v>2.09</v>
      </c>
      <c r="AA10" s="8">
        <v>200.4</v>
      </c>
      <c r="AB10" s="8">
        <v>3147</v>
      </c>
      <c r="AC10" s="22" t="s">
        <v>2910</v>
      </c>
      <c r="AD10" s="8" t="s">
        <v>4002</v>
      </c>
      <c r="AE10" s="8" t="s">
        <v>4364</v>
      </c>
      <c r="AF10" s="9">
        <f t="shared" si="0"/>
        <v>440.88000000000005</v>
      </c>
      <c r="AG10" s="9">
        <f t="shared" si="1"/>
        <v>430.86</v>
      </c>
      <c r="AH10" s="9">
        <f t="shared" si="2"/>
        <v>2.2638951649344801</v>
      </c>
      <c r="AI10" s="9">
        <f t="shared" si="3"/>
        <v>5.1252213178137165</v>
      </c>
      <c r="AJ10" s="9">
        <f t="shared" si="4"/>
        <v>1.7997820078950719</v>
      </c>
      <c r="AK10" s="9">
        <f t="shared" si="5"/>
        <v>3.2392152759428168</v>
      </c>
      <c r="AL10" s="9">
        <f t="shared" si="6"/>
        <v>3.0268872111825798</v>
      </c>
      <c r="AM10" s="9">
        <f t="shared" si="7"/>
        <v>9.1620461892206553</v>
      </c>
      <c r="AN10" s="9" t="s">
        <v>2910</v>
      </c>
    </row>
    <row r="11" spans="8:40" ht="23">
      <c r="M11" s="8" t="s">
        <v>1925</v>
      </c>
      <c r="N11" s="8" t="s">
        <v>1902</v>
      </c>
      <c r="O11" s="8"/>
      <c r="P11" s="8"/>
      <c r="Q11" s="8"/>
      <c r="R11" s="8"/>
      <c r="S11" s="8"/>
      <c r="T11" s="8"/>
      <c r="U11" s="8"/>
      <c r="V11" s="8"/>
      <c r="W11" s="8" t="s">
        <v>1925</v>
      </c>
      <c r="X11" s="8">
        <v>28.72</v>
      </c>
      <c r="Y11" s="8">
        <v>2.74</v>
      </c>
      <c r="Z11" s="9">
        <v>0.56000000000000005</v>
      </c>
      <c r="AA11" s="8">
        <v>197.1</v>
      </c>
      <c r="AB11" s="8">
        <v>5126</v>
      </c>
      <c r="AC11" s="21" t="s">
        <v>1925</v>
      </c>
      <c r="AD11" s="8" t="s">
        <v>4002</v>
      </c>
      <c r="AE11" s="8" t="s">
        <v>4364</v>
      </c>
      <c r="AF11" s="9">
        <f t="shared" si="0"/>
        <v>540.05399999999997</v>
      </c>
      <c r="AG11" s="9">
        <f t="shared" si="1"/>
        <v>183.96</v>
      </c>
      <c r="AH11" s="9">
        <f t="shared" si="2"/>
        <v>2.2266154541346608</v>
      </c>
      <c r="AI11" s="9">
        <f t="shared" si="3"/>
        <v>4.9578163805913018</v>
      </c>
      <c r="AJ11" s="9">
        <f t="shared" si="4"/>
        <v>2.2046349856917189</v>
      </c>
      <c r="AK11" s="9">
        <f t="shared" si="5"/>
        <v>4.8604154201359258</v>
      </c>
      <c r="AL11" s="9">
        <f t="shared" si="6"/>
        <v>1.292359864849713</v>
      </c>
      <c r="AM11" s="9">
        <f t="shared" si="7"/>
        <v>1.6701940202743684</v>
      </c>
      <c r="AN11" s="8" t="s">
        <v>1925</v>
      </c>
    </row>
    <row r="12" spans="8:40" ht="23">
      <c r="M12" s="8" t="s">
        <v>375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375</v>
      </c>
      <c r="X12" s="8">
        <v>23.79</v>
      </c>
      <c r="Y12" s="8">
        <v>3.47</v>
      </c>
      <c r="Z12" s="9">
        <v>0.54</v>
      </c>
      <c r="AA12" s="8">
        <v>183.8</v>
      </c>
      <c r="AB12" s="8">
        <v>3247</v>
      </c>
      <c r="AC12" s="21" t="s">
        <v>375</v>
      </c>
      <c r="AD12" s="8" t="s">
        <v>4002</v>
      </c>
      <c r="AE12" s="8" t="s">
        <v>4364</v>
      </c>
      <c r="AF12" s="9">
        <f t="shared" si="0"/>
        <v>637.78600000000006</v>
      </c>
      <c r="AG12" s="9">
        <f t="shared" si="1"/>
        <v>165.42000000000002</v>
      </c>
      <c r="AH12" s="9">
        <f t="shared" si="2"/>
        <v>2.0763669227293287</v>
      </c>
      <c r="AI12" s="9">
        <f t="shared" si="3"/>
        <v>4.3112995978044619</v>
      </c>
      <c r="AJ12" s="9">
        <f t="shared" si="4"/>
        <v>2.6036013602054218</v>
      </c>
      <c r="AK12" s="9">
        <f t="shared" si="5"/>
        <v>6.7787400428635225</v>
      </c>
      <c r="AL12" s="9">
        <f t="shared" si="6"/>
        <v>1.1621122463766014</v>
      </c>
      <c r="AM12" s="9">
        <f t="shared" si="7"/>
        <v>1.3505048731784706</v>
      </c>
      <c r="AN12" s="8" t="s">
        <v>375</v>
      </c>
    </row>
    <row r="13" spans="8:40" ht="23">
      <c r="M13" s="8" t="s">
        <v>1958</v>
      </c>
      <c r="N13" s="8" t="s">
        <v>1939</v>
      </c>
      <c r="O13" s="8"/>
      <c r="P13" s="8" t="s">
        <v>3691</v>
      </c>
      <c r="Q13" s="8"/>
      <c r="R13" s="8"/>
      <c r="S13" s="8"/>
      <c r="T13" s="8"/>
      <c r="U13" s="8"/>
      <c r="V13" s="8"/>
      <c r="W13" s="8" t="s">
        <v>1958</v>
      </c>
      <c r="X13" s="8">
        <v>1.84</v>
      </c>
      <c r="Y13" s="8">
        <v>6.25</v>
      </c>
      <c r="Z13" s="9">
        <v>1.1000000000000001</v>
      </c>
      <c r="AA13" s="8">
        <v>174.3</v>
      </c>
      <c r="AB13" s="8">
        <v>7738</v>
      </c>
      <c r="AC13" s="21" t="s">
        <v>1958</v>
      </c>
      <c r="AD13" s="8" t="s">
        <v>4002</v>
      </c>
      <c r="AE13" s="8" t="s">
        <v>4364</v>
      </c>
      <c r="AF13" s="9">
        <f t="shared" si="0"/>
        <v>1089.375</v>
      </c>
      <c r="AG13" s="9">
        <f t="shared" si="1"/>
        <v>174.59050000000002</v>
      </c>
      <c r="AH13" s="9">
        <f t="shared" si="2"/>
        <v>1.9690465431540911</v>
      </c>
      <c r="AI13" s="9">
        <f t="shared" si="3"/>
        <v>3.877144289107076</v>
      </c>
      <c r="AJ13" s="9">
        <f t="shared" si="4"/>
        <v>4.4471001743120437</v>
      </c>
      <c r="AK13" s="9">
        <f t="shared" si="5"/>
        <v>19.776699960366209</v>
      </c>
      <c r="AL13" s="9">
        <f t="shared" si="6"/>
        <v>1.2265370460102405</v>
      </c>
      <c r="AM13" s="9">
        <f t="shared" si="7"/>
        <v>1.5043931252355267</v>
      </c>
      <c r="AN13" s="8" t="s">
        <v>1958</v>
      </c>
    </row>
    <row r="14" spans="8:40" ht="27.5" customHeight="1">
      <c r="M14" s="8" t="s">
        <v>1786</v>
      </c>
      <c r="N14" s="8" t="s">
        <v>1717</v>
      </c>
      <c r="O14" s="8"/>
      <c r="P14" s="8" t="s">
        <v>4144</v>
      </c>
      <c r="Q14" s="8"/>
      <c r="R14" s="8"/>
      <c r="S14" s="8"/>
      <c r="T14" s="8"/>
      <c r="U14" s="8"/>
      <c r="V14" s="8"/>
      <c r="W14" s="8" t="s">
        <v>1786</v>
      </c>
      <c r="X14" s="8">
        <v>40.299999999999997</v>
      </c>
      <c r="Y14" s="8">
        <v>1.73</v>
      </c>
      <c r="Z14" s="9">
        <v>1.19</v>
      </c>
      <c r="AA14" s="8">
        <v>162.19999999999999</v>
      </c>
      <c r="AB14" s="8">
        <v>6677</v>
      </c>
      <c r="AC14" s="21" t="s">
        <v>1786</v>
      </c>
      <c r="AD14" s="8" t="s">
        <v>4002</v>
      </c>
      <c r="AE14" s="8" t="s">
        <v>4364</v>
      </c>
      <c r="AF14" s="9">
        <f t="shared" si="0"/>
        <v>280.60599999999999</v>
      </c>
      <c r="AG14" s="9">
        <f t="shared" si="1"/>
        <v>213.5633333333333</v>
      </c>
      <c r="AH14" s="9">
        <f t="shared" si="2"/>
        <v>1.8323542702214202</v>
      </c>
      <c r="AI14" s="9">
        <f t="shared" si="3"/>
        <v>3.3575221715986734</v>
      </c>
      <c r="AJ14" s="9">
        <f t="shared" si="4"/>
        <v>1.1455036066671305</v>
      </c>
      <c r="AK14" s="9">
        <f t="shared" si="5"/>
        <v>1.3121785128874039</v>
      </c>
      <c r="AL14" s="9">
        <f t="shared" si="6"/>
        <v>1.5003298575968735</v>
      </c>
      <c r="AM14" s="9">
        <f t="shared" si="7"/>
        <v>2.2509896815966548</v>
      </c>
      <c r="AN14" s="8" t="s">
        <v>1786</v>
      </c>
    </row>
    <row r="15" spans="8:40" ht="23">
      <c r="M15" s="8" t="s">
        <v>1944</v>
      </c>
      <c r="N15" s="8" t="s">
        <v>1939</v>
      </c>
      <c r="O15" s="8"/>
      <c r="P15" s="8" t="s">
        <v>3691</v>
      </c>
      <c r="Q15" s="8"/>
      <c r="R15" s="8"/>
      <c r="S15" s="8"/>
      <c r="T15" s="8"/>
      <c r="U15" s="8"/>
      <c r="V15" s="8"/>
      <c r="W15" s="8" t="s">
        <v>1944</v>
      </c>
      <c r="X15" s="8">
        <v>23.26</v>
      </c>
      <c r="Y15" s="8">
        <v>1.65</v>
      </c>
      <c r="Z15" s="9">
        <v>0.54</v>
      </c>
      <c r="AA15" s="8">
        <v>162</v>
      </c>
      <c r="AB15" s="8">
        <v>2333</v>
      </c>
      <c r="AC15" s="21" t="s">
        <v>1944</v>
      </c>
      <c r="AD15" s="8" t="s">
        <v>4002</v>
      </c>
      <c r="AE15" s="8" t="s">
        <v>4364</v>
      </c>
      <c r="AF15" s="9">
        <f t="shared" si="0"/>
        <v>267.3</v>
      </c>
      <c r="AG15" s="9">
        <f t="shared" si="1"/>
        <v>145.80000000000001</v>
      </c>
      <c r="AH15" s="9">
        <f t="shared" si="2"/>
        <v>1.83009489380931</v>
      </c>
      <c r="AI15" s="9">
        <f t="shared" si="3"/>
        <v>3.3492473203469095</v>
      </c>
      <c r="AJ15" s="9">
        <f t="shared" si="4"/>
        <v>1.0911851993974613</v>
      </c>
      <c r="AK15" s="9">
        <f t="shared" si="5"/>
        <v>1.1906851393840774</v>
      </c>
      <c r="AL15" s="9">
        <f t="shared" si="6"/>
        <v>1.0242773879924343</v>
      </c>
      <c r="AM15" s="9">
        <f t="shared" si="7"/>
        <v>1.0491441675526039</v>
      </c>
      <c r="AN15" s="8" t="s">
        <v>1944</v>
      </c>
    </row>
    <row r="16" spans="8:40" ht="23">
      <c r="M16" s="9" t="s">
        <v>3220</v>
      </c>
      <c r="N16" s="8" t="s">
        <v>1902</v>
      </c>
      <c r="O16" s="8"/>
      <c r="P16" s="8"/>
      <c r="Q16" s="8"/>
      <c r="R16" s="8"/>
      <c r="S16" s="8"/>
      <c r="T16" s="8"/>
      <c r="U16" s="8"/>
      <c r="V16" s="8"/>
      <c r="W16" s="9" t="s">
        <v>3220</v>
      </c>
      <c r="X16" s="8">
        <v>38.229999999999997</v>
      </c>
      <c r="Y16" s="8">
        <v>1.37</v>
      </c>
      <c r="Z16" s="9">
        <v>0.14000000000000001</v>
      </c>
      <c r="AA16" s="8">
        <v>156</v>
      </c>
      <c r="AB16" s="8">
        <v>8795</v>
      </c>
      <c r="AC16" s="22" t="s">
        <v>3220</v>
      </c>
      <c r="AD16" s="8" t="s">
        <v>4002</v>
      </c>
      <c r="AE16" s="8" t="s">
        <v>4364</v>
      </c>
      <c r="AF16" s="9">
        <f t="shared" si="0"/>
        <v>213.72000000000003</v>
      </c>
      <c r="AG16" s="9">
        <f t="shared" si="1"/>
        <v>36.4</v>
      </c>
      <c r="AH16" s="9">
        <f t="shared" si="2"/>
        <v>1.7623136014460024</v>
      </c>
      <c r="AI16" s="9">
        <f t="shared" si="3"/>
        <v>3.1057492298415794</v>
      </c>
      <c r="AJ16" s="9">
        <f t="shared" si="4"/>
        <v>0.87245828961924965</v>
      </c>
      <c r="AK16" s="9">
        <f t="shared" si="5"/>
        <v>0.76118346712534646</v>
      </c>
      <c r="AL16" s="9">
        <f t="shared" si="6"/>
        <v>0.25571808589111517</v>
      </c>
      <c r="AM16" s="9">
        <f t="shared" si="7"/>
        <v>6.5391739451815756E-2</v>
      </c>
      <c r="AN16" s="9" t="s">
        <v>3220</v>
      </c>
    </row>
    <row r="17" spans="13:40" ht="23">
      <c r="M17" s="8" t="s">
        <v>1002</v>
      </c>
      <c r="N17" s="8" t="s">
        <v>150</v>
      </c>
      <c r="O17" s="8"/>
      <c r="P17" s="8" t="s">
        <v>3692</v>
      </c>
      <c r="Q17" s="8"/>
      <c r="R17" s="8"/>
      <c r="S17" s="8"/>
      <c r="T17" s="8"/>
      <c r="U17" s="8"/>
      <c r="V17" s="8"/>
      <c r="W17" s="8" t="s">
        <v>1002</v>
      </c>
      <c r="X17" s="8">
        <v>1.47</v>
      </c>
      <c r="Y17" s="8">
        <v>8.48</v>
      </c>
      <c r="Z17" s="9">
        <v>1.06</v>
      </c>
      <c r="AA17" s="8">
        <v>154.80000000000001</v>
      </c>
      <c r="AB17" s="8">
        <v>14878</v>
      </c>
      <c r="AC17" s="21" t="s">
        <v>1002</v>
      </c>
      <c r="AD17" s="8" t="s">
        <v>4002</v>
      </c>
      <c r="AE17" s="8" t="s">
        <v>4364</v>
      </c>
      <c r="AF17" s="9">
        <f t="shared" si="0"/>
        <v>1312.7040000000002</v>
      </c>
      <c r="AG17" s="9">
        <f t="shared" si="1"/>
        <v>170.28000000000003</v>
      </c>
      <c r="AH17" s="9">
        <f t="shared" si="2"/>
        <v>1.7487573429733407</v>
      </c>
      <c r="AI17" s="9">
        <f t="shared" si="3"/>
        <v>3.0581522446031784</v>
      </c>
      <c r="AJ17" s="9">
        <f t="shared" si="4"/>
        <v>5.3587847960712498</v>
      </c>
      <c r="AK17" s="9">
        <f t="shared" si="5"/>
        <v>28.716574490604387</v>
      </c>
      <c r="AL17" s="9">
        <f t="shared" si="6"/>
        <v>1.196254825976349</v>
      </c>
      <c r="AM17" s="9">
        <f t="shared" si="7"/>
        <v>1.431025608671705</v>
      </c>
      <c r="AN17" s="8" t="s">
        <v>1002</v>
      </c>
    </row>
    <row r="18" spans="13:40" ht="23">
      <c r="M18" s="8" t="s">
        <v>1973</v>
      </c>
      <c r="N18" s="8" t="s">
        <v>1964</v>
      </c>
      <c r="O18" s="8"/>
      <c r="P18" s="8" t="s">
        <v>3693</v>
      </c>
      <c r="Q18" s="8"/>
      <c r="R18" s="8"/>
      <c r="S18" s="8"/>
      <c r="T18" s="8"/>
      <c r="U18" s="8"/>
      <c r="V18" s="8"/>
      <c r="W18" s="8" t="s">
        <v>1973</v>
      </c>
      <c r="X18" s="8">
        <v>16.32</v>
      </c>
      <c r="Y18" s="8">
        <v>14.31</v>
      </c>
      <c r="Z18" s="9">
        <v>6.4</v>
      </c>
      <c r="AA18" s="8">
        <v>153</v>
      </c>
      <c r="AB18" s="8">
        <v>1472</v>
      </c>
      <c r="AC18" s="21" t="s">
        <v>1973</v>
      </c>
      <c r="AD18" s="8" t="s">
        <v>4002</v>
      </c>
      <c r="AE18" s="8" t="s">
        <v>4364</v>
      </c>
      <c r="AF18" s="9">
        <f t="shared" si="0"/>
        <v>2189.4300000000003</v>
      </c>
      <c r="AG18" s="9">
        <f t="shared" si="1"/>
        <v>919.02</v>
      </c>
      <c r="AH18" s="9">
        <f t="shared" si="2"/>
        <v>1.7284229552643484</v>
      </c>
      <c r="AI18" s="9">
        <f t="shared" si="3"/>
        <v>2.9874459122847439</v>
      </c>
      <c r="AJ18" s="9">
        <f t="shared" si="4"/>
        <v>8.9377987696101151</v>
      </c>
      <c r="AK18" s="9">
        <f t="shared" si="5"/>
        <v>79.884246846044093</v>
      </c>
      <c r="AL18" s="9">
        <f t="shared" si="6"/>
        <v>6.45631965097947</v>
      </c>
      <c r="AM18" s="9">
        <f t="shared" si="7"/>
        <v>41.684063435623663</v>
      </c>
      <c r="AN18" s="8" t="s">
        <v>1973</v>
      </c>
    </row>
    <row r="19" spans="13:40" ht="23">
      <c r="M19" s="8" t="s">
        <v>2029</v>
      </c>
      <c r="N19" s="8" t="s">
        <v>2027</v>
      </c>
      <c r="O19" s="8"/>
      <c r="P19" s="8"/>
      <c r="Q19" s="8"/>
      <c r="R19" s="8"/>
      <c r="S19" s="8"/>
      <c r="T19" s="8"/>
      <c r="U19" s="8"/>
      <c r="V19" s="8"/>
      <c r="W19" s="8" t="s">
        <v>2029</v>
      </c>
      <c r="X19" s="8">
        <v>27.32</v>
      </c>
      <c r="Y19" s="8">
        <v>1.86</v>
      </c>
      <c r="Z19" s="9">
        <v>0.4</v>
      </c>
      <c r="AA19" s="8">
        <v>137.80000000000001</v>
      </c>
      <c r="AB19" s="8">
        <v>4420</v>
      </c>
      <c r="AC19" s="21" t="s">
        <v>2029</v>
      </c>
      <c r="AD19" s="8" t="s">
        <v>4002</v>
      </c>
      <c r="AE19" s="8" t="s">
        <v>4364</v>
      </c>
      <c r="AF19" s="9">
        <f t="shared" si="0"/>
        <v>256.30800000000005</v>
      </c>
      <c r="AG19" s="9">
        <f t="shared" si="1"/>
        <v>0.91866666666666685</v>
      </c>
      <c r="AH19" s="9">
        <f t="shared" si="2"/>
        <v>1.5567103479439688</v>
      </c>
      <c r="AI19" s="9">
        <f t="shared" si="3"/>
        <v>2.4233471073958324</v>
      </c>
      <c r="AJ19" s="9">
        <f t="shared" si="4"/>
        <v>1.0463131166747643</v>
      </c>
      <c r="AK19" s="9">
        <f t="shared" si="5"/>
        <v>1.0947711381256591</v>
      </c>
      <c r="AL19" s="9">
        <f t="shared" si="6"/>
        <v>6.4538374058233849E-3</v>
      </c>
      <c r="AM19" s="9">
        <f t="shared" si="7"/>
        <v>4.1652017260805117E-5</v>
      </c>
      <c r="AN19" s="8" t="s">
        <v>2029</v>
      </c>
    </row>
    <row r="20" spans="13:40" ht="23">
      <c r="M20" s="9" t="s">
        <v>3202</v>
      </c>
      <c r="N20" s="8" t="s">
        <v>1869</v>
      </c>
      <c r="O20" s="8"/>
      <c r="P20" s="8" t="s">
        <v>3691</v>
      </c>
      <c r="Q20" s="8"/>
      <c r="R20" s="8"/>
      <c r="S20" s="8"/>
      <c r="T20" s="8"/>
      <c r="U20" s="8"/>
      <c r="V20" s="8"/>
      <c r="W20" s="9" t="s">
        <v>3202</v>
      </c>
      <c r="X20" s="8">
        <v>40.020000000000003</v>
      </c>
      <c r="Y20" s="8">
        <v>1.5</v>
      </c>
      <c r="Z20" s="9">
        <v>0.37</v>
      </c>
      <c r="AA20" s="8">
        <v>136.80000000000001</v>
      </c>
      <c r="AB20" s="8">
        <v>4527</v>
      </c>
      <c r="AC20" s="22" t="s">
        <v>3202</v>
      </c>
      <c r="AD20" s="8" t="s">
        <v>4002</v>
      </c>
      <c r="AE20" s="8" t="s">
        <v>4364</v>
      </c>
      <c r="AF20" s="9">
        <f t="shared" si="0"/>
        <v>205.20000000000002</v>
      </c>
      <c r="AG20" s="9">
        <f t="shared" si="1"/>
        <v>84.360000000000014</v>
      </c>
      <c r="AH20" s="9">
        <f t="shared" si="2"/>
        <v>1.5454134658834175</v>
      </c>
      <c r="AI20" s="9">
        <f t="shared" si="3"/>
        <v>2.3883027805337971</v>
      </c>
      <c r="AJ20" s="9">
        <f t="shared" si="4"/>
        <v>0.83767752681017227</v>
      </c>
      <c r="AK20" s="9">
        <f t="shared" si="5"/>
        <v>0.70170363892280685</v>
      </c>
      <c r="AL20" s="9">
        <f t="shared" si="6"/>
        <v>0.59264773971907914</v>
      </c>
      <c r="AM20" s="9">
        <f t="shared" si="7"/>
        <v>0.35123134339413337</v>
      </c>
      <c r="AN20" s="9" t="s">
        <v>3202</v>
      </c>
    </row>
    <row r="21" spans="13:40" ht="23">
      <c r="M21" s="8" t="s">
        <v>5155</v>
      </c>
      <c r="N21" s="8"/>
      <c r="O21" s="8"/>
      <c r="P21" s="8"/>
      <c r="Q21" s="8"/>
      <c r="R21" s="8"/>
      <c r="S21" s="8"/>
      <c r="T21" s="8"/>
      <c r="U21" s="8"/>
      <c r="V21" s="8"/>
      <c r="W21" s="8" t="s">
        <v>5155</v>
      </c>
      <c r="X21" s="8">
        <v>41.63</v>
      </c>
      <c r="Y21" s="8">
        <v>1.22</v>
      </c>
      <c r="Z21" s="9">
        <v>0.25</v>
      </c>
      <c r="AA21" s="8">
        <v>136.5</v>
      </c>
      <c r="AB21" s="8">
        <v>5562</v>
      </c>
      <c r="AC21" s="21" t="s">
        <v>5155</v>
      </c>
      <c r="AD21" s="8" t="s">
        <v>4002</v>
      </c>
      <c r="AE21" s="8" t="s">
        <v>4364</v>
      </c>
      <c r="AF21" s="9">
        <f t="shared" si="0"/>
        <v>166.53</v>
      </c>
      <c r="AG21" s="9">
        <f t="shared" si="1"/>
        <v>56.875</v>
      </c>
      <c r="AH21" s="9">
        <f t="shared" si="2"/>
        <v>1.5420244012652522</v>
      </c>
      <c r="AI21" s="9">
        <f t="shared" si="3"/>
        <v>2.3778392540974593</v>
      </c>
      <c r="AJ21" s="9">
        <f t="shared" si="4"/>
        <v>0.67981695194784586</v>
      </c>
      <c r="AK21" s="9">
        <f t="shared" si="5"/>
        <v>0.46215108815565975</v>
      </c>
      <c r="AL21" s="9">
        <f t="shared" si="6"/>
        <v>0.39955950920486755</v>
      </c>
      <c r="AM21" s="9">
        <f t="shared" si="7"/>
        <v>0.15964780139603463</v>
      </c>
      <c r="AN21" s="8" t="s">
        <v>5155</v>
      </c>
    </row>
    <row r="22" spans="13:40" ht="23">
      <c r="M22" s="8" t="s">
        <v>4324</v>
      </c>
      <c r="N22" s="8"/>
      <c r="O22" s="8"/>
      <c r="P22" s="8"/>
      <c r="Q22" s="8"/>
      <c r="R22" s="8"/>
      <c r="S22" s="8"/>
      <c r="T22" s="8"/>
      <c r="U22" s="8"/>
      <c r="V22" s="8"/>
      <c r="W22" s="8" t="s">
        <v>4324</v>
      </c>
      <c r="X22" s="8">
        <v>28.78</v>
      </c>
      <c r="Y22" s="8">
        <v>1.42</v>
      </c>
      <c r="Z22" s="9">
        <v>0.47</v>
      </c>
      <c r="AA22" s="8">
        <v>133.9</v>
      </c>
      <c r="AB22" s="8">
        <v>4617</v>
      </c>
      <c r="AC22" s="21" t="s">
        <v>4324</v>
      </c>
      <c r="AD22" s="8" t="s">
        <v>4002</v>
      </c>
      <c r="AE22" s="8" t="s">
        <v>4364</v>
      </c>
      <c r="AF22" s="9">
        <f t="shared" si="0"/>
        <v>190.13800000000001</v>
      </c>
      <c r="AG22" s="9">
        <f t="shared" si="1"/>
        <v>104.88833333333334</v>
      </c>
      <c r="AH22" s="9">
        <f t="shared" si="2"/>
        <v>1.5126525079078186</v>
      </c>
      <c r="AI22" s="9">
        <f t="shared" si="3"/>
        <v>2.288117609679813</v>
      </c>
      <c r="AJ22" s="9">
        <f t="shared" si="4"/>
        <v>0.77619069002257568</v>
      </c>
      <c r="AK22" s="9">
        <f t="shared" si="5"/>
        <v>0.60247198727772222</v>
      </c>
      <c r="AL22" s="9">
        <f t="shared" si="6"/>
        <v>0.73686384154695761</v>
      </c>
      <c r="AM22" s="9">
        <f t="shared" si="7"/>
        <v>0.54296832097933989</v>
      </c>
      <c r="AN22" s="8" t="s">
        <v>4324</v>
      </c>
    </row>
    <row r="23" spans="13:40" ht="23">
      <c r="M23" s="8" t="s">
        <v>2098</v>
      </c>
      <c r="N23" s="8" t="s">
        <v>2093</v>
      </c>
      <c r="O23" s="8"/>
      <c r="P23" s="8"/>
      <c r="Q23" s="8"/>
      <c r="R23" s="8"/>
      <c r="S23" s="8"/>
      <c r="T23" s="8"/>
      <c r="U23" s="8"/>
      <c r="V23" s="8"/>
      <c r="W23" s="8" t="s">
        <v>2098</v>
      </c>
      <c r="X23" s="8">
        <v>38.39</v>
      </c>
      <c r="Y23" s="8">
        <v>3.52</v>
      </c>
      <c r="Z23" s="9">
        <v>1.47</v>
      </c>
      <c r="AA23" s="8">
        <v>132.30000000000001</v>
      </c>
      <c r="AB23" s="8">
        <v>10851</v>
      </c>
      <c r="AC23" s="21" t="s">
        <v>2098</v>
      </c>
      <c r="AD23" s="8" t="s">
        <v>4002</v>
      </c>
      <c r="AE23" s="8" t="s">
        <v>4364</v>
      </c>
      <c r="AF23" s="9">
        <f t="shared" si="0"/>
        <v>465.69600000000003</v>
      </c>
      <c r="AG23" s="9">
        <f t="shared" si="1"/>
        <v>235.935</v>
      </c>
      <c r="AH23" s="9">
        <f t="shared" si="2"/>
        <v>1.4945774966109369</v>
      </c>
      <c r="AI23" s="9">
        <f t="shared" si="3"/>
        <v>2.233761893375815</v>
      </c>
      <c r="AJ23" s="9">
        <f t="shared" si="4"/>
        <v>1.9010871029502436</v>
      </c>
      <c r="AK23" s="9">
        <f t="shared" si="5"/>
        <v>3.6141321730037501</v>
      </c>
      <c r="AL23" s="9">
        <f t="shared" si="6"/>
        <v>1.6574957855692383</v>
      </c>
      <c r="AM23" s="9">
        <f t="shared" si="7"/>
        <v>2.7472922791797862</v>
      </c>
      <c r="AN23" s="8" t="s">
        <v>2098</v>
      </c>
    </row>
    <row r="24" spans="13:40" ht="23">
      <c r="M24" s="9" t="s">
        <v>3336</v>
      </c>
      <c r="N24" s="8" t="s">
        <v>1964</v>
      </c>
      <c r="O24" s="8"/>
      <c r="P24" s="8" t="s">
        <v>3693</v>
      </c>
      <c r="Q24" s="8"/>
      <c r="R24" s="8"/>
      <c r="S24" s="8"/>
      <c r="T24" s="8"/>
      <c r="U24" s="8"/>
      <c r="V24" s="8"/>
      <c r="W24" s="9" t="s">
        <v>3336</v>
      </c>
      <c r="X24" s="8">
        <v>34.56</v>
      </c>
      <c r="Y24" s="8">
        <v>1.8</v>
      </c>
      <c r="Z24" s="9">
        <v>0.54</v>
      </c>
      <c r="AA24" s="8">
        <v>129.9</v>
      </c>
      <c r="AB24" s="8">
        <v>3903</v>
      </c>
      <c r="AC24" s="22" t="s">
        <v>3336</v>
      </c>
      <c r="AD24" s="8" t="s">
        <v>4002</v>
      </c>
      <c r="AE24" s="8" t="s">
        <v>4364</v>
      </c>
      <c r="AF24" s="9">
        <f t="shared" si="0"/>
        <v>233.82000000000002</v>
      </c>
      <c r="AG24" s="9">
        <f t="shared" si="1"/>
        <v>116.91000000000001</v>
      </c>
      <c r="AH24" s="9">
        <f t="shared" si="2"/>
        <v>1.4674649796656134</v>
      </c>
      <c r="AI24" s="9">
        <f t="shared" si="3"/>
        <v>2.1534534665449994</v>
      </c>
      <c r="AJ24" s="9">
        <f t="shared" si="4"/>
        <v>0.95451149765474885</v>
      </c>
      <c r="AK24" s="9">
        <f t="shared" si="5"/>
        <v>0.91109219915511164</v>
      </c>
      <c r="AL24" s="9">
        <f t="shared" si="6"/>
        <v>0.82131872037171116</v>
      </c>
      <c r="AM24" s="9">
        <f t="shared" si="7"/>
        <v>0.6745644404330251</v>
      </c>
      <c r="AN24" s="9" t="s">
        <v>3336</v>
      </c>
    </row>
    <row r="25" spans="13:40" ht="23">
      <c r="M25" s="9" t="s">
        <v>3192</v>
      </c>
      <c r="N25" s="8" t="s">
        <v>1869</v>
      </c>
      <c r="O25" s="8"/>
      <c r="P25" s="8"/>
      <c r="Q25" s="8"/>
      <c r="R25" s="8"/>
      <c r="S25" s="8"/>
      <c r="T25" s="8"/>
      <c r="U25" s="8"/>
      <c r="V25" s="8"/>
      <c r="W25" s="9" t="s">
        <v>3192</v>
      </c>
      <c r="X25" s="8">
        <v>29.62</v>
      </c>
      <c r="Y25" s="8">
        <v>1.64</v>
      </c>
      <c r="Z25" s="9">
        <v>0.3</v>
      </c>
      <c r="AA25" s="8">
        <v>123.8</v>
      </c>
      <c r="AB25" s="8">
        <v>6160</v>
      </c>
      <c r="AC25" s="22" t="s">
        <v>3192</v>
      </c>
      <c r="AD25" s="8" t="s">
        <v>4002</v>
      </c>
      <c r="AE25" s="8" t="s">
        <v>4364</v>
      </c>
      <c r="AF25" s="9">
        <f t="shared" si="0"/>
        <v>203.03199999999998</v>
      </c>
      <c r="AG25" s="9">
        <f t="shared" si="1"/>
        <v>0.61899999999999999</v>
      </c>
      <c r="AH25" s="9">
        <f t="shared" si="2"/>
        <v>1.3985539990962506</v>
      </c>
      <c r="AI25" s="9">
        <f t="shared" si="3"/>
        <v>1.9559532883881152</v>
      </c>
      <c r="AJ25" s="9">
        <f t="shared" si="4"/>
        <v>0.828827210639975</v>
      </c>
      <c r="AK25" s="9">
        <f t="shared" si="5"/>
        <v>0.68695454509724152</v>
      </c>
      <c r="AL25" s="9">
        <f t="shared" si="6"/>
        <v>4.3486125045769314E-3</v>
      </c>
      <c r="AM25" s="9">
        <f t="shared" si="7"/>
        <v>1.8910430714962852E-5</v>
      </c>
      <c r="AN25" s="9" t="s">
        <v>3192</v>
      </c>
    </row>
    <row r="26" spans="13:40" ht="23">
      <c r="M26" s="8" t="s">
        <v>4</v>
      </c>
      <c r="N26" s="8" t="s">
        <v>0</v>
      </c>
      <c r="O26" s="8"/>
      <c r="P26" s="8"/>
      <c r="Q26" s="8"/>
      <c r="R26" s="8"/>
      <c r="S26" s="8"/>
      <c r="T26" s="8"/>
      <c r="U26" s="8"/>
      <c r="V26" s="8"/>
      <c r="W26" s="8" t="s">
        <v>4</v>
      </c>
      <c r="X26" s="8">
        <v>30.47</v>
      </c>
      <c r="Y26" s="8">
        <v>1.85</v>
      </c>
      <c r="Z26" s="9">
        <v>0.13</v>
      </c>
      <c r="AA26" s="8">
        <v>108.4</v>
      </c>
      <c r="AB26" s="8">
        <v>12587</v>
      </c>
      <c r="AC26" s="21" t="s">
        <v>4</v>
      </c>
      <c r="AD26" s="8" t="s">
        <v>4002</v>
      </c>
      <c r="AE26" s="8" t="s">
        <v>4364</v>
      </c>
      <c r="AF26" s="9">
        <f t="shared" si="0"/>
        <v>200.54000000000002</v>
      </c>
      <c r="AG26" s="9">
        <f t="shared" si="1"/>
        <v>23.486666666666668</v>
      </c>
      <c r="AH26" s="9">
        <f t="shared" si="2"/>
        <v>1.2245820153637608</v>
      </c>
      <c r="AI26" s="9">
        <f t="shared" si="3"/>
        <v>1.49960111235237</v>
      </c>
      <c r="AJ26" s="9">
        <f t="shared" si="4"/>
        <v>0.81865424574323553</v>
      </c>
      <c r="AK26" s="9">
        <f t="shared" si="5"/>
        <v>0.67019477407342587</v>
      </c>
      <c r="AL26" s="9">
        <f t="shared" si="6"/>
        <v>0.16499905065831483</v>
      </c>
      <c r="AM26" s="9">
        <f t="shared" si="7"/>
        <v>2.7224686718145142E-2</v>
      </c>
      <c r="AN26" s="8" t="s">
        <v>4</v>
      </c>
    </row>
    <row r="27" spans="13:40" ht="23">
      <c r="M27" s="8" t="s">
        <v>144</v>
      </c>
      <c r="N27" s="8" t="s">
        <v>150</v>
      </c>
      <c r="O27" s="8"/>
      <c r="P27" s="8" t="s">
        <v>3693</v>
      </c>
      <c r="Q27" s="8"/>
      <c r="R27" s="8"/>
      <c r="S27" s="8"/>
      <c r="T27" s="8"/>
      <c r="U27" s="8"/>
      <c r="V27" s="8"/>
      <c r="W27" s="8" t="s">
        <v>144</v>
      </c>
      <c r="X27" s="8">
        <v>30.5</v>
      </c>
      <c r="Y27" s="8">
        <v>3.3</v>
      </c>
      <c r="Z27" s="9">
        <v>5.44</v>
      </c>
      <c r="AA27" s="8">
        <v>107.3</v>
      </c>
      <c r="AB27" s="8">
        <v>1342</v>
      </c>
      <c r="AC27" s="21" t="s">
        <v>144</v>
      </c>
      <c r="AD27" s="8" t="s">
        <v>4165</v>
      </c>
      <c r="AE27" s="8" t="s">
        <v>4364</v>
      </c>
      <c r="AF27" s="9">
        <f t="shared" si="0"/>
        <v>354.09</v>
      </c>
      <c r="AG27" s="9">
        <f t="shared" si="1"/>
        <v>615.18666666666661</v>
      </c>
      <c r="AH27" s="9">
        <f t="shared" si="2"/>
        <v>1.2121554450971541</v>
      </c>
      <c r="AI27" s="9">
        <f t="shared" si="3"/>
        <v>1.4693208230786798</v>
      </c>
      <c r="AJ27" s="9">
        <f t="shared" si="4"/>
        <v>1.4454836036462664</v>
      </c>
      <c r="AK27" s="9">
        <f t="shared" si="5"/>
        <v>2.0894228484101967</v>
      </c>
      <c r="AL27" s="9">
        <f t="shared" si="6"/>
        <v>4.3218229908169103</v>
      </c>
      <c r="AM27" s="9">
        <f t="shared" si="7"/>
        <v>18.678153963953623</v>
      </c>
      <c r="AN27" s="8" t="s">
        <v>144</v>
      </c>
    </row>
    <row r="28" spans="13:40" ht="23">
      <c r="M28" s="9" t="s">
        <v>3264</v>
      </c>
      <c r="N28" s="8" t="s">
        <v>1902</v>
      </c>
      <c r="O28" s="8"/>
      <c r="P28" s="8" t="s">
        <v>3691</v>
      </c>
      <c r="Q28" s="8"/>
      <c r="R28" s="8"/>
      <c r="S28" s="8"/>
      <c r="T28" s="8"/>
      <c r="U28" s="8"/>
      <c r="V28" s="8"/>
      <c r="W28" s="9" t="s">
        <v>3264</v>
      </c>
      <c r="X28" s="8">
        <v>21.63</v>
      </c>
      <c r="Y28" s="8">
        <v>1.76</v>
      </c>
      <c r="Z28" s="9">
        <v>0.2</v>
      </c>
      <c r="AA28" s="8">
        <v>98.8</v>
      </c>
      <c r="AB28" s="8">
        <v>10336</v>
      </c>
      <c r="AC28" s="22" t="s">
        <v>3264</v>
      </c>
      <c r="AD28" s="8" t="s">
        <v>4002</v>
      </c>
      <c r="AE28" s="8" t="s">
        <v>4364</v>
      </c>
      <c r="AF28" s="9">
        <f t="shared" si="0"/>
        <v>173.88800000000001</v>
      </c>
      <c r="AG28" s="9">
        <f t="shared" si="1"/>
        <v>0.32933333333333337</v>
      </c>
      <c r="AH28" s="9">
        <f t="shared" si="2"/>
        <v>1.116131947582468</v>
      </c>
      <c r="AI28" s="9">
        <f t="shared" si="3"/>
        <v>1.2457505244142331</v>
      </c>
      <c r="AJ28" s="9">
        <f t="shared" si="4"/>
        <v>0.70985414123765711</v>
      </c>
      <c r="AK28" s="9">
        <f t="shared" si="5"/>
        <v>0.50389290183225166</v>
      </c>
      <c r="AL28" s="9">
        <f t="shared" si="6"/>
        <v>2.313639824729138E-3</v>
      </c>
      <c r="AM28" s="9">
        <f t="shared" si="7"/>
        <v>5.352929238572676E-6</v>
      </c>
      <c r="AN28" s="9" t="s">
        <v>3264</v>
      </c>
    </row>
    <row r="29" spans="13:40" ht="23">
      <c r="M29" s="9" t="s">
        <v>3342</v>
      </c>
      <c r="N29" s="8" t="s">
        <v>1964</v>
      </c>
      <c r="O29" s="8"/>
      <c r="P29" s="8" t="s">
        <v>3691</v>
      </c>
      <c r="Q29" s="8"/>
      <c r="R29" s="8"/>
      <c r="S29" s="8"/>
      <c r="T29" s="8"/>
      <c r="U29" s="8"/>
      <c r="V29" s="8"/>
      <c r="W29" s="9" t="s">
        <v>3342</v>
      </c>
      <c r="X29" s="8">
        <v>38.47</v>
      </c>
      <c r="Y29" s="8">
        <v>1.37</v>
      </c>
      <c r="Z29" s="9">
        <v>1.35</v>
      </c>
      <c r="AA29" s="8">
        <v>90.8</v>
      </c>
      <c r="AB29" s="8"/>
      <c r="AC29" s="22" t="s">
        <v>3342</v>
      </c>
      <c r="AD29" s="8" t="s">
        <v>4002</v>
      </c>
      <c r="AE29" s="8" t="s">
        <v>4364</v>
      </c>
      <c r="AF29" s="9">
        <f t="shared" si="0"/>
        <v>124.396</v>
      </c>
      <c r="AG29" s="9">
        <f t="shared" si="1"/>
        <v>143.76666666666668</v>
      </c>
      <c r="AH29" s="9">
        <f t="shared" si="2"/>
        <v>1.0257568910980577</v>
      </c>
      <c r="AI29" s="9">
        <f t="shared" si="3"/>
        <v>1.0521771996351525</v>
      </c>
      <c r="AJ29" s="9">
        <f t="shared" si="4"/>
        <v>0.50781546600915295</v>
      </c>
      <c r="AK29" s="9">
        <f t="shared" si="5"/>
        <v>0.25787654751809319</v>
      </c>
      <c r="AL29" s="9">
        <f t="shared" si="6"/>
        <v>1.0099927696413737</v>
      </c>
      <c r="AM29" s="9">
        <f t="shared" si="7"/>
        <v>1.020085394727853</v>
      </c>
      <c r="AN29" s="9" t="s">
        <v>3342</v>
      </c>
    </row>
    <row r="30" spans="13:40" ht="23">
      <c r="M30" s="9" t="s">
        <v>3143</v>
      </c>
      <c r="N30" s="8" t="s">
        <v>1869</v>
      </c>
      <c r="O30" s="8"/>
      <c r="P30" s="8" t="s">
        <v>3691</v>
      </c>
      <c r="Q30" s="8"/>
      <c r="R30" s="8"/>
      <c r="S30" s="8"/>
      <c r="T30" s="8"/>
      <c r="U30" s="8"/>
      <c r="V30" s="8"/>
      <c r="W30" s="9" t="s">
        <v>3143</v>
      </c>
      <c r="X30" s="8">
        <v>25.91</v>
      </c>
      <c r="Y30" s="8">
        <v>1.45</v>
      </c>
      <c r="Z30" s="9">
        <v>0.34</v>
      </c>
      <c r="AA30" s="8">
        <v>85.7</v>
      </c>
      <c r="AB30" s="8">
        <v>5915</v>
      </c>
      <c r="AC30" s="22" t="s">
        <v>3143</v>
      </c>
      <c r="AD30" s="8" t="s">
        <v>4002</v>
      </c>
      <c r="AE30" s="8" t="s">
        <v>4364</v>
      </c>
      <c r="AF30" s="9">
        <f t="shared" si="0"/>
        <v>124.265</v>
      </c>
      <c r="AG30" s="9">
        <f t="shared" si="1"/>
        <v>48.563333333333333</v>
      </c>
      <c r="AH30" s="9">
        <f t="shared" si="2"/>
        <v>0.96814279258924629</v>
      </c>
      <c r="AI30" s="9">
        <f t="shared" si="3"/>
        <v>0.93730046684250434</v>
      </c>
      <c r="AJ30" s="9">
        <f t="shared" si="4"/>
        <v>0.50728069136971765</v>
      </c>
      <c r="AK30" s="9">
        <f t="shared" si="5"/>
        <v>0.25733369983653875</v>
      </c>
      <c r="AL30" s="9">
        <f t="shared" si="6"/>
        <v>0.34116820451901625</v>
      </c>
      <c r="AM30" s="9">
        <f t="shared" si="7"/>
        <v>0.1163957437747293</v>
      </c>
      <c r="AN30" s="9" t="s">
        <v>3143</v>
      </c>
    </row>
    <row r="31" spans="13:40" ht="24" customHeight="1">
      <c r="M31" s="9" t="s">
        <v>2568</v>
      </c>
      <c r="N31" s="8" t="s">
        <v>150</v>
      </c>
      <c r="O31" s="8"/>
      <c r="P31" s="8" t="s">
        <v>3709</v>
      </c>
      <c r="Q31" s="8"/>
      <c r="R31" s="8"/>
      <c r="S31" s="8"/>
      <c r="T31" s="8"/>
      <c r="U31" s="8"/>
      <c r="V31" s="8"/>
      <c r="W31" s="9" t="s">
        <v>2568</v>
      </c>
      <c r="X31" s="8">
        <v>27.34</v>
      </c>
      <c r="Y31" s="8">
        <v>1.26</v>
      </c>
      <c r="Z31" s="9">
        <v>0.2</v>
      </c>
      <c r="AA31" s="8">
        <v>85.4</v>
      </c>
      <c r="AB31" s="8">
        <v>10435</v>
      </c>
      <c r="AC31" s="22" t="s">
        <v>2568</v>
      </c>
      <c r="AD31" s="8" t="s">
        <v>4002</v>
      </c>
      <c r="AE31" s="8" t="s">
        <v>4364</v>
      </c>
      <c r="AF31" s="9">
        <f t="shared" si="0"/>
        <v>107.60400000000001</v>
      </c>
      <c r="AG31" s="9">
        <f t="shared" si="1"/>
        <v>0.28466666666666668</v>
      </c>
      <c r="AH31" s="9">
        <f t="shared" si="2"/>
        <v>0.96475372797108072</v>
      </c>
      <c r="AI31" s="9">
        <f t="shared" si="3"/>
        <v>0.93074975563409801</v>
      </c>
      <c r="AJ31" s="9">
        <f t="shared" si="4"/>
        <v>0.43926633818168515</v>
      </c>
      <c r="AK31" s="9">
        <f t="shared" si="5"/>
        <v>0.19295491585954658</v>
      </c>
      <c r="AL31" s="9">
        <f t="shared" si="6"/>
        <v>1.9998465691484653E-3</v>
      </c>
      <c r="AM31" s="9">
        <f t="shared" si="7"/>
        <v>3.9993863001348875E-6</v>
      </c>
      <c r="AN31" s="9" t="s">
        <v>2568</v>
      </c>
    </row>
    <row r="32" spans="13:40" ht="23">
      <c r="M32" s="8" t="s">
        <v>1053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1053</v>
      </c>
      <c r="X32" s="8">
        <v>30.01</v>
      </c>
      <c r="Y32" s="8">
        <v>1.71</v>
      </c>
      <c r="Z32" s="9">
        <v>0.21</v>
      </c>
      <c r="AA32" s="8">
        <v>85.3</v>
      </c>
      <c r="AB32" s="8">
        <v>14178</v>
      </c>
      <c r="AC32" s="21" t="s">
        <v>1053</v>
      </c>
      <c r="AD32" s="8" t="s">
        <v>4002</v>
      </c>
      <c r="AE32" s="8" t="s">
        <v>4364</v>
      </c>
      <c r="AF32" s="9">
        <f t="shared" si="0"/>
        <v>145.863</v>
      </c>
      <c r="AG32" s="9">
        <f t="shared" si="1"/>
        <v>29.854999999999997</v>
      </c>
      <c r="AH32" s="9">
        <f t="shared" si="2"/>
        <v>0.96362403976502553</v>
      </c>
      <c r="AI32" s="9">
        <f t="shared" si="3"/>
        <v>0.92857129001306749</v>
      </c>
      <c r="AJ32" s="9">
        <f t="shared" si="4"/>
        <v>0.5954491086408974</v>
      </c>
      <c r="AK32" s="9">
        <f t="shared" si="5"/>
        <v>0.35455964098123921</v>
      </c>
      <c r="AL32" s="9">
        <f t="shared" si="6"/>
        <v>0.2097380069856935</v>
      </c>
      <c r="AM32" s="9">
        <f t="shared" si="7"/>
        <v>4.3990031574330818E-2</v>
      </c>
      <c r="AN32" s="8" t="s">
        <v>1053</v>
      </c>
    </row>
    <row r="33" spans="13:40" ht="23">
      <c r="M33" s="9" t="s">
        <v>3476</v>
      </c>
      <c r="N33" s="8" t="s">
        <v>2017</v>
      </c>
      <c r="O33" s="8"/>
      <c r="P33" s="8" t="s">
        <v>3705</v>
      </c>
      <c r="Q33" s="8"/>
      <c r="R33" s="8"/>
      <c r="S33" s="8"/>
      <c r="T33" s="8"/>
      <c r="U33" s="8"/>
      <c r="V33" s="8"/>
      <c r="W33" s="9" t="s">
        <v>3476</v>
      </c>
      <c r="X33" s="8">
        <v>2.75</v>
      </c>
      <c r="Y33" s="8">
        <v>2.0299999999999998</v>
      </c>
      <c r="Z33" s="9">
        <v>0.21</v>
      </c>
      <c r="AA33" s="8">
        <v>79.8</v>
      </c>
      <c r="AB33" s="8">
        <v>18416</v>
      </c>
      <c r="AC33" s="22" t="s">
        <v>3476</v>
      </c>
      <c r="AD33" s="8" t="s">
        <v>4002</v>
      </c>
      <c r="AE33" s="8" t="s">
        <v>4364</v>
      </c>
      <c r="AF33" s="9">
        <f t="shared" si="0"/>
        <v>161.99399999999997</v>
      </c>
      <c r="AG33" s="9">
        <f t="shared" si="1"/>
        <v>27.929999999999996</v>
      </c>
      <c r="AH33" s="9">
        <f t="shared" si="2"/>
        <v>0.9014911884319935</v>
      </c>
      <c r="AI33" s="9">
        <f t="shared" si="3"/>
        <v>0.81268636282052797</v>
      </c>
      <c r="AJ33" s="9">
        <f t="shared" si="4"/>
        <v>0.66129986977625255</v>
      </c>
      <c r="AK33" s="9">
        <f t="shared" si="5"/>
        <v>0.43731751776608857</v>
      </c>
      <c r="AL33" s="9">
        <f t="shared" si="6"/>
        <v>0.19621445436645182</v>
      </c>
      <c r="AM33" s="9">
        <f t="shared" si="7"/>
        <v>3.8500112102324402E-2</v>
      </c>
      <c r="AN33" s="9" t="s">
        <v>3476</v>
      </c>
    </row>
    <row r="34" spans="13:40" ht="23">
      <c r="M34" s="8" t="s">
        <v>4726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8" t="s">
        <v>4726</v>
      </c>
      <c r="X34" s="8">
        <v>10.31</v>
      </c>
      <c r="Y34" s="8">
        <v>1.84</v>
      </c>
      <c r="Z34" s="9">
        <v>0.05</v>
      </c>
      <c r="AA34" s="8">
        <v>78.8</v>
      </c>
      <c r="AB34" s="8">
        <v>18152</v>
      </c>
      <c r="AC34" s="21" t="s">
        <v>4726</v>
      </c>
      <c r="AD34" s="8" t="s">
        <v>4002</v>
      </c>
      <c r="AE34" s="8" t="s">
        <v>4364</v>
      </c>
      <c r="AF34" s="9">
        <f t="shared" ref="AF34:AF65" si="8">(AA34*Y34)</f>
        <v>144.99199999999999</v>
      </c>
      <c r="AG34" s="9">
        <f t="shared" ref="AG34:AG65" si="9">((((RIGHT(Z34,2))/60)+(LEFT(Z34,2)))*AA34)</f>
        <v>6.5666666666666664</v>
      </c>
      <c r="AH34" s="9">
        <f t="shared" ref="AH34:AH65" si="10">(AA34/$AA$158)*100</f>
        <v>0.89019430637144215</v>
      </c>
      <c r="AI34" s="9">
        <f t="shared" ref="AI34:AI65" si="11">(AH34*AH34)</f>
        <v>0.79244590309613305</v>
      </c>
      <c r="AJ34" s="9">
        <f t="shared" ref="AJ34:AJ65" si="12">(AF34/$AF$158)*100</f>
        <v>0.59189346962602574</v>
      </c>
      <c r="AK34" s="9">
        <f t="shared" ref="AK34:AK65" si="13">(AJ34*AJ34)</f>
        <v>0.35033787938593502</v>
      </c>
      <c r="AL34" s="9">
        <f t="shared" ref="AL34:AL65" si="14">(AG34/$AG$158)*100</f>
        <v>4.6132292051785435E-2</v>
      </c>
      <c r="AM34" s="9">
        <f t="shared" ref="AM34:AM65" si="15">(AL34*AL34)</f>
        <v>2.1281883699512255E-3</v>
      </c>
      <c r="AN34" s="8" t="s">
        <v>4726</v>
      </c>
    </row>
    <row r="35" spans="13:40" ht="23">
      <c r="M35" s="9" t="s">
        <v>3127</v>
      </c>
      <c r="N35" s="8" t="s">
        <v>1862</v>
      </c>
      <c r="O35" s="8"/>
      <c r="P35" s="8" t="s">
        <v>3691</v>
      </c>
      <c r="Q35" s="8"/>
      <c r="R35" s="8"/>
      <c r="S35" s="8"/>
      <c r="T35" s="8"/>
      <c r="U35" s="8"/>
      <c r="V35" s="8"/>
      <c r="W35" s="9" t="s">
        <v>3127</v>
      </c>
      <c r="X35" s="8">
        <v>31.42</v>
      </c>
      <c r="Y35" s="8">
        <v>1.62</v>
      </c>
      <c r="Z35" s="9">
        <v>1</v>
      </c>
      <c r="AA35" s="8">
        <v>78.400000000000006</v>
      </c>
      <c r="AB35" s="8">
        <v>5395</v>
      </c>
      <c r="AC35" s="22" t="s">
        <v>3127</v>
      </c>
      <c r="AD35" s="8" t="s">
        <v>4002</v>
      </c>
      <c r="AE35" s="8" t="s">
        <v>4364</v>
      </c>
      <c r="AF35" s="9">
        <f t="shared" si="8"/>
        <v>127.00800000000002</v>
      </c>
      <c r="AG35" s="9">
        <f t="shared" si="9"/>
        <v>79.706666666666663</v>
      </c>
      <c r="AH35" s="9">
        <f t="shared" si="10"/>
        <v>0.88567555354722183</v>
      </c>
      <c r="AI35" s="9">
        <f t="shared" si="11"/>
        <v>0.78442118615117784</v>
      </c>
      <c r="AJ35" s="9">
        <f t="shared" si="12"/>
        <v>0.51847830080461199</v>
      </c>
      <c r="AK35" s="9">
        <f t="shared" si="13"/>
        <v>0.2688197484052377</v>
      </c>
      <c r="AL35" s="9">
        <f t="shared" si="14"/>
        <v>0.55995703936157026</v>
      </c>
      <c r="AM35" s="9">
        <f t="shared" si="15"/>
        <v>0.31355188593057515</v>
      </c>
      <c r="AN35" s="9" t="s">
        <v>3127</v>
      </c>
    </row>
    <row r="36" spans="13:40" ht="23">
      <c r="M36" s="8" t="s">
        <v>1725</v>
      </c>
      <c r="N36" s="8" t="s">
        <v>1717</v>
      </c>
      <c r="O36" s="8"/>
      <c r="P36" s="8" t="s">
        <v>3691</v>
      </c>
      <c r="Q36" s="8"/>
      <c r="R36" s="8"/>
      <c r="S36" s="8"/>
      <c r="T36" s="8"/>
      <c r="U36" s="8"/>
      <c r="V36" s="8"/>
      <c r="W36" s="8" t="s">
        <v>1725</v>
      </c>
      <c r="X36" s="8">
        <v>21.25</v>
      </c>
      <c r="Y36" s="8">
        <v>2.0299999999999998</v>
      </c>
      <c r="Z36" s="9">
        <v>1.33</v>
      </c>
      <c r="AA36" s="8">
        <v>76.900000000000006</v>
      </c>
      <c r="AB36" s="8">
        <v>6765</v>
      </c>
      <c r="AC36" s="21" t="s">
        <v>1725</v>
      </c>
      <c r="AD36" s="8" t="s">
        <v>4002</v>
      </c>
      <c r="AE36" s="8" t="s">
        <v>4364</v>
      </c>
      <c r="AF36" s="9">
        <f t="shared" si="8"/>
        <v>156.107</v>
      </c>
      <c r="AG36" s="9">
        <f t="shared" si="9"/>
        <v>119.19500000000001</v>
      </c>
      <c r="AH36" s="9">
        <f t="shared" si="10"/>
        <v>0.86873023045639475</v>
      </c>
      <c r="AI36" s="9">
        <f t="shared" si="11"/>
        <v>0.75469221330882075</v>
      </c>
      <c r="AJ36" s="9">
        <f t="shared" si="12"/>
        <v>0.63726766899491016</v>
      </c>
      <c r="AK36" s="9">
        <f t="shared" si="13"/>
        <v>0.4061100819462064</v>
      </c>
      <c r="AL36" s="9">
        <f t="shared" si="14"/>
        <v>0.83737135296130438</v>
      </c>
      <c r="AM36" s="9">
        <f t="shared" si="15"/>
        <v>0.70119078276024538</v>
      </c>
      <c r="AN36" s="8" t="s">
        <v>1725</v>
      </c>
    </row>
    <row r="37" spans="13:40" ht="23">
      <c r="M37" s="9" t="s">
        <v>3282</v>
      </c>
      <c r="N37" s="8" t="s">
        <v>1939</v>
      </c>
      <c r="O37" s="8"/>
      <c r="P37" s="8"/>
      <c r="Q37" s="8"/>
      <c r="R37" s="8"/>
      <c r="S37" s="8"/>
      <c r="T37" s="8"/>
      <c r="U37" s="8"/>
      <c r="V37" s="8"/>
      <c r="W37" s="9" t="s">
        <v>3282</v>
      </c>
      <c r="X37" s="8">
        <v>28.13</v>
      </c>
      <c r="Y37" s="8">
        <v>1.6</v>
      </c>
      <c r="Z37" s="9">
        <v>7.0000000000000007E-2</v>
      </c>
      <c r="AA37" s="8">
        <v>74.2</v>
      </c>
      <c r="AB37" s="8">
        <v>24017</v>
      </c>
      <c r="AC37" s="22" t="s">
        <v>3282</v>
      </c>
      <c r="AD37" s="8" t="s">
        <v>4002</v>
      </c>
      <c r="AE37" s="8" t="s">
        <v>4364</v>
      </c>
      <c r="AF37" s="9">
        <f t="shared" si="8"/>
        <v>118.72000000000001</v>
      </c>
      <c r="AG37" s="9">
        <f t="shared" si="9"/>
        <v>8.6566666666666663</v>
      </c>
      <c r="AH37" s="9">
        <f t="shared" si="10"/>
        <v>0.83822864889290627</v>
      </c>
      <c r="AI37" s="9">
        <f t="shared" si="11"/>
        <v>0.7026272678248271</v>
      </c>
      <c r="AJ37" s="9">
        <f t="shared" si="12"/>
        <v>0.4846446197997254</v>
      </c>
      <c r="AK37" s="9">
        <f t="shared" si="13"/>
        <v>0.23488040750082037</v>
      </c>
      <c r="AL37" s="9">
        <f t="shared" si="14"/>
        <v>6.081500632410497E-2</v>
      </c>
      <c r="AM37" s="9">
        <f t="shared" si="15"/>
        <v>3.6984649942009276E-3</v>
      </c>
      <c r="AN37" s="9" t="s">
        <v>3282</v>
      </c>
    </row>
    <row r="38" spans="13:40" ht="23">
      <c r="M38" s="9" t="s">
        <v>3618</v>
      </c>
      <c r="N38" s="8" t="s">
        <v>2093</v>
      </c>
      <c r="O38" s="8"/>
      <c r="P38" s="8"/>
      <c r="Q38" s="8"/>
      <c r="R38" s="8"/>
      <c r="S38" s="8"/>
      <c r="T38" s="8"/>
      <c r="U38" s="8"/>
      <c r="V38" s="8"/>
      <c r="W38" s="9" t="s">
        <v>3618</v>
      </c>
      <c r="X38" s="8">
        <v>21.94</v>
      </c>
      <c r="Y38" s="8">
        <v>2.0699999999999998</v>
      </c>
      <c r="Z38" s="9">
        <v>1.17</v>
      </c>
      <c r="AA38" s="8">
        <v>74</v>
      </c>
      <c r="AB38" s="8">
        <v>6717</v>
      </c>
      <c r="AC38" s="22" t="s">
        <v>3618</v>
      </c>
      <c r="AD38" s="8" t="s">
        <v>4002</v>
      </c>
      <c r="AE38" s="8" t="s">
        <v>4364</v>
      </c>
      <c r="AF38" s="9">
        <f t="shared" si="8"/>
        <v>153.17999999999998</v>
      </c>
      <c r="AG38" s="9">
        <f t="shared" si="9"/>
        <v>94.966666666666654</v>
      </c>
      <c r="AH38" s="9">
        <f t="shared" si="10"/>
        <v>0.835969272480796</v>
      </c>
      <c r="AI38" s="9">
        <f t="shared" si="11"/>
        <v>0.6988446245320713</v>
      </c>
      <c r="AJ38" s="9">
        <f t="shared" si="12"/>
        <v>0.62531892571531267</v>
      </c>
      <c r="AK38" s="9">
        <f t="shared" si="13"/>
        <v>0.3910237588577527</v>
      </c>
      <c r="AL38" s="9">
        <f t="shared" si="14"/>
        <v>0.66716192921592232</v>
      </c>
      <c r="AM38" s="9">
        <f t="shared" si="15"/>
        <v>0.44510503979511135</v>
      </c>
      <c r="AN38" s="9" t="s">
        <v>3618</v>
      </c>
    </row>
    <row r="39" spans="13:40" ht="23">
      <c r="M39" s="8" t="s">
        <v>671</v>
      </c>
      <c r="N39" s="8" t="s">
        <v>150</v>
      </c>
      <c r="O39" s="8"/>
      <c r="P39" s="8" t="s">
        <v>4727</v>
      </c>
      <c r="Q39" s="8"/>
      <c r="R39" s="8"/>
      <c r="S39" s="8"/>
      <c r="T39" s="8"/>
      <c r="U39" s="8"/>
      <c r="V39" s="8"/>
      <c r="W39" s="8" t="s">
        <v>671</v>
      </c>
      <c r="X39" s="8">
        <v>35.72</v>
      </c>
      <c r="Y39" s="8">
        <v>1.23</v>
      </c>
      <c r="Z39" s="9">
        <v>2.17</v>
      </c>
      <c r="AA39" s="8">
        <v>71.400000000000006</v>
      </c>
      <c r="AB39" s="8">
        <v>13488</v>
      </c>
      <c r="AC39" s="21" t="s">
        <v>671</v>
      </c>
      <c r="AD39" s="8" t="s">
        <v>4165</v>
      </c>
      <c r="AE39" s="8" t="s">
        <v>4364</v>
      </c>
      <c r="AF39" s="9">
        <f t="shared" si="8"/>
        <v>87.822000000000003</v>
      </c>
      <c r="AG39" s="9">
        <f t="shared" si="9"/>
        <v>163.03</v>
      </c>
      <c r="AH39" s="9">
        <f t="shared" si="10"/>
        <v>0.8065973791233626</v>
      </c>
      <c r="AI39" s="9">
        <f t="shared" si="11"/>
        <v>0.65059933200867759</v>
      </c>
      <c r="AJ39" s="9">
        <f t="shared" si="12"/>
        <v>0.35851128537779214</v>
      </c>
      <c r="AK39" s="9">
        <f t="shared" si="13"/>
        <v>0.12853034174323671</v>
      </c>
      <c r="AL39" s="9">
        <f t="shared" si="14"/>
        <v>1.1453219654623219</v>
      </c>
      <c r="AM39" s="9">
        <f t="shared" si="15"/>
        <v>1.3117624045704761</v>
      </c>
      <c r="AN39" s="8" t="s">
        <v>671</v>
      </c>
    </row>
    <row r="40" spans="13:40" ht="23">
      <c r="M40" s="9" t="s">
        <v>2979</v>
      </c>
      <c r="N40" s="8" t="s">
        <v>1717</v>
      </c>
      <c r="O40" s="8"/>
      <c r="P40" s="8" t="s">
        <v>3700</v>
      </c>
      <c r="Q40" s="8"/>
      <c r="R40" s="8"/>
      <c r="S40" s="8"/>
      <c r="T40" s="8"/>
      <c r="U40" s="8"/>
      <c r="V40" s="8"/>
      <c r="W40" s="9" t="s">
        <v>2979</v>
      </c>
      <c r="X40" s="8">
        <v>50.68</v>
      </c>
      <c r="Y40" s="8">
        <v>1.1599999999999999</v>
      </c>
      <c r="Z40" s="9">
        <v>0.12</v>
      </c>
      <c r="AA40" s="8">
        <v>71.400000000000006</v>
      </c>
      <c r="AB40" s="8">
        <v>39544</v>
      </c>
      <c r="AC40" s="22" t="s">
        <v>2979</v>
      </c>
      <c r="AD40" s="8" t="s">
        <v>4002</v>
      </c>
      <c r="AE40" s="8" t="s">
        <v>4364</v>
      </c>
      <c r="AF40" s="9">
        <f t="shared" si="8"/>
        <v>82.823999999999998</v>
      </c>
      <c r="AG40" s="9">
        <f t="shared" si="9"/>
        <v>14.280000000000001</v>
      </c>
      <c r="AH40" s="9">
        <f t="shared" si="10"/>
        <v>0.8065973791233626</v>
      </c>
      <c r="AI40" s="9">
        <f t="shared" si="11"/>
        <v>0.65059933200867759</v>
      </c>
      <c r="AJ40" s="9">
        <f t="shared" si="12"/>
        <v>0.33810820409612918</v>
      </c>
      <c r="AK40" s="9">
        <f t="shared" si="13"/>
        <v>0.11431715767710975</v>
      </c>
      <c r="AL40" s="9">
        <f t="shared" si="14"/>
        <v>0.10032017215728367</v>
      </c>
      <c r="AM40" s="9">
        <f t="shared" si="15"/>
        <v>1.0064136941667034E-2</v>
      </c>
      <c r="AN40" s="9" t="s">
        <v>2979</v>
      </c>
    </row>
    <row r="41" spans="13:40" ht="23">
      <c r="M41" s="8" t="s">
        <v>2034</v>
      </c>
      <c r="N41" s="8" t="s">
        <v>2032</v>
      </c>
      <c r="O41" s="8"/>
      <c r="P41" s="8" t="s">
        <v>3700</v>
      </c>
      <c r="Q41" s="8"/>
      <c r="R41" s="8"/>
      <c r="S41" s="8"/>
      <c r="T41" s="8"/>
      <c r="U41" s="8"/>
      <c r="V41" s="8"/>
      <c r="W41" s="8" t="s">
        <v>2034</v>
      </c>
      <c r="X41" s="8">
        <v>27.55</v>
      </c>
      <c r="Y41" s="8">
        <v>1.36</v>
      </c>
      <c r="Z41" s="9">
        <v>1.25</v>
      </c>
      <c r="AA41" s="8">
        <v>68</v>
      </c>
      <c r="AB41" s="8">
        <v>21473</v>
      </c>
      <c r="AC41" s="21" t="s">
        <v>2034</v>
      </c>
      <c r="AD41" s="8" t="s">
        <v>4002</v>
      </c>
      <c r="AE41" s="8" t="s">
        <v>4364</v>
      </c>
      <c r="AF41" s="9">
        <f t="shared" si="8"/>
        <v>92.48</v>
      </c>
      <c r="AG41" s="9">
        <f t="shared" si="9"/>
        <v>96.333333333333343</v>
      </c>
      <c r="AH41" s="9">
        <f t="shared" si="10"/>
        <v>0.76818798011748823</v>
      </c>
      <c r="AI41" s="9">
        <f t="shared" si="11"/>
        <v>0.59011277279698648</v>
      </c>
      <c r="AJ41" s="9">
        <f t="shared" si="12"/>
        <v>0.37752640194641679</v>
      </c>
      <c r="AK41" s="9">
        <f t="shared" si="13"/>
        <v>0.14252618416660745</v>
      </c>
      <c r="AL41" s="9">
        <f t="shared" si="14"/>
        <v>0.67676306614040571</v>
      </c>
      <c r="AM41" s="9">
        <f t="shared" si="15"/>
        <v>0.45800824769176318</v>
      </c>
      <c r="AN41" s="8" t="s">
        <v>2034</v>
      </c>
    </row>
    <row r="42" spans="13:40" ht="23">
      <c r="M42" s="8" t="s">
        <v>131</v>
      </c>
      <c r="N42" s="8" t="s">
        <v>125</v>
      </c>
      <c r="O42" s="8"/>
      <c r="P42" s="8"/>
      <c r="Q42" s="8"/>
      <c r="R42" s="8"/>
      <c r="S42" s="8"/>
      <c r="T42" s="8"/>
      <c r="U42" s="8"/>
      <c r="V42" s="8"/>
      <c r="W42" s="8" t="s">
        <v>131</v>
      </c>
      <c r="X42" s="8">
        <v>6.81</v>
      </c>
      <c r="Y42" s="8">
        <v>3</v>
      </c>
      <c r="Z42" s="9">
        <v>3.35</v>
      </c>
      <c r="AA42" s="8">
        <v>67</v>
      </c>
      <c r="AB42" s="8">
        <v>11533</v>
      </c>
      <c r="AC42" s="21" t="s">
        <v>131</v>
      </c>
      <c r="AD42" s="8" t="s">
        <v>4002</v>
      </c>
      <c r="AE42" s="8" t="s">
        <v>4364</v>
      </c>
      <c r="AF42" s="9">
        <f t="shared" si="8"/>
        <v>201</v>
      </c>
      <c r="AG42" s="9">
        <f t="shared" si="9"/>
        <v>240.08333333333334</v>
      </c>
      <c r="AH42" s="9">
        <f t="shared" si="10"/>
        <v>0.756891098056937</v>
      </c>
      <c r="AI42" s="9">
        <f t="shared" si="11"/>
        <v>0.5728841343178358</v>
      </c>
      <c r="AJ42" s="9">
        <f t="shared" si="12"/>
        <v>0.82053208035499314</v>
      </c>
      <c r="AK42" s="9">
        <f t="shared" si="13"/>
        <v>0.67327289489169295</v>
      </c>
      <c r="AL42" s="9">
        <f t="shared" si="14"/>
        <v>1.6866387487461147</v>
      </c>
      <c r="AM42" s="9">
        <f t="shared" si="15"/>
        <v>2.8447502687718598</v>
      </c>
      <c r="AN42" s="8" t="s">
        <v>131</v>
      </c>
    </row>
    <row r="43" spans="13:40" ht="23">
      <c r="M43" s="9" t="s">
        <v>3146</v>
      </c>
      <c r="N43" s="8" t="s">
        <v>1869</v>
      </c>
      <c r="O43" s="8"/>
      <c r="P43" s="8" t="s">
        <v>4161</v>
      </c>
      <c r="Q43" s="8"/>
      <c r="R43" s="8"/>
      <c r="S43" s="8"/>
      <c r="T43" s="8"/>
      <c r="U43" s="8"/>
      <c r="V43" s="8"/>
      <c r="W43" s="9" t="s">
        <v>3146</v>
      </c>
      <c r="X43" s="8">
        <v>3.35</v>
      </c>
      <c r="Y43" s="8">
        <v>2.14</v>
      </c>
      <c r="Z43" s="9">
        <v>0.33</v>
      </c>
      <c r="AA43" s="8">
        <v>65.2</v>
      </c>
      <c r="AB43" s="8">
        <v>12552</v>
      </c>
      <c r="AC43" s="22" t="s">
        <v>3146</v>
      </c>
      <c r="AD43" s="8" t="s">
        <v>4002</v>
      </c>
      <c r="AE43" s="8" t="s">
        <v>4364</v>
      </c>
      <c r="AF43" s="9">
        <f t="shared" si="8"/>
        <v>139.52800000000002</v>
      </c>
      <c r="AG43" s="9">
        <f t="shared" si="9"/>
        <v>35.860000000000007</v>
      </c>
      <c r="AH43" s="9">
        <f t="shared" si="10"/>
        <v>0.73655671034794468</v>
      </c>
      <c r="AI43" s="9">
        <f t="shared" si="11"/>
        <v>0.54251578755858609</v>
      </c>
      <c r="AJ43" s="9">
        <f t="shared" si="12"/>
        <v>0.56958806023766928</v>
      </c>
      <c r="AK43" s="9">
        <f t="shared" si="13"/>
        <v>0.32443055836531076</v>
      </c>
      <c r="AL43" s="9">
        <f t="shared" si="14"/>
        <v>0.2519244659355877</v>
      </c>
      <c r="AM43" s="9">
        <f t="shared" si="15"/>
        <v>6.3465936536931084E-2</v>
      </c>
      <c r="AN43" s="9" t="s">
        <v>3146</v>
      </c>
    </row>
    <row r="44" spans="13:40" ht="23">
      <c r="M44" s="8" t="s">
        <v>1350</v>
      </c>
      <c r="N44" s="8" t="s">
        <v>150</v>
      </c>
      <c r="O44" s="8"/>
      <c r="P44" s="8" t="s">
        <v>3700</v>
      </c>
      <c r="Q44" s="8"/>
      <c r="R44" s="8"/>
      <c r="S44" s="8"/>
      <c r="T44" s="8"/>
      <c r="U44" s="8"/>
      <c r="V44" s="8"/>
      <c r="W44" s="8" t="s">
        <v>1350</v>
      </c>
      <c r="X44" s="8">
        <v>38.46</v>
      </c>
      <c r="Y44" s="8">
        <v>1.82</v>
      </c>
      <c r="Z44" s="9">
        <v>0.26</v>
      </c>
      <c r="AA44" s="8">
        <v>62.9</v>
      </c>
      <c r="AB44" s="8">
        <v>9199</v>
      </c>
      <c r="AC44" s="21" t="s">
        <v>1350</v>
      </c>
      <c r="AD44" s="8" t="s">
        <v>4002</v>
      </c>
      <c r="AE44" s="8" t="s">
        <v>4364</v>
      </c>
      <c r="AF44" s="9">
        <f t="shared" si="8"/>
        <v>114.47799999999999</v>
      </c>
      <c r="AG44" s="9">
        <f t="shared" si="9"/>
        <v>27.256666666666668</v>
      </c>
      <c r="AH44" s="9">
        <f t="shared" si="10"/>
        <v>0.71057388160867652</v>
      </c>
      <c r="AI44" s="9">
        <f t="shared" si="11"/>
        <v>0.50491524122442144</v>
      </c>
      <c r="AJ44" s="9">
        <f t="shared" si="12"/>
        <v>0.46732771887999464</v>
      </c>
      <c r="AK44" s="9">
        <f t="shared" si="13"/>
        <v>0.2183951968335793</v>
      </c>
      <c r="AL44" s="9">
        <f t="shared" si="14"/>
        <v>0.19148413812560891</v>
      </c>
      <c r="AM44" s="9">
        <f t="shared" si="15"/>
        <v>3.6666175153707271E-2</v>
      </c>
      <c r="AN44" s="8" t="s">
        <v>1350</v>
      </c>
    </row>
    <row r="45" spans="13:40" ht="23">
      <c r="M45" s="8" t="s">
        <v>768</v>
      </c>
      <c r="N45" s="8" t="s">
        <v>150</v>
      </c>
      <c r="O45" s="8"/>
      <c r="P45" s="8"/>
      <c r="Q45" s="8"/>
      <c r="R45" s="8"/>
      <c r="S45" s="8"/>
      <c r="T45" s="8"/>
      <c r="U45" s="8"/>
      <c r="V45" s="8"/>
      <c r="W45" s="8" t="s">
        <v>768</v>
      </c>
      <c r="X45" s="8">
        <v>32.32</v>
      </c>
      <c r="Y45" s="8">
        <v>1.75</v>
      </c>
      <c r="Z45" s="9">
        <v>0.24</v>
      </c>
      <c r="AA45" s="8">
        <v>58.9</v>
      </c>
      <c r="AB45" s="8">
        <v>42960</v>
      </c>
      <c r="AC45" s="21" t="s">
        <v>768</v>
      </c>
      <c r="AD45" s="8" t="s">
        <v>4002</v>
      </c>
      <c r="AE45" s="8" t="s">
        <v>4364</v>
      </c>
      <c r="AF45" s="9">
        <f t="shared" si="8"/>
        <v>103.075</v>
      </c>
      <c r="AG45" s="9">
        <f t="shared" si="9"/>
        <v>23.560000000000002</v>
      </c>
      <c r="AH45" s="9">
        <f t="shared" si="10"/>
        <v>0.66538635336647134</v>
      </c>
      <c r="AI45" s="9">
        <f t="shared" si="11"/>
        <v>0.44273899924633064</v>
      </c>
      <c r="AJ45" s="9">
        <f t="shared" si="12"/>
        <v>0.42077783175418371</v>
      </c>
      <c r="AK45" s="9">
        <f t="shared" si="13"/>
        <v>0.17705398369575212</v>
      </c>
      <c r="AL45" s="9">
        <f t="shared" si="14"/>
        <v>0.16551423361523834</v>
      </c>
      <c r="AM45" s="9">
        <f t="shared" si="15"/>
        <v>2.7394961529239693E-2</v>
      </c>
      <c r="AN45" s="8" t="s">
        <v>768</v>
      </c>
    </row>
    <row r="46" spans="13:40" ht="23">
      <c r="M46" s="8" t="s">
        <v>4313</v>
      </c>
      <c r="N46" s="8"/>
      <c r="O46" s="8"/>
      <c r="P46" s="8" t="s">
        <v>3700</v>
      </c>
      <c r="Q46" s="8"/>
      <c r="R46" s="8"/>
      <c r="S46" s="8"/>
      <c r="T46" s="8"/>
      <c r="U46" s="8"/>
      <c r="V46" s="8"/>
      <c r="W46" s="8" t="s">
        <v>4313</v>
      </c>
      <c r="X46" s="8">
        <v>43.01</v>
      </c>
      <c r="Y46" s="8">
        <v>1.26</v>
      </c>
      <c r="Z46" s="9">
        <v>0.35</v>
      </c>
      <c r="AA46" s="8">
        <v>54.9</v>
      </c>
      <c r="AB46" s="8">
        <v>11486</v>
      </c>
      <c r="AC46" s="21" t="s">
        <v>4313</v>
      </c>
      <c r="AD46" s="8" t="s">
        <v>4002</v>
      </c>
      <c r="AE46" s="8" t="s">
        <v>4364</v>
      </c>
      <c r="AF46" s="9">
        <f t="shared" si="8"/>
        <v>69.173999999999992</v>
      </c>
      <c r="AG46" s="9">
        <f t="shared" si="9"/>
        <v>32.024999999999999</v>
      </c>
      <c r="AH46" s="9">
        <f t="shared" si="10"/>
        <v>0.62019882512426627</v>
      </c>
      <c r="AI46" s="9">
        <f t="shared" si="11"/>
        <v>0.38464658268552021</v>
      </c>
      <c r="AJ46" s="9">
        <f t="shared" si="12"/>
        <v>0.2823855031167975</v>
      </c>
      <c r="AK46" s="9">
        <f t="shared" si="13"/>
        <v>7.9741572370526856E-2</v>
      </c>
      <c r="AL46" s="9">
        <f t="shared" si="14"/>
        <v>0.22498273902920232</v>
      </c>
      <c r="AM46" s="9">
        <f t="shared" si="15"/>
        <v>5.0617232861082155E-2</v>
      </c>
      <c r="AN46" s="8" t="s">
        <v>4313</v>
      </c>
    </row>
    <row r="47" spans="13:40" ht="23">
      <c r="M47" s="9" t="s">
        <v>3495</v>
      </c>
      <c r="N47" s="8" t="s">
        <v>2027</v>
      </c>
      <c r="O47" s="8"/>
      <c r="P47" s="8" t="s">
        <v>3691</v>
      </c>
      <c r="Q47" s="8"/>
      <c r="R47" s="8"/>
      <c r="S47" s="8"/>
      <c r="T47" s="8"/>
      <c r="U47" s="8"/>
      <c r="V47" s="8"/>
      <c r="W47" s="9" t="s">
        <v>3495</v>
      </c>
      <c r="X47" s="8">
        <v>33.729999999999997</v>
      </c>
      <c r="Y47" s="8">
        <v>1.4</v>
      </c>
      <c r="Z47" s="9">
        <v>0.26</v>
      </c>
      <c r="AA47" s="8">
        <v>53.8</v>
      </c>
      <c r="AB47" s="8">
        <v>8589</v>
      </c>
      <c r="AC47" s="22" t="s">
        <v>3495</v>
      </c>
      <c r="AD47" s="8" t="s">
        <v>4002</v>
      </c>
      <c r="AE47" s="8" t="s">
        <v>4364</v>
      </c>
      <c r="AF47" s="9">
        <f t="shared" si="8"/>
        <v>75.319999999999993</v>
      </c>
      <c r="AG47" s="9">
        <f t="shared" si="9"/>
        <v>23.313333333333333</v>
      </c>
      <c r="AH47" s="9">
        <f t="shared" si="10"/>
        <v>0.60777225485765973</v>
      </c>
      <c r="AI47" s="9">
        <f t="shared" si="11"/>
        <v>0.36938711377476408</v>
      </c>
      <c r="AJ47" s="9">
        <f t="shared" si="12"/>
        <v>0.30747500642954273</v>
      </c>
      <c r="AK47" s="9">
        <f t="shared" si="13"/>
        <v>9.4540879578847339E-2</v>
      </c>
      <c r="AL47" s="9">
        <f t="shared" si="14"/>
        <v>0.16378134548740475</v>
      </c>
      <c r="AM47" s="9">
        <f t="shared" si="15"/>
        <v>2.6824329129664638E-2</v>
      </c>
      <c r="AN47" s="9" t="s">
        <v>3495</v>
      </c>
    </row>
    <row r="48" spans="13:40" ht="23">
      <c r="M48" s="8" t="s">
        <v>1731</v>
      </c>
      <c r="N48" s="8" t="s">
        <v>1717</v>
      </c>
      <c r="O48" s="8"/>
      <c r="P48" s="8"/>
      <c r="Q48" s="8"/>
      <c r="R48" s="8"/>
      <c r="S48" s="8"/>
      <c r="T48" s="8"/>
      <c r="U48" s="8"/>
      <c r="V48" s="8"/>
      <c r="W48" s="8" t="s">
        <v>1731</v>
      </c>
      <c r="X48" s="8">
        <v>4.49</v>
      </c>
      <c r="Y48" s="8">
        <v>7.94</v>
      </c>
      <c r="Z48" s="9">
        <v>0.52</v>
      </c>
      <c r="AA48" s="8">
        <v>52.9</v>
      </c>
      <c r="AB48" s="8">
        <v>13378</v>
      </c>
      <c r="AC48" s="21" t="s">
        <v>1731</v>
      </c>
      <c r="AD48" s="8" t="s">
        <v>4002</v>
      </c>
      <c r="AE48" s="8" t="s">
        <v>4364</v>
      </c>
      <c r="AF48" s="9">
        <f t="shared" si="8"/>
        <v>420.02600000000001</v>
      </c>
      <c r="AG48" s="9">
        <f t="shared" si="9"/>
        <v>45.846666666666664</v>
      </c>
      <c r="AH48" s="9">
        <f t="shared" si="10"/>
        <v>0.59760506100316368</v>
      </c>
      <c r="AI48" s="9">
        <f t="shared" si="11"/>
        <v>0.35713180893659496</v>
      </c>
      <c r="AJ48" s="9">
        <f t="shared" si="12"/>
        <v>1.7146507839959524</v>
      </c>
      <c r="AK48" s="9">
        <f t="shared" si="13"/>
        <v>2.9400273110579342</v>
      </c>
      <c r="AL48" s="9">
        <f t="shared" si="14"/>
        <v>0.32208301770571418</v>
      </c>
      <c r="AM48" s="9">
        <f t="shared" si="15"/>
        <v>0.10373747029441939</v>
      </c>
      <c r="AN48" s="8" t="s">
        <v>1731</v>
      </c>
    </row>
    <row r="49" spans="13:40" ht="23">
      <c r="M49" s="9" t="s">
        <v>3551</v>
      </c>
      <c r="N49" s="8" t="s">
        <v>2066</v>
      </c>
      <c r="O49" s="8"/>
      <c r="P49" s="8" t="s">
        <v>3691</v>
      </c>
      <c r="Q49" s="8"/>
      <c r="R49" s="8"/>
      <c r="S49" s="8"/>
      <c r="T49" s="8"/>
      <c r="U49" s="8"/>
      <c r="V49" s="8"/>
      <c r="W49" s="9" t="s">
        <v>3551</v>
      </c>
      <c r="X49" s="8">
        <v>9.7200000000000006</v>
      </c>
      <c r="Y49" s="8">
        <v>4.28</v>
      </c>
      <c r="Z49" s="9">
        <v>0.34</v>
      </c>
      <c r="AA49" s="8">
        <v>50.3</v>
      </c>
      <c r="AB49" s="8">
        <v>23781</v>
      </c>
      <c r="AC49" s="22" t="s">
        <v>3551</v>
      </c>
      <c r="AD49" s="8" t="s">
        <v>4002</v>
      </c>
      <c r="AE49" s="8" t="s">
        <v>4364</v>
      </c>
      <c r="AF49" s="9">
        <f t="shared" si="8"/>
        <v>215.28399999999999</v>
      </c>
      <c r="AG49" s="9">
        <f t="shared" si="9"/>
        <v>28.50333333333333</v>
      </c>
      <c r="AH49" s="9">
        <f t="shared" si="10"/>
        <v>0.56823316764573018</v>
      </c>
      <c r="AI49" s="9">
        <f t="shared" si="11"/>
        <v>0.32288893281270048</v>
      </c>
      <c r="AJ49" s="9">
        <f t="shared" si="12"/>
        <v>0.87884292729922575</v>
      </c>
      <c r="AK49" s="9">
        <f t="shared" si="13"/>
        <v>0.77236489086387217</v>
      </c>
      <c r="AL49" s="9">
        <f t="shared" si="14"/>
        <v>0.20024224839330823</v>
      </c>
      <c r="AM49" s="9">
        <f t="shared" si="15"/>
        <v>4.0096958041607351E-2</v>
      </c>
      <c r="AN49" s="9" t="s">
        <v>3551</v>
      </c>
    </row>
    <row r="50" spans="13:40" ht="23">
      <c r="M50" s="8" t="s">
        <v>1256</v>
      </c>
      <c r="N50" s="8" t="s">
        <v>150</v>
      </c>
      <c r="O50" s="8"/>
      <c r="P50" s="8"/>
      <c r="Q50" s="8"/>
      <c r="R50" s="8"/>
      <c r="S50" s="8"/>
      <c r="T50" s="8"/>
      <c r="U50" s="8"/>
      <c r="V50" s="8"/>
      <c r="W50" s="8" t="s">
        <v>1256</v>
      </c>
      <c r="X50" s="8">
        <v>24.18</v>
      </c>
      <c r="Y50" s="8">
        <v>1.4</v>
      </c>
      <c r="Z50" s="9">
        <v>0.06</v>
      </c>
      <c r="AA50" s="8">
        <v>49.9</v>
      </c>
      <c r="AB50" s="8">
        <v>17370</v>
      </c>
      <c r="AC50" s="21" t="s">
        <v>1256</v>
      </c>
      <c r="AD50" s="8" t="s">
        <v>4002</v>
      </c>
      <c r="AE50" s="8" t="s">
        <v>4364</v>
      </c>
      <c r="AF50" s="9">
        <f t="shared" si="8"/>
        <v>69.86</v>
      </c>
      <c r="AG50" s="9">
        <f t="shared" si="9"/>
        <v>4.99</v>
      </c>
      <c r="AH50" s="9">
        <f t="shared" si="10"/>
        <v>0.56371441482150975</v>
      </c>
      <c r="AI50" s="9">
        <f t="shared" si="11"/>
        <v>0.31777394147755716</v>
      </c>
      <c r="AJ50" s="9">
        <f t="shared" si="12"/>
        <v>0.28518592603781012</v>
      </c>
      <c r="AK50" s="9">
        <f t="shared" si="13"/>
        <v>8.1331012410043299E-2</v>
      </c>
      <c r="AL50" s="9">
        <f t="shared" si="14"/>
        <v>3.5055858477930357E-2</v>
      </c>
      <c r="AM50" s="9">
        <f t="shared" si="15"/>
        <v>1.2289132136246816E-3</v>
      </c>
      <c r="AN50" s="8" t="s">
        <v>1256</v>
      </c>
    </row>
    <row r="51" spans="13:40" ht="23">
      <c r="M51" s="8" t="s">
        <v>599</v>
      </c>
      <c r="N51" s="8" t="s">
        <v>150</v>
      </c>
      <c r="O51" s="8"/>
      <c r="P51" s="8" t="s">
        <v>3692</v>
      </c>
      <c r="Q51" s="8"/>
      <c r="R51" s="8"/>
      <c r="S51" s="8"/>
      <c r="T51" s="8"/>
      <c r="U51" s="8"/>
      <c r="V51" s="8"/>
      <c r="W51" s="8" t="s">
        <v>599</v>
      </c>
      <c r="X51" s="8">
        <v>35.049999999999997</v>
      </c>
      <c r="Y51" s="8">
        <v>1.63</v>
      </c>
      <c r="Z51" s="9">
        <v>0.38</v>
      </c>
      <c r="AA51" s="8">
        <v>48.4</v>
      </c>
      <c r="AB51" s="8">
        <v>11772</v>
      </c>
      <c r="AC51" s="21" t="s">
        <v>599</v>
      </c>
      <c r="AD51" s="8" t="s">
        <v>4165</v>
      </c>
      <c r="AE51" s="8" t="s">
        <v>4364</v>
      </c>
      <c r="AF51" s="9">
        <f t="shared" si="8"/>
        <v>78.891999999999996</v>
      </c>
      <c r="AG51" s="9">
        <f t="shared" si="9"/>
        <v>30.653333333333332</v>
      </c>
      <c r="AH51" s="9">
        <f t="shared" si="10"/>
        <v>0.54676909173068278</v>
      </c>
      <c r="AI51" s="9">
        <f t="shared" si="11"/>
        <v>0.29895643967199581</v>
      </c>
      <c r="AJ51" s="9">
        <f t="shared" si="12"/>
        <v>0.32205680041475687</v>
      </c>
      <c r="AK51" s="9">
        <f t="shared" si="13"/>
        <v>0.10372058269339055</v>
      </c>
      <c r="AL51" s="9">
        <f t="shared" si="14"/>
        <v>0.21534647599401974</v>
      </c>
      <c r="AM51" s="9">
        <f t="shared" si="15"/>
        <v>4.6374104723042917E-2</v>
      </c>
      <c r="AN51" s="8" t="s">
        <v>599</v>
      </c>
    </row>
    <row r="52" spans="13:40" ht="23">
      <c r="M52" s="8" t="s">
        <v>61</v>
      </c>
      <c r="N52" s="8" t="s">
        <v>24</v>
      </c>
      <c r="O52" s="8"/>
      <c r="P52" s="8"/>
      <c r="Q52" s="8"/>
      <c r="R52" s="8"/>
      <c r="S52" s="8"/>
      <c r="T52" s="8"/>
      <c r="U52" s="8"/>
      <c r="V52" s="8"/>
      <c r="W52" s="8" t="s">
        <v>61</v>
      </c>
      <c r="X52" s="8">
        <v>15.99</v>
      </c>
      <c r="Y52" s="8">
        <v>2.82</v>
      </c>
      <c r="Z52" s="9">
        <v>1.52</v>
      </c>
      <c r="AA52" s="8">
        <v>48.3</v>
      </c>
      <c r="AB52" s="8">
        <v>7761</v>
      </c>
      <c r="AC52" s="21" t="s">
        <v>61</v>
      </c>
      <c r="AD52" s="8" t="s">
        <v>4002</v>
      </c>
      <c r="AE52" s="8" t="s">
        <v>4364</v>
      </c>
      <c r="AF52" s="9">
        <f t="shared" si="8"/>
        <v>136.20599999999999</v>
      </c>
      <c r="AG52" s="9">
        <f t="shared" si="9"/>
        <v>90.16</v>
      </c>
      <c r="AH52" s="9">
        <f t="shared" si="10"/>
        <v>0.54563940352462759</v>
      </c>
      <c r="AI52" s="9">
        <f t="shared" si="11"/>
        <v>0.29772235867871139</v>
      </c>
      <c r="AJ52" s="9">
        <f t="shared" si="12"/>
        <v>0.5560268285414538</v>
      </c>
      <c r="AK52" s="9">
        <f t="shared" si="13"/>
        <v>0.30916583405786724</v>
      </c>
      <c r="AL52" s="9">
        <f t="shared" si="14"/>
        <v>0.63339402813030077</v>
      </c>
      <c r="AM52" s="9">
        <f t="shared" si="15"/>
        <v>0.40118799487112822</v>
      </c>
      <c r="AN52" s="8" t="s">
        <v>61</v>
      </c>
    </row>
    <row r="53" spans="13:40" ht="23">
      <c r="M53" s="8" t="s">
        <v>1284</v>
      </c>
      <c r="N53" s="8" t="s">
        <v>150</v>
      </c>
      <c r="O53" s="8"/>
      <c r="P53" s="8"/>
      <c r="Q53" s="8"/>
      <c r="R53" s="8"/>
      <c r="S53" s="8"/>
      <c r="T53" s="8"/>
      <c r="U53" s="8"/>
      <c r="V53" s="8"/>
      <c r="W53" s="8" t="s">
        <v>1284</v>
      </c>
      <c r="X53" s="8">
        <v>44.16</v>
      </c>
      <c r="Y53" s="8">
        <v>4.1500000000000004</v>
      </c>
      <c r="Z53" s="9">
        <v>5.32</v>
      </c>
      <c r="AA53" s="8">
        <v>46.9</v>
      </c>
      <c r="AB53" s="8">
        <v>3105</v>
      </c>
      <c r="AC53" s="21" t="s">
        <v>1284</v>
      </c>
      <c r="AD53" s="8" t="s">
        <v>4165</v>
      </c>
      <c r="AE53" s="8" t="s">
        <v>4364</v>
      </c>
      <c r="AF53" s="9">
        <f t="shared" si="8"/>
        <v>194.63500000000002</v>
      </c>
      <c r="AG53" s="9">
        <f t="shared" si="9"/>
        <v>259.51333333333332</v>
      </c>
      <c r="AH53" s="9">
        <f t="shared" si="10"/>
        <v>0.52982376863985581</v>
      </c>
      <c r="AI53" s="9">
        <f t="shared" si="11"/>
        <v>0.28071322581573943</v>
      </c>
      <c r="AJ53" s="9">
        <f t="shared" si="12"/>
        <v>0.79454856447708522</v>
      </c>
      <c r="AK53" s="9">
        <f t="shared" si="13"/>
        <v>0.63130742131259687</v>
      </c>
      <c r="AL53" s="9">
        <f t="shared" si="14"/>
        <v>1.8231388149237071</v>
      </c>
      <c r="AM53" s="9">
        <f t="shared" si="15"/>
        <v>3.3238351384814191</v>
      </c>
      <c r="AN53" s="8" t="s">
        <v>1284</v>
      </c>
    </row>
    <row r="54" spans="13:40" ht="23">
      <c r="M54" s="8" t="s">
        <v>1750</v>
      </c>
      <c r="N54" s="8" t="s">
        <v>1717</v>
      </c>
      <c r="O54" s="8"/>
      <c r="P54" s="8"/>
      <c r="Q54" s="8"/>
      <c r="R54" s="8"/>
      <c r="S54" s="8"/>
      <c r="T54" s="8"/>
      <c r="U54" s="8"/>
      <c r="V54" s="8"/>
      <c r="W54" s="8" t="s">
        <v>1750</v>
      </c>
      <c r="X54" s="8">
        <v>38.24</v>
      </c>
      <c r="Y54" s="8">
        <v>1.1299999999999999</v>
      </c>
      <c r="Z54" s="9">
        <v>0.01</v>
      </c>
      <c r="AA54" s="8">
        <v>46</v>
      </c>
      <c r="AB54" s="8">
        <v>50085</v>
      </c>
      <c r="AC54" s="21" t="s">
        <v>1750</v>
      </c>
      <c r="AD54" s="8" t="s">
        <v>4002</v>
      </c>
      <c r="AE54" s="8" t="s">
        <v>4364</v>
      </c>
      <c r="AF54" s="9">
        <f t="shared" si="8"/>
        <v>51.98</v>
      </c>
      <c r="AG54" s="9">
        <f t="shared" si="9"/>
        <v>0.76666666666666661</v>
      </c>
      <c r="AH54" s="9">
        <f t="shared" si="10"/>
        <v>0.51965657478535965</v>
      </c>
      <c r="AI54" s="9">
        <f t="shared" si="11"/>
        <v>0.27004295571765208</v>
      </c>
      <c r="AJ54" s="9">
        <f t="shared" si="12"/>
        <v>0.21219531112861961</v>
      </c>
      <c r="AK54" s="9">
        <f t="shared" si="13"/>
        <v>4.5026850064971681E-2</v>
      </c>
      <c r="AL54" s="9">
        <f t="shared" si="14"/>
        <v>5.386003640563782E-3</v>
      </c>
      <c r="AM54" s="9">
        <f t="shared" si="15"/>
        <v>2.9009035216166313E-5</v>
      </c>
      <c r="AN54" s="8" t="s">
        <v>1750</v>
      </c>
    </row>
    <row r="55" spans="13:40" ht="23">
      <c r="M55" s="8" t="s">
        <v>2004</v>
      </c>
      <c r="N55" s="8" t="s">
        <v>2003</v>
      </c>
      <c r="O55" s="8"/>
      <c r="P55" s="8"/>
      <c r="Q55" s="8"/>
      <c r="R55" s="8"/>
      <c r="S55" s="8"/>
      <c r="T55" s="8"/>
      <c r="U55" s="8"/>
      <c r="V55" s="8"/>
      <c r="W55" s="8" t="s">
        <v>2004</v>
      </c>
      <c r="X55" s="8">
        <v>48.16</v>
      </c>
      <c r="Y55" s="8">
        <v>1.2</v>
      </c>
      <c r="Z55" s="9">
        <v>0.28999999999999998</v>
      </c>
      <c r="AA55" s="8">
        <v>44.7</v>
      </c>
      <c r="AB55" s="8">
        <v>14669</v>
      </c>
      <c r="AC55" s="21" t="s">
        <v>2004</v>
      </c>
      <c r="AD55" s="8" t="s">
        <v>4002</v>
      </c>
      <c r="AE55" s="8" t="s">
        <v>4364</v>
      </c>
      <c r="AF55" s="9">
        <f t="shared" si="8"/>
        <v>53.64</v>
      </c>
      <c r="AG55" s="9">
        <f t="shared" si="9"/>
        <v>21.605</v>
      </c>
      <c r="AH55" s="9">
        <f t="shared" si="10"/>
        <v>0.50497062810664295</v>
      </c>
      <c r="AI55" s="9">
        <f t="shared" si="11"/>
        <v>0.25499533525041751</v>
      </c>
      <c r="AJ55" s="9">
        <f t="shared" si="12"/>
        <v>0.21897184472757131</v>
      </c>
      <c r="AK55" s="9">
        <f t="shared" si="13"/>
        <v>4.7948668783395598E-2</v>
      </c>
      <c r="AL55" s="9">
        <f t="shared" si="14"/>
        <v>0.15177992433180065</v>
      </c>
      <c r="AM55" s="9">
        <f t="shared" si="15"/>
        <v>2.3037145430167133E-2</v>
      </c>
      <c r="AN55" s="8" t="s">
        <v>2004</v>
      </c>
    </row>
    <row r="56" spans="13:40" ht="23">
      <c r="M56" s="9" t="s">
        <v>3097</v>
      </c>
      <c r="N56" s="8" t="s">
        <v>1814</v>
      </c>
      <c r="O56" s="8"/>
      <c r="P56" s="8"/>
      <c r="Q56" s="8"/>
      <c r="R56" s="8"/>
      <c r="S56" s="8"/>
      <c r="T56" s="8"/>
      <c r="U56" s="8"/>
      <c r="V56" s="8"/>
      <c r="W56" s="9" t="s">
        <v>3097</v>
      </c>
      <c r="X56" s="8">
        <v>46.49</v>
      </c>
      <c r="Y56" s="8">
        <v>2.25</v>
      </c>
      <c r="Z56" s="9">
        <v>1.03</v>
      </c>
      <c r="AA56" s="8">
        <v>43.4</v>
      </c>
      <c r="AB56" s="8">
        <v>11466</v>
      </c>
      <c r="AC56" s="22" t="s">
        <v>3097</v>
      </c>
      <c r="AD56" s="8" t="s">
        <v>4002</v>
      </c>
      <c r="AE56" s="8" t="s">
        <v>4364</v>
      </c>
      <c r="AF56" s="9">
        <f t="shared" si="8"/>
        <v>97.649999999999991</v>
      </c>
      <c r="AG56" s="9">
        <f t="shared" si="9"/>
        <v>45.57</v>
      </c>
      <c r="AH56" s="9">
        <f t="shared" si="10"/>
        <v>0.49028468142792625</v>
      </c>
      <c r="AI56" s="9">
        <f t="shared" si="11"/>
        <v>0.24037906884288313</v>
      </c>
      <c r="AJ56" s="9">
        <f t="shared" si="12"/>
        <v>0.3986316300829108</v>
      </c>
      <c r="AK56" s="9">
        <f t="shared" si="13"/>
        <v>0.15890717650255864</v>
      </c>
      <c r="AL56" s="9">
        <f t="shared" si="14"/>
        <v>0.32013937291368461</v>
      </c>
      <c r="AM56" s="9">
        <f t="shared" si="15"/>
        <v>0.10248921808956722</v>
      </c>
      <c r="AN56" s="9" t="s">
        <v>3097</v>
      </c>
    </row>
    <row r="57" spans="13:40" ht="23">
      <c r="M57" s="8" t="s">
        <v>2103</v>
      </c>
      <c r="N57" s="8" t="s">
        <v>2100</v>
      </c>
      <c r="O57" s="8"/>
      <c r="P57" s="8"/>
      <c r="Q57" s="8"/>
      <c r="R57" s="8"/>
      <c r="S57" s="8"/>
      <c r="T57" s="8"/>
      <c r="U57" s="8"/>
      <c r="V57" s="8"/>
      <c r="W57" s="8" t="s">
        <v>2103</v>
      </c>
      <c r="X57" s="8">
        <v>28.48</v>
      </c>
      <c r="Y57" s="8">
        <v>1.2</v>
      </c>
      <c r="Z57" s="9">
        <v>0.13</v>
      </c>
      <c r="AA57" s="8">
        <v>42.9</v>
      </c>
      <c r="AB57" s="8">
        <v>26690</v>
      </c>
      <c r="AC57" s="21" t="s">
        <v>2103</v>
      </c>
      <c r="AD57" s="8" t="s">
        <v>4002</v>
      </c>
      <c r="AE57" s="8" t="s">
        <v>4364</v>
      </c>
      <c r="AF57" s="9">
        <f t="shared" si="8"/>
        <v>51.48</v>
      </c>
      <c r="AG57" s="9">
        <f t="shared" si="9"/>
        <v>9.2949999999999999</v>
      </c>
      <c r="AH57" s="9">
        <f t="shared" si="10"/>
        <v>0.48463624039765069</v>
      </c>
      <c r="AI57" s="9">
        <f t="shared" si="11"/>
        <v>0.23487228550676947</v>
      </c>
      <c r="AJ57" s="9">
        <f t="shared" si="12"/>
        <v>0.21015418655062215</v>
      </c>
      <c r="AK57" s="9">
        <f t="shared" si="13"/>
        <v>4.4164782124753693E-2</v>
      </c>
      <c r="AL57" s="9">
        <f t="shared" si="14"/>
        <v>6.5299439790052635E-2</v>
      </c>
      <c r="AM57" s="9">
        <f t="shared" si="15"/>
        <v>4.2640168368947096E-3</v>
      </c>
      <c r="AN57" s="8" t="s">
        <v>2103</v>
      </c>
    </row>
    <row r="58" spans="13:40" ht="23">
      <c r="M58" s="8" t="s">
        <v>335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8" t="s">
        <v>335</v>
      </c>
      <c r="X58" s="8">
        <v>26.42</v>
      </c>
      <c r="Y58" s="8">
        <v>1.45</v>
      </c>
      <c r="Z58" s="9">
        <v>0.39</v>
      </c>
      <c r="AA58" s="8">
        <v>41.5</v>
      </c>
      <c r="AB58" s="8">
        <v>11233</v>
      </c>
      <c r="AC58" s="21" t="s">
        <v>335</v>
      </c>
      <c r="AD58" s="8" t="s">
        <v>4002</v>
      </c>
      <c r="AE58" s="8" t="s">
        <v>4364</v>
      </c>
      <c r="AF58" s="9">
        <f t="shared" si="8"/>
        <v>60.174999999999997</v>
      </c>
      <c r="AG58" s="9">
        <f t="shared" si="9"/>
        <v>26.975000000000001</v>
      </c>
      <c r="AH58" s="9">
        <f t="shared" si="10"/>
        <v>0.4688206055128788</v>
      </c>
      <c r="AI58" s="9">
        <f t="shared" si="11"/>
        <v>0.21979276015346233</v>
      </c>
      <c r="AJ58" s="9">
        <f t="shared" si="12"/>
        <v>0.24564934296199858</v>
      </c>
      <c r="AK58" s="9">
        <f t="shared" si="13"/>
        <v>6.0343599697661607E-2</v>
      </c>
      <c r="AL58" s="9">
        <f t="shared" si="14"/>
        <v>0.18950536722288006</v>
      </c>
      <c r="AM58" s="9">
        <f t="shared" si="15"/>
        <v>3.5912284206278622E-2</v>
      </c>
      <c r="AN58" s="8" t="s">
        <v>335</v>
      </c>
    </row>
    <row r="59" spans="13:40" ht="23">
      <c r="M59" s="9" t="s">
        <v>2587</v>
      </c>
      <c r="N59" s="8" t="s">
        <v>150</v>
      </c>
      <c r="O59" s="8"/>
      <c r="P59" s="8"/>
      <c r="Q59" s="8"/>
      <c r="R59" s="8"/>
      <c r="S59" s="8"/>
      <c r="T59" s="8"/>
      <c r="U59" s="8"/>
      <c r="V59" s="8"/>
      <c r="W59" s="9" t="s">
        <v>2587</v>
      </c>
      <c r="X59" s="8">
        <v>57.84</v>
      </c>
      <c r="Y59" s="8">
        <v>1.1200000000000001</v>
      </c>
      <c r="Z59" s="9">
        <v>0.34</v>
      </c>
      <c r="AA59" s="8">
        <v>41.2</v>
      </c>
      <c r="AB59" s="8">
        <v>10828</v>
      </c>
      <c r="AC59" s="22" t="s">
        <v>2587</v>
      </c>
      <c r="AD59" s="8" t="s">
        <v>4002</v>
      </c>
      <c r="AE59" s="8" t="s">
        <v>4364</v>
      </c>
      <c r="AF59" s="9">
        <f t="shared" si="8"/>
        <v>46.144000000000005</v>
      </c>
      <c r="AG59" s="9">
        <f t="shared" si="9"/>
        <v>23.346666666666668</v>
      </c>
      <c r="AH59" s="9">
        <f t="shared" si="10"/>
        <v>0.4654315408947135</v>
      </c>
      <c r="AI59" s="9">
        <f t="shared" si="11"/>
        <v>0.21662651925962736</v>
      </c>
      <c r="AJ59" s="9">
        <f t="shared" si="12"/>
        <v>0.18837130505423288</v>
      </c>
      <c r="AK59" s="9">
        <f t="shared" si="13"/>
        <v>3.5483748567834865E-2</v>
      </c>
      <c r="AL59" s="9">
        <f t="shared" si="14"/>
        <v>0.16401551955873361</v>
      </c>
      <c r="AM59" s="9">
        <f t="shared" si="15"/>
        <v>2.690109065612133E-2</v>
      </c>
      <c r="AN59" s="9" t="s">
        <v>2587</v>
      </c>
    </row>
    <row r="60" spans="13:40" ht="23">
      <c r="M60" s="8" t="s">
        <v>1784</v>
      </c>
      <c r="N60" s="8" t="s">
        <v>1717</v>
      </c>
      <c r="O60" s="8"/>
      <c r="P60" s="8"/>
      <c r="Q60" s="8"/>
      <c r="R60" s="8"/>
      <c r="S60" s="8"/>
      <c r="T60" s="8"/>
      <c r="U60" s="8"/>
      <c r="V60" s="8"/>
      <c r="W60" s="8" t="s">
        <v>1784</v>
      </c>
      <c r="X60" s="8">
        <v>70.37</v>
      </c>
      <c r="Y60" s="8">
        <v>1.91</v>
      </c>
      <c r="Z60" s="9">
        <v>4.2300000000000004</v>
      </c>
      <c r="AA60" s="8">
        <v>39.5</v>
      </c>
      <c r="AB60" s="8">
        <v>4714</v>
      </c>
      <c r="AC60" s="21" t="s">
        <v>1784</v>
      </c>
      <c r="AD60" s="8" t="s">
        <v>4002</v>
      </c>
      <c r="AE60" s="8" t="s">
        <v>4364</v>
      </c>
      <c r="AF60" s="9">
        <f t="shared" si="8"/>
        <v>75.444999999999993</v>
      </c>
      <c r="AG60" s="9">
        <f t="shared" si="9"/>
        <v>173.14166666666668</v>
      </c>
      <c r="AH60" s="9">
        <f t="shared" si="10"/>
        <v>0.44622684139177621</v>
      </c>
      <c r="AI60" s="9">
        <f t="shared" si="11"/>
        <v>0.19911839397848141</v>
      </c>
      <c r="AJ60" s="9">
        <f t="shared" si="12"/>
        <v>0.30798528757404209</v>
      </c>
      <c r="AK60" s="9">
        <f t="shared" si="13"/>
        <v>9.4854937362065406E-2</v>
      </c>
      <c r="AL60" s="9">
        <f t="shared" si="14"/>
        <v>1.2163586699999316</v>
      </c>
      <c r="AM60" s="9">
        <f t="shared" si="15"/>
        <v>1.4795284140840024</v>
      </c>
      <c r="AN60" s="8" t="s">
        <v>1784</v>
      </c>
    </row>
    <row r="61" spans="13:40" ht="23">
      <c r="M61" s="8" t="s">
        <v>1928</v>
      </c>
      <c r="N61" s="8" t="s">
        <v>1902</v>
      </c>
      <c r="O61" s="8"/>
      <c r="P61" s="8"/>
      <c r="Q61" s="8"/>
      <c r="R61" s="8"/>
      <c r="S61" s="8"/>
      <c r="T61" s="8"/>
      <c r="U61" s="8"/>
      <c r="V61" s="8"/>
      <c r="W61" s="8" t="s">
        <v>1928</v>
      </c>
      <c r="X61" s="8">
        <v>40.549999999999997</v>
      </c>
      <c r="Y61" s="8">
        <v>1.04</v>
      </c>
      <c r="Z61" s="9">
        <v>7.0000000000000007E-2</v>
      </c>
      <c r="AA61" s="8">
        <v>37.799999999999997</v>
      </c>
      <c r="AB61" s="8">
        <v>42522</v>
      </c>
      <c r="AC61" s="21" t="s">
        <v>1928</v>
      </c>
      <c r="AD61" s="8" t="s">
        <v>4002</v>
      </c>
      <c r="AE61" s="8" t="s">
        <v>4364</v>
      </c>
      <c r="AF61" s="9">
        <f t="shared" si="8"/>
        <v>39.311999999999998</v>
      </c>
      <c r="AG61" s="9">
        <f t="shared" si="9"/>
        <v>4.41</v>
      </c>
      <c r="AH61" s="9">
        <f t="shared" si="10"/>
        <v>0.42702214188883902</v>
      </c>
      <c r="AI61" s="9">
        <f t="shared" si="11"/>
        <v>0.18234790966333178</v>
      </c>
      <c r="AJ61" s="9">
        <f t="shared" si="12"/>
        <v>0.16048137882047508</v>
      </c>
      <c r="AK61" s="9">
        <f t="shared" si="13"/>
        <v>2.575427294812083E-2</v>
      </c>
      <c r="AL61" s="9">
        <f t="shared" si="14"/>
        <v>3.0981229636808189E-2</v>
      </c>
      <c r="AM61" s="9">
        <f t="shared" si="15"/>
        <v>9.5983658980864207E-4</v>
      </c>
      <c r="AN61" s="8" t="s">
        <v>1928</v>
      </c>
    </row>
    <row r="62" spans="13:40" ht="23">
      <c r="M62" s="9" t="s">
        <v>3133</v>
      </c>
      <c r="N62" s="8" t="s">
        <v>1862</v>
      </c>
      <c r="O62" s="8"/>
      <c r="P62" s="8" t="s">
        <v>3693</v>
      </c>
      <c r="Q62" s="8"/>
      <c r="R62" s="8"/>
      <c r="S62" s="8"/>
      <c r="T62" s="8"/>
      <c r="U62" s="8"/>
      <c r="V62" s="8"/>
      <c r="W62" s="9" t="s">
        <v>3133</v>
      </c>
      <c r="X62" s="8">
        <v>0.56999999999999995</v>
      </c>
      <c r="Y62" s="8">
        <v>3.95</v>
      </c>
      <c r="Z62" s="9">
        <v>6.41</v>
      </c>
      <c r="AA62" s="8">
        <v>36.6</v>
      </c>
      <c r="AB62" s="8">
        <v>61051</v>
      </c>
      <c r="AC62" s="22" t="s">
        <v>3133</v>
      </c>
      <c r="AD62" s="8" t="s">
        <v>4002</v>
      </c>
      <c r="AE62" s="8" t="s">
        <v>4364</v>
      </c>
      <c r="AF62" s="9">
        <f t="shared" si="8"/>
        <v>144.57000000000002</v>
      </c>
      <c r="AG62" s="9">
        <f t="shared" si="9"/>
        <v>244.61</v>
      </c>
      <c r="AH62" s="9">
        <f t="shared" si="10"/>
        <v>0.41346588341617746</v>
      </c>
      <c r="AI62" s="9">
        <f t="shared" si="11"/>
        <v>0.17095403674912005</v>
      </c>
      <c r="AJ62" s="9">
        <f t="shared" si="12"/>
        <v>0.59017076048219597</v>
      </c>
      <c r="AK62" s="9">
        <f t="shared" si="13"/>
        <v>0.34830152652813351</v>
      </c>
      <c r="AL62" s="9">
        <f t="shared" si="14"/>
        <v>1.718439587632574</v>
      </c>
      <c r="AM62" s="9">
        <f t="shared" si="15"/>
        <v>2.9530346163428107</v>
      </c>
      <c r="AN62" s="9" t="s">
        <v>3133</v>
      </c>
    </row>
    <row r="63" spans="13:40" ht="23">
      <c r="M63" s="8" t="s">
        <v>1008</v>
      </c>
      <c r="N63" s="8" t="s">
        <v>150</v>
      </c>
      <c r="O63" s="8"/>
      <c r="P63" s="8" t="s">
        <v>3694</v>
      </c>
      <c r="Q63" s="8"/>
      <c r="R63" s="8"/>
      <c r="S63" s="8"/>
      <c r="T63" s="8"/>
      <c r="U63" s="8"/>
      <c r="V63" s="8"/>
      <c r="W63" s="8" t="s">
        <v>1008</v>
      </c>
      <c r="X63" s="8">
        <v>55.73</v>
      </c>
      <c r="Y63" s="8">
        <v>1.55</v>
      </c>
      <c r="Z63" s="9">
        <v>1.01</v>
      </c>
      <c r="AA63" s="8">
        <v>30.3</v>
      </c>
      <c r="AB63" s="8">
        <v>10997</v>
      </c>
      <c r="AC63" s="21" t="s">
        <v>1008</v>
      </c>
      <c r="AD63" s="8" t="s">
        <v>4002</v>
      </c>
      <c r="AE63" s="8" t="s">
        <v>4364</v>
      </c>
      <c r="AF63" s="9">
        <f t="shared" si="8"/>
        <v>46.965000000000003</v>
      </c>
      <c r="AG63" s="9">
        <f t="shared" si="9"/>
        <v>30.805</v>
      </c>
      <c r="AH63" s="9">
        <f t="shared" si="10"/>
        <v>0.34229552643470429</v>
      </c>
      <c r="AI63" s="9">
        <f t="shared" si="11"/>
        <v>0.11716622741721135</v>
      </c>
      <c r="AJ63" s="9">
        <f t="shared" si="12"/>
        <v>0.19172283161130479</v>
      </c>
      <c r="AK63" s="9">
        <f t="shared" si="13"/>
        <v>3.6757644161056736E-2</v>
      </c>
      <c r="AL63" s="9">
        <f t="shared" si="14"/>
        <v>0.21641196801856605</v>
      </c>
      <c r="AM63" s="9">
        <f t="shared" si="15"/>
        <v>4.6834139901668854E-2</v>
      </c>
      <c r="AN63" s="8" t="s">
        <v>1008</v>
      </c>
    </row>
    <row r="64" spans="13:40" ht="23">
      <c r="M64" s="9" t="s">
        <v>2755</v>
      </c>
      <c r="N64" s="8" t="s">
        <v>1614</v>
      </c>
      <c r="O64" s="8"/>
      <c r="P64" s="8"/>
      <c r="Q64" s="8"/>
      <c r="R64" s="8"/>
      <c r="S64" s="8"/>
      <c r="T64" s="8"/>
      <c r="U64" s="8"/>
      <c r="V64" s="8"/>
      <c r="W64" s="9" t="s">
        <v>2755</v>
      </c>
      <c r="X64" s="8">
        <v>2.7</v>
      </c>
      <c r="Y64" s="8">
        <v>2.13</v>
      </c>
      <c r="Z64" s="9">
        <v>0.19</v>
      </c>
      <c r="AA64" s="8">
        <v>28.3</v>
      </c>
      <c r="AB64" s="8">
        <v>33017</v>
      </c>
      <c r="AC64" s="22" t="s">
        <v>2755</v>
      </c>
      <c r="AD64" s="8" t="s">
        <v>4002</v>
      </c>
      <c r="AE64" s="8" t="s">
        <v>4364</v>
      </c>
      <c r="AF64" s="9">
        <f t="shared" si="8"/>
        <v>60.278999999999996</v>
      </c>
      <c r="AG64" s="9">
        <f t="shared" si="9"/>
        <v>8.961666666666666</v>
      </c>
      <c r="AH64" s="9">
        <f t="shared" si="10"/>
        <v>0.3197017623136017</v>
      </c>
      <c r="AI64" s="9">
        <f t="shared" si="11"/>
        <v>0.10220921682642267</v>
      </c>
      <c r="AJ64" s="9">
        <f t="shared" si="12"/>
        <v>0.24607389687422207</v>
      </c>
      <c r="AK64" s="9">
        <f t="shared" si="13"/>
        <v>6.055236272286528E-2</v>
      </c>
      <c r="AL64" s="9">
        <f t="shared" si="14"/>
        <v>6.2957699076764032E-2</v>
      </c>
      <c r="AM64" s="9">
        <f t="shared" si="15"/>
        <v>3.9636718730403746E-3</v>
      </c>
      <c r="AN64" s="9" t="s">
        <v>2755</v>
      </c>
    </row>
    <row r="65" spans="13:40" ht="23">
      <c r="M65" s="8" t="s">
        <v>1674</v>
      </c>
      <c r="N65" s="8" t="s">
        <v>1614</v>
      </c>
      <c r="O65" s="8"/>
      <c r="P65" s="8"/>
      <c r="Q65" s="8"/>
      <c r="R65" s="8"/>
      <c r="S65" s="8"/>
      <c r="T65" s="8"/>
      <c r="U65" s="8"/>
      <c r="V65" s="8"/>
      <c r="W65" s="8" t="s">
        <v>1674</v>
      </c>
      <c r="X65" s="8">
        <v>3.92</v>
      </c>
      <c r="Y65" s="8">
        <v>1.98</v>
      </c>
      <c r="Z65" s="9">
        <v>7.0000000000000007E-2</v>
      </c>
      <c r="AA65" s="8">
        <v>28.2</v>
      </c>
      <c r="AB65" s="8">
        <v>60528</v>
      </c>
      <c r="AC65" s="21" t="s">
        <v>1674</v>
      </c>
      <c r="AD65" s="8" t="s">
        <v>4002</v>
      </c>
      <c r="AE65" s="8" t="s">
        <v>4364</v>
      </c>
      <c r="AF65" s="9">
        <f t="shared" si="8"/>
        <v>55.835999999999999</v>
      </c>
      <c r="AG65" s="9">
        <f t="shared" si="9"/>
        <v>3.29</v>
      </c>
      <c r="AH65" s="9">
        <f t="shared" si="10"/>
        <v>0.31857207410754657</v>
      </c>
      <c r="AI65" s="9">
        <f t="shared" si="11"/>
        <v>0.10148816640118415</v>
      </c>
      <c r="AJ65" s="9">
        <f t="shared" si="12"/>
        <v>0.22793646387413635</v>
      </c>
      <c r="AK65" s="9">
        <f t="shared" si="13"/>
        <v>5.195503156344547E-2</v>
      </c>
      <c r="AL65" s="9">
        <f t="shared" si="14"/>
        <v>2.311298084015849E-2</v>
      </c>
      <c r="AM65" s="9">
        <f t="shared" si="15"/>
        <v>5.3420988331753349E-4</v>
      </c>
      <c r="AN65" s="8" t="s">
        <v>1674</v>
      </c>
    </row>
    <row r="66" spans="13:40" ht="23">
      <c r="M66" s="9" t="s">
        <v>3141</v>
      </c>
      <c r="N66" s="8" t="s">
        <v>1869</v>
      </c>
      <c r="O66" s="8"/>
      <c r="P66" s="8" t="s">
        <v>3693</v>
      </c>
      <c r="Q66" s="8"/>
      <c r="R66" s="8"/>
      <c r="S66" s="8"/>
      <c r="T66" s="8"/>
      <c r="U66" s="8"/>
      <c r="V66" s="8"/>
      <c r="W66" s="9" t="s">
        <v>3141</v>
      </c>
      <c r="X66" s="8">
        <v>1.1599999999999999</v>
      </c>
      <c r="Y66" s="8">
        <v>1.23</v>
      </c>
      <c r="Z66" s="9">
        <v>0.21</v>
      </c>
      <c r="AA66" s="8">
        <v>25.9</v>
      </c>
      <c r="AB66" s="8">
        <v>33321</v>
      </c>
      <c r="AC66" s="22" t="s">
        <v>3141</v>
      </c>
      <c r="AD66" s="8" t="s">
        <v>4002</v>
      </c>
      <c r="AE66" s="8" t="s">
        <v>4364</v>
      </c>
      <c r="AF66" s="9">
        <f t="shared" ref="AF66:AF97" si="16">(AA66*Y66)</f>
        <v>31.856999999999999</v>
      </c>
      <c r="AG66" s="9">
        <f t="shared" ref="AG66:AG97" si="17">((((RIGHT(Z66,2))/60)+(LEFT(Z66,2)))*AA66)</f>
        <v>9.0649999999999995</v>
      </c>
      <c r="AH66" s="9">
        <f t="shared" ref="AH66:AH97" si="18">(AA66/$AA$158)*100</f>
        <v>0.29258924536827857</v>
      </c>
      <c r="AI66" s="9">
        <f t="shared" ref="AI66:AI97" si="19">(AH66*AH66)</f>
        <v>8.5608466505178726E-2</v>
      </c>
      <c r="AJ66" s="9">
        <f t="shared" ref="AJ66:AJ97" si="20">(AF66/$AF$158)*100</f>
        <v>0.13004821136253245</v>
      </c>
      <c r="AK66" s="9">
        <f t="shared" ref="AK66:AK97" si="21">(AJ66*AJ66)</f>
        <v>1.6912537278593914E-2</v>
      </c>
      <c r="AL66" s="9">
        <f t="shared" ref="AL66:AL97" si="22">(AG66/$AG$158)*100</f>
        <v>6.3683638697883488E-2</v>
      </c>
      <c r="AM66" s="9">
        <f t="shared" ref="AM66:AM97" si="23">(AL66*AL66)</f>
        <v>4.0556058378025629E-3</v>
      </c>
      <c r="AN66" s="9" t="s">
        <v>3141</v>
      </c>
    </row>
    <row r="67" spans="13:40" ht="23">
      <c r="M67" s="8" t="s">
        <v>4725</v>
      </c>
      <c r="N67" s="8"/>
      <c r="O67" s="8"/>
      <c r="P67" s="8" t="s">
        <v>3700</v>
      </c>
      <c r="Q67" s="8"/>
      <c r="R67" s="8"/>
      <c r="S67" s="8"/>
      <c r="T67" s="8"/>
      <c r="U67" s="8"/>
      <c r="V67" s="8"/>
      <c r="W67" s="8" t="s">
        <v>4725</v>
      </c>
      <c r="X67" s="8">
        <v>8.27</v>
      </c>
      <c r="Y67" s="8">
        <v>4.08</v>
      </c>
      <c r="Z67" s="9">
        <v>1.44</v>
      </c>
      <c r="AA67" s="8">
        <v>24.5</v>
      </c>
      <c r="AB67" s="8">
        <v>15421</v>
      </c>
      <c r="AC67" s="21" t="s">
        <v>4725</v>
      </c>
      <c r="AD67" s="8" t="s">
        <v>4002</v>
      </c>
      <c r="AE67" s="8" t="s">
        <v>4364</v>
      </c>
      <c r="AF67" s="9">
        <f t="shared" si="16"/>
        <v>99.960000000000008</v>
      </c>
      <c r="AG67" s="9">
        <f t="shared" si="17"/>
        <v>42.466666666666669</v>
      </c>
      <c r="AH67" s="9">
        <f t="shared" si="18"/>
        <v>0.27677361048350679</v>
      </c>
      <c r="AI67" s="9">
        <f t="shared" si="19"/>
        <v>7.6603631460075941E-2</v>
      </c>
      <c r="AJ67" s="9">
        <f t="shared" si="20"/>
        <v>0.40806162563325937</v>
      </c>
      <c r="AK67" s="9">
        <f t="shared" si="21"/>
        <v>0.16651429031445833</v>
      </c>
      <c r="AL67" s="9">
        <f t="shared" si="22"/>
        <v>0.29833776687296776</v>
      </c>
      <c r="AM67" s="9">
        <f t="shared" si="23"/>
        <v>8.9005423142749257E-2</v>
      </c>
      <c r="AN67" s="8" t="s">
        <v>4725</v>
      </c>
    </row>
    <row r="68" spans="13:40" ht="23">
      <c r="M68" s="8" t="s">
        <v>1819</v>
      </c>
      <c r="N68" s="8" t="s">
        <v>1814</v>
      </c>
      <c r="O68" s="8"/>
      <c r="P68" s="8"/>
      <c r="Q68" s="8"/>
      <c r="R68" s="8"/>
      <c r="S68" s="8"/>
      <c r="T68" s="8"/>
      <c r="U68" s="8"/>
      <c r="V68" s="8"/>
      <c r="W68" s="8" t="s">
        <v>1819</v>
      </c>
      <c r="X68" s="8">
        <v>32.6</v>
      </c>
      <c r="Y68" s="8">
        <v>3.4</v>
      </c>
      <c r="Z68" s="9">
        <v>2.2200000000000002</v>
      </c>
      <c r="AA68" s="8">
        <v>24.4</v>
      </c>
      <c r="AB68" s="8">
        <v>4725</v>
      </c>
      <c r="AC68" s="21" t="s">
        <v>1819</v>
      </c>
      <c r="AD68" s="8" t="s">
        <v>4002</v>
      </c>
      <c r="AE68" s="8" t="s">
        <v>4364</v>
      </c>
      <c r="AF68" s="9">
        <f t="shared" si="16"/>
        <v>82.96</v>
      </c>
      <c r="AG68" s="9">
        <f t="shared" si="17"/>
        <v>57.746666666666663</v>
      </c>
      <c r="AH68" s="9">
        <f t="shared" si="18"/>
        <v>0.2756439222774516</v>
      </c>
      <c r="AI68" s="9">
        <f t="shared" si="19"/>
        <v>7.5979571888497785E-2</v>
      </c>
      <c r="AJ68" s="9">
        <f t="shared" si="20"/>
        <v>0.33866338998134449</v>
      </c>
      <c r="AK68" s="9">
        <f t="shared" si="21"/>
        <v>0.11469289171365622</v>
      </c>
      <c r="AL68" s="9">
        <f t="shared" si="22"/>
        <v>0.40568316117011716</v>
      </c>
      <c r="AM68" s="9">
        <f t="shared" si="23"/>
        <v>0.16457882725697925</v>
      </c>
      <c r="AN68" s="8" t="s">
        <v>1819</v>
      </c>
    </row>
    <row r="69" spans="13:40" ht="23">
      <c r="M69" s="9" t="s">
        <v>3132</v>
      </c>
      <c r="N69" s="8" t="s">
        <v>1862</v>
      </c>
      <c r="O69" s="8"/>
      <c r="P69" s="8" t="s">
        <v>3691</v>
      </c>
      <c r="Q69" s="8"/>
      <c r="R69" s="8"/>
      <c r="S69" s="8"/>
      <c r="T69" s="8"/>
      <c r="U69" s="8"/>
      <c r="V69" s="8"/>
      <c r="W69" s="9" t="s">
        <v>3132</v>
      </c>
      <c r="X69" s="8">
        <v>28.54</v>
      </c>
      <c r="Y69" s="8">
        <v>1.97</v>
      </c>
      <c r="Z69" s="9">
        <v>1.02</v>
      </c>
      <c r="AA69" s="8">
        <v>24.1</v>
      </c>
      <c r="AB69" s="8">
        <v>16243</v>
      </c>
      <c r="AC69" s="22" t="s">
        <v>3132</v>
      </c>
      <c r="AD69" s="8" t="s">
        <v>4002</v>
      </c>
      <c r="AE69" s="8" t="s">
        <v>4364</v>
      </c>
      <c r="AF69" s="9">
        <f t="shared" si="16"/>
        <v>47.477000000000004</v>
      </c>
      <c r="AG69" s="9">
        <f t="shared" si="17"/>
        <v>24.903333333333336</v>
      </c>
      <c r="AH69" s="9">
        <f t="shared" si="18"/>
        <v>0.27225485765928631</v>
      </c>
      <c r="AI69" s="9">
        <f t="shared" si="19"/>
        <v>7.4122707519078249E-2</v>
      </c>
      <c r="AJ69" s="9">
        <f t="shared" si="20"/>
        <v>0.19381294317917422</v>
      </c>
      <c r="AK69" s="9">
        <f t="shared" si="21"/>
        <v>3.7563456943773811E-2</v>
      </c>
      <c r="AL69" s="9">
        <f t="shared" si="22"/>
        <v>0.1749514486897914</v>
      </c>
      <c r="AM69" s="9">
        <f t="shared" si="23"/>
        <v>3.0608009398656714E-2</v>
      </c>
      <c r="AN69" s="9" t="s">
        <v>3132</v>
      </c>
    </row>
    <row r="70" spans="13:40" ht="23">
      <c r="M70" s="9" t="s">
        <v>2705</v>
      </c>
      <c r="N70" s="8" t="s">
        <v>1614</v>
      </c>
      <c r="O70" s="8"/>
      <c r="P70" s="8" t="s">
        <v>3691</v>
      </c>
      <c r="Q70" s="8"/>
      <c r="R70" s="8"/>
      <c r="S70" s="8"/>
      <c r="T70" s="8"/>
      <c r="U70" s="8"/>
      <c r="V70" s="8"/>
      <c r="W70" s="9" t="s">
        <v>2705</v>
      </c>
      <c r="X70" s="8">
        <v>7.02</v>
      </c>
      <c r="Y70" s="8">
        <v>1.2</v>
      </c>
      <c r="Z70" s="9">
        <v>0.12</v>
      </c>
      <c r="AA70" s="8">
        <v>22.8</v>
      </c>
      <c r="AB70" s="8">
        <v>27892</v>
      </c>
      <c r="AC70" s="22" t="s">
        <v>2705</v>
      </c>
      <c r="AD70" s="8" t="s">
        <v>4002</v>
      </c>
      <c r="AE70" s="8" t="s">
        <v>4364</v>
      </c>
      <c r="AF70" s="9">
        <f t="shared" si="16"/>
        <v>27.36</v>
      </c>
      <c r="AG70" s="9">
        <f t="shared" si="17"/>
        <v>4.5600000000000005</v>
      </c>
      <c r="AH70" s="9">
        <f t="shared" si="18"/>
        <v>0.25756891098056955</v>
      </c>
      <c r="AI70" s="9">
        <f t="shared" si="19"/>
        <v>6.6341743903716568E-2</v>
      </c>
      <c r="AJ70" s="9">
        <f t="shared" si="20"/>
        <v>0.11169033690802295</v>
      </c>
      <c r="AK70" s="9">
        <f t="shared" si="21"/>
        <v>1.2474731358627674E-2</v>
      </c>
      <c r="AL70" s="9">
        <f t="shared" si="22"/>
        <v>3.2035012957788066E-2</v>
      </c>
      <c r="AM70" s="9">
        <f t="shared" si="23"/>
        <v>1.0262420552056492E-3</v>
      </c>
      <c r="AN70" s="9" t="s">
        <v>2705</v>
      </c>
    </row>
    <row r="71" spans="13:40" ht="23">
      <c r="M71" s="9" t="s">
        <v>3173</v>
      </c>
      <c r="N71" s="8" t="s">
        <v>1869</v>
      </c>
      <c r="O71" s="8"/>
      <c r="P71" s="8"/>
      <c r="Q71" s="8"/>
      <c r="R71" s="8"/>
      <c r="S71" s="8"/>
      <c r="T71" s="8"/>
      <c r="U71" s="8"/>
      <c r="V71" s="8"/>
      <c r="W71" s="9" t="s">
        <v>3173</v>
      </c>
      <c r="X71" s="8">
        <v>29.13</v>
      </c>
      <c r="Y71" s="8">
        <v>3.05</v>
      </c>
      <c r="Z71" s="9">
        <v>3.43</v>
      </c>
      <c r="AA71" s="8">
        <v>22</v>
      </c>
      <c r="AB71" s="8">
        <v>5819</v>
      </c>
      <c r="AC71" s="22" t="s">
        <v>3173</v>
      </c>
      <c r="AD71" s="8" t="s">
        <v>4002</v>
      </c>
      <c r="AE71" s="8" t="s">
        <v>4364</v>
      </c>
      <c r="AF71" s="9">
        <f t="shared" si="16"/>
        <v>67.099999999999994</v>
      </c>
      <c r="AG71" s="9">
        <f t="shared" si="17"/>
        <v>81.766666666666666</v>
      </c>
      <c r="AH71" s="9">
        <f t="shared" si="18"/>
        <v>0.24853140533212856</v>
      </c>
      <c r="AI71" s="9">
        <f t="shared" si="19"/>
        <v>6.1767859436362781E-2</v>
      </c>
      <c r="AJ71" s="9">
        <f t="shared" si="20"/>
        <v>0.2739189183672639</v>
      </c>
      <c r="AK71" s="9">
        <f t="shared" si="21"/>
        <v>7.5031573839491786E-2</v>
      </c>
      <c r="AL71" s="9">
        <f t="shared" si="22"/>
        <v>0.57442899696969374</v>
      </c>
      <c r="AM71" s="9">
        <f t="shared" si="23"/>
        <v>0.32996867255960843</v>
      </c>
      <c r="AN71" s="9" t="s">
        <v>3173</v>
      </c>
    </row>
    <row r="72" spans="13:40" ht="23">
      <c r="M72" s="9" t="s">
        <v>3082</v>
      </c>
      <c r="N72" s="8" t="s">
        <v>1814</v>
      </c>
      <c r="O72" s="8"/>
      <c r="P72" s="8"/>
      <c r="Q72" s="8"/>
      <c r="R72" s="8"/>
      <c r="S72" s="8"/>
      <c r="T72" s="8"/>
      <c r="U72" s="8"/>
      <c r="V72" s="8"/>
      <c r="W72" s="9" t="s">
        <v>3082</v>
      </c>
      <c r="X72" s="8">
        <v>43.11</v>
      </c>
      <c r="Y72" s="8">
        <v>1.82</v>
      </c>
      <c r="Z72" s="9">
        <v>0.45</v>
      </c>
      <c r="AA72" s="8">
        <v>21</v>
      </c>
      <c r="AB72" s="8">
        <v>7047</v>
      </c>
      <c r="AC72" s="22" t="s">
        <v>3082</v>
      </c>
      <c r="AD72" s="8" t="s">
        <v>4002</v>
      </c>
      <c r="AE72" s="8" t="s">
        <v>4364</v>
      </c>
      <c r="AF72" s="9">
        <f t="shared" si="16"/>
        <v>38.22</v>
      </c>
      <c r="AG72" s="9">
        <f t="shared" si="17"/>
        <v>15.75</v>
      </c>
      <c r="AH72" s="9">
        <f t="shared" si="18"/>
        <v>0.23723452327157726</v>
      </c>
      <c r="AI72" s="9">
        <f t="shared" si="19"/>
        <v>5.6280219031892537E-2</v>
      </c>
      <c r="AJ72" s="9">
        <f t="shared" si="20"/>
        <v>0.15602356274212856</v>
      </c>
      <c r="AK72" s="9">
        <f t="shared" si="21"/>
        <v>2.4343352130746926E-2</v>
      </c>
      <c r="AL72" s="9">
        <f t="shared" si="22"/>
        <v>0.11064724870288639</v>
      </c>
      <c r="AM72" s="9">
        <f t="shared" si="23"/>
        <v>1.2242813645518394E-2</v>
      </c>
      <c r="AN72" s="9" t="s">
        <v>3082</v>
      </c>
    </row>
    <row r="73" spans="13:40" ht="23">
      <c r="M73" s="8" t="s">
        <v>1396</v>
      </c>
      <c r="N73" s="8" t="s">
        <v>150</v>
      </c>
      <c r="O73" s="8"/>
      <c r="P73" s="8" t="s">
        <v>3700</v>
      </c>
      <c r="Q73" s="8"/>
      <c r="R73" s="8"/>
      <c r="S73" s="8"/>
      <c r="T73" s="8"/>
      <c r="U73" s="8"/>
      <c r="V73" s="8"/>
      <c r="W73" s="8" t="s">
        <v>1396</v>
      </c>
      <c r="X73" s="8">
        <v>18.47</v>
      </c>
      <c r="Y73" s="8">
        <v>5.77</v>
      </c>
      <c r="Z73" s="9">
        <v>5.54</v>
      </c>
      <c r="AA73" s="8">
        <v>20.3</v>
      </c>
      <c r="AB73" s="8">
        <v>4157</v>
      </c>
      <c r="AC73" s="21" t="s">
        <v>1396</v>
      </c>
      <c r="AD73" s="8" t="s">
        <v>4002</v>
      </c>
      <c r="AE73" s="8" t="s">
        <v>4364</v>
      </c>
      <c r="AF73" s="9">
        <f t="shared" si="16"/>
        <v>117.131</v>
      </c>
      <c r="AG73" s="9">
        <f t="shared" si="17"/>
        <v>119.77000000000001</v>
      </c>
      <c r="AH73" s="9">
        <f t="shared" si="18"/>
        <v>0.22932670582919132</v>
      </c>
      <c r="AI73" s="9">
        <f t="shared" si="19"/>
        <v>5.2590738006468449E-2</v>
      </c>
      <c r="AJ73" s="9">
        <f t="shared" si="20"/>
        <v>0.47815792589084927</v>
      </c>
      <c r="AK73" s="9">
        <f t="shared" si="21"/>
        <v>0.22863500209223889</v>
      </c>
      <c r="AL73" s="9">
        <f t="shared" si="22"/>
        <v>0.84141085569172724</v>
      </c>
      <c r="AM73" s="9">
        <f t="shared" si="23"/>
        <v>0.70797222807588467</v>
      </c>
      <c r="AN73" s="8" t="s">
        <v>1396</v>
      </c>
    </row>
    <row r="74" spans="13:40" ht="23">
      <c r="M74" s="9" t="s">
        <v>3507</v>
      </c>
      <c r="N74" s="8" t="s">
        <v>2032</v>
      </c>
      <c r="O74" s="8"/>
      <c r="P74" s="8"/>
      <c r="Q74" s="8"/>
      <c r="R74" s="8"/>
      <c r="S74" s="8"/>
      <c r="T74" s="8"/>
      <c r="U74" s="8"/>
      <c r="V74" s="8"/>
      <c r="W74" s="9" t="s">
        <v>3507</v>
      </c>
      <c r="X74" s="8">
        <v>18.440000000000001</v>
      </c>
      <c r="Y74" s="8">
        <v>1.71</v>
      </c>
      <c r="Z74" s="9">
        <v>0.09</v>
      </c>
      <c r="AA74" s="8">
        <v>20.2</v>
      </c>
      <c r="AB74" s="8">
        <v>35355</v>
      </c>
      <c r="AC74" s="22" t="s">
        <v>3507</v>
      </c>
      <c r="AD74" s="8" t="s">
        <v>4002</v>
      </c>
      <c r="AE74" s="8" t="s">
        <v>4364</v>
      </c>
      <c r="AF74" s="9">
        <f t="shared" si="16"/>
        <v>34.542000000000002</v>
      </c>
      <c r="AG74" s="9">
        <f t="shared" si="17"/>
        <v>3.03</v>
      </c>
      <c r="AH74" s="9">
        <f t="shared" si="18"/>
        <v>0.22819701762313618</v>
      </c>
      <c r="AI74" s="9">
        <f t="shared" si="19"/>
        <v>5.2073878852093927E-2</v>
      </c>
      <c r="AJ74" s="9">
        <f t="shared" si="20"/>
        <v>0.14100905034637898</v>
      </c>
      <c r="AK74" s="9">
        <f t="shared" si="21"/>
        <v>1.988355227958764E-2</v>
      </c>
      <c r="AL74" s="9">
        <f t="shared" si="22"/>
        <v>2.1286423083793381E-2</v>
      </c>
      <c r="AM74" s="9">
        <f t="shared" si="23"/>
        <v>4.5311180770225173E-4</v>
      </c>
      <c r="AN74" s="9" t="s">
        <v>3507</v>
      </c>
    </row>
    <row r="75" spans="13:40" ht="23">
      <c r="M75" s="8" t="s">
        <v>2057</v>
      </c>
      <c r="N75" s="8" t="s">
        <v>2041</v>
      </c>
      <c r="O75" s="8"/>
      <c r="P75" s="8" t="s">
        <v>3691</v>
      </c>
      <c r="Q75" s="8"/>
      <c r="R75" s="8"/>
      <c r="S75" s="8"/>
      <c r="T75" s="8"/>
      <c r="U75" s="8"/>
      <c r="V75" s="8"/>
      <c r="W75" s="8" t="s">
        <v>2057</v>
      </c>
      <c r="X75" s="8">
        <v>64.13</v>
      </c>
      <c r="Y75" s="8">
        <v>1.61</v>
      </c>
      <c r="Z75" s="9">
        <v>1.1100000000000001</v>
      </c>
      <c r="AA75" s="8">
        <v>19.600000000000001</v>
      </c>
      <c r="AB75" s="8">
        <v>10918</v>
      </c>
      <c r="AC75" s="21" t="s">
        <v>2057</v>
      </c>
      <c r="AD75" s="8" t="s">
        <v>4002</v>
      </c>
      <c r="AE75" s="8" t="s">
        <v>4364</v>
      </c>
      <c r="AF75" s="9">
        <f t="shared" si="16"/>
        <v>31.556000000000004</v>
      </c>
      <c r="AG75" s="9">
        <f t="shared" si="17"/>
        <v>23.193333333333335</v>
      </c>
      <c r="AH75" s="9">
        <f t="shared" si="18"/>
        <v>0.22141888838680546</v>
      </c>
      <c r="AI75" s="9">
        <f t="shared" si="19"/>
        <v>4.9026324134448615E-2</v>
      </c>
      <c r="AJ75" s="9">
        <f t="shared" si="20"/>
        <v>0.12881945436657796</v>
      </c>
      <c r="AK75" s="9">
        <f t="shared" si="21"/>
        <v>1.6594451823302863E-2</v>
      </c>
      <c r="AL75" s="9">
        <f t="shared" si="22"/>
        <v>0.16293831883062085</v>
      </c>
      <c r="AM75" s="9">
        <f t="shared" si="23"/>
        <v>2.6548895743349052E-2</v>
      </c>
      <c r="AN75" s="8" t="s">
        <v>2057</v>
      </c>
    </row>
    <row r="76" spans="13:40" ht="23">
      <c r="M76" s="8" t="s">
        <v>1511</v>
      </c>
      <c r="N76" s="8" t="s">
        <v>150</v>
      </c>
      <c r="O76" s="8"/>
      <c r="P76" s="8"/>
      <c r="Q76" s="8"/>
      <c r="R76" s="8"/>
      <c r="S76" s="8"/>
      <c r="T76" s="8"/>
      <c r="U76" s="8"/>
      <c r="V76" s="8"/>
      <c r="W76" s="8" t="s">
        <v>1511</v>
      </c>
      <c r="X76" s="8">
        <v>13.64</v>
      </c>
      <c r="Y76" s="8">
        <v>28.34</v>
      </c>
      <c r="Z76" s="9">
        <v>75</v>
      </c>
      <c r="AA76" s="8">
        <v>18.5</v>
      </c>
      <c r="AB76" s="8">
        <v>2309</v>
      </c>
      <c r="AC76" s="21" t="s">
        <v>1511</v>
      </c>
      <c r="AD76" s="8" t="s">
        <v>4165</v>
      </c>
      <c r="AE76" s="8" t="s">
        <v>4364</v>
      </c>
      <c r="AF76" s="9">
        <f t="shared" si="16"/>
        <v>524.29</v>
      </c>
      <c r="AG76" s="9">
        <f t="shared" si="17"/>
        <v>1410.625</v>
      </c>
      <c r="AH76" s="9">
        <f t="shared" si="18"/>
        <v>0.208992318120199</v>
      </c>
      <c r="AI76" s="9">
        <f t="shared" si="19"/>
        <v>4.3677789033254456E-2</v>
      </c>
      <c r="AJ76" s="9">
        <f t="shared" si="20"/>
        <v>2.140282409996614</v>
      </c>
      <c r="AK76" s="9">
        <f t="shared" si="21"/>
        <v>4.5808087945409142</v>
      </c>
      <c r="AL76" s="9">
        <f t="shared" si="22"/>
        <v>9.9099539810481971</v>
      </c>
      <c r="AM76" s="9">
        <f t="shared" si="23"/>
        <v>98.207187906493004</v>
      </c>
      <c r="AN76" s="8" t="s">
        <v>1511</v>
      </c>
    </row>
    <row r="77" spans="13:40" ht="23">
      <c r="M77" s="9" t="s">
        <v>2986</v>
      </c>
      <c r="N77" s="8" t="s">
        <v>1717</v>
      </c>
      <c r="O77" s="8"/>
      <c r="P77" s="8" t="s">
        <v>3700</v>
      </c>
      <c r="Q77" s="8"/>
      <c r="R77" s="8"/>
      <c r="S77" s="8"/>
      <c r="T77" s="8"/>
      <c r="U77" s="8"/>
      <c r="V77" s="8"/>
      <c r="W77" s="9" t="s">
        <v>2986</v>
      </c>
      <c r="X77" s="8">
        <v>55.11</v>
      </c>
      <c r="Y77" s="8">
        <v>1.78</v>
      </c>
      <c r="Z77" s="9">
        <v>1.1100000000000001</v>
      </c>
      <c r="AA77" s="8">
        <v>17.899999999999999</v>
      </c>
      <c r="AB77" s="8">
        <v>11767</v>
      </c>
      <c r="AC77" s="22" t="s">
        <v>2986</v>
      </c>
      <c r="AD77" s="8" t="s">
        <v>4002</v>
      </c>
      <c r="AE77" s="8" t="s">
        <v>4364</v>
      </c>
      <c r="AF77" s="9">
        <f t="shared" si="16"/>
        <v>31.861999999999998</v>
      </c>
      <c r="AG77" s="9">
        <f t="shared" si="17"/>
        <v>21.181666666666665</v>
      </c>
      <c r="AH77" s="9">
        <f t="shared" si="18"/>
        <v>0.20221418888386822</v>
      </c>
      <c r="AI77" s="9">
        <f t="shared" si="19"/>
        <v>4.089057818596073E-2</v>
      </c>
      <c r="AJ77" s="9">
        <f t="shared" si="20"/>
        <v>0.13006862260831242</v>
      </c>
      <c r="AK77" s="9">
        <f t="shared" si="21"/>
        <v>1.69178465872236E-2</v>
      </c>
      <c r="AL77" s="9">
        <f t="shared" si="22"/>
        <v>0.14880591362592413</v>
      </c>
      <c r="AM77" s="9">
        <f t="shared" si="23"/>
        <v>2.2143199930045994E-2</v>
      </c>
      <c r="AN77" s="9" t="s">
        <v>2986</v>
      </c>
    </row>
    <row r="78" spans="13:40" ht="23">
      <c r="M78" s="9" t="s">
        <v>3263</v>
      </c>
      <c r="N78" s="8" t="s">
        <v>1902</v>
      </c>
      <c r="O78" s="8"/>
      <c r="P78" s="8"/>
      <c r="Q78" s="8"/>
      <c r="R78" s="8"/>
      <c r="S78" s="8"/>
      <c r="T78" s="8"/>
      <c r="U78" s="8"/>
      <c r="V78" s="8"/>
      <c r="W78" s="9" t="s">
        <v>3263</v>
      </c>
      <c r="X78" s="8">
        <v>22.15</v>
      </c>
      <c r="Y78" s="8">
        <v>3.51</v>
      </c>
      <c r="Z78" s="9">
        <v>2.15</v>
      </c>
      <c r="AA78" s="8">
        <v>17.600000000000001</v>
      </c>
      <c r="AB78" s="8">
        <v>7319</v>
      </c>
      <c r="AC78" s="22" t="s">
        <v>3263</v>
      </c>
      <c r="AD78" s="8" t="s">
        <v>4002</v>
      </c>
      <c r="AE78" s="8" t="s">
        <v>4364</v>
      </c>
      <c r="AF78" s="9">
        <f t="shared" si="16"/>
        <v>61.776000000000003</v>
      </c>
      <c r="AG78" s="9">
        <f t="shared" si="17"/>
        <v>39.6</v>
      </c>
      <c r="AH78" s="9">
        <f t="shared" si="18"/>
        <v>0.19882512426570284</v>
      </c>
      <c r="AI78" s="9">
        <f t="shared" si="19"/>
        <v>3.9531430039272175E-2</v>
      </c>
      <c r="AJ78" s="9">
        <f t="shared" si="20"/>
        <v>0.25218502386074659</v>
      </c>
      <c r="AK78" s="9">
        <f t="shared" si="21"/>
        <v>6.3597286259645322E-2</v>
      </c>
      <c r="AL78" s="9">
        <f t="shared" si="22"/>
        <v>0.27819879673868575</v>
      </c>
      <c r="AM78" s="9">
        <f t="shared" si="23"/>
        <v>7.7394570506852584E-2</v>
      </c>
      <c r="AN78" s="9" t="s">
        <v>3263</v>
      </c>
    </row>
    <row r="79" spans="13:40" ht="23">
      <c r="M79" s="9" t="s">
        <v>3110</v>
      </c>
      <c r="N79" s="8" t="s">
        <v>1814</v>
      </c>
      <c r="O79" s="8"/>
      <c r="P79" s="8" t="s">
        <v>3691</v>
      </c>
      <c r="Q79" s="8"/>
      <c r="R79" s="8"/>
      <c r="S79" s="8"/>
      <c r="T79" s="8"/>
      <c r="U79" s="8"/>
      <c r="V79" s="8"/>
      <c r="W79" s="9" t="s">
        <v>3110</v>
      </c>
      <c r="X79" s="8">
        <v>65.680000000000007</v>
      </c>
      <c r="Y79" s="8">
        <v>1.62</v>
      </c>
      <c r="Z79" s="9">
        <v>0.57999999999999996</v>
      </c>
      <c r="AA79" s="8">
        <v>17.100000000000001</v>
      </c>
      <c r="AB79" s="8">
        <v>13958</v>
      </c>
      <c r="AC79" s="22" t="s">
        <v>3110</v>
      </c>
      <c r="AD79" s="8" t="s">
        <v>4002</v>
      </c>
      <c r="AE79" s="8" t="s">
        <v>4364</v>
      </c>
      <c r="AF79" s="9">
        <f t="shared" si="16"/>
        <v>27.702000000000005</v>
      </c>
      <c r="AG79" s="9">
        <f t="shared" si="17"/>
        <v>16.53</v>
      </c>
      <c r="AH79" s="9">
        <f t="shared" si="18"/>
        <v>0.19317668323542719</v>
      </c>
      <c r="AI79" s="9">
        <f t="shared" si="19"/>
        <v>3.7317230945840579E-2</v>
      </c>
      <c r="AJ79" s="9">
        <f t="shared" si="20"/>
        <v>0.11308646611937327</v>
      </c>
      <c r="AK79" s="9">
        <f t="shared" si="21"/>
        <v>1.2788548819368159E-2</v>
      </c>
      <c r="AL79" s="9">
        <f t="shared" si="22"/>
        <v>0.11612692197198174</v>
      </c>
      <c r="AM79" s="9">
        <f t="shared" si="23"/>
        <v>1.3485462006686735E-2</v>
      </c>
      <c r="AN79" s="9" t="s">
        <v>3110</v>
      </c>
    </row>
    <row r="80" spans="13:40" ht="23">
      <c r="M80" s="9" t="s">
        <v>2149</v>
      </c>
      <c r="N80" s="8" t="s">
        <v>150</v>
      </c>
      <c r="O80" s="8"/>
      <c r="P80" s="8"/>
      <c r="Q80" s="8"/>
      <c r="R80" s="8"/>
      <c r="S80" s="8"/>
      <c r="T80" s="8"/>
      <c r="U80" s="8"/>
      <c r="V80" s="8"/>
      <c r="W80" s="9" t="s">
        <v>2149</v>
      </c>
      <c r="X80" s="8">
        <v>13.06</v>
      </c>
      <c r="Y80" s="8">
        <v>2.76</v>
      </c>
      <c r="Z80" s="9">
        <v>1.44</v>
      </c>
      <c r="AA80" s="8">
        <v>16</v>
      </c>
      <c r="AB80" s="8">
        <v>10042</v>
      </c>
      <c r="AC80" s="22" t="s">
        <v>2149</v>
      </c>
      <c r="AD80" s="8" t="s">
        <v>4002</v>
      </c>
      <c r="AE80" s="8" t="s">
        <v>4364</v>
      </c>
      <c r="AF80" s="9">
        <f t="shared" si="16"/>
        <v>44.16</v>
      </c>
      <c r="AG80" s="9">
        <f t="shared" si="17"/>
        <v>27.733333333333334</v>
      </c>
      <c r="AH80" s="9">
        <f t="shared" si="18"/>
        <v>0.18075011296882076</v>
      </c>
      <c r="AI80" s="9">
        <f t="shared" si="19"/>
        <v>3.2670603338241469E-2</v>
      </c>
      <c r="AJ80" s="9">
        <f t="shared" si="20"/>
        <v>0.1802721227287388</v>
      </c>
      <c r="AK80" s="9">
        <f t="shared" si="21"/>
        <v>3.2498038233125463E-2</v>
      </c>
      <c r="AL80" s="9">
        <f t="shared" si="22"/>
        <v>0.19483282734561161</v>
      </c>
      <c r="AM80" s="9">
        <f t="shared" si="23"/>
        <v>3.7959830611484904E-2</v>
      </c>
      <c r="AN80" s="9" t="s">
        <v>2149</v>
      </c>
    </row>
    <row r="81" spans="13:40" ht="23">
      <c r="M81" s="8" t="s">
        <v>1783</v>
      </c>
      <c r="N81" s="8" t="s">
        <v>1717</v>
      </c>
      <c r="O81" s="8"/>
      <c r="P81" s="8" t="s">
        <v>4167</v>
      </c>
      <c r="Q81" s="8"/>
      <c r="R81" s="8"/>
      <c r="S81" s="8"/>
      <c r="T81" s="8"/>
      <c r="U81" s="8"/>
      <c r="V81" s="8"/>
      <c r="W81" s="8" t="s">
        <v>1783</v>
      </c>
      <c r="X81" s="8">
        <v>21.68</v>
      </c>
      <c r="Y81" s="8">
        <v>4.29</v>
      </c>
      <c r="Z81" s="9">
        <v>5.56</v>
      </c>
      <c r="AA81" s="8">
        <v>15.1</v>
      </c>
      <c r="AB81" s="8">
        <v>6998</v>
      </c>
      <c r="AC81" s="21" t="s">
        <v>1783</v>
      </c>
      <c r="AD81" s="8" t="s">
        <v>4002</v>
      </c>
      <c r="AE81" s="8" t="s">
        <v>4364</v>
      </c>
      <c r="AF81" s="9">
        <f t="shared" si="16"/>
        <v>64.778999999999996</v>
      </c>
      <c r="AG81" s="9">
        <f t="shared" si="17"/>
        <v>89.593333333333334</v>
      </c>
      <c r="AH81" s="9">
        <f t="shared" si="18"/>
        <v>0.17058291911432458</v>
      </c>
      <c r="AI81" s="9">
        <f t="shared" si="19"/>
        <v>2.9098532293564201E-2</v>
      </c>
      <c r="AJ81" s="9">
        <f t="shared" si="20"/>
        <v>0.26444401807619955</v>
      </c>
      <c r="AK81" s="9">
        <f t="shared" si="21"/>
        <v>6.9930638696285352E-2</v>
      </c>
      <c r="AL81" s="9">
        <f t="shared" si="22"/>
        <v>0.62941306891771021</v>
      </c>
      <c r="AM81" s="9">
        <f t="shared" si="23"/>
        <v>0.39616081132441022</v>
      </c>
      <c r="AN81" s="8" t="s">
        <v>1783</v>
      </c>
    </row>
    <row r="82" spans="13:40" ht="23">
      <c r="M82" s="9" t="s">
        <v>3356</v>
      </c>
      <c r="N82" s="8" t="s">
        <v>1964</v>
      </c>
      <c r="O82" s="8"/>
      <c r="P82" s="8" t="s">
        <v>3713</v>
      </c>
      <c r="Q82" s="8"/>
      <c r="R82" s="8"/>
      <c r="S82" s="8"/>
      <c r="T82" s="8"/>
      <c r="U82" s="8"/>
      <c r="V82" s="8"/>
      <c r="W82" s="9" t="s">
        <v>3356</v>
      </c>
      <c r="X82" s="8">
        <v>24.65</v>
      </c>
      <c r="Y82" s="8">
        <v>23.21</v>
      </c>
      <c r="Z82" s="9">
        <v>5.37</v>
      </c>
      <c r="AA82" s="8">
        <v>14.8</v>
      </c>
      <c r="AB82" s="8">
        <v>3197</v>
      </c>
      <c r="AC82" s="22" t="s">
        <v>3356</v>
      </c>
      <c r="AD82" s="8" t="s">
        <v>4002</v>
      </c>
      <c r="AE82" s="8" t="s">
        <v>4364</v>
      </c>
      <c r="AF82" s="9">
        <f t="shared" si="16"/>
        <v>343.50800000000004</v>
      </c>
      <c r="AG82" s="9">
        <f t="shared" si="17"/>
        <v>83.126666666666679</v>
      </c>
      <c r="AH82" s="9">
        <f t="shared" si="18"/>
        <v>0.1671938544961592</v>
      </c>
      <c r="AI82" s="9">
        <f t="shared" si="19"/>
        <v>2.7953784981282852E-2</v>
      </c>
      <c r="AJ82" s="9">
        <f t="shared" si="20"/>
        <v>1.4022852430775277</v>
      </c>
      <c r="AK82" s="9">
        <f t="shared" si="21"/>
        <v>1.9664039029530009</v>
      </c>
      <c r="AL82" s="9">
        <f t="shared" si="22"/>
        <v>0.58398329907991131</v>
      </c>
      <c r="AM82" s="9">
        <f t="shared" si="23"/>
        <v>0.34103649360425714</v>
      </c>
      <c r="AN82" s="9" t="s">
        <v>3356</v>
      </c>
    </row>
    <row r="83" spans="13:40" ht="23">
      <c r="M83" s="8" t="s">
        <v>26</v>
      </c>
      <c r="N83" s="8" t="s">
        <v>24</v>
      </c>
      <c r="O83" s="8"/>
      <c r="P83" s="8"/>
      <c r="Q83" s="8"/>
      <c r="R83" s="8"/>
      <c r="S83" s="8"/>
      <c r="T83" s="8"/>
      <c r="U83" s="8"/>
      <c r="V83" s="8"/>
      <c r="W83" s="8" t="s">
        <v>26</v>
      </c>
      <c r="X83" s="8">
        <v>30.39</v>
      </c>
      <c r="Y83" s="8">
        <v>2.67</v>
      </c>
      <c r="Z83" s="9">
        <v>2.19</v>
      </c>
      <c r="AA83" s="8">
        <v>11.8</v>
      </c>
      <c r="AB83" s="8">
        <v>12066</v>
      </c>
      <c r="AC83" s="21" t="s">
        <v>26</v>
      </c>
      <c r="AD83" s="8" t="s">
        <v>4002</v>
      </c>
      <c r="AE83" s="8" t="s">
        <v>4364</v>
      </c>
      <c r="AF83" s="9">
        <f t="shared" si="16"/>
        <v>31.506</v>
      </c>
      <c r="AG83" s="9">
        <f t="shared" si="17"/>
        <v>27.336666666666666</v>
      </c>
      <c r="AH83" s="9">
        <f t="shared" si="18"/>
        <v>0.13330320831450532</v>
      </c>
      <c r="AI83" s="9">
        <f t="shared" si="19"/>
        <v>1.77697453469404E-2</v>
      </c>
      <c r="AJ83" s="9">
        <f t="shared" si="20"/>
        <v>0.12861534190877821</v>
      </c>
      <c r="AK83" s="9">
        <f t="shared" si="21"/>
        <v>1.6541906174311921E-2</v>
      </c>
      <c r="AL83" s="9">
        <f t="shared" si="22"/>
        <v>0.19204615589679816</v>
      </c>
      <c r="AM83" s="9">
        <f t="shared" si="23"/>
        <v>3.6881725994737304E-2</v>
      </c>
      <c r="AN83" s="8" t="s">
        <v>26</v>
      </c>
    </row>
    <row r="84" spans="13:40" ht="23">
      <c r="M84" s="8" t="s">
        <v>1787</v>
      </c>
      <c r="N84" s="8" t="s">
        <v>1717</v>
      </c>
      <c r="O84" s="8"/>
      <c r="P84" s="8"/>
      <c r="Q84" s="8"/>
      <c r="R84" s="8"/>
      <c r="S84" s="8"/>
      <c r="T84" s="8"/>
      <c r="U84" s="8"/>
      <c r="V84" s="8"/>
      <c r="W84" s="8" t="s">
        <v>1787</v>
      </c>
      <c r="X84" s="8">
        <v>32.51</v>
      </c>
      <c r="Y84" s="8">
        <v>2.0699999999999998</v>
      </c>
      <c r="Z84" s="9">
        <v>1.1299999999999999</v>
      </c>
      <c r="AA84" s="8">
        <v>11.6</v>
      </c>
      <c r="AB84" s="8">
        <v>12701</v>
      </c>
      <c r="AC84" s="21" t="s">
        <v>1787</v>
      </c>
      <c r="AD84" s="8" t="s">
        <v>4002</v>
      </c>
      <c r="AE84" s="8" t="s">
        <v>4364</v>
      </c>
      <c r="AF84" s="9">
        <f t="shared" si="16"/>
        <v>24.011999999999997</v>
      </c>
      <c r="AG84" s="9">
        <f t="shared" si="17"/>
        <v>14.113333333333335</v>
      </c>
      <c r="AH84" s="9">
        <f t="shared" si="18"/>
        <v>0.13104383190239505</v>
      </c>
      <c r="AI84" s="9">
        <f t="shared" si="19"/>
        <v>1.717248587966317E-2</v>
      </c>
      <c r="AJ84" s="9">
        <f t="shared" si="20"/>
        <v>9.8022966733751729E-2</v>
      </c>
      <c r="AK84" s="9">
        <f t="shared" si="21"/>
        <v>9.6085020072861974E-3</v>
      </c>
      <c r="AL84" s="9">
        <f t="shared" si="22"/>
        <v>9.9149301800639369E-2</v>
      </c>
      <c r="AM84" s="9">
        <f t="shared" si="23"/>
        <v>9.8305840475542694E-3</v>
      </c>
      <c r="AN84" s="8" t="s">
        <v>1787</v>
      </c>
    </row>
    <row r="85" spans="13:40" ht="23">
      <c r="M85" s="9" t="s">
        <v>3256</v>
      </c>
      <c r="N85" s="8" t="s">
        <v>1902</v>
      </c>
      <c r="O85" s="8"/>
      <c r="P85" s="8"/>
      <c r="Q85" s="8"/>
      <c r="R85" s="8"/>
      <c r="S85" s="8"/>
      <c r="T85" s="8"/>
      <c r="U85" s="8"/>
      <c r="V85" s="8"/>
      <c r="W85" s="9" t="s">
        <v>3256</v>
      </c>
      <c r="X85" s="8">
        <v>49.21</v>
      </c>
      <c r="Y85" s="8">
        <v>1.72</v>
      </c>
      <c r="Z85" s="9">
        <v>1.02</v>
      </c>
      <c r="AA85" s="8">
        <v>11.3</v>
      </c>
      <c r="AB85" s="8">
        <v>11586</v>
      </c>
      <c r="AC85" s="22" t="s">
        <v>3256</v>
      </c>
      <c r="AD85" s="8" t="s">
        <v>4002</v>
      </c>
      <c r="AE85" s="8" t="s">
        <v>4364</v>
      </c>
      <c r="AF85" s="9">
        <f t="shared" si="16"/>
        <v>19.436</v>
      </c>
      <c r="AG85" s="9">
        <f t="shared" si="17"/>
        <v>11.676666666666669</v>
      </c>
      <c r="AH85" s="9">
        <f t="shared" si="18"/>
        <v>0.12765476728422967</v>
      </c>
      <c r="AI85" s="9">
        <f t="shared" si="19"/>
        <v>1.6295739610390835E-2</v>
      </c>
      <c r="AJ85" s="9">
        <f t="shared" si="20"/>
        <v>7.934259459591865E-2</v>
      </c>
      <c r="AK85" s="9">
        <f t="shared" si="21"/>
        <v>6.2952473172122993E-3</v>
      </c>
      <c r="AL85" s="9">
        <f t="shared" si="22"/>
        <v>8.2031177186499701E-2</v>
      </c>
      <c r="AM85" s="9">
        <f t="shared" si="23"/>
        <v>6.7291140306029087E-3</v>
      </c>
      <c r="AN85" s="9" t="s">
        <v>3256</v>
      </c>
    </row>
    <row r="86" spans="13:40" ht="23">
      <c r="M86" s="8" t="s">
        <v>37</v>
      </c>
      <c r="N86" s="8" t="s">
        <v>18</v>
      </c>
      <c r="O86" s="8"/>
      <c r="P86" s="8" t="s">
        <v>4662</v>
      </c>
      <c r="Q86" s="8"/>
      <c r="R86" s="8"/>
      <c r="S86" s="8"/>
      <c r="T86" s="8"/>
      <c r="U86" s="8"/>
      <c r="V86" s="8"/>
      <c r="W86" s="8" t="s">
        <v>37</v>
      </c>
      <c r="X86" s="8">
        <v>20.48</v>
      </c>
      <c r="Y86" s="8">
        <v>1.31</v>
      </c>
      <c r="Z86" s="9">
        <v>0.23</v>
      </c>
      <c r="AA86" s="8">
        <v>10.6</v>
      </c>
      <c r="AB86" s="8">
        <v>39453</v>
      </c>
      <c r="AC86" s="21" t="s">
        <v>37</v>
      </c>
      <c r="AD86" s="8" t="s">
        <v>4002</v>
      </c>
      <c r="AE86" s="8" t="s">
        <v>4364</v>
      </c>
      <c r="AF86" s="9">
        <f t="shared" si="16"/>
        <v>13.885999999999999</v>
      </c>
      <c r="AG86" s="9">
        <f t="shared" si="17"/>
        <v>4.0633333333333335</v>
      </c>
      <c r="AH86" s="9">
        <f t="shared" si="18"/>
        <v>0.11974694984184374</v>
      </c>
      <c r="AI86" s="9">
        <f t="shared" si="19"/>
        <v>1.433933199642504E-2</v>
      </c>
      <c r="AJ86" s="9">
        <f t="shared" si="20"/>
        <v>5.6686111780146445E-2</v>
      </c>
      <c r="AK86" s="9">
        <f t="shared" si="21"/>
        <v>3.2133152687512574E-3</v>
      </c>
      <c r="AL86" s="9">
        <f t="shared" si="22"/>
        <v>2.8545819294988044E-2</v>
      </c>
      <c r="AM86" s="9">
        <f t="shared" si="23"/>
        <v>8.1486379922211176E-4</v>
      </c>
      <c r="AN86" s="8" t="s">
        <v>37</v>
      </c>
    </row>
    <row r="87" spans="13:40" ht="23">
      <c r="M87" s="8" t="s">
        <v>1740</v>
      </c>
      <c r="N87" s="8" t="s">
        <v>1717</v>
      </c>
      <c r="O87" s="8"/>
      <c r="P87" s="8"/>
      <c r="Q87" s="8"/>
      <c r="R87" s="8"/>
      <c r="S87" s="8"/>
      <c r="T87" s="8"/>
      <c r="U87" s="8"/>
      <c r="V87" s="8"/>
      <c r="W87" s="8" t="s">
        <v>1740</v>
      </c>
      <c r="X87" s="8">
        <v>6.01</v>
      </c>
      <c r="Y87" s="8">
        <v>11.52</v>
      </c>
      <c r="Z87" s="9">
        <v>3.46</v>
      </c>
      <c r="AA87" s="8">
        <v>10.4</v>
      </c>
      <c r="AB87" s="8">
        <v>13086</v>
      </c>
      <c r="AC87" s="21" t="s">
        <v>1740</v>
      </c>
      <c r="AD87" s="8" t="s">
        <v>4002</v>
      </c>
      <c r="AE87" s="8" t="s">
        <v>4364</v>
      </c>
      <c r="AF87" s="9">
        <f t="shared" si="16"/>
        <v>119.80799999999999</v>
      </c>
      <c r="AG87" s="9">
        <f t="shared" si="17"/>
        <v>39.173333333333332</v>
      </c>
      <c r="AH87" s="9">
        <f t="shared" si="18"/>
        <v>0.11748757342973348</v>
      </c>
      <c r="AI87" s="9">
        <f t="shared" si="19"/>
        <v>1.3803329910407017E-2</v>
      </c>
      <c r="AJ87" s="9">
        <f t="shared" si="20"/>
        <v>0.48908610688144794</v>
      </c>
      <c r="AK87" s="9">
        <f t="shared" si="21"/>
        <v>0.23920521994445113</v>
      </c>
      <c r="AL87" s="9">
        <f t="shared" si="22"/>
        <v>0.2752013686256764</v>
      </c>
      <c r="AM87" s="9">
        <f t="shared" si="23"/>
        <v>7.573579329344543E-2</v>
      </c>
      <c r="AN87" s="8" t="s">
        <v>1740</v>
      </c>
    </row>
    <row r="88" spans="13:40" ht="23">
      <c r="M88" s="9" t="s">
        <v>5210</v>
      </c>
      <c r="N88" s="8"/>
      <c r="O88" s="8"/>
      <c r="P88" s="8"/>
      <c r="Q88" s="8"/>
      <c r="R88" s="8"/>
      <c r="S88" s="8"/>
      <c r="T88" s="8"/>
      <c r="U88" s="8"/>
      <c r="V88" s="8"/>
      <c r="W88" s="9" t="s">
        <v>5210</v>
      </c>
      <c r="X88" s="8">
        <v>30.42</v>
      </c>
      <c r="Y88" s="8">
        <v>2.59</v>
      </c>
      <c r="Z88" s="9">
        <v>1.17</v>
      </c>
      <c r="AA88" s="8">
        <v>10.3</v>
      </c>
      <c r="AB88" s="8">
        <v>10919</v>
      </c>
      <c r="AC88" s="22" t="s">
        <v>5210</v>
      </c>
      <c r="AD88" s="8" t="s">
        <v>4002</v>
      </c>
      <c r="AE88" s="8" t="s">
        <v>4364</v>
      </c>
      <c r="AF88" s="9">
        <f t="shared" si="16"/>
        <v>26.677</v>
      </c>
      <c r="AG88" s="9">
        <f t="shared" si="17"/>
        <v>13.218333333333334</v>
      </c>
      <c r="AH88" s="9">
        <f t="shared" si="18"/>
        <v>0.11635788522367838</v>
      </c>
      <c r="AI88" s="9">
        <f t="shared" si="19"/>
        <v>1.353915745372671E-2</v>
      </c>
      <c r="AJ88" s="9">
        <f t="shared" si="20"/>
        <v>0.10890216073447838</v>
      </c>
      <c r="AK88" s="9">
        <f t="shared" si="21"/>
        <v>1.1859680612638165E-2</v>
      </c>
      <c r="AL88" s="9">
        <f t="shared" si="22"/>
        <v>9.2861727985459469E-2</v>
      </c>
      <c r="AM88" s="9">
        <f t="shared" si="23"/>
        <v>8.6233005244454666E-3</v>
      </c>
      <c r="AN88" s="9" t="s">
        <v>5210</v>
      </c>
    </row>
    <row r="89" spans="13:40" ht="23">
      <c r="M89" s="8" t="s">
        <v>1761</v>
      </c>
      <c r="N89" s="8" t="s">
        <v>1717</v>
      </c>
      <c r="O89" s="8"/>
      <c r="P89" s="8"/>
      <c r="Q89" s="8"/>
      <c r="R89" s="8"/>
      <c r="S89" s="8"/>
      <c r="T89" s="8"/>
      <c r="U89" s="8"/>
      <c r="V89" s="8"/>
      <c r="W89" s="8" t="s">
        <v>1761</v>
      </c>
      <c r="X89" s="8">
        <v>42.04</v>
      </c>
      <c r="Y89" s="8">
        <v>1.72</v>
      </c>
      <c r="Z89" s="9">
        <v>0.32</v>
      </c>
      <c r="AA89" s="8">
        <v>10.199999999999999</v>
      </c>
      <c r="AB89" s="8">
        <v>26629</v>
      </c>
      <c r="AC89" s="21" t="s">
        <v>1761</v>
      </c>
      <c r="AD89" s="8" t="s">
        <v>4002</v>
      </c>
      <c r="AE89" s="8" t="s">
        <v>4364</v>
      </c>
      <c r="AF89" s="9">
        <f t="shared" si="16"/>
        <v>17.543999999999997</v>
      </c>
      <c r="AG89" s="9">
        <f t="shared" si="17"/>
        <v>5.4399999999999995</v>
      </c>
      <c r="AH89" s="9">
        <f t="shared" si="18"/>
        <v>0.11522819701762323</v>
      </c>
      <c r="AI89" s="9">
        <f t="shared" si="19"/>
        <v>1.3277537387932194E-2</v>
      </c>
      <c r="AJ89" s="9">
        <f t="shared" si="20"/>
        <v>7.1618979192776128E-2</v>
      </c>
      <c r="AK89" s="9">
        <f t="shared" si="21"/>
        <v>5.1292781806152998E-3</v>
      </c>
      <c r="AL89" s="9">
        <f t="shared" si="22"/>
        <v>3.8217208440869961E-2</v>
      </c>
      <c r="AM89" s="9">
        <f t="shared" si="23"/>
        <v>1.4605550210129022E-3</v>
      </c>
      <c r="AN89" s="8" t="s">
        <v>1761</v>
      </c>
    </row>
    <row r="90" spans="13:40" ht="23">
      <c r="M90" s="9" t="s">
        <v>2487</v>
      </c>
      <c r="N90" s="8" t="s">
        <v>150</v>
      </c>
      <c r="O90" s="8"/>
      <c r="P90" s="8"/>
      <c r="Q90" s="8"/>
      <c r="R90" s="8"/>
      <c r="S90" s="8"/>
      <c r="T90" s="8"/>
      <c r="U90" s="8"/>
      <c r="V90" s="8"/>
      <c r="W90" s="9" t="s">
        <v>2487</v>
      </c>
      <c r="X90" s="8">
        <v>59.38</v>
      </c>
      <c r="Y90" s="8">
        <v>2.35</v>
      </c>
      <c r="Z90" s="9">
        <v>1.34</v>
      </c>
      <c r="AA90" s="8">
        <v>9.1</v>
      </c>
      <c r="AB90" s="8">
        <v>27094</v>
      </c>
      <c r="AC90" s="22" t="s">
        <v>2487</v>
      </c>
      <c r="AD90" s="8" t="s">
        <v>4002</v>
      </c>
      <c r="AE90" s="8" t="s">
        <v>4364</v>
      </c>
      <c r="AF90" s="9">
        <f t="shared" si="16"/>
        <v>21.385000000000002</v>
      </c>
      <c r="AG90" s="9">
        <f t="shared" si="17"/>
        <v>14.256666666666666</v>
      </c>
      <c r="AH90" s="9">
        <f t="shared" si="18"/>
        <v>0.1028016267510168</v>
      </c>
      <c r="AI90" s="9">
        <f t="shared" si="19"/>
        <v>1.0568174462655372E-2</v>
      </c>
      <c r="AJ90" s="9">
        <f t="shared" si="20"/>
        <v>8.7298898200952893E-2</v>
      </c>
      <c r="AK90" s="9">
        <f t="shared" si="21"/>
        <v>7.6210976271003364E-3</v>
      </c>
      <c r="AL90" s="9">
        <f t="shared" si="22"/>
        <v>0.10015625030735345</v>
      </c>
      <c r="AM90" s="9">
        <f t="shared" si="23"/>
        <v>1.0031274475629239E-2</v>
      </c>
      <c r="AN90" s="9" t="s">
        <v>2487</v>
      </c>
    </row>
    <row r="91" spans="13:40" ht="23">
      <c r="M91" s="8" t="s">
        <v>842</v>
      </c>
      <c r="N91" s="8" t="s">
        <v>150</v>
      </c>
      <c r="O91" s="8"/>
      <c r="P91" s="8"/>
      <c r="Q91" s="8"/>
      <c r="R91" s="8"/>
      <c r="S91" s="8"/>
      <c r="T91" s="8"/>
      <c r="U91" s="8"/>
      <c r="V91" s="8"/>
      <c r="W91" s="8" t="s">
        <v>842</v>
      </c>
      <c r="X91" s="8">
        <v>29.25</v>
      </c>
      <c r="Y91" s="8">
        <v>5.77</v>
      </c>
      <c r="Z91" s="9">
        <v>0.18</v>
      </c>
      <c r="AA91" s="8">
        <v>8.1</v>
      </c>
      <c r="AB91" s="8"/>
      <c r="AC91" s="21" t="s">
        <v>842</v>
      </c>
      <c r="AD91" s="8" t="s">
        <v>4002</v>
      </c>
      <c r="AE91" s="8" t="s">
        <v>4364</v>
      </c>
      <c r="AF91" s="9">
        <f t="shared" si="16"/>
        <v>46.736999999999995</v>
      </c>
      <c r="AG91" s="9">
        <f t="shared" si="17"/>
        <v>2.4299999999999997</v>
      </c>
      <c r="AH91" s="9">
        <f t="shared" si="18"/>
        <v>9.1504744690465503E-2</v>
      </c>
      <c r="AI91" s="9">
        <f t="shared" si="19"/>
        <v>8.3731183008672744E-3</v>
      </c>
      <c r="AJ91" s="9">
        <f t="shared" si="20"/>
        <v>0.19079207880373789</v>
      </c>
      <c r="AK91" s="9">
        <f t="shared" si="21"/>
        <v>3.6401617334251728E-2</v>
      </c>
      <c r="AL91" s="9">
        <f t="shared" si="22"/>
        <v>1.70712897998739E-2</v>
      </c>
      <c r="AM91" s="9">
        <f t="shared" si="23"/>
        <v>2.9142893543127865E-4</v>
      </c>
      <c r="AN91" s="8" t="s">
        <v>842</v>
      </c>
    </row>
    <row r="92" spans="13:40" ht="23">
      <c r="M92" s="9" t="s">
        <v>3523</v>
      </c>
      <c r="N92" s="8" t="s">
        <v>2041</v>
      </c>
      <c r="O92" s="8"/>
      <c r="P92" s="8" t="s">
        <v>3691</v>
      </c>
      <c r="Q92" s="8"/>
      <c r="R92" s="8"/>
      <c r="S92" s="8"/>
      <c r="T92" s="8"/>
      <c r="U92" s="8"/>
      <c r="V92" s="8"/>
      <c r="W92" s="9" t="s">
        <v>3523</v>
      </c>
      <c r="X92" s="8">
        <v>51.59</v>
      </c>
      <c r="Y92" s="8">
        <v>2.66</v>
      </c>
      <c r="Z92" s="9">
        <v>2.36</v>
      </c>
      <c r="AA92" s="8">
        <v>8</v>
      </c>
      <c r="AB92" s="8">
        <v>19081</v>
      </c>
      <c r="AC92" s="22" t="s">
        <v>3523</v>
      </c>
      <c r="AD92" s="8" t="s">
        <v>4002</v>
      </c>
      <c r="AE92" s="8" t="s">
        <v>4364</v>
      </c>
      <c r="AF92" s="9">
        <f t="shared" si="16"/>
        <v>21.28</v>
      </c>
      <c r="AG92" s="9">
        <f t="shared" si="17"/>
        <v>20.8</v>
      </c>
      <c r="AH92" s="9">
        <f t="shared" si="18"/>
        <v>9.0375056484410382E-2</v>
      </c>
      <c r="AI92" s="9">
        <f t="shared" si="19"/>
        <v>8.1676508345603673E-3</v>
      </c>
      <c r="AJ92" s="9">
        <f t="shared" si="20"/>
        <v>8.6870262039573418E-2</v>
      </c>
      <c r="AK92" s="9">
        <f t="shared" si="21"/>
        <v>7.5464424268241502E-3</v>
      </c>
      <c r="AL92" s="9">
        <f t="shared" si="22"/>
        <v>0.14612462050920871</v>
      </c>
      <c r="AM92" s="9">
        <f t="shared" si="23"/>
        <v>2.1352404718960261E-2</v>
      </c>
      <c r="AN92" s="9" t="s">
        <v>3523</v>
      </c>
    </row>
    <row r="93" spans="13:40" ht="23">
      <c r="M93" s="8" t="s">
        <v>3979</v>
      </c>
      <c r="N93" s="8"/>
      <c r="O93" s="8"/>
      <c r="P93" s="8"/>
      <c r="Q93" s="8"/>
      <c r="R93" s="8"/>
      <c r="S93" s="8"/>
      <c r="T93" s="8"/>
      <c r="U93" s="8"/>
      <c r="V93" s="8"/>
      <c r="W93" s="8" t="s">
        <v>3979</v>
      </c>
      <c r="X93" s="8">
        <v>45.14</v>
      </c>
      <c r="Y93" s="8">
        <v>1.89</v>
      </c>
      <c r="Z93" s="9">
        <v>0.32</v>
      </c>
      <c r="AA93" s="8">
        <v>7.8</v>
      </c>
      <c r="AB93" s="8">
        <v>15595</v>
      </c>
      <c r="AC93" s="21" t="s">
        <v>3979</v>
      </c>
      <c r="AD93" s="8" t="s">
        <v>4002</v>
      </c>
      <c r="AE93" s="8" t="s">
        <v>4364</v>
      </c>
      <c r="AF93" s="9">
        <f t="shared" si="16"/>
        <v>14.741999999999999</v>
      </c>
      <c r="AG93" s="9">
        <f t="shared" si="17"/>
        <v>4.16</v>
      </c>
      <c r="AH93" s="9">
        <f t="shared" si="18"/>
        <v>8.8115680072300112E-2</v>
      </c>
      <c r="AI93" s="9">
        <f t="shared" si="19"/>
        <v>7.7643730746039469E-3</v>
      </c>
      <c r="AJ93" s="9">
        <f t="shared" si="20"/>
        <v>6.0180517057678164E-2</v>
      </c>
      <c r="AK93" s="9">
        <f t="shared" si="21"/>
        <v>3.6216946333294925E-3</v>
      </c>
      <c r="AL93" s="9">
        <f t="shared" si="22"/>
        <v>2.9224924101841743E-2</v>
      </c>
      <c r="AM93" s="9">
        <f t="shared" si="23"/>
        <v>8.5409618875841042E-4</v>
      </c>
      <c r="AN93" s="8" t="s">
        <v>3979</v>
      </c>
    </row>
    <row r="94" spans="13:40" ht="23">
      <c r="M94" s="8" t="s">
        <v>1513</v>
      </c>
      <c r="N94" s="8" t="s">
        <v>150</v>
      </c>
      <c r="O94" s="8"/>
      <c r="P94" s="8" t="s">
        <v>3691</v>
      </c>
      <c r="Q94" s="8"/>
      <c r="R94" s="8"/>
      <c r="S94" s="8"/>
      <c r="T94" s="8"/>
      <c r="U94" s="8"/>
      <c r="V94" s="8"/>
      <c r="W94" s="8" t="s">
        <v>1513</v>
      </c>
      <c r="X94" s="8">
        <v>55.99</v>
      </c>
      <c r="Y94" s="8">
        <v>1.75</v>
      </c>
      <c r="Z94" s="9">
        <v>1.55</v>
      </c>
      <c r="AA94" s="8">
        <v>7.2</v>
      </c>
      <c r="AB94" s="8">
        <v>41758</v>
      </c>
      <c r="AC94" s="21" t="s">
        <v>1513</v>
      </c>
      <c r="AD94" s="8" t="s">
        <v>4002</v>
      </c>
      <c r="AE94" s="8" t="s">
        <v>4364</v>
      </c>
      <c r="AF94" s="9">
        <f t="shared" si="16"/>
        <v>12.6</v>
      </c>
      <c r="AG94" s="9">
        <f t="shared" si="17"/>
        <v>13.799999999999999</v>
      </c>
      <c r="AH94" s="9">
        <f t="shared" si="18"/>
        <v>8.1337550835969344E-2</v>
      </c>
      <c r="AI94" s="9">
        <f t="shared" si="19"/>
        <v>6.6157971759938971E-3</v>
      </c>
      <c r="AJ94" s="9">
        <f t="shared" si="20"/>
        <v>5.143633936553689E-2</v>
      </c>
      <c r="AK94" s="9">
        <f t="shared" si="21"/>
        <v>2.6456970073266799E-3</v>
      </c>
      <c r="AL94" s="9">
        <f t="shared" si="22"/>
        <v>9.6948065530148078E-2</v>
      </c>
      <c r="AM94" s="9">
        <f t="shared" si="23"/>
        <v>9.3989274100378852E-3</v>
      </c>
      <c r="AN94" s="8" t="s">
        <v>1513</v>
      </c>
    </row>
    <row r="95" spans="13:40" ht="23">
      <c r="M95" s="9" t="s">
        <v>2669</v>
      </c>
      <c r="N95" s="8" t="s">
        <v>150</v>
      </c>
      <c r="O95" s="8"/>
      <c r="P95" s="8" t="s">
        <v>3691</v>
      </c>
      <c r="Q95" s="8"/>
      <c r="R95" s="8"/>
      <c r="S95" s="8"/>
      <c r="T95" s="8"/>
      <c r="U95" s="8"/>
      <c r="V95" s="8"/>
      <c r="W95" s="9" t="s">
        <v>2669</v>
      </c>
      <c r="X95" s="8">
        <v>28.03</v>
      </c>
      <c r="Y95" s="8">
        <v>4.28</v>
      </c>
      <c r="Z95" s="9">
        <v>5.2</v>
      </c>
      <c r="AA95" s="8">
        <v>7.1</v>
      </c>
      <c r="AB95" s="8">
        <v>14766</v>
      </c>
      <c r="AC95" s="22" t="s">
        <v>2669</v>
      </c>
      <c r="AD95" s="8" t="s">
        <v>4165</v>
      </c>
      <c r="AE95" s="8" t="s">
        <v>4364</v>
      </c>
      <c r="AF95" s="9">
        <f t="shared" si="16"/>
        <v>30.388000000000002</v>
      </c>
      <c r="AG95" s="9">
        <f t="shared" si="17"/>
        <v>35.523666666666664</v>
      </c>
      <c r="AH95" s="9">
        <f t="shared" si="18"/>
        <v>8.0207862629914195E-2</v>
      </c>
      <c r="AI95" s="9">
        <f t="shared" si="19"/>
        <v>6.4333012276591864E-3</v>
      </c>
      <c r="AJ95" s="9">
        <f t="shared" si="20"/>
        <v>0.12405138735237581</v>
      </c>
      <c r="AK95" s="9">
        <f t="shared" si="21"/>
        <v>1.5388746704049185E-2</v>
      </c>
      <c r="AL95" s="9">
        <f t="shared" si="22"/>
        <v>0.24956164955587945</v>
      </c>
      <c r="AM95" s="9">
        <f t="shared" si="23"/>
        <v>6.2281016929051587E-2</v>
      </c>
      <c r="AN95" s="9" t="s">
        <v>2669</v>
      </c>
    </row>
    <row r="96" spans="13:40" ht="23">
      <c r="M96" s="8" t="s">
        <v>968</v>
      </c>
      <c r="N96" s="8" t="s">
        <v>150</v>
      </c>
      <c r="O96" s="8"/>
      <c r="P96" s="8" t="s">
        <v>3693</v>
      </c>
      <c r="Q96" s="8"/>
      <c r="R96" s="8"/>
      <c r="S96" s="8"/>
      <c r="T96" s="8"/>
      <c r="U96" s="8"/>
      <c r="V96" s="8"/>
      <c r="W96" s="8" t="s">
        <v>968</v>
      </c>
      <c r="X96" s="8">
        <v>63.63</v>
      </c>
      <c r="Y96" s="8">
        <v>2.41</v>
      </c>
      <c r="Z96" s="9">
        <v>2</v>
      </c>
      <c r="AA96" s="8">
        <v>6.2</v>
      </c>
      <c r="AB96" s="8">
        <v>23933</v>
      </c>
      <c r="AC96" s="21" t="s">
        <v>968</v>
      </c>
      <c r="AD96" s="8" t="s">
        <v>4002</v>
      </c>
      <c r="AE96" s="8" t="s">
        <v>4364</v>
      </c>
      <c r="AF96" s="9">
        <f t="shared" si="16"/>
        <v>14.942000000000002</v>
      </c>
      <c r="AG96" s="9">
        <f t="shared" si="17"/>
        <v>12.606666666666666</v>
      </c>
      <c r="AH96" s="9">
        <f t="shared" si="18"/>
        <v>7.0040668775418036E-2</v>
      </c>
      <c r="AI96" s="9">
        <f t="shared" si="19"/>
        <v>4.9056952825078191E-3</v>
      </c>
      <c r="AJ96" s="9">
        <f t="shared" si="20"/>
        <v>6.0996966888877166E-2</v>
      </c>
      <c r="AK96" s="9">
        <f t="shared" si="21"/>
        <v>3.7206299696427771E-3</v>
      </c>
      <c r="AL96" s="9">
        <f t="shared" si="22"/>
        <v>8.8564633776574878E-2</v>
      </c>
      <c r="AM96" s="9">
        <f t="shared" si="23"/>
        <v>7.843694355978828E-3</v>
      </c>
      <c r="AN96" s="8" t="s">
        <v>968</v>
      </c>
    </row>
    <row r="97" spans="13:40" ht="23">
      <c r="M97" s="8" t="s">
        <v>1767</v>
      </c>
      <c r="N97" s="8" t="s">
        <v>1717</v>
      </c>
      <c r="O97" s="8"/>
      <c r="P97" s="8"/>
      <c r="Q97" s="8"/>
      <c r="R97" s="8"/>
      <c r="S97" s="8"/>
      <c r="T97" s="8"/>
      <c r="U97" s="8"/>
      <c r="V97" s="8"/>
      <c r="W97" s="8" t="s">
        <v>1767</v>
      </c>
      <c r="X97" s="8">
        <v>41.58</v>
      </c>
      <c r="Y97" s="8">
        <v>2.15</v>
      </c>
      <c r="Z97" s="9">
        <v>0.4</v>
      </c>
      <c r="AA97" s="8">
        <v>6.2</v>
      </c>
      <c r="AB97" s="8">
        <v>23194</v>
      </c>
      <c r="AC97" s="21" t="s">
        <v>1767</v>
      </c>
      <c r="AD97" s="8" t="s">
        <v>4002</v>
      </c>
      <c r="AE97" s="8" t="s">
        <v>4364</v>
      </c>
      <c r="AF97" s="9">
        <f t="shared" si="16"/>
        <v>13.33</v>
      </c>
      <c r="AG97" s="9">
        <f t="shared" si="17"/>
        <v>4.133333333333334E-2</v>
      </c>
      <c r="AH97" s="9">
        <f t="shared" si="18"/>
        <v>7.0040668775418036E-2</v>
      </c>
      <c r="AI97" s="9">
        <f t="shared" si="19"/>
        <v>4.9056952825078191E-3</v>
      </c>
      <c r="AJ97" s="9">
        <f t="shared" si="20"/>
        <v>5.441638124941324E-2</v>
      </c>
      <c r="AK97" s="9">
        <f t="shared" si="21"/>
        <v>2.9611425482814926E-3</v>
      </c>
      <c r="AL97" s="9">
        <f t="shared" si="22"/>
        <v>2.9037584844778658E-4</v>
      </c>
      <c r="AM97" s="9">
        <f t="shared" si="23"/>
        <v>8.4318133361771921E-8</v>
      </c>
      <c r="AN97" s="8" t="s">
        <v>1767</v>
      </c>
    </row>
    <row r="98" spans="13:40" ht="23">
      <c r="M98" s="8" t="s">
        <v>471</v>
      </c>
      <c r="N98" s="8" t="s">
        <v>150</v>
      </c>
      <c r="O98" s="8"/>
      <c r="P98" s="8" t="s">
        <v>3693</v>
      </c>
      <c r="Q98" s="8"/>
      <c r="R98" s="8"/>
      <c r="S98" s="8"/>
      <c r="T98" s="8"/>
      <c r="U98" s="8"/>
      <c r="V98" s="8"/>
      <c r="W98" s="8" t="s">
        <v>471</v>
      </c>
      <c r="X98" s="8">
        <v>36.85</v>
      </c>
      <c r="Y98" s="8">
        <v>2.78</v>
      </c>
      <c r="Z98" s="9">
        <v>2.36</v>
      </c>
      <c r="AA98" s="8">
        <v>6</v>
      </c>
      <c r="AB98" s="8">
        <v>17488</v>
      </c>
      <c r="AC98" s="21" t="s">
        <v>471</v>
      </c>
      <c r="AD98" s="8" t="s">
        <v>4002</v>
      </c>
      <c r="AE98" s="8" t="s">
        <v>4364</v>
      </c>
      <c r="AF98" s="9">
        <f t="shared" ref="AF98:AF129" si="24">(AA98*Y98)</f>
        <v>16.68</v>
      </c>
      <c r="AG98" s="9">
        <f t="shared" ref="AG98:AG129" si="25">((((RIGHT(Z98,2))/60)+(LEFT(Z98,2)))*AA98)</f>
        <v>15.600000000000001</v>
      </c>
      <c r="AH98" s="9">
        <f t="shared" ref="AH98:AH129" si="26">(AA98/$AA$158)*100</f>
        <v>6.7781292363307794E-2</v>
      </c>
      <c r="AI98" s="9">
        <f t="shared" ref="AI98:AI129" si="27">(AH98*AH98)</f>
        <v>4.5943035944402072E-3</v>
      </c>
      <c r="AJ98" s="9">
        <f t="shared" ref="AJ98:AJ129" si="28">(AF98/$AF$158)*100</f>
        <v>6.8091915921996454E-2</v>
      </c>
      <c r="AK98" s="9">
        <f t="shared" ref="AK98:AK129" si="29">(AJ98*AJ98)</f>
        <v>4.636509013928234E-3</v>
      </c>
      <c r="AL98" s="9">
        <f t="shared" ref="AL98:AL129" si="30">(AG98/$AG$158)*100</f>
        <v>0.10959346538190654</v>
      </c>
      <c r="AM98" s="9">
        <f t="shared" ref="AM98:AM129" si="31">(AL98*AL98)</f>
        <v>1.2010727654415146E-2</v>
      </c>
      <c r="AN98" s="8" t="s">
        <v>471</v>
      </c>
    </row>
    <row r="99" spans="13:40" ht="23">
      <c r="M99" s="9" t="s">
        <v>3414</v>
      </c>
      <c r="N99" s="8" t="s">
        <v>1990</v>
      </c>
      <c r="O99" s="8"/>
      <c r="P99" s="8" t="s">
        <v>4144</v>
      </c>
      <c r="Q99" s="8"/>
      <c r="R99" s="8"/>
      <c r="S99" s="8"/>
      <c r="T99" s="8"/>
      <c r="U99" s="8"/>
      <c r="V99" s="8"/>
      <c r="W99" s="9" t="s">
        <v>3414</v>
      </c>
      <c r="X99" s="8">
        <v>15.88</v>
      </c>
      <c r="Y99" s="8">
        <v>3.47</v>
      </c>
      <c r="Z99" s="9">
        <v>2.4700000000000002</v>
      </c>
      <c r="AA99" s="8">
        <v>5.9</v>
      </c>
      <c r="AB99" s="8"/>
      <c r="AC99" s="22" t="s">
        <v>3414</v>
      </c>
      <c r="AD99" s="8" t="s">
        <v>4002</v>
      </c>
      <c r="AE99" s="8" t="s">
        <v>4364</v>
      </c>
      <c r="AF99" s="9">
        <f t="shared" si="24"/>
        <v>20.473000000000003</v>
      </c>
      <c r="AG99" s="9">
        <f t="shared" si="25"/>
        <v>16.421666666666667</v>
      </c>
      <c r="AH99" s="9">
        <f t="shared" si="26"/>
        <v>6.6651604157252659E-2</v>
      </c>
      <c r="AI99" s="9">
        <f t="shared" si="27"/>
        <v>4.4424363367351E-3</v>
      </c>
      <c r="AJ99" s="9">
        <f t="shared" si="28"/>
        <v>8.3575886970685465E-2</v>
      </c>
      <c r="AK99" s="9">
        <f t="shared" si="29"/>
        <v>6.9849288829367927E-3</v>
      </c>
      <c r="AL99" s="9">
        <f t="shared" si="30"/>
        <v>0.11536585624016293</v>
      </c>
      <c r="AM99" s="9">
        <f t="shared" si="31"/>
        <v>1.330928078602594E-2</v>
      </c>
      <c r="AN99" s="9" t="s">
        <v>3414</v>
      </c>
    </row>
    <row r="100" spans="13:40" ht="23">
      <c r="M100" s="8" t="s">
        <v>31</v>
      </c>
      <c r="N100" s="8" t="s">
        <v>24</v>
      </c>
      <c r="O100" s="8"/>
      <c r="P100" s="8" t="s">
        <v>3691</v>
      </c>
      <c r="Q100" s="8"/>
      <c r="R100" s="8"/>
      <c r="S100" s="8"/>
      <c r="T100" s="8"/>
      <c r="U100" s="8"/>
      <c r="V100" s="8"/>
      <c r="W100" s="8" t="s">
        <v>31</v>
      </c>
      <c r="X100" s="8">
        <v>4.16</v>
      </c>
      <c r="Y100" s="8">
        <v>3.67</v>
      </c>
      <c r="Z100" s="9">
        <v>0.46</v>
      </c>
      <c r="AA100" s="8">
        <v>5.9</v>
      </c>
      <c r="AB100" s="8">
        <v>27963</v>
      </c>
      <c r="AC100" s="21" t="s">
        <v>31</v>
      </c>
      <c r="AD100" s="8" t="s">
        <v>4002</v>
      </c>
      <c r="AE100" s="8" t="s">
        <v>4364</v>
      </c>
      <c r="AF100" s="9">
        <f t="shared" si="24"/>
        <v>21.653000000000002</v>
      </c>
      <c r="AG100" s="9">
        <f t="shared" si="25"/>
        <v>4.5233333333333343</v>
      </c>
      <c r="AH100" s="9">
        <f t="shared" si="26"/>
        <v>6.6651604157252659E-2</v>
      </c>
      <c r="AI100" s="9">
        <f t="shared" si="27"/>
        <v>4.4424363367351E-3</v>
      </c>
      <c r="AJ100" s="9">
        <f t="shared" si="28"/>
        <v>8.8392940974759554E-2</v>
      </c>
      <c r="AK100" s="9">
        <f t="shared" si="29"/>
        <v>7.8133120141673264E-3</v>
      </c>
      <c r="AL100" s="9">
        <f t="shared" si="30"/>
        <v>3.1777421479326322E-2</v>
      </c>
      <c r="AM100" s="9">
        <f t="shared" si="31"/>
        <v>1.0098045158747498E-3</v>
      </c>
      <c r="AN100" s="8" t="s">
        <v>31</v>
      </c>
    </row>
    <row r="101" spans="13:40" ht="23">
      <c r="M101" s="9" t="s">
        <v>2996</v>
      </c>
      <c r="N101" s="8" t="s">
        <v>1717</v>
      </c>
      <c r="O101" s="8"/>
      <c r="P101" s="8"/>
      <c r="Q101" s="8"/>
      <c r="R101" s="8"/>
      <c r="S101" s="8"/>
      <c r="T101" s="8"/>
      <c r="U101" s="8"/>
      <c r="V101" s="8"/>
      <c r="W101" s="9" t="s">
        <v>2996</v>
      </c>
      <c r="X101" s="8">
        <v>18.25</v>
      </c>
      <c r="Y101" s="8">
        <v>2.25</v>
      </c>
      <c r="Z101" s="9">
        <v>1.1100000000000001</v>
      </c>
      <c r="AA101" s="8">
        <v>5.3</v>
      </c>
      <c r="AB101" s="8">
        <v>25627</v>
      </c>
      <c r="AC101" s="22" t="s">
        <v>2996</v>
      </c>
      <c r="AD101" s="8" t="s">
        <v>4002</v>
      </c>
      <c r="AE101" s="8" t="s">
        <v>4364</v>
      </c>
      <c r="AF101" s="9">
        <f t="shared" si="24"/>
        <v>11.924999999999999</v>
      </c>
      <c r="AG101" s="9">
        <f t="shared" si="25"/>
        <v>6.2716666666666665</v>
      </c>
      <c r="AH101" s="9">
        <f t="shared" si="26"/>
        <v>5.9873474920921869E-2</v>
      </c>
      <c r="AI101" s="9">
        <f t="shared" si="27"/>
        <v>3.58483299910626E-3</v>
      </c>
      <c r="AJ101" s="9">
        <f t="shared" si="28"/>
        <v>4.8680821185240267E-2</v>
      </c>
      <c r="AK101" s="9">
        <f t="shared" si="29"/>
        <v>2.3698223512693376E-3</v>
      </c>
      <c r="AL101" s="9">
        <f t="shared" si="30"/>
        <v>4.4059851520525023E-2</v>
      </c>
      <c r="AM101" s="9">
        <f t="shared" si="31"/>
        <v>1.9412705160107111E-3</v>
      </c>
      <c r="AN101" s="9" t="s">
        <v>2996</v>
      </c>
    </row>
    <row r="102" spans="13:40" ht="23">
      <c r="M102" s="8" t="s">
        <v>50</v>
      </c>
      <c r="N102" s="8" t="s">
        <v>23</v>
      </c>
      <c r="O102" s="8"/>
      <c r="P102" s="8" t="s">
        <v>4728</v>
      </c>
      <c r="Q102" s="8"/>
      <c r="R102" s="8"/>
      <c r="S102" s="8"/>
      <c r="T102" s="8"/>
      <c r="U102" s="8"/>
      <c r="V102" s="8"/>
      <c r="W102" s="8" t="s">
        <v>50</v>
      </c>
      <c r="X102" s="8">
        <v>59.19</v>
      </c>
      <c r="Y102" s="8">
        <v>1.77</v>
      </c>
      <c r="Z102" s="9">
        <v>1.42</v>
      </c>
      <c r="AA102" s="8">
        <v>5</v>
      </c>
      <c r="AB102" s="8"/>
      <c r="AC102" s="21" t="s">
        <v>50</v>
      </c>
      <c r="AD102" s="8" t="s">
        <v>4002</v>
      </c>
      <c r="AE102" s="8" t="s">
        <v>4364</v>
      </c>
      <c r="AF102" s="9">
        <f t="shared" si="24"/>
        <v>8.85</v>
      </c>
      <c r="AG102" s="9">
        <f t="shared" si="25"/>
        <v>8.5</v>
      </c>
      <c r="AH102" s="9">
        <f t="shared" si="26"/>
        <v>5.6484410302756485E-2</v>
      </c>
      <c r="AI102" s="9">
        <f t="shared" si="27"/>
        <v>3.190488607250143E-3</v>
      </c>
      <c r="AJ102" s="9">
        <f t="shared" si="28"/>
        <v>3.6127905030555671E-2</v>
      </c>
      <c r="AK102" s="9">
        <f t="shared" si="29"/>
        <v>1.3052255218968497E-3</v>
      </c>
      <c r="AL102" s="9">
        <f t="shared" si="30"/>
        <v>5.9714388188859324E-2</v>
      </c>
      <c r="AM102" s="9">
        <f t="shared" si="31"/>
        <v>3.5658081567697818E-3</v>
      </c>
      <c r="AN102" s="8" t="s">
        <v>50</v>
      </c>
    </row>
    <row r="103" spans="13:40" ht="23">
      <c r="M103" s="9" t="s">
        <v>3491</v>
      </c>
      <c r="N103" s="8" t="s">
        <v>2027</v>
      </c>
      <c r="O103" s="8"/>
      <c r="P103" s="8"/>
      <c r="Q103" s="8"/>
      <c r="R103" s="8"/>
      <c r="S103" s="8"/>
      <c r="T103" s="8"/>
      <c r="U103" s="8"/>
      <c r="V103" s="8"/>
      <c r="W103" s="9" t="s">
        <v>3491</v>
      </c>
      <c r="X103" s="8">
        <v>59.87</v>
      </c>
      <c r="Y103" s="8">
        <v>2.36</v>
      </c>
      <c r="Z103" s="9">
        <v>1.25</v>
      </c>
      <c r="AA103" s="8">
        <v>4.9000000000000004</v>
      </c>
      <c r="AB103" s="8">
        <v>23795</v>
      </c>
      <c r="AC103" s="22" t="s">
        <v>3491</v>
      </c>
      <c r="AD103" s="8" t="s">
        <v>4002</v>
      </c>
      <c r="AE103" s="8" t="s">
        <v>4364</v>
      </c>
      <c r="AF103" s="9">
        <f t="shared" si="24"/>
        <v>11.564</v>
      </c>
      <c r="AG103" s="9">
        <f t="shared" si="25"/>
        <v>6.9416666666666673</v>
      </c>
      <c r="AH103" s="9">
        <f t="shared" si="26"/>
        <v>5.5354722096701364E-2</v>
      </c>
      <c r="AI103" s="9">
        <f t="shared" si="27"/>
        <v>3.0641452584030384E-3</v>
      </c>
      <c r="AJ103" s="9">
        <f t="shared" si="28"/>
        <v>4.7207129239926079E-2</v>
      </c>
      <c r="AK103" s="9">
        <f t="shared" si="29"/>
        <v>2.2285130510750839E-3</v>
      </c>
      <c r="AL103" s="9">
        <f t="shared" si="30"/>
        <v>4.8766750354235118E-2</v>
      </c>
      <c r="AM103" s="9">
        <f t="shared" si="31"/>
        <v>2.378195940112291E-3</v>
      </c>
      <c r="AN103" s="9" t="s">
        <v>3491</v>
      </c>
    </row>
    <row r="104" spans="13:40" ht="23">
      <c r="M104" s="9" t="s">
        <v>3459</v>
      </c>
      <c r="N104" s="8" t="s">
        <v>2003</v>
      </c>
      <c r="O104" s="8"/>
      <c r="P104" s="8" t="s">
        <v>3700</v>
      </c>
      <c r="Q104" s="8"/>
      <c r="R104" s="8"/>
      <c r="S104" s="8"/>
      <c r="T104" s="8"/>
      <c r="U104" s="8"/>
      <c r="V104" s="8"/>
      <c r="W104" s="9" t="s">
        <v>3459</v>
      </c>
      <c r="X104" s="8">
        <v>39.82</v>
      </c>
      <c r="Y104" s="8">
        <v>3.56</v>
      </c>
      <c r="Z104" s="9">
        <v>3.32</v>
      </c>
      <c r="AA104" s="8">
        <v>4.8</v>
      </c>
      <c r="AB104" s="8">
        <v>17261</v>
      </c>
      <c r="AC104" s="22" t="s">
        <v>3459</v>
      </c>
      <c r="AD104" s="8" t="s">
        <v>4002</v>
      </c>
      <c r="AE104" s="8" t="s">
        <v>4364</v>
      </c>
      <c r="AF104" s="9">
        <f t="shared" si="24"/>
        <v>17.088000000000001</v>
      </c>
      <c r="AG104" s="9">
        <f t="shared" si="25"/>
        <v>16.959999999999997</v>
      </c>
      <c r="AH104" s="9">
        <f t="shared" si="26"/>
        <v>5.4225033890646222E-2</v>
      </c>
      <c r="AI104" s="9">
        <f t="shared" si="27"/>
        <v>2.9403543004417314E-3</v>
      </c>
      <c r="AJ104" s="9">
        <f t="shared" si="28"/>
        <v>6.9757473577642407E-2</v>
      </c>
      <c r="AK104" s="9">
        <f t="shared" si="29"/>
        <v>4.8661051199354781E-3</v>
      </c>
      <c r="AL104" s="9">
        <f t="shared" si="30"/>
        <v>0.119147767492124</v>
      </c>
      <c r="AM104" s="9">
        <f t="shared" si="31"/>
        <v>1.419619049835724E-2</v>
      </c>
      <c r="AN104" s="9" t="s">
        <v>3459</v>
      </c>
    </row>
    <row r="105" spans="13:40" ht="23">
      <c r="M105" s="9" t="s">
        <v>3563</v>
      </c>
      <c r="N105" s="8" t="s">
        <v>2066</v>
      </c>
      <c r="O105" s="8"/>
      <c r="P105" s="8"/>
      <c r="Q105" s="8"/>
      <c r="R105" s="8"/>
      <c r="S105" s="8"/>
      <c r="T105" s="8"/>
      <c r="U105" s="8"/>
      <c r="V105" s="8"/>
      <c r="W105" s="9" t="s">
        <v>3563</v>
      </c>
      <c r="X105" s="8">
        <v>31.8</v>
      </c>
      <c r="Y105" s="8">
        <v>1.26</v>
      </c>
      <c r="Z105" s="9">
        <v>0.09</v>
      </c>
      <c r="AA105" s="8">
        <v>4.8</v>
      </c>
      <c r="AB105" s="8">
        <v>86740</v>
      </c>
      <c r="AC105" s="22" t="s">
        <v>3563</v>
      </c>
      <c r="AD105" s="8" t="s">
        <v>4002</v>
      </c>
      <c r="AE105" s="8" t="s">
        <v>4364</v>
      </c>
      <c r="AF105" s="9">
        <f t="shared" si="24"/>
        <v>6.048</v>
      </c>
      <c r="AG105" s="9">
        <f t="shared" si="25"/>
        <v>0.72</v>
      </c>
      <c r="AH105" s="9">
        <f t="shared" si="26"/>
        <v>5.4225033890646222E-2</v>
      </c>
      <c r="AI105" s="9">
        <f t="shared" si="27"/>
        <v>2.9403543004417314E-3</v>
      </c>
      <c r="AJ105" s="9">
        <f t="shared" si="28"/>
        <v>2.468944289545771E-2</v>
      </c>
      <c r="AK105" s="9">
        <f t="shared" si="29"/>
        <v>6.0956859048806719E-4</v>
      </c>
      <c r="AL105" s="9">
        <f t="shared" si="30"/>
        <v>5.0581599407033776E-3</v>
      </c>
      <c r="AM105" s="9">
        <f t="shared" si="31"/>
        <v>2.5584981985736396E-5</v>
      </c>
      <c r="AN105" s="9" t="s">
        <v>3563</v>
      </c>
    </row>
    <row r="106" spans="13:40" ht="23">
      <c r="M106" s="9" t="s">
        <v>3260</v>
      </c>
      <c r="N106" s="8" t="s">
        <v>1902</v>
      </c>
      <c r="O106" s="8"/>
      <c r="P106" s="8"/>
      <c r="Q106" s="8"/>
      <c r="R106" s="8"/>
      <c r="S106" s="8"/>
      <c r="T106" s="8"/>
      <c r="U106" s="8"/>
      <c r="V106" s="8"/>
      <c r="W106" s="9" t="s">
        <v>3260</v>
      </c>
      <c r="X106" s="8">
        <v>8.0500000000000007</v>
      </c>
      <c r="Y106" s="8">
        <v>2.5299999999999998</v>
      </c>
      <c r="Z106" s="9">
        <v>1.27</v>
      </c>
      <c r="AA106" s="8">
        <v>4.7</v>
      </c>
      <c r="AB106" s="8">
        <v>49665</v>
      </c>
      <c r="AC106" s="22" t="s">
        <v>3260</v>
      </c>
      <c r="AD106" s="8" t="s">
        <v>4002</v>
      </c>
      <c r="AE106" s="8" t="s">
        <v>4364</v>
      </c>
      <c r="AF106" s="9">
        <f t="shared" si="24"/>
        <v>11.891</v>
      </c>
      <c r="AG106" s="9">
        <f t="shared" si="25"/>
        <v>6.8150000000000004</v>
      </c>
      <c r="AH106" s="9">
        <f t="shared" si="26"/>
        <v>5.3095345684591094E-2</v>
      </c>
      <c r="AI106" s="9">
        <f t="shared" si="27"/>
        <v>2.8191157333662263E-3</v>
      </c>
      <c r="AJ106" s="9">
        <f t="shared" si="28"/>
        <v>4.8542024713936448E-2</v>
      </c>
      <c r="AK106" s="9">
        <f t="shared" si="29"/>
        <v>2.3563281633284167E-3</v>
      </c>
      <c r="AL106" s="9">
        <f t="shared" si="30"/>
        <v>4.7876888883185448E-2</v>
      </c>
      <c r="AM106" s="9">
        <f t="shared" si="31"/>
        <v>2.2921964891328864E-3</v>
      </c>
      <c r="AN106" s="9" t="s">
        <v>3260</v>
      </c>
    </row>
    <row r="107" spans="13:40" ht="23">
      <c r="M107" s="8" t="s">
        <v>4360</v>
      </c>
      <c r="N107" s="8" t="s">
        <v>1902</v>
      </c>
      <c r="O107" s="8"/>
      <c r="P107" s="8" t="s">
        <v>3700</v>
      </c>
      <c r="Q107" s="8"/>
      <c r="R107" s="8"/>
      <c r="S107" s="8"/>
      <c r="T107" s="8"/>
      <c r="U107" s="8"/>
      <c r="V107" s="8"/>
      <c r="W107" s="8" t="s">
        <v>4360</v>
      </c>
      <c r="X107" s="8">
        <v>57.66</v>
      </c>
      <c r="Y107" s="8">
        <v>3.31</v>
      </c>
      <c r="Z107" s="9">
        <v>6.1</v>
      </c>
      <c r="AA107" s="8">
        <v>4.5</v>
      </c>
      <c r="AB107" s="8">
        <v>27838</v>
      </c>
      <c r="AC107" s="21" t="s">
        <v>4360</v>
      </c>
      <c r="AD107" s="8" t="s">
        <v>4165</v>
      </c>
      <c r="AE107" s="8" t="s">
        <v>4364</v>
      </c>
      <c r="AF107" s="9">
        <f t="shared" si="24"/>
        <v>14.895</v>
      </c>
      <c r="AG107" s="9">
        <f t="shared" si="25"/>
        <v>27.0075</v>
      </c>
      <c r="AH107" s="9">
        <f t="shared" si="26"/>
        <v>5.0835969272480838E-2</v>
      </c>
      <c r="AI107" s="9">
        <f t="shared" si="27"/>
        <v>2.5842957718726161E-3</v>
      </c>
      <c r="AJ107" s="9">
        <f t="shared" si="28"/>
        <v>6.0805101178545401E-2</v>
      </c>
      <c r="AK107" s="9">
        <f t="shared" si="29"/>
        <v>3.6972603293331432E-3</v>
      </c>
      <c r="AL107" s="9">
        <f t="shared" si="30"/>
        <v>0.18973368694242568</v>
      </c>
      <c r="AM107" s="9">
        <f t="shared" si="31"/>
        <v>3.5998871960766392E-2</v>
      </c>
      <c r="AN107" s="8" t="s">
        <v>4360</v>
      </c>
    </row>
    <row r="108" spans="13:40" ht="23">
      <c r="M108" s="9" t="s">
        <v>2224</v>
      </c>
      <c r="N108" s="8" t="s">
        <v>150</v>
      </c>
      <c r="O108" s="8"/>
      <c r="P108" s="8"/>
      <c r="Q108" s="8"/>
      <c r="R108" s="8"/>
      <c r="S108" s="8"/>
      <c r="T108" s="8"/>
      <c r="U108" s="8"/>
      <c r="V108" s="8"/>
      <c r="W108" s="9" t="s">
        <v>2224</v>
      </c>
      <c r="X108" s="8">
        <v>31.73</v>
      </c>
      <c r="Y108" s="8">
        <v>4.41</v>
      </c>
      <c r="Z108" s="9">
        <v>3.16</v>
      </c>
      <c r="AA108" s="8">
        <v>4.4000000000000004</v>
      </c>
      <c r="AB108" s="8">
        <v>21761</v>
      </c>
      <c r="AC108" s="22" t="s">
        <v>2224</v>
      </c>
      <c r="AD108" s="8" t="s">
        <v>4002</v>
      </c>
      <c r="AE108" s="8" t="s">
        <v>4364</v>
      </c>
      <c r="AF108" s="9">
        <f t="shared" si="24"/>
        <v>19.404000000000003</v>
      </c>
      <c r="AG108" s="9">
        <f t="shared" si="25"/>
        <v>14.373333333333335</v>
      </c>
      <c r="AH108" s="9">
        <f t="shared" si="26"/>
        <v>4.970628106642571E-2</v>
      </c>
      <c r="AI108" s="9">
        <f t="shared" si="27"/>
        <v>2.4707143774545109E-3</v>
      </c>
      <c r="AJ108" s="9">
        <f t="shared" si="28"/>
        <v>7.9211962622926832E-2</v>
      </c>
      <c r="AK108" s="9">
        <f t="shared" si="29"/>
        <v>6.2745350225759571E-3</v>
      </c>
      <c r="AL108" s="9">
        <f t="shared" si="30"/>
        <v>0.10097585955700449</v>
      </c>
      <c r="AM108" s="9">
        <f t="shared" si="31"/>
        <v>1.0196124213275894E-2</v>
      </c>
      <c r="AN108" s="9" t="s">
        <v>2224</v>
      </c>
    </row>
    <row r="109" spans="13:40" ht="23">
      <c r="M109" s="9" t="s">
        <v>2918</v>
      </c>
      <c r="N109" s="8" t="s">
        <v>1717</v>
      </c>
      <c r="O109" s="8"/>
      <c r="P109" s="8"/>
      <c r="Q109" s="8"/>
      <c r="R109" s="8"/>
      <c r="S109" s="8"/>
      <c r="T109" s="8"/>
      <c r="U109" s="8"/>
      <c r="V109" s="8"/>
      <c r="W109" s="9" t="s">
        <v>2918</v>
      </c>
      <c r="X109" s="8">
        <v>38.880000000000003</v>
      </c>
      <c r="Y109" s="8">
        <v>2.9</v>
      </c>
      <c r="Z109" s="9">
        <v>1.49</v>
      </c>
      <c r="AA109" s="8">
        <v>4.4000000000000004</v>
      </c>
      <c r="AB109" s="8">
        <v>20227</v>
      </c>
      <c r="AC109" s="22" t="s">
        <v>2918</v>
      </c>
      <c r="AD109" s="8" t="s">
        <v>4002</v>
      </c>
      <c r="AE109" s="8" t="s">
        <v>4364</v>
      </c>
      <c r="AF109" s="9">
        <f t="shared" si="24"/>
        <v>12.76</v>
      </c>
      <c r="AG109" s="9">
        <f t="shared" si="25"/>
        <v>7.9933333333333341</v>
      </c>
      <c r="AH109" s="9">
        <f t="shared" si="26"/>
        <v>4.970628106642571E-2</v>
      </c>
      <c r="AI109" s="9">
        <f t="shared" si="27"/>
        <v>2.4707143774545109E-3</v>
      </c>
      <c r="AJ109" s="9">
        <f t="shared" si="28"/>
        <v>5.2089499230496092E-2</v>
      </c>
      <c r="AK109" s="9">
        <f t="shared" si="29"/>
        <v>2.7133159300838528E-3</v>
      </c>
      <c r="AL109" s="9">
        <f t="shared" si="30"/>
        <v>5.6154942304660657E-2</v>
      </c>
      <c r="AM109" s="9">
        <f t="shared" si="31"/>
        <v>3.1533775452397671E-3</v>
      </c>
      <c r="AN109" s="9" t="s">
        <v>2918</v>
      </c>
    </row>
    <row r="110" spans="13:40" ht="23">
      <c r="M110" s="8" t="s">
        <v>2</v>
      </c>
      <c r="N110" s="8" t="s">
        <v>0</v>
      </c>
      <c r="O110" s="8"/>
      <c r="P110" s="8" t="s">
        <v>3691</v>
      </c>
      <c r="Q110" s="8"/>
      <c r="R110" s="8"/>
      <c r="S110" s="8"/>
      <c r="T110" s="8"/>
      <c r="U110" s="8"/>
      <c r="V110" s="8"/>
      <c r="W110" s="8" t="s">
        <v>2</v>
      </c>
      <c r="X110" s="8">
        <v>32.72</v>
      </c>
      <c r="Y110" s="8">
        <v>2.29</v>
      </c>
      <c r="Z110" s="9">
        <v>2.48</v>
      </c>
      <c r="AA110" s="8">
        <v>4.3</v>
      </c>
      <c r="AB110" s="8">
        <v>22409</v>
      </c>
      <c r="AC110" s="21" t="s">
        <v>2</v>
      </c>
      <c r="AD110" s="8" t="s">
        <v>4002</v>
      </c>
      <c r="AE110" s="8" t="s">
        <v>4364</v>
      </c>
      <c r="AF110" s="9">
        <f t="shared" si="24"/>
        <v>9.8469999999999995</v>
      </c>
      <c r="AG110" s="9">
        <f t="shared" si="25"/>
        <v>12.04</v>
      </c>
      <c r="AH110" s="9">
        <f t="shared" si="26"/>
        <v>4.8576592860370575E-2</v>
      </c>
      <c r="AI110" s="9">
        <f t="shared" si="27"/>
        <v>2.3596853739222055E-3</v>
      </c>
      <c r="AJ110" s="9">
        <f t="shared" si="28"/>
        <v>4.0197907439082678E-2</v>
      </c>
      <c r="AK110" s="9">
        <f t="shared" si="29"/>
        <v>1.6158717624810586E-3</v>
      </c>
      <c r="AL110" s="9">
        <f t="shared" si="30"/>
        <v>8.458367456398426E-2</v>
      </c>
      <c r="AM110" s="9">
        <f t="shared" si="31"/>
        <v>7.1543980027459981E-3</v>
      </c>
      <c r="AN110" s="8" t="s">
        <v>2</v>
      </c>
    </row>
    <row r="111" spans="13:40" ht="23">
      <c r="M111" s="9" t="s">
        <v>3006</v>
      </c>
      <c r="N111" s="8" t="s">
        <v>1717</v>
      </c>
      <c r="O111" s="8"/>
      <c r="P111" s="8"/>
      <c r="Q111" s="8"/>
      <c r="R111" s="8"/>
      <c r="S111" s="8"/>
      <c r="T111" s="8"/>
      <c r="U111" s="8"/>
      <c r="V111" s="8"/>
      <c r="W111" s="9" t="s">
        <v>3006</v>
      </c>
      <c r="X111" s="8">
        <v>66.150000000000006</v>
      </c>
      <c r="Y111" s="8">
        <v>2</v>
      </c>
      <c r="Z111" s="9">
        <v>3.02</v>
      </c>
      <c r="AA111" s="8">
        <v>4.2</v>
      </c>
      <c r="AB111" s="8">
        <v>30499</v>
      </c>
      <c r="AC111" s="22" t="s">
        <v>3006</v>
      </c>
      <c r="AD111" s="8" t="s">
        <v>4002</v>
      </c>
      <c r="AE111" s="8" t="s">
        <v>4364</v>
      </c>
      <c r="AF111" s="9">
        <f t="shared" si="24"/>
        <v>8.4</v>
      </c>
      <c r="AG111" s="9">
        <f t="shared" si="25"/>
        <v>12.74</v>
      </c>
      <c r="AH111" s="9">
        <f t="shared" si="26"/>
        <v>4.7446904654315454E-2</v>
      </c>
      <c r="AI111" s="9">
        <f t="shared" si="27"/>
        <v>2.2512087612757015E-3</v>
      </c>
      <c r="AJ111" s="9">
        <f t="shared" si="28"/>
        <v>3.4290892910357931E-2</v>
      </c>
      <c r="AK111" s="9">
        <f t="shared" si="29"/>
        <v>1.1758653365896358E-3</v>
      </c>
      <c r="AL111" s="9">
        <f t="shared" si="30"/>
        <v>8.950133006189033E-2</v>
      </c>
      <c r="AM111" s="9">
        <f t="shared" si="31"/>
        <v>8.0104880828474334E-3</v>
      </c>
      <c r="AN111" s="9" t="s">
        <v>3006</v>
      </c>
    </row>
    <row r="112" spans="13:40" ht="23">
      <c r="M112" s="8" t="s">
        <v>4314</v>
      </c>
      <c r="N112" s="8"/>
      <c r="O112" s="8"/>
      <c r="P112" s="8" t="s">
        <v>3700</v>
      </c>
      <c r="Q112" s="8"/>
      <c r="R112" s="8"/>
      <c r="S112" s="8"/>
      <c r="T112" s="8"/>
      <c r="U112" s="8"/>
      <c r="V112" s="8"/>
      <c r="W112" s="8" t="s">
        <v>4314</v>
      </c>
      <c r="X112" s="8">
        <v>17.329999999999998</v>
      </c>
      <c r="Y112" s="8">
        <v>2.93</v>
      </c>
      <c r="Z112" s="9">
        <v>8.4600000000000009</v>
      </c>
      <c r="AA112" s="8">
        <v>4.0999999999999996</v>
      </c>
      <c r="AB112" s="8">
        <v>21679</v>
      </c>
      <c r="AC112" s="21" t="s">
        <v>4314</v>
      </c>
      <c r="AD112" s="8" t="s">
        <v>4002</v>
      </c>
      <c r="AE112" s="8" t="s">
        <v>4364</v>
      </c>
      <c r="AF112" s="9">
        <f t="shared" si="24"/>
        <v>12.013</v>
      </c>
      <c r="AG112" s="9">
        <f t="shared" si="25"/>
        <v>35.943333333333335</v>
      </c>
      <c r="AH112" s="9">
        <f t="shared" si="26"/>
        <v>4.6317216448260312E-2</v>
      </c>
      <c r="AI112" s="9">
        <f t="shared" si="27"/>
        <v>2.1452845395149955E-3</v>
      </c>
      <c r="AJ112" s="9">
        <f t="shared" si="28"/>
        <v>4.9040059110967836E-2</v>
      </c>
      <c r="AK112" s="9">
        <f t="shared" si="29"/>
        <v>2.4049273976072196E-3</v>
      </c>
      <c r="AL112" s="9">
        <f t="shared" si="30"/>
        <v>0.25250990111390986</v>
      </c>
      <c r="AM112" s="9">
        <f t="shared" si="31"/>
        <v>6.3761250160556532E-2</v>
      </c>
      <c r="AN112" s="8" t="s">
        <v>4314</v>
      </c>
    </row>
    <row r="113" spans="13:40" ht="23">
      <c r="M113" s="9" t="s">
        <v>3178</v>
      </c>
      <c r="N113" s="8" t="s">
        <v>1869</v>
      </c>
      <c r="O113" s="8"/>
      <c r="P113" s="8"/>
      <c r="Q113" s="8"/>
      <c r="R113" s="8"/>
      <c r="S113" s="8"/>
      <c r="T113" s="8"/>
      <c r="U113" s="8"/>
      <c r="V113" s="8"/>
      <c r="W113" s="9" t="s">
        <v>3178</v>
      </c>
      <c r="X113" s="8">
        <v>19.38</v>
      </c>
      <c r="Y113" s="8">
        <v>5.53</v>
      </c>
      <c r="Z113" s="9">
        <v>6.08</v>
      </c>
      <c r="AA113" s="8">
        <v>4.0999999999999996</v>
      </c>
      <c r="AB113" s="8">
        <v>16749</v>
      </c>
      <c r="AC113" s="22" t="s">
        <v>3178</v>
      </c>
      <c r="AD113" s="8" t="s">
        <v>4002</v>
      </c>
      <c r="AE113" s="8" t="s">
        <v>4364</v>
      </c>
      <c r="AF113" s="9">
        <f t="shared" si="24"/>
        <v>22.672999999999998</v>
      </c>
      <c r="AG113" s="9">
        <f t="shared" si="25"/>
        <v>25.146666666666665</v>
      </c>
      <c r="AH113" s="9">
        <f t="shared" si="26"/>
        <v>4.6317216448260312E-2</v>
      </c>
      <c r="AI113" s="9">
        <f t="shared" si="27"/>
        <v>2.1452845395149955E-3</v>
      </c>
      <c r="AJ113" s="9">
        <f t="shared" si="28"/>
        <v>9.2556835113874442E-2</v>
      </c>
      <c r="AK113" s="9">
        <f t="shared" si="29"/>
        <v>8.5667677262969404E-3</v>
      </c>
      <c r="AL113" s="9">
        <f t="shared" si="30"/>
        <v>0.17666091941049206</v>
      </c>
      <c r="AM113" s="9">
        <f t="shared" si="31"/>
        <v>3.1209080446960368E-2</v>
      </c>
      <c r="AN113" s="9" t="s">
        <v>3178</v>
      </c>
    </row>
    <row r="114" spans="13:40" ht="23">
      <c r="M114" s="8" t="s">
        <v>983</v>
      </c>
      <c r="N114" s="8" t="s">
        <v>150</v>
      </c>
      <c r="O114" s="8"/>
      <c r="P114" s="8" t="s">
        <v>3700</v>
      </c>
      <c r="Q114" s="8"/>
      <c r="R114" s="8"/>
      <c r="S114" s="8"/>
      <c r="T114" s="8"/>
      <c r="U114" s="8"/>
      <c r="V114" s="8"/>
      <c r="W114" s="8" t="s">
        <v>983</v>
      </c>
      <c r="X114" s="8">
        <v>31.73</v>
      </c>
      <c r="Y114" s="8">
        <v>2.4500000000000002</v>
      </c>
      <c r="Z114" s="9">
        <v>0.31</v>
      </c>
      <c r="AA114" s="8">
        <v>4.0999999999999996</v>
      </c>
      <c r="AB114" s="8">
        <v>27748</v>
      </c>
      <c r="AC114" s="21" t="s">
        <v>983</v>
      </c>
      <c r="AD114" s="8" t="s">
        <v>4002</v>
      </c>
      <c r="AE114" s="8" t="s">
        <v>4364</v>
      </c>
      <c r="AF114" s="9">
        <f t="shared" si="24"/>
        <v>10.045</v>
      </c>
      <c r="AG114" s="9">
        <f t="shared" si="25"/>
        <v>2.1183333333333332</v>
      </c>
      <c r="AH114" s="9">
        <f t="shared" si="26"/>
        <v>4.6317216448260312E-2</v>
      </c>
      <c r="AI114" s="9">
        <f t="shared" si="27"/>
        <v>2.1452845395149955E-3</v>
      </c>
      <c r="AJ114" s="9">
        <f t="shared" si="28"/>
        <v>4.1006192771969686E-2</v>
      </c>
      <c r="AK114" s="9">
        <f t="shared" si="29"/>
        <v>1.6815078456519389E-3</v>
      </c>
      <c r="AL114" s="9">
        <f t="shared" si="30"/>
        <v>1.4881762232949057E-2</v>
      </c>
      <c r="AM114" s="9">
        <f t="shared" si="31"/>
        <v>2.2146684715802892E-4</v>
      </c>
      <c r="AN114" s="8" t="s">
        <v>983</v>
      </c>
    </row>
    <row r="115" spans="13:40" ht="23">
      <c r="M115" s="9" t="s">
        <v>2426</v>
      </c>
      <c r="N115" s="8" t="s">
        <v>150</v>
      </c>
      <c r="O115" s="8"/>
      <c r="P115" s="8"/>
      <c r="Q115" s="8"/>
      <c r="R115" s="8"/>
      <c r="S115" s="8"/>
      <c r="T115" s="8"/>
      <c r="U115" s="8"/>
      <c r="V115" s="8"/>
      <c r="W115" s="9" t="s">
        <v>2426</v>
      </c>
      <c r="X115" s="8">
        <v>32.840000000000003</v>
      </c>
      <c r="Y115" s="8">
        <v>2.29</v>
      </c>
      <c r="Z115" s="9">
        <v>2.14</v>
      </c>
      <c r="AA115" s="8">
        <v>3.9</v>
      </c>
      <c r="AB115" s="8">
        <v>29862</v>
      </c>
      <c r="AC115" s="22" t="s">
        <v>2426</v>
      </c>
      <c r="AD115" s="8" t="s">
        <v>4002</v>
      </c>
      <c r="AE115" s="8" t="s">
        <v>4364</v>
      </c>
      <c r="AF115" s="9">
        <f t="shared" si="24"/>
        <v>8.9309999999999992</v>
      </c>
      <c r="AG115" s="9">
        <f t="shared" si="25"/>
        <v>8.7100000000000009</v>
      </c>
      <c r="AH115" s="9">
        <f t="shared" si="26"/>
        <v>4.4057840036150056E-2</v>
      </c>
      <c r="AI115" s="9">
        <f t="shared" si="27"/>
        <v>1.9410932686509867E-3</v>
      </c>
      <c r="AJ115" s="9">
        <f t="shared" si="28"/>
        <v>3.6458567212191269E-2</v>
      </c>
      <c r="AK115" s="9">
        <f t="shared" si="29"/>
        <v>1.3292271231658682E-3</v>
      </c>
      <c r="AL115" s="9">
        <f t="shared" si="30"/>
        <v>6.1189684838231145E-2</v>
      </c>
      <c r="AM115" s="9">
        <f t="shared" si="31"/>
        <v>3.7441775306020545E-3</v>
      </c>
      <c r="AN115" s="9" t="s">
        <v>2426</v>
      </c>
    </row>
    <row r="116" spans="13:40" ht="23">
      <c r="M116" s="8" t="s">
        <v>1379</v>
      </c>
      <c r="N116" s="8" t="s">
        <v>150</v>
      </c>
      <c r="O116" s="8"/>
      <c r="P116" s="8"/>
      <c r="Q116" s="8"/>
      <c r="R116" s="8"/>
      <c r="S116" s="8"/>
      <c r="T116" s="8"/>
      <c r="U116" s="8"/>
      <c r="V116" s="8"/>
      <c r="W116" s="8" t="s">
        <v>1379</v>
      </c>
      <c r="X116" s="8">
        <v>34.47</v>
      </c>
      <c r="Y116" s="8">
        <v>3.02</v>
      </c>
      <c r="Z116" s="9">
        <v>2.2000000000000002</v>
      </c>
      <c r="AA116" s="8">
        <v>3.9</v>
      </c>
      <c r="AB116" s="8">
        <v>31351</v>
      </c>
      <c r="AC116" s="21" t="s">
        <v>1379</v>
      </c>
      <c r="AD116" s="8" t="s">
        <v>4002</v>
      </c>
      <c r="AE116" s="8" t="s">
        <v>4364</v>
      </c>
      <c r="AF116" s="9">
        <f t="shared" si="24"/>
        <v>11.778</v>
      </c>
      <c r="AG116" s="9">
        <f t="shared" si="25"/>
        <v>7.8129999999999997</v>
      </c>
      <c r="AH116" s="9">
        <f t="shared" si="26"/>
        <v>4.4057840036150056E-2</v>
      </c>
      <c r="AI116" s="9">
        <f t="shared" si="27"/>
        <v>1.9410932686509867E-3</v>
      </c>
      <c r="AJ116" s="9">
        <f t="shared" si="28"/>
        <v>4.8080730559309011E-2</v>
      </c>
      <c r="AK116" s="9">
        <f t="shared" si="29"/>
        <v>2.3117566511168712E-3</v>
      </c>
      <c r="AL116" s="9">
        <f t="shared" si="30"/>
        <v>5.4888060578771512E-2</v>
      </c>
      <c r="AM116" s="9">
        <f t="shared" si="31"/>
        <v>3.0126991940988912E-3</v>
      </c>
      <c r="AN116" s="8" t="s">
        <v>1379</v>
      </c>
    </row>
    <row r="117" spans="13:40" ht="23">
      <c r="M117" s="8" t="s">
        <v>1858</v>
      </c>
      <c r="N117" s="8" t="s">
        <v>1814</v>
      </c>
      <c r="O117" s="8"/>
      <c r="P117" s="8"/>
      <c r="Q117" s="8"/>
      <c r="R117" s="8"/>
      <c r="S117" s="8"/>
      <c r="T117" s="8"/>
      <c r="U117" s="8"/>
      <c r="V117" s="8"/>
      <c r="W117" s="8" t="s">
        <v>1858</v>
      </c>
      <c r="X117" s="8">
        <v>50.61</v>
      </c>
      <c r="Y117" s="8">
        <v>1.43</v>
      </c>
      <c r="Z117" s="9">
        <v>0.32</v>
      </c>
      <c r="AA117" s="8">
        <v>3.8</v>
      </c>
      <c r="AB117" s="8">
        <v>94220</v>
      </c>
      <c r="AC117" s="21" t="s">
        <v>1858</v>
      </c>
      <c r="AD117" s="8" t="s">
        <v>4002</v>
      </c>
      <c r="AE117" s="8" t="s">
        <v>4364</v>
      </c>
      <c r="AF117" s="9">
        <f t="shared" si="24"/>
        <v>5.4339999999999993</v>
      </c>
      <c r="AG117" s="9">
        <f t="shared" si="25"/>
        <v>2.0266666666666664</v>
      </c>
      <c r="AH117" s="9">
        <f t="shared" si="26"/>
        <v>4.2928151830094928E-2</v>
      </c>
      <c r="AI117" s="9">
        <f t="shared" si="27"/>
        <v>1.8428262195476824E-3</v>
      </c>
      <c r="AJ117" s="9">
        <f t="shared" si="28"/>
        <v>2.2182941913676778E-2</v>
      </c>
      <c r="AK117" s="9">
        <f t="shared" si="29"/>
        <v>4.9208291194555794E-4</v>
      </c>
      <c r="AL117" s="9">
        <f t="shared" si="30"/>
        <v>1.4237783536794692E-2</v>
      </c>
      <c r="AM117" s="9">
        <f t="shared" si="31"/>
        <v>2.0271448004062197E-4</v>
      </c>
      <c r="AN117" s="8" t="s">
        <v>1858</v>
      </c>
    </row>
    <row r="118" spans="13:40" ht="23">
      <c r="M118" s="9" t="s">
        <v>2569</v>
      </c>
      <c r="N118" s="8" t="s">
        <v>150</v>
      </c>
      <c r="O118" s="8"/>
      <c r="P118" s="8" t="s">
        <v>3691</v>
      </c>
      <c r="Q118" s="8"/>
      <c r="R118" s="8"/>
      <c r="S118" s="8"/>
      <c r="T118" s="8"/>
      <c r="U118" s="8"/>
      <c r="V118" s="8"/>
      <c r="W118" s="9" t="s">
        <v>2569</v>
      </c>
      <c r="X118" s="8">
        <v>42.19</v>
      </c>
      <c r="Y118" s="8">
        <v>3.22</v>
      </c>
      <c r="Z118" s="9">
        <v>5.42</v>
      </c>
      <c r="AA118" s="8">
        <v>3.6</v>
      </c>
      <c r="AB118" s="8">
        <v>26285</v>
      </c>
      <c r="AC118" s="22" t="s">
        <v>2569</v>
      </c>
      <c r="AD118" s="8" t="s">
        <v>4165</v>
      </c>
      <c r="AE118" s="8" t="s">
        <v>4364</v>
      </c>
      <c r="AF118" s="9">
        <f t="shared" si="24"/>
        <v>11.592000000000001</v>
      </c>
      <c r="AG118" s="9">
        <f t="shared" si="25"/>
        <v>20.52</v>
      </c>
      <c r="AH118" s="9">
        <f t="shared" si="26"/>
        <v>4.0668775417984672E-2</v>
      </c>
      <c r="AI118" s="9">
        <f t="shared" si="27"/>
        <v>1.6539492939984743E-3</v>
      </c>
      <c r="AJ118" s="9">
        <f t="shared" si="28"/>
        <v>4.7321432216293938E-2</v>
      </c>
      <c r="AK118" s="9">
        <f t="shared" si="29"/>
        <v>2.2393179470013018E-3</v>
      </c>
      <c r="AL118" s="9">
        <f t="shared" si="30"/>
        <v>0.14415755831004629</v>
      </c>
      <c r="AM118" s="9">
        <f t="shared" si="31"/>
        <v>2.0781401617914395E-2</v>
      </c>
      <c r="AN118" s="9" t="s">
        <v>2569</v>
      </c>
    </row>
    <row r="119" spans="13:40" ht="23">
      <c r="M119" s="8" t="s">
        <v>1825</v>
      </c>
      <c r="N119" s="8" t="s">
        <v>1814</v>
      </c>
      <c r="O119" s="8"/>
      <c r="P119" s="8"/>
      <c r="Q119" s="8"/>
      <c r="R119" s="8"/>
      <c r="S119" s="8"/>
      <c r="T119" s="8"/>
      <c r="U119" s="8"/>
      <c r="V119" s="8"/>
      <c r="W119" s="8" t="s">
        <v>1825</v>
      </c>
      <c r="X119" s="8">
        <v>51.7</v>
      </c>
      <c r="Y119" s="8">
        <v>1.56</v>
      </c>
      <c r="Z119" s="9">
        <v>0.12</v>
      </c>
      <c r="AA119" s="8">
        <v>3.5</v>
      </c>
      <c r="AB119" s="8">
        <v>46002</v>
      </c>
      <c r="AC119" s="21" t="s">
        <v>1825</v>
      </c>
      <c r="AD119" s="8" t="s">
        <v>4002</v>
      </c>
      <c r="AE119" s="8" t="s">
        <v>4364</v>
      </c>
      <c r="AF119" s="9">
        <f t="shared" si="24"/>
        <v>5.46</v>
      </c>
      <c r="AG119" s="9">
        <f t="shared" si="25"/>
        <v>0.70000000000000007</v>
      </c>
      <c r="AH119" s="9">
        <f t="shared" si="26"/>
        <v>3.9539087211929544E-2</v>
      </c>
      <c r="AI119" s="9">
        <f t="shared" si="27"/>
        <v>1.5633394175525704E-3</v>
      </c>
      <c r="AJ119" s="9">
        <f t="shared" si="28"/>
        <v>2.2289080391732653E-2</v>
      </c>
      <c r="AK119" s="9">
        <f t="shared" si="29"/>
        <v>4.9680310470912102E-4</v>
      </c>
      <c r="AL119" s="9">
        <f t="shared" si="30"/>
        <v>4.9176554979060627E-3</v>
      </c>
      <c r="AM119" s="9">
        <f t="shared" si="31"/>
        <v>2.4183335596085727E-5</v>
      </c>
      <c r="AN119" s="8" t="s">
        <v>1825</v>
      </c>
    </row>
    <row r="120" spans="13:40" ht="23">
      <c r="M120" s="9" t="s">
        <v>3317</v>
      </c>
      <c r="N120" s="8" t="s">
        <v>1939</v>
      </c>
      <c r="O120" s="8"/>
      <c r="P120" s="8" t="s">
        <v>3691</v>
      </c>
      <c r="Q120" s="8"/>
      <c r="R120" s="8"/>
      <c r="S120" s="8"/>
      <c r="T120" s="8"/>
      <c r="U120" s="8"/>
      <c r="V120" s="8"/>
      <c r="W120" s="9" t="s">
        <v>3317</v>
      </c>
      <c r="X120" s="8">
        <v>58.94</v>
      </c>
      <c r="Y120" s="8">
        <v>2.1800000000000002</v>
      </c>
      <c r="Z120" s="9">
        <v>1.58</v>
      </c>
      <c r="AA120" s="8">
        <v>3.4</v>
      </c>
      <c r="AB120" s="8">
        <v>33262</v>
      </c>
      <c r="AC120" s="22" t="s">
        <v>3317</v>
      </c>
      <c r="AD120" s="8" t="s">
        <v>4002</v>
      </c>
      <c r="AE120" s="8" t="s">
        <v>4364</v>
      </c>
      <c r="AF120" s="9">
        <f t="shared" si="24"/>
        <v>7.4119999999999999</v>
      </c>
      <c r="AG120" s="9">
        <f t="shared" si="25"/>
        <v>6.6866666666666665</v>
      </c>
      <c r="AH120" s="9">
        <f t="shared" si="26"/>
        <v>3.8409399005874409E-2</v>
      </c>
      <c r="AI120" s="9">
        <f t="shared" si="27"/>
        <v>1.475281931992466E-3</v>
      </c>
      <c r="AJ120" s="9">
        <f t="shared" si="28"/>
        <v>3.0257630744234876E-2</v>
      </c>
      <c r="AK120" s="9">
        <f t="shared" si="29"/>
        <v>9.1552421825446758E-4</v>
      </c>
      <c r="AL120" s="9">
        <f t="shared" si="30"/>
        <v>4.6975318708569337E-2</v>
      </c>
      <c r="AM120" s="9">
        <f t="shared" si="31"/>
        <v>2.2066805677716642E-3</v>
      </c>
      <c r="AN120" s="9" t="s">
        <v>3317</v>
      </c>
    </row>
    <row r="121" spans="13:40" ht="23">
      <c r="M121" s="8" t="s">
        <v>2035</v>
      </c>
      <c r="N121" s="8" t="s">
        <v>2032</v>
      </c>
      <c r="O121" s="8"/>
      <c r="P121" s="8" t="s">
        <v>3700</v>
      </c>
      <c r="Q121" s="8"/>
      <c r="R121" s="8"/>
      <c r="S121" s="8"/>
      <c r="T121" s="8"/>
      <c r="U121" s="8"/>
      <c r="V121" s="8"/>
      <c r="W121" s="8" t="s">
        <v>2035</v>
      </c>
      <c r="X121" s="8">
        <v>43.07</v>
      </c>
      <c r="Y121" s="8">
        <v>3.55</v>
      </c>
      <c r="Z121" s="9">
        <v>5.09</v>
      </c>
      <c r="AA121" s="8">
        <v>3.3</v>
      </c>
      <c r="AB121" s="8">
        <v>33419</v>
      </c>
      <c r="AC121" s="21" t="s">
        <v>2035</v>
      </c>
      <c r="AD121" s="8" t="s">
        <v>4002</v>
      </c>
      <c r="AE121" s="8" t="s">
        <v>4364</v>
      </c>
      <c r="AF121" s="9">
        <f t="shared" si="24"/>
        <v>11.714999999999998</v>
      </c>
      <c r="AG121" s="9">
        <f t="shared" si="25"/>
        <v>16.995000000000001</v>
      </c>
      <c r="AH121" s="9">
        <f t="shared" si="26"/>
        <v>3.7279710799819274E-2</v>
      </c>
      <c r="AI121" s="9">
        <f t="shared" si="27"/>
        <v>1.3897768373181618E-3</v>
      </c>
      <c r="AJ121" s="9">
        <f t="shared" si="28"/>
        <v>4.7823548862481316E-2</v>
      </c>
      <c r="AK121" s="9">
        <f t="shared" si="29"/>
        <v>2.2870918258021378E-3</v>
      </c>
      <c r="AL121" s="9">
        <f t="shared" si="30"/>
        <v>0.11939365026701933</v>
      </c>
      <c r="AM121" s="9">
        <f t="shared" si="31"/>
        <v>1.4254843724083324E-2</v>
      </c>
      <c r="AN121" s="8" t="s">
        <v>2035</v>
      </c>
    </row>
    <row r="122" spans="13:40" ht="23">
      <c r="M122" s="8" t="s">
        <v>1810</v>
      </c>
      <c r="N122" s="8" t="s">
        <v>1717</v>
      </c>
      <c r="O122" s="8"/>
      <c r="P122" s="8"/>
      <c r="Q122" s="8"/>
      <c r="R122" s="8"/>
      <c r="S122" s="8"/>
      <c r="T122" s="8"/>
      <c r="U122" s="8"/>
      <c r="V122" s="8"/>
      <c r="W122" s="8" t="s">
        <v>1810</v>
      </c>
      <c r="X122" s="8">
        <v>5.97</v>
      </c>
      <c r="Y122" s="8">
        <v>2.04</v>
      </c>
      <c r="Z122" s="9">
        <v>0.09</v>
      </c>
      <c r="AA122" s="8">
        <v>3.3</v>
      </c>
      <c r="AB122" s="8"/>
      <c r="AC122" s="21" t="s">
        <v>1810</v>
      </c>
      <c r="AD122" s="8" t="s">
        <v>4002</v>
      </c>
      <c r="AE122" s="8" t="s">
        <v>4364</v>
      </c>
      <c r="AF122" s="9">
        <f t="shared" si="24"/>
        <v>6.7319999999999993</v>
      </c>
      <c r="AG122" s="9">
        <f t="shared" si="25"/>
        <v>0.49499999999999994</v>
      </c>
      <c r="AH122" s="9">
        <f t="shared" si="26"/>
        <v>3.7279710799819274E-2</v>
      </c>
      <c r="AI122" s="9">
        <f t="shared" si="27"/>
        <v>1.3897768373181618E-3</v>
      </c>
      <c r="AJ122" s="9">
        <f t="shared" si="28"/>
        <v>2.7481701318158278E-2</v>
      </c>
      <c r="AK122" s="9">
        <f t="shared" si="29"/>
        <v>7.5524390734046248E-4</v>
      </c>
      <c r="AL122" s="9">
        <f t="shared" si="30"/>
        <v>3.4774849592335722E-3</v>
      </c>
      <c r="AM122" s="9">
        <f t="shared" si="31"/>
        <v>1.209290164169572E-5</v>
      </c>
      <c r="AN122" s="8" t="s">
        <v>1810</v>
      </c>
    </row>
    <row r="123" spans="13:40" ht="23">
      <c r="M123" s="9" t="s">
        <v>3148</v>
      </c>
      <c r="N123" s="8" t="s">
        <v>1869</v>
      </c>
      <c r="O123" s="8"/>
      <c r="P123" s="8" t="s">
        <v>3691</v>
      </c>
      <c r="Q123" s="8"/>
      <c r="R123" s="8"/>
      <c r="S123" s="8"/>
      <c r="T123" s="8"/>
      <c r="U123" s="8"/>
      <c r="V123" s="8"/>
      <c r="W123" s="9" t="s">
        <v>3148</v>
      </c>
      <c r="X123" s="8">
        <v>17.52</v>
      </c>
      <c r="Y123" s="8">
        <v>2.5099999999999998</v>
      </c>
      <c r="Z123" s="9">
        <v>1.31</v>
      </c>
      <c r="AA123" s="8">
        <v>3.2</v>
      </c>
      <c r="AB123" s="8">
        <v>33424</v>
      </c>
      <c r="AC123" s="22" t="s">
        <v>3148</v>
      </c>
      <c r="AD123" s="8" t="s">
        <v>4002</v>
      </c>
      <c r="AE123" s="8" t="s">
        <v>4364</v>
      </c>
      <c r="AF123" s="9">
        <f t="shared" si="24"/>
        <v>8.032</v>
      </c>
      <c r="AG123" s="9">
        <f t="shared" si="25"/>
        <v>4.8533333333333335</v>
      </c>
      <c r="AH123" s="9">
        <f t="shared" si="26"/>
        <v>3.6150022593764153E-2</v>
      </c>
      <c r="AI123" s="9">
        <f t="shared" si="27"/>
        <v>1.3068241335296587E-3</v>
      </c>
      <c r="AJ123" s="9">
        <f t="shared" si="28"/>
        <v>3.2788625220951773E-2</v>
      </c>
      <c r="AK123" s="9">
        <f t="shared" si="29"/>
        <v>1.0750939438800347E-3</v>
      </c>
      <c r="AL123" s="9">
        <f t="shared" si="30"/>
        <v>3.4095744785482031E-2</v>
      </c>
      <c r="AM123" s="9">
        <f t="shared" si="31"/>
        <v>1.1625198124767251E-3</v>
      </c>
      <c r="AN123" s="9" t="s">
        <v>3148</v>
      </c>
    </row>
    <row r="124" spans="13:40" ht="23">
      <c r="M124" s="8" t="s">
        <v>2053</v>
      </c>
      <c r="N124" s="8" t="s">
        <v>2041</v>
      </c>
      <c r="O124" s="8"/>
      <c r="P124" s="8"/>
      <c r="Q124" s="8"/>
      <c r="R124" s="8"/>
      <c r="S124" s="8"/>
      <c r="T124" s="8"/>
      <c r="U124" s="8"/>
      <c r="V124" s="8"/>
      <c r="W124" s="8" t="s">
        <v>2053</v>
      </c>
      <c r="X124" s="8">
        <v>18.3</v>
      </c>
      <c r="Y124" s="8">
        <v>2.88</v>
      </c>
      <c r="Z124" s="9">
        <v>1.33</v>
      </c>
      <c r="AA124" s="8">
        <v>3.1</v>
      </c>
      <c r="AB124" s="8">
        <v>31396</v>
      </c>
      <c r="AC124" s="21" t="s">
        <v>2053</v>
      </c>
      <c r="AD124" s="8" t="s">
        <v>4002</v>
      </c>
      <c r="AE124" s="8" t="s">
        <v>4364</v>
      </c>
      <c r="AF124" s="9">
        <f t="shared" si="24"/>
        <v>8.927999999999999</v>
      </c>
      <c r="AG124" s="9">
        <f t="shared" si="25"/>
        <v>4.8050000000000006</v>
      </c>
      <c r="AH124" s="9">
        <f t="shared" si="26"/>
        <v>3.5020334387709018E-2</v>
      </c>
      <c r="AI124" s="9">
        <f t="shared" si="27"/>
        <v>1.2264238206269548E-3</v>
      </c>
      <c r="AJ124" s="9">
        <f t="shared" si="28"/>
        <v>3.6446320464723278E-2</v>
      </c>
      <c r="AK124" s="9">
        <f t="shared" si="29"/>
        <v>1.3283342754173068E-3</v>
      </c>
      <c r="AL124" s="9">
        <f t="shared" si="30"/>
        <v>3.3756192382055183E-2</v>
      </c>
      <c r="AM124" s="9">
        <f t="shared" si="31"/>
        <v>1.1394805241343204E-3</v>
      </c>
      <c r="AN124" s="8" t="s">
        <v>2053</v>
      </c>
    </row>
    <row r="125" spans="13:40" ht="23">
      <c r="M125" s="8" t="s">
        <v>1621</v>
      </c>
      <c r="N125" s="8" t="s">
        <v>1614</v>
      </c>
      <c r="O125" s="8"/>
      <c r="P125" s="8"/>
      <c r="Q125" s="8"/>
      <c r="R125" s="8"/>
      <c r="S125" s="8"/>
      <c r="T125" s="8"/>
      <c r="U125" s="8"/>
      <c r="V125" s="8"/>
      <c r="W125" s="8" t="s">
        <v>1621</v>
      </c>
      <c r="X125" s="8">
        <v>19.079999999999998</v>
      </c>
      <c r="Y125" s="8">
        <v>2.37</v>
      </c>
      <c r="Z125" s="9">
        <v>1.28</v>
      </c>
      <c r="AA125" s="8">
        <v>3</v>
      </c>
      <c r="AB125" s="8">
        <v>48732</v>
      </c>
      <c r="AC125" s="21" t="s">
        <v>1621</v>
      </c>
      <c r="AD125" s="8" t="s">
        <v>4002</v>
      </c>
      <c r="AE125" s="8" t="s">
        <v>4364</v>
      </c>
      <c r="AF125" s="9">
        <f t="shared" si="24"/>
        <v>7.11</v>
      </c>
      <c r="AG125" s="9">
        <f t="shared" si="25"/>
        <v>4.4000000000000004</v>
      </c>
      <c r="AH125" s="9">
        <f t="shared" si="26"/>
        <v>3.3890646181653897E-2</v>
      </c>
      <c r="AI125" s="9">
        <f t="shared" si="27"/>
        <v>1.1485758986100518E-3</v>
      </c>
      <c r="AJ125" s="9">
        <f t="shared" si="28"/>
        <v>2.9024791499124389E-2</v>
      </c>
      <c r="AK125" s="9">
        <f t="shared" si="29"/>
        <v>8.4243852156764339E-4</v>
      </c>
      <c r="AL125" s="9">
        <f t="shared" si="30"/>
        <v>3.0910977415409532E-2</v>
      </c>
      <c r="AM125" s="9">
        <f t="shared" si="31"/>
        <v>9.5548852477595815E-4</v>
      </c>
      <c r="AN125" s="8" t="s">
        <v>1621</v>
      </c>
    </row>
    <row r="126" spans="13:40" ht="23">
      <c r="M126" s="9" t="s">
        <v>2932</v>
      </c>
      <c r="N126" s="8" t="s">
        <v>1717</v>
      </c>
      <c r="O126" s="8"/>
      <c r="P126" s="8"/>
      <c r="Q126" s="8"/>
      <c r="R126" s="8"/>
      <c r="S126" s="8"/>
      <c r="T126" s="8"/>
      <c r="U126" s="8"/>
      <c r="V126" s="8"/>
      <c r="W126" s="9" t="s">
        <v>2932</v>
      </c>
      <c r="X126" s="8">
        <v>67.680000000000007</v>
      </c>
      <c r="Y126" s="8">
        <v>1.46</v>
      </c>
      <c r="Z126" s="9">
        <v>0.3</v>
      </c>
      <c r="AA126" s="8">
        <v>3</v>
      </c>
      <c r="AB126" s="8">
        <v>36590</v>
      </c>
      <c r="AC126" s="22" t="s">
        <v>2932</v>
      </c>
      <c r="AD126" s="8" t="s">
        <v>4002</v>
      </c>
      <c r="AE126" s="8" t="s">
        <v>4364</v>
      </c>
      <c r="AF126" s="9">
        <f t="shared" si="24"/>
        <v>4.38</v>
      </c>
      <c r="AG126" s="9">
        <f t="shared" si="25"/>
        <v>1.4999999999999999E-2</v>
      </c>
      <c r="AH126" s="9">
        <f t="shared" si="26"/>
        <v>3.3890646181653897E-2</v>
      </c>
      <c r="AI126" s="9">
        <f t="shared" si="27"/>
        <v>1.1485758986100518E-3</v>
      </c>
      <c r="AJ126" s="9">
        <f t="shared" si="28"/>
        <v>1.7880251303258061E-2</v>
      </c>
      <c r="AK126" s="9">
        <f t="shared" si="29"/>
        <v>3.1970338666766161E-4</v>
      </c>
      <c r="AL126" s="9">
        <f t="shared" si="30"/>
        <v>1.0537833209798704E-4</v>
      </c>
      <c r="AM126" s="9">
        <f t="shared" si="31"/>
        <v>1.1104592875753646E-8</v>
      </c>
      <c r="AN126" s="9" t="s">
        <v>2932</v>
      </c>
    </row>
    <row r="127" spans="13:40" ht="23">
      <c r="M127" s="9" t="s">
        <v>2977</v>
      </c>
      <c r="N127" s="8" t="s">
        <v>1717</v>
      </c>
      <c r="O127" s="8"/>
      <c r="P127" s="8"/>
      <c r="Q127" s="8"/>
      <c r="R127" s="8"/>
      <c r="S127" s="8"/>
      <c r="T127" s="8"/>
      <c r="U127" s="8"/>
      <c r="V127" s="8"/>
      <c r="W127" s="9" t="s">
        <v>2977</v>
      </c>
      <c r="X127" s="8">
        <v>43.82</v>
      </c>
      <c r="Y127" s="8">
        <v>1.73</v>
      </c>
      <c r="Z127" s="9">
        <v>2</v>
      </c>
      <c r="AA127" s="8">
        <v>2.9</v>
      </c>
      <c r="AB127" s="8"/>
      <c r="AC127" s="22" t="s">
        <v>2977</v>
      </c>
      <c r="AD127" s="8" t="s">
        <v>4002</v>
      </c>
      <c r="AE127" s="8" t="s">
        <v>4364</v>
      </c>
      <c r="AF127" s="9">
        <f t="shared" si="24"/>
        <v>5.0169999999999995</v>
      </c>
      <c r="AG127" s="9">
        <f t="shared" si="25"/>
        <v>5.8966666666666665</v>
      </c>
      <c r="AH127" s="9">
        <f t="shared" si="26"/>
        <v>3.2760957975598762E-2</v>
      </c>
      <c r="AI127" s="9">
        <f t="shared" si="27"/>
        <v>1.0732803674789481E-3</v>
      </c>
      <c r="AJ127" s="9">
        <f t="shared" si="28"/>
        <v>2.0480644015626871E-2</v>
      </c>
      <c r="AK127" s="9">
        <f t="shared" si="29"/>
        <v>4.1945677929483273E-4</v>
      </c>
      <c r="AL127" s="9">
        <f t="shared" si="30"/>
        <v>4.1425393218075347E-2</v>
      </c>
      <c r="AM127" s="9">
        <f t="shared" si="31"/>
        <v>1.7160632032721631E-3</v>
      </c>
      <c r="AN127" s="9" t="s">
        <v>2977</v>
      </c>
    </row>
    <row r="128" spans="13:40" ht="23">
      <c r="M128" s="9" t="s">
        <v>2307</v>
      </c>
      <c r="N128" s="8" t="s">
        <v>150</v>
      </c>
      <c r="O128" s="8"/>
      <c r="P128" s="8" t="s">
        <v>3693</v>
      </c>
      <c r="Q128" s="8"/>
      <c r="R128" s="8"/>
      <c r="S128" s="8"/>
      <c r="T128" s="8"/>
      <c r="U128" s="8"/>
      <c r="V128" s="8"/>
      <c r="W128" s="9" t="s">
        <v>2307</v>
      </c>
      <c r="X128" s="8">
        <v>30.71</v>
      </c>
      <c r="Y128" s="8">
        <v>2.58</v>
      </c>
      <c r="Z128" s="9">
        <v>2.4700000000000002</v>
      </c>
      <c r="AA128" s="8">
        <v>2.8</v>
      </c>
      <c r="AB128" s="8">
        <v>33784</v>
      </c>
      <c r="AC128" s="22" t="s">
        <v>2307</v>
      </c>
      <c r="AD128" s="8" t="s">
        <v>4002</v>
      </c>
      <c r="AE128" s="8" t="s">
        <v>4364</v>
      </c>
      <c r="AF128" s="9">
        <f t="shared" si="24"/>
        <v>7.2239999999999993</v>
      </c>
      <c r="AG128" s="9">
        <f t="shared" si="25"/>
        <v>7.7933333333333321</v>
      </c>
      <c r="AH128" s="9">
        <f t="shared" si="26"/>
        <v>3.1631269769543634E-2</v>
      </c>
      <c r="AI128" s="9">
        <f t="shared" si="27"/>
        <v>1.000537227233645E-3</v>
      </c>
      <c r="AJ128" s="9">
        <f t="shared" si="28"/>
        <v>2.9490167902907816E-2</v>
      </c>
      <c r="AK128" s="9">
        <f t="shared" si="29"/>
        <v>8.6967000294169432E-4</v>
      </c>
      <c r="AL128" s="9">
        <f t="shared" si="30"/>
        <v>5.4749897876687485E-2</v>
      </c>
      <c r="AM128" s="9">
        <f t="shared" si="31"/>
        <v>2.9975513175077087E-3</v>
      </c>
      <c r="AN128" s="9" t="s">
        <v>2307</v>
      </c>
    </row>
    <row r="129" spans="13:40" ht="23">
      <c r="M129" s="9" t="s">
        <v>2700</v>
      </c>
      <c r="N129" s="8" t="s">
        <v>1614</v>
      </c>
      <c r="O129" s="8"/>
      <c r="P129" s="8"/>
      <c r="Q129" s="8"/>
      <c r="R129" s="8"/>
      <c r="S129" s="8"/>
      <c r="T129" s="8"/>
      <c r="U129" s="8"/>
      <c r="V129" s="8"/>
      <c r="W129" s="9" t="s">
        <v>2700</v>
      </c>
      <c r="X129" s="8">
        <v>64.58</v>
      </c>
      <c r="Y129" s="8">
        <v>1.79</v>
      </c>
      <c r="Z129" s="9">
        <v>0.53</v>
      </c>
      <c r="AA129" s="8">
        <v>2.8</v>
      </c>
      <c r="AB129" s="8">
        <v>41814</v>
      </c>
      <c r="AC129" s="22" t="s">
        <v>2700</v>
      </c>
      <c r="AD129" s="8" t="s">
        <v>4002</v>
      </c>
      <c r="AE129" s="8" t="s">
        <v>4364</v>
      </c>
      <c r="AF129" s="9">
        <f t="shared" si="24"/>
        <v>5.0119999999999996</v>
      </c>
      <c r="AG129" s="9">
        <f t="shared" si="25"/>
        <v>2.4733333333333332</v>
      </c>
      <c r="AH129" s="9">
        <f t="shared" si="26"/>
        <v>3.1631269769543634E-2</v>
      </c>
      <c r="AI129" s="9">
        <f t="shared" si="27"/>
        <v>1.000537227233645E-3</v>
      </c>
      <c r="AJ129" s="9">
        <f t="shared" si="28"/>
        <v>2.0460232769846893E-2</v>
      </c>
      <c r="AK129" s="9">
        <f t="shared" si="29"/>
        <v>4.1862112499631667E-4</v>
      </c>
      <c r="AL129" s="9">
        <f t="shared" si="30"/>
        <v>1.7375716092601419E-2</v>
      </c>
      <c r="AM129" s="9">
        <f t="shared" si="31"/>
        <v>3.0191550973068793E-4</v>
      </c>
      <c r="AN129" s="9" t="s">
        <v>2700</v>
      </c>
    </row>
    <row r="130" spans="13:40" ht="23">
      <c r="M130" s="9" t="s">
        <v>3125</v>
      </c>
      <c r="N130" s="8" t="s">
        <v>1862</v>
      </c>
      <c r="O130" s="8"/>
      <c r="P130" s="8" t="s">
        <v>3696</v>
      </c>
      <c r="Q130" s="8"/>
      <c r="R130" s="8"/>
      <c r="S130" s="8"/>
      <c r="T130" s="8"/>
      <c r="U130" s="8"/>
      <c r="V130" s="8"/>
      <c r="W130" s="9" t="s">
        <v>3125</v>
      </c>
      <c r="X130" s="8">
        <v>79.13</v>
      </c>
      <c r="Y130" s="8">
        <v>1.21</v>
      </c>
      <c r="Z130" s="9">
        <v>0.31</v>
      </c>
      <c r="AA130" s="8">
        <v>2.8</v>
      </c>
      <c r="AB130" s="8">
        <v>44174</v>
      </c>
      <c r="AC130" s="22" t="s">
        <v>3125</v>
      </c>
      <c r="AD130" s="8" t="s">
        <v>4002</v>
      </c>
      <c r="AE130" s="8" t="s">
        <v>4364</v>
      </c>
      <c r="AF130" s="9">
        <f t="shared" ref="AF130:AF157" si="32">(AA130*Y130)</f>
        <v>3.3879999999999999</v>
      </c>
      <c r="AG130" s="9">
        <f t="shared" ref="AG130:AG157" si="33">((((RIGHT(Z130,2))/60)+(LEFT(Z130,2)))*AA130)</f>
        <v>1.4466666666666668</v>
      </c>
      <c r="AH130" s="9">
        <f t="shared" ref="AH130:AH157" si="34">(AA130/$AA$158)*100</f>
        <v>3.1631269769543634E-2</v>
      </c>
      <c r="AI130" s="9">
        <f t="shared" ref="AI130:AI157" si="35">(AH130*AH130)</f>
        <v>1.000537227233645E-3</v>
      </c>
      <c r="AJ130" s="9">
        <f t="shared" ref="AJ130:AJ157" si="36">(AF130/$AF$158)*100</f>
        <v>1.383066014051103E-2</v>
      </c>
      <c r="AK130" s="9">
        <f t="shared" ref="AK130:AK157" si="37">(AJ130*AJ130)</f>
        <v>1.9128715992232058E-4</v>
      </c>
      <c r="AL130" s="9">
        <f t="shared" ref="AL130:AL157" si="38">(AG130/$AG$158)*100</f>
        <v>1.0163154695672529E-2</v>
      </c>
      <c r="AM130" s="9">
        <f t="shared" ref="AM130:AM157" si="39">(AL130*AL130)</f>
        <v>1.0328971336817057E-4</v>
      </c>
      <c r="AN130" s="9" t="s">
        <v>3125</v>
      </c>
    </row>
    <row r="131" spans="13:40" ht="23">
      <c r="M131" s="9" t="s">
        <v>2520</v>
      </c>
      <c r="N131" s="8" t="s">
        <v>150</v>
      </c>
      <c r="O131" s="8"/>
      <c r="P131" s="8" t="s">
        <v>3693</v>
      </c>
      <c r="Q131" s="8"/>
      <c r="R131" s="8"/>
      <c r="S131" s="8"/>
      <c r="T131" s="8"/>
      <c r="U131" s="8"/>
      <c r="V131" s="8"/>
      <c r="W131" s="9" t="s">
        <v>2520</v>
      </c>
      <c r="X131" s="8">
        <v>23.13</v>
      </c>
      <c r="Y131" s="8">
        <v>4.0599999999999996</v>
      </c>
      <c r="Z131" s="9">
        <v>4.33</v>
      </c>
      <c r="AA131" s="8">
        <v>2.6</v>
      </c>
      <c r="AB131" s="8">
        <v>30163</v>
      </c>
      <c r="AC131" s="22" t="s">
        <v>2520</v>
      </c>
      <c r="AD131" s="8" t="s">
        <v>4002</v>
      </c>
      <c r="AE131" s="8" t="s">
        <v>4364</v>
      </c>
      <c r="AF131" s="9">
        <f t="shared" si="32"/>
        <v>10.555999999999999</v>
      </c>
      <c r="AG131" s="9">
        <f t="shared" si="33"/>
        <v>11.83</v>
      </c>
      <c r="AH131" s="9">
        <f t="shared" si="34"/>
        <v>2.9371893357433371E-2</v>
      </c>
      <c r="AI131" s="9">
        <f t="shared" si="35"/>
        <v>8.6270811940043855E-4</v>
      </c>
      <c r="AJ131" s="9">
        <f t="shared" si="36"/>
        <v>4.3092222090683127E-2</v>
      </c>
      <c r="AK131" s="9">
        <f t="shared" si="37"/>
        <v>1.856939604712759E-3</v>
      </c>
      <c r="AL131" s="9">
        <f t="shared" si="38"/>
        <v>8.3108377914612452E-2</v>
      </c>
      <c r="AM131" s="9">
        <f t="shared" si="39"/>
        <v>6.9070024795980425E-3</v>
      </c>
      <c r="AN131" s="9" t="s">
        <v>2520</v>
      </c>
    </row>
    <row r="132" spans="13:40" ht="23">
      <c r="M132" s="8" t="s">
        <v>116</v>
      </c>
      <c r="N132" s="8" t="s">
        <v>125</v>
      </c>
      <c r="O132" s="8"/>
      <c r="P132" s="8"/>
      <c r="Q132" s="8"/>
      <c r="R132" s="8"/>
      <c r="S132" s="8"/>
      <c r="T132" s="8"/>
      <c r="U132" s="8"/>
      <c r="V132" s="8"/>
      <c r="W132" s="8" t="s">
        <v>116</v>
      </c>
      <c r="X132" s="8">
        <v>34.39</v>
      </c>
      <c r="Y132" s="8">
        <v>2.1800000000000002</v>
      </c>
      <c r="Z132" s="9">
        <v>1.42</v>
      </c>
      <c r="AA132" s="8">
        <v>2.6</v>
      </c>
      <c r="AB132" s="8">
        <v>38756</v>
      </c>
      <c r="AC132" s="21" t="s">
        <v>116</v>
      </c>
      <c r="AD132" s="8" t="s">
        <v>4002</v>
      </c>
      <c r="AE132" s="8" t="s">
        <v>4364</v>
      </c>
      <c r="AF132" s="9">
        <f t="shared" si="32"/>
        <v>5.668000000000001</v>
      </c>
      <c r="AG132" s="9">
        <f t="shared" si="33"/>
        <v>4.42</v>
      </c>
      <c r="AH132" s="9">
        <f t="shared" si="34"/>
        <v>2.9371893357433371E-2</v>
      </c>
      <c r="AI132" s="9">
        <f t="shared" si="35"/>
        <v>8.6270811940043855E-4</v>
      </c>
      <c r="AJ132" s="9">
        <f t="shared" si="36"/>
        <v>2.3138188216179616E-2</v>
      </c>
      <c r="AK132" s="9">
        <f t="shared" si="37"/>
        <v>5.3537575392735321E-4</v>
      </c>
      <c r="AL132" s="9">
        <f t="shared" si="38"/>
        <v>3.1051481858206845E-2</v>
      </c>
      <c r="AM132" s="9">
        <f t="shared" si="39"/>
        <v>9.6419452559054876E-4</v>
      </c>
      <c r="AN132" s="8" t="s">
        <v>116</v>
      </c>
    </row>
    <row r="133" spans="13:40" ht="23">
      <c r="M133" s="8" t="s">
        <v>1865</v>
      </c>
      <c r="N133" s="8" t="s">
        <v>1862</v>
      </c>
      <c r="O133" s="8"/>
      <c r="P133" s="8"/>
      <c r="Q133" s="8"/>
      <c r="R133" s="8"/>
      <c r="S133" s="8"/>
      <c r="T133" s="8"/>
      <c r="U133" s="8"/>
      <c r="V133" s="8"/>
      <c r="W133" s="8" t="s">
        <v>1865</v>
      </c>
      <c r="X133" s="8">
        <v>29.79</v>
      </c>
      <c r="Y133" s="8">
        <v>5.83</v>
      </c>
      <c r="Z133" s="9">
        <v>3.52</v>
      </c>
      <c r="AA133" s="8">
        <v>2.5</v>
      </c>
      <c r="AB133" s="8">
        <v>26267</v>
      </c>
      <c r="AC133" s="21" t="s">
        <v>1865</v>
      </c>
      <c r="AD133" s="8" t="s">
        <v>4002</v>
      </c>
      <c r="AE133" s="8" t="s">
        <v>4364</v>
      </c>
      <c r="AF133" s="9">
        <f t="shared" si="32"/>
        <v>14.574999999999999</v>
      </c>
      <c r="AG133" s="9">
        <f t="shared" si="33"/>
        <v>9.6666666666666661</v>
      </c>
      <c r="AH133" s="9">
        <f t="shared" si="34"/>
        <v>2.8242205151378243E-2</v>
      </c>
      <c r="AI133" s="9">
        <f t="shared" si="35"/>
        <v>7.9762215181253574E-4</v>
      </c>
      <c r="AJ133" s="9">
        <f t="shared" si="36"/>
        <v>5.949878144862699E-2</v>
      </c>
      <c r="AK133" s="9">
        <f t="shared" si="37"/>
        <v>3.5401049938714791E-3</v>
      </c>
      <c r="AL133" s="9">
        <f t="shared" si="38"/>
        <v>6.7910480685369423E-2</v>
      </c>
      <c r="AM133" s="9">
        <f t="shared" si="39"/>
        <v>4.6118333869179335E-3</v>
      </c>
      <c r="AN133" s="8" t="s">
        <v>1865</v>
      </c>
    </row>
    <row r="134" spans="13:40" ht="23">
      <c r="M134" s="8" t="s">
        <v>1298</v>
      </c>
      <c r="N134" s="8" t="s">
        <v>150</v>
      </c>
      <c r="O134" s="8"/>
      <c r="P134" s="8" t="s">
        <v>3691</v>
      </c>
      <c r="Q134" s="8"/>
      <c r="R134" s="8"/>
      <c r="S134" s="8"/>
      <c r="T134" s="8"/>
      <c r="U134" s="8"/>
      <c r="V134" s="8"/>
      <c r="W134" s="8" t="s">
        <v>1298</v>
      </c>
      <c r="X134" s="8">
        <v>22.9</v>
      </c>
      <c r="Y134" s="8">
        <v>2.23</v>
      </c>
      <c r="Z134" s="9">
        <v>1.21</v>
      </c>
      <c r="AA134" s="8">
        <v>2.5</v>
      </c>
      <c r="AB134" s="8">
        <v>38391</v>
      </c>
      <c r="AC134" s="21" t="s">
        <v>1298</v>
      </c>
      <c r="AD134" s="8" t="s">
        <v>4165</v>
      </c>
      <c r="AE134" s="8" t="s">
        <v>4364</v>
      </c>
      <c r="AF134" s="9">
        <f t="shared" si="32"/>
        <v>5.5750000000000002</v>
      </c>
      <c r="AG134" s="9">
        <f t="shared" si="33"/>
        <v>3.375</v>
      </c>
      <c r="AH134" s="9">
        <f t="shared" si="34"/>
        <v>2.8242205151378243E-2</v>
      </c>
      <c r="AI134" s="9">
        <f t="shared" si="35"/>
        <v>7.9762215181253574E-4</v>
      </c>
      <c r="AJ134" s="9">
        <f t="shared" si="36"/>
        <v>2.275853904467208E-2</v>
      </c>
      <c r="AK134" s="9">
        <f t="shared" si="37"/>
        <v>5.1795109944786357E-4</v>
      </c>
      <c r="AL134" s="9">
        <f t="shared" si="38"/>
        <v>2.3710124722047084E-2</v>
      </c>
      <c r="AM134" s="9">
        <f t="shared" si="39"/>
        <v>5.6217001433502836E-4</v>
      </c>
      <c r="AN134" s="8" t="s">
        <v>1298</v>
      </c>
    </row>
    <row r="135" spans="13:40" ht="23">
      <c r="M135" s="9" t="s">
        <v>2944</v>
      </c>
      <c r="N135" s="8" t="s">
        <v>1717</v>
      </c>
      <c r="O135" s="8"/>
      <c r="P135" s="8"/>
      <c r="Q135" s="8"/>
      <c r="R135" s="8"/>
      <c r="S135" s="8"/>
      <c r="T135" s="8"/>
      <c r="U135" s="8"/>
      <c r="V135" s="8"/>
      <c r="W135" s="9" t="s">
        <v>2944</v>
      </c>
      <c r="X135" s="8">
        <v>56.32</v>
      </c>
      <c r="Y135" s="8">
        <v>2.39</v>
      </c>
      <c r="Z135" s="9">
        <v>1.08</v>
      </c>
      <c r="AA135" s="8">
        <v>2.5</v>
      </c>
      <c r="AB135" s="8">
        <v>34954</v>
      </c>
      <c r="AC135" s="22" t="s">
        <v>2944</v>
      </c>
      <c r="AD135" s="8" t="s">
        <v>4002</v>
      </c>
      <c r="AE135" s="8" t="s">
        <v>4364</v>
      </c>
      <c r="AF135" s="9">
        <f t="shared" si="32"/>
        <v>5.9750000000000005</v>
      </c>
      <c r="AG135" s="9">
        <f t="shared" si="33"/>
        <v>2.833333333333333</v>
      </c>
      <c r="AH135" s="9">
        <f t="shared" si="34"/>
        <v>2.8242205151378243E-2</v>
      </c>
      <c r="AI135" s="9">
        <f t="shared" si="35"/>
        <v>7.9762215181253574E-4</v>
      </c>
      <c r="AJ135" s="9">
        <f t="shared" si="36"/>
        <v>2.4391438707070077E-2</v>
      </c>
      <c r="AK135" s="9">
        <f t="shared" si="37"/>
        <v>5.9494228220075647E-4</v>
      </c>
      <c r="AL135" s="9">
        <f t="shared" si="38"/>
        <v>1.9904796062953103E-2</v>
      </c>
      <c r="AM135" s="9">
        <f t="shared" si="39"/>
        <v>3.9620090630775338E-4</v>
      </c>
      <c r="AN135" s="9" t="s">
        <v>2944</v>
      </c>
    </row>
    <row r="136" spans="13:40" ht="23">
      <c r="M136" s="8" t="s">
        <v>36</v>
      </c>
      <c r="N136" s="8" t="s">
        <v>18</v>
      </c>
      <c r="O136" s="8"/>
      <c r="P136" s="8" t="s">
        <v>3691</v>
      </c>
      <c r="Q136" s="8"/>
      <c r="R136" s="8"/>
      <c r="S136" s="8"/>
      <c r="T136" s="8"/>
      <c r="U136" s="8"/>
      <c r="V136" s="8"/>
      <c r="W136" s="8" t="s">
        <v>36</v>
      </c>
      <c r="X136" s="8">
        <v>41.64</v>
      </c>
      <c r="Y136" s="8">
        <v>9.93</v>
      </c>
      <c r="Z136" s="9">
        <v>12.46</v>
      </c>
      <c r="AA136" s="8">
        <v>2.4</v>
      </c>
      <c r="AB136" s="8">
        <v>32555</v>
      </c>
      <c r="AC136" s="21" t="s">
        <v>36</v>
      </c>
      <c r="AD136" s="8" t="s">
        <v>4002</v>
      </c>
      <c r="AE136" s="8" t="s">
        <v>4364</v>
      </c>
      <c r="AF136" s="9">
        <f t="shared" si="32"/>
        <v>23.831999999999997</v>
      </c>
      <c r="AG136" s="9">
        <f t="shared" si="33"/>
        <v>30.64</v>
      </c>
      <c r="AH136" s="9">
        <f t="shared" si="34"/>
        <v>2.7112516945323111E-2</v>
      </c>
      <c r="AI136" s="9">
        <f t="shared" si="35"/>
        <v>7.3508857511043286E-4</v>
      </c>
      <c r="AJ136" s="9">
        <f t="shared" si="36"/>
        <v>9.728816188567263E-2</v>
      </c>
      <c r="AK136" s="9">
        <f t="shared" si="37"/>
        <v>9.4649864430928453E-3</v>
      </c>
      <c r="AL136" s="9">
        <f t="shared" si="38"/>
        <v>0.21525280636548821</v>
      </c>
      <c r="AM136" s="9">
        <f t="shared" si="39"/>
        <v>4.6333770648218364E-2</v>
      </c>
      <c r="AN136" s="8" t="s">
        <v>36</v>
      </c>
    </row>
    <row r="137" spans="13:40" ht="23">
      <c r="M137" s="8" t="s">
        <v>1956</v>
      </c>
      <c r="N137" s="8" t="s">
        <v>1939</v>
      </c>
      <c r="O137" s="8"/>
      <c r="P137" s="8"/>
      <c r="Q137" s="8"/>
      <c r="R137" s="8"/>
      <c r="S137" s="8"/>
      <c r="T137" s="8"/>
      <c r="U137" s="8"/>
      <c r="V137" s="8"/>
      <c r="W137" s="8" t="s">
        <v>1956</v>
      </c>
      <c r="X137" s="8">
        <v>23.4</v>
      </c>
      <c r="Y137" s="8">
        <v>2.71</v>
      </c>
      <c r="Z137" s="9">
        <v>2.4300000000000002</v>
      </c>
      <c r="AA137" s="8">
        <v>2.4</v>
      </c>
      <c r="AB137" s="8">
        <v>36847</v>
      </c>
      <c r="AC137" s="21" t="s">
        <v>1956</v>
      </c>
      <c r="AD137" s="8" t="s">
        <v>4002</v>
      </c>
      <c r="AE137" s="8" t="s">
        <v>4364</v>
      </c>
      <c r="AF137" s="9">
        <f t="shared" si="32"/>
        <v>6.5039999999999996</v>
      </c>
      <c r="AG137" s="9">
        <f t="shared" si="33"/>
        <v>6.5200000000000005</v>
      </c>
      <c r="AH137" s="9">
        <f t="shared" si="34"/>
        <v>2.7112516945323111E-2</v>
      </c>
      <c r="AI137" s="9">
        <f t="shared" si="35"/>
        <v>7.3508857511043286E-4</v>
      </c>
      <c r="AJ137" s="9">
        <f t="shared" si="36"/>
        <v>2.6550948510591425E-2</v>
      </c>
      <c r="AK137" s="9">
        <f t="shared" si="37"/>
        <v>7.0495286681207699E-4</v>
      </c>
      <c r="AL137" s="9">
        <f t="shared" si="38"/>
        <v>4.5804448351925035E-2</v>
      </c>
      <c r="AM137" s="9">
        <f t="shared" si="39"/>
        <v>2.0980474888241682E-3</v>
      </c>
      <c r="AN137" s="8" t="s">
        <v>1956</v>
      </c>
    </row>
    <row r="138" spans="13:40" ht="23">
      <c r="M138" s="8" t="s">
        <v>57</v>
      </c>
      <c r="N138" s="8" t="s">
        <v>24</v>
      </c>
      <c r="O138" s="8"/>
      <c r="P138" s="8"/>
      <c r="Q138" s="8"/>
      <c r="R138" s="8"/>
      <c r="S138" s="8"/>
      <c r="T138" s="8"/>
      <c r="U138" s="8"/>
      <c r="V138" s="8"/>
      <c r="W138" s="8" t="s">
        <v>57</v>
      </c>
      <c r="X138" s="8">
        <v>29.36</v>
      </c>
      <c r="Y138" s="8">
        <v>3</v>
      </c>
      <c r="Z138" s="9">
        <v>4.59</v>
      </c>
      <c r="AA138" s="8">
        <v>2.2999999999999998</v>
      </c>
      <c r="AB138" s="8">
        <v>33158</v>
      </c>
      <c r="AC138" s="21" t="s">
        <v>57</v>
      </c>
      <c r="AD138" s="8" t="s">
        <v>4002</v>
      </c>
      <c r="AE138" s="8" t="s">
        <v>4364</v>
      </c>
      <c r="AF138" s="9">
        <f t="shared" si="32"/>
        <v>6.8999999999999995</v>
      </c>
      <c r="AG138" s="9">
        <f t="shared" si="33"/>
        <v>11.461666666666666</v>
      </c>
      <c r="AH138" s="9">
        <f t="shared" si="34"/>
        <v>2.5982828739267983E-2</v>
      </c>
      <c r="AI138" s="9">
        <f t="shared" si="35"/>
        <v>6.7510738929413023E-4</v>
      </c>
      <c r="AJ138" s="9">
        <f t="shared" si="36"/>
        <v>2.8167519176365438E-2</v>
      </c>
      <c r="AK138" s="9">
        <f t="shared" si="37"/>
        <v>7.9340913655091469E-4</v>
      </c>
      <c r="AL138" s="9">
        <f t="shared" si="38"/>
        <v>8.0520754426428545E-2</v>
      </c>
      <c r="AM138" s="9">
        <f t="shared" si="39"/>
        <v>6.4835918934012119E-3</v>
      </c>
      <c r="AN138" s="8" t="s">
        <v>57</v>
      </c>
    </row>
    <row r="139" spans="13:40" ht="23">
      <c r="M139" s="9" t="s">
        <v>2447</v>
      </c>
      <c r="N139" s="8" t="s">
        <v>150</v>
      </c>
      <c r="O139" s="8"/>
      <c r="P139" s="8"/>
      <c r="Q139" s="8"/>
      <c r="R139" s="8"/>
      <c r="S139" s="8"/>
      <c r="T139" s="8"/>
      <c r="U139" s="8"/>
      <c r="V139" s="8"/>
      <c r="W139" s="9" t="s">
        <v>2447</v>
      </c>
      <c r="X139" s="8">
        <v>28.1</v>
      </c>
      <c r="Y139" s="8">
        <v>2.8</v>
      </c>
      <c r="Z139" s="9">
        <v>0.41</v>
      </c>
      <c r="AA139" s="8">
        <v>2.2000000000000002</v>
      </c>
      <c r="AB139" s="8">
        <v>73047</v>
      </c>
      <c r="AC139" s="22" t="s">
        <v>2447</v>
      </c>
      <c r="AD139" s="8" t="s">
        <v>4002</v>
      </c>
      <c r="AE139" s="8" t="s">
        <v>4364</v>
      </c>
      <c r="AF139" s="9">
        <f t="shared" si="32"/>
        <v>6.16</v>
      </c>
      <c r="AG139" s="9">
        <f t="shared" si="33"/>
        <v>1.5033333333333334</v>
      </c>
      <c r="AH139" s="9">
        <f t="shared" si="34"/>
        <v>2.4853140533212855E-2</v>
      </c>
      <c r="AI139" s="9">
        <f t="shared" si="35"/>
        <v>6.1767859436362774E-4</v>
      </c>
      <c r="AJ139" s="9">
        <f t="shared" si="36"/>
        <v>2.5146654800929147E-2</v>
      </c>
      <c r="AK139" s="9">
        <f t="shared" si="37"/>
        <v>6.3235424767709293E-4</v>
      </c>
      <c r="AL139" s="9">
        <f t="shared" si="38"/>
        <v>1.056125061693159E-2</v>
      </c>
      <c r="AM139" s="9">
        <f t="shared" si="39"/>
        <v>1.115400145936379E-4</v>
      </c>
      <c r="AN139" s="9" t="s">
        <v>2447</v>
      </c>
    </row>
    <row r="140" spans="13:40" ht="23">
      <c r="M140" s="9" t="s">
        <v>2463</v>
      </c>
      <c r="N140" s="8" t="s">
        <v>150</v>
      </c>
      <c r="O140" s="8"/>
      <c r="P140" s="8"/>
      <c r="Q140" s="8"/>
      <c r="R140" s="8"/>
      <c r="S140" s="8"/>
      <c r="T140" s="8"/>
      <c r="U140" s="8"/>
      <c r="V140" s="8"/>
      <c r="W140" s="9" t="s">
        <v>2463</v>
      </c>
      <c r="X140" s="8">
        <v>40.93</v>
      </c>
      <c r="Y140" s="8">
        <v>2.84</v>
      </c>
      <c r="Z140" s="9">
        <v>2.14</v>
      </c>
      <c r="AA140" s="8">
        <v>2</v>
      </c>
      <c r="AB140" s="8">
        <v>46073</v>
      </c>
      <c r="AC140" s="22" t="s">
        <v>2463</v>
      </c>
      <c r="AD140" s="8" t="s">
        <v>4002</v>
      </c>
      <c r="AE140" s="8" t="s">
        <v>4364</v>
      </c>
      <c r="AF140" s="9">
        <f t="shared" si="32"/>
        <v>5.68</v>
      </c>
      <c r="AG140" s="9">
        <f t="shared" si="33"/>
        <v>4.4666666666666668</v>
      </c>
      <c r="AH140" s="9">
        <f t="shared" si="34"/>
        <v>2.2593764121102596E-2</v>
      </c>
      <c r="AI140" s="9">
        <f t="shared" si="35"/>
        <v>5.1047817716002295E-4</v>
      </c>
      <c r="AJ140" s="9">
        <f t="shared" si="36"/>
        <v>2.3187175206051552E-2</v>
      </c>
      <c r="AK140" s="9">
        <f t="shared" si="37"/>
        <v>5.3764509403613186E-4</v>
      </c>
      <c r="AL140" s="9">
        <f t="shared" si="38"/>
        <v>3.1379325558067252E-2</v>
      </c>
      <c r="AM140" s="9">
        <f t="shared" si="39"/>
        <v>9.846620724791727E-4</v>
      </c>
      <c r="AN140" s="9" t="s">
        <v>2463</v>
      </c>
    </row>
    <row r="141" spans="13:40" ht="23">
      <c r="M141" s="9" t="s">
        <v>3008</v>
      </c>
      <c r="N141" s="8" t="s">
        <v>1717</v>
      </c>
      <c r="O141" s="8"/>
      <c r="P141" s="8"/>
      <c r="Q141" s="8"/>
      <c r="R141" s="8"/>
      <c r="S141" s="8"/>
      <c r="T141" s="8"/>
      <c r="U141" s="8"/>
      <c r="V141" s="8"/>
      <c r="W141" s="9" t="s">
        <v>3008</v>
      </c>
      <c r="X141" s="8">
        <v>35.549999999999997</v>
      </c>
      <c r="Y141" s="8">
        <v>3.1</v>
      </c>
      <c r="Z141" s="9">
        <v>1.22</v>
      </c>
      <c r="AA141" s="8">
        <v>1.9</v>
      </c>
      <c r="AB141" s="8">
        <v>36441</v>
      </c>
      <c r="AC141" s="22" t="s">
        <v>3008</v>
      </c>
      <c r="AD141" s="8" t="s">
        <v>4002</v>
      </c>
      <c r="AE141" s="8" t="s">
        <v>4364</v>
      </c>
      <c r="AF141" s="9">
        <f t="shared" si="32"/>
        <v>5.89</v>
      </c>
      <c r="AG141" s="9">
        <f t="shared" si="33"/>
        <v>2.5966666666666667</v>
      </c>
      <c r="AH141" s="9">
        <f t="shared" si="34"/>
        <v>2.1464075915047464E-2</v>
      </c>
      <c r="AI141" s="9">
        <f t="shared" si="35"/>
        <v>4.6070655488692061E-4</v>
      </c>
      <c r="AJ141" s="9">
        <f t="shared" si="36"/>
        <v>2.4044447528810495E-2</v>
      </c>
      <c r="AK141" s="9">
        <f t="shared" si="37"/>
        <v>5.7813545696572114E-4</v>
      </c>
      <c r="AL141" s="9">
        <f t="shared" si="38"/>
        <v>1.8242160156518201E-2</v>
      </c>
      <c r="AM141" s="9">
        <f t="shared" si="39"/>
        <v>3.3277640717606019E-4</v>
      </c>
      <c r="AN141" s="9" t="s">
        <v>3008</v>
      </c>
    </row>
    <row r="142" spans="13:40" ht="23">
      <c r="M142" s="9" t="s">
        <v>2843</v>
      </c>
      <c r="N142" s="8" t="s">
        <v>1614</v>
      </c>
      <c r="O142" s="8"/>
      <c r="P142" s="8"/>
      <c r="Q142" s="8"/>
      <c r="R142" s="8"/>
      <c r="S142" s="8"/>
      <c r="T142" s="8"/>
      <c r="U142" s="8"/>
      <c r="V142" s="8"/>
      <c r="W142" s="9" t="s">
        <v>2843</v>
      </c>
      <c r="X142" s="8">
        <v>38.71</v>
      </c>
      <c r="Y142" s="8">
        <v>1.65</v>
      </c>
      <c r="Z142" s="9">
        <v>0.12</v>
      </c>
      <c r="AA142" s="8">
        <v>1.9</v>
      </c>
      <c r="AB142" s="8">
        <v>50095</v>
      </c>
      <c r="AC142" s="22" t="s">
        <v>2843</v>
      </c>
      <c r="AD142" s="8" t="s">
        <v>4002</v>
      </c>
      <c r="AE142" s="8" t="s">
        <v>4364</v>
      </c>
      <c r="AF142" s="9">
        <f t="shared" si="32"/>
        <v>3.1349999999999998</v>
      </c>
      <c r="AG142" s="9">
        <f t="shared" si="33"/>
        <v>0.38</v>
      </c>
      <c r="AH142" s="9">
        <f t="shared" si="34"/>
        <v>2.1464075915047464E-2</v>
      </c>
      <c r="AI142" s="9">
        <f t="shared" si="35"/>
        <v>4.6070655488692061E-4</v>
      </c>
      <c r="AJ142" s="9">
        <f t="shared" si="36"/>
        <v>1.2797851104044298E-2</v>
      </c>
      <c r="AK142" s="9">
        <f t="shared" si="37"/>
        <v>1.6378499288128786E-4</v>
      </c>
      <c r="AL142" s="9">
        <f t="shared" si="38"/>
        <v>2.669584413149005E-3</v>
      </c>
      <c r="AM142" s="9">
        <f t="shared" si="39"/>
        <v>7.1266809389281177E-6</v>
      </c>
      <c r="AN142" s="9" t="s">
        <v>2843</v>
      </c>
    </row>
    <row r="143" spans="13:40" ht="23">
      <c r="M143" s="9" t="s">
        <v>2626</v>
      </c>
      <c r="N143" s="8" t="s">
        <v>150</v>
      </c>
      <c r="O143" s="8"/>
      <c r="P143" s="8" t="s">
        <v>3693</v>
      </c>
      <c r="Q143" s="8"/>
      <c r="R143" s="8"/>
      <c r="S143" s="8"/>
      <c r="T143" s="8"/>
      <c r="U143" s="8"/>
      <c r="V143" s="8"/>
      <c r="W143" s="9" t="s">
        <v>2626</v>
      </c>
      <c r="X143" s="8">
        <v>12.85</v>
      </c>
      <c r="Y143" s="8">
        <v>7.02</v>
      </c>
      <c r="Z143" s="9">
        <v>4.1100000000000003</v>
      </c>
      <c r="AA143" s="8">
        <v>1.8</v>
      </c>
      <c r="AB143" s="8">
        <v>29411</v>
      </c>
      <c r="AC143" s="22" t="s">
        <v>2626</v>
      </c>
      <c r="AD143" s="8" t="s">
        <v>4002</v>
      </c>
      <c r="AE143" s="8" t="s">
        <v>4364</v>
      </c>
      <c r="AF143" s="9">
        <f t="shared" si="32"/>
        <v>12.635999999999999</v>
      </c>
      <c r="AG143" s="9">
        <f t="shared" si="33"/>
        <v>7.53</v>
      </c>
      <c r="AH143" s="9">
        <f t="shared" si="34"/>
        <v>2.0334387708992336E-2</v>
      </c>
      <c r="AI143" s="9">
        <f t="shared" si="35"/>
        <v>4.1348732349961857E-4</v>
      </c>
      <c r="AJ143" s="9">
        <f t="shared" si="36"/>
        <v>5.158330033515271E-2</v>
      </c>
      <c r="AK143" s="9">
        <f t="shared" si="37"/>
        <v>2.6608368734665658E-3</v>
      </c>
      <c r="AL143" s="9">
        <f t="shared" si="38"/>
        <v>5.2899922713189496E-2</v>
      </c>
      <c r="AM143" s="9">
        <f t="shared" si="39"/>
        <v>2.7984018230614218E-3</v>
      </c>
      <c r="AN143" s="9" t="s">
        <v>2626</v>
      </c>
    </row>
    <row r="144" spans="13:40" ht="23">
      <c r="M144" s="9" t="s">
        <v>2921</v>
      </c>
      <c r="N144" s="8" t="s">
        <v>1717</v>
      </c>
      <c r="O144" s="8"/>
      <c r="P144" s="8"/>
      <c r="Q144" s="8"/>
      <c r="R144" s="8"/>
      <c r="S144" s="8"/>
      <c r="T144" s="8"/>
      <c r="U144" s="8"/>
      <c r="V144" s="8"/>
      <c r="W144" s="9" t="s">
        <v>2921</v>
      </c>
      <c r="X144" s="8">
        <v>21.97</v>
      </c>
      <c r="Y144" s="8">
        <v>2.2999999999999998</v>
      </c>
      <c r="Z144" s="9">
        <v>0.2</v>
      </c>
      <c r="AA144" s="8">
        <v>1.8</v>
      </c>
      <c r="AB144" s="8">
        <v>42198</v>
      </c>
      <c r="AC144" s="22" t="s">
        <v>2921</v>
      </c>
      <c r="AD144" s="8" t="s">
        <v>4002</v>
      </c>
      <c r="AE144" s="8" t="s">
        <v>4364</v>
      </c>
      <c r="AF144" s="9">
        <f t="shared" si="32"/>
        <v>4.1399999999999997</v>
      </c>
      <c r="AG144" s="9">
        <f t="shared" si="33"/>
        <v>6.0000000000000001E-3</v>
      </c>
      <c r="AH144" s="9">
        <f t="shared" si="34"/>
        <v>2.0334387708992336E-2</v>
      </c>
      <c r="AI144" s="9">
        <f t="shared" si="35"/>
        <v>4.1348732349961857E-4</v>
      </c>
      <c r="AJ144" s="9">
        <f t="shared" si="36"/>
        <v>1.6900511505819265E-2</v>
      </c>
      <c r="AK144" s="9">
        <f t="shared" si="37"/>
        <v>2.8562728915832938E-4</v>
      </c>
      <c r="AL144" s="9">
        <f t="shared" si="38"/>
        <v>4.2151332839194814E-5</v>
      </c>
      <c r="AM144" s="9">
        <f t="shared" si="39"/>
        <v>1.7767348601205831E-9</v>
      </c>
      <c r="AN144" s="9" t="s">
        <v>2921</v>
      </c>
    </row>
    <row r="145" spans="13:40" ht="23">
      <c r="M145" s="9" t="s">
        <v>3500</v>
      </c>
      <c r="N145" s="8" t="s">
        <v>2032</v>
      </c>
      <c r="O145" s="8"/>
      <c r="P145" s="8"/>
      <c r="Q145" s="8"/>
      <c r="R145" s="8"/>
      <c r="S145" s="8"/>
      <c r="T145" s="8"/>
      <c r="U145" s="8"/>
      <c r="V145" s="8"/>
      <c r="W145" s="9" t="s">
        <v>3500</v>
      </c>
      <c r="X145" s="8">
        <v>69.150000000000006</v>
      </c>
      <c r="Y145" s="8">
        <v>1.36</v>
      </c>
      <c r="Z145" s="9">
        <v>0.2</v>
      </c>
      <c r="AA145" s="8">
        <v>1.8</v>
      </c>
      <c r="AB145" s="8">
        <v>57563</v>
      </c>
      <c r="AC145" s="22" t="s">
        <v>3500</v>
      </c>
      <c r="AD145" s="8" t="s">
        <v>4002</v>
      </c>
      <c r="AE145" s="8" t="s">
        <v>4364</v>
      </c>
      <c r="AF145" s="9">
        <f t="shared" si="32"/>
        <v>2.4480000000000004</v>
      </c>
      <c r="AG145" s="9">
        <f t="shared" si="33"/>
        <v>6.0000000000000001E-3</v>
      </c>
      <c r="AH145" s="9">
        <f t="shared" si="34"/>
        <v>2.0334387708992336E-2</v>
      </c>
      <c r="AI145" s="9">
        <f t="shared" si="35"/>
        <v>4.1348732349961857E-4</v>
      </c>
      <c r="AJ145" s="9">
        <f t="shared" si="36"/>
        <v>9.9933459338757396E-3</v>
      </c>
      <c r="AK145" s="9">
        <f t="shared" si="37"/>
        <v>9.9866962954110774E-5</v>
      </c>
      <c r="AL145" s="9">
        <f t="shared" si="38"/>
        <v>4.2151332839194814E-5</v>
      </c>
      <c r="AM145" s="9">
        <f t="shared" si="39"/>
        <v>1.7767348601205831E-9</v>
      </c>
      <c r="AN145" s="9" t="s">
        <v>3500</v>
      </c>
    </row>
    <row r="146" spans="13:40" ht="23">
      <c r="M146" s="8" t="s">
        <v>1540</v>
      </c>
      <c r="N146" s="8" t="s">
        <v>150</v>
      </c>
      <c r="O146" s="8"/>
      <c r="P146" s="8" t="s">
        <v>3700</v>
      </c>
      <c r="Q146" s="8"/>
      <c r="R146" s="8"/>
      <c r="S146" s="8"/>
      <c r="T146" s="8"/>
      <c r="U146" s="8"/>
      <c r="V146" s="8"/>
      <c r="W146" s="8" t="s">
        <v>1540</v>
      </c>
      <c r="X146" s="8">
        <v>10.69</v>
      </c>
      <c r="Y146" s="8">
        <v>3.84</v>
      </c>
      <c r="Z146" s="9">
        <v>7.42</v>
      </c>
      <c r="AA146" s="8">
        <v>1.7</v>
      </c>
      <c r="AB146" s="8">
        <v>50310</v>
      </c>
      <c r="AC146" s="21" t="s">
        <v>1540</v>
      </c>
      <c r="AD146" s="8" t="s">
        <v>4002</v>
      </c>
      <c r="AE146" s="8" t="s">
        <v>4364</v>
      </c>
      <c r="AF146" s="9">
        <f t="shared" si="32"/>
        <v>6.5279999999999996</v>
      </c>
      <c r="AG146" s="9">
        <f t="shared" si="33"/>
        <v>13.09</v>
      </c>
      <c r="AH146" s="9">
        <f t="shared" si="34"/>
        <v>1.9204699502937204E-2</v>
      </c>
      <c r="AI146" s="9">
        <f t="shared" si="35"/>
        <v>3.688204829981165E-4</v>
      </c>
      <c r="AJ146" s="9">
        <f t="shared" si="36"/>
        <v>2.6648922490335302E-2</v>
      </c>
      <c r="AK146" s="9">
        <f t="shared" si="37"/>
        <v>7.1016506989589865E-4</v>
      </c>
      <c r="AL146" s="9">
        <f t="shared" si="38"/>
        <v>9.1960157810843352E-2</v>
      </c>
      <c r="AM146" s="9">
        <f t="shared" si="39"/>
        <v>8.4566706245952136E-3</v>
      </c>
      <c r="AN146" s="8" t="s">
        <v>1540</v>
      </c>
    </row>
    <row r="147" spans="13:40" ht="23">
      <c r="M147" s="9" t="s">
        <v>3536</v>
      </c>
      <c r="N147" s="8" t="s">
        <v>2041</v>
      </c>
      <c r="O147" s="8"/>
      <c r="P147" s="8" t="s">
        <v>3700</v>
      </c>
      <c r="Q147" s="8"/>
      <c r="R147" s="8"/>
      <c r="S147" s="8"/>
      <c r="T147" s="8"/>
      <c r="U147" s="8"/>
      <c r="V147" s="8"/>
      <c r="W147" s="9" t="s">
        <v>3536</v>
      </c>
      <c r="X147" s="8">
        <v>68.040000000000006</v>
      </c>
      <c r="Y147" s="8">
        <v>1.71</v>
      </c>
      <c r="Z147" s="9">
        <v>4.4400000000000004</v>
      </c>
      <c r="AA147" s="8">
        <v>1.7</v>
      </c>
      <c r="AB147" s="8">
        <v>64609</v>
      </c>
      <c r="AC147" s="22" t="s">
        <v>3536</v>
      </c>
      <c r="AD147" s="8" t="s">
        <v>4002</v>
      </c>
      <c r="AE147" s="8" t="s">
        <v>4364</v>
      </c>
      <c r="AF147" s="9">
        <f t="shared" si="32"/>
        <v>2.907</v>
      </c>
      <c r="AG147" s="9">
        <f t="shared" si="33"/>
        <v>8.0466666666666669</v>
      </c>
      <c r="AH147" s="9">
        <f t="shared" si="34"/>
        <v>1.9204699502937204E-2</v>
      </c>
      <c r="AI147" s="9">
        <f t="shared" si="35"/>
        <v>3.688204829981165E-4</v>
      </c>
      <c r="AJ147" s="9">
        <f t="shared" si="36"/>
        <v>1.1867098296477439E-2</v>
      </c>
      <c r="AK147" s="9">
        <f t="shared" si="37"/>
        <v>1.4082802197825774E-4</v>
      </c>
      <c r="AL147" s="9">
        <f t="shared" si="38"/>
        <v>5.6529620818786826E-2</v>
      </c>
      <c r="AM147" s="9">
        <f t="shared" si="39"/>
        <v>3.1955980299158168E-3</v>
      </c>
      <c r="AN147" s="9" t="s">
        <v>3536</v>
      </c>
    </row>
    <row r="148" spans="13:40" ht="23">
      <c r="M148" s="8" t="s">
        <v>89</v>
      </c>
      <c r="N148" s="8" t="s">
        <v>90</v>
      </c>
      <c r="O148" s="8"/>
      <c r="P148" s="8" t="s">
        <v>3713</v>
      </c>
      <c r="Q148" s="8"/>
      <c r="R148" s="8"/>
      <c r="S148" s="8"/>
      <c r="T148" s="8"/>
      <c r="U148" s="8"/>
      <c r="V148" s="8"/>
      <c r="W148" s="8" t="s">
        <v>89</v>
      </c>
      <c r="X148" s="8">
        <v>28.62</v>
      </c>
      <c r="Y148" s="8">
        <v>2.72</v>
      </c>
      <c r="Z148" s="9">
        <v>1.31</v>
      </c>
      <c r="AA148" s="8">
        <v>1.7</v>
      </c>
      <c r="AB148" s="8">
        <v>50194</v>
      </c>
      <c r="AC148" s="21" t="s">
        <v>89</v>
      </c>
      <c r="AD148" s="8" t="s">
        <v>4002</v>
      </c>
      <c r="AE148" s="8" t="s">
        <v>4364</v>
      </c>
      <c r="AF148" s="9">
        <f t="shared" si="32"/>
        <v>4.6240000000000006</v>
      </c>
      <c r="AG148" s="9">
        <f t="shared" si="33"/>
        <v>2.5783333333333331</v>
      </c>
      <c r="AH148" s="9">
        <f t="shared" si="34"/>
        <v>1.9204699502937204E-2</v>
      </c>
      <c r="AI148" s="9">
        <f t="shared" si="35"/>
        <v>3.688204829981165E-4</v>
      </c>
      <c r="AJ148" s="9">
        <f t="shared" si="36"/>
        <v>1.8876320097320841E-2</v>
      </c>
      <c r="AK148" s="9">
        <f t="shared" si="37"/>
        <v>3.5631546041651866E-4</v>
      </c>
      <c r="AL148" s="9">
        <f t="shared" si="38"/>
        <v>1.8113364417287326E-2</v>
      </c>
      <c r="AM148" s="9">
        <f t="shared" si="39"/>
        <v>3.2809397051345064E-4</v>
      </c>
      <c r="AN148" s="8" t="s">
        <v>89</v>
      </c>
    </row>
    <row r="149" spans="13:40" ht="23">
      <c r="M149" s="9" t="s">
        <v>2927</v>
      </c>
      <c r="N149" s="8" t="s">
        <v>1717</v>
      </c>
      <c r="O149" s="8"/>
      <c r="P149" s="8"/>
      <c r="Q149" s="8"/>
      <c r="R149" s="8"/>
      <c r="S149" s="8"/>
      <c r="T149" s="8"/>
      <c r="U149" s="8"/>
      <c r="V149" s="8"/>
      <c r="W149" s="9" t="s">
        <v>2927</v>
      </c>
      <c r="X149" s="8">
        <v>36.17</v>
      </c>
      <c r="Y149" s="8">
        <v>2.31</v>
      </c>
      <c r="Z149" s="9">
        <v>1.4</v>
      </c>
      <c r="AA149" s="8">
        <v>1.7</v>
      </c>
      <c r="AB149" s="8">
        <v>56317</v>
      </c>
      <c r="AC149" s="22" t="s">
        <v>2927</v>
      </c>
      <c r="AD149" s="8" t="s">
        <v>4002</v>
      </c>
      <c r="AE149" s="8" t="s">
        <v>4364</v>
      </c>
      <c r="AF149" s="9">
        <f t="shared" si="32"/>
        <v>3.927</v>
      </c>
      <c r="AG149" s="9">
        <f t="shared" si="33"/>
        <v>1.7113333333333332</v>
      </c>
      <c r="AH149" s="9">
        <f t="shared" si="34"/>
        <v>1.9204699502937204E-2</v>
      </c>
      <c r="AI149" s="9">
        <f t="shared" si="35"/>
        <v>3.688204829981165E-4</v>
      </c>
      <c r="AJ149" s="9">
        <f t="shared" si="36"/>
        <v>1.603099243559233E-2</v>
      </c>
      <c r="AK149" s="9">
        <f t="shared" si="37"/>
        <v>2.569927184700185E-4</v>
      </c>
      <c r="AL149" s="9">
        <f t="shared" si="38"/>
        <v>1.2022496822023675E-2</v>
      </c>
      <c r="AM149" s="9">
        <f t="shared" si="39"/>
        <v>1.4454042983556937E-4</v>
      </c>
      <c r="AN149" s="9" t="s">
        <v>2927</v>
      </c>
    </row>
    <row r="150" spans="13:40" ht="23">
      <c r="M150" s="9" t="s">
        <v>3519</v>
      </c>
      <c r="N150" s="8" t="s">
        <v>2041</v>
      </c>
      <c r="O150" s="8"/>
      <c r="P150" s="8"/>
      <c r="Q150" s="8"/>
      <c r="R150" s="8"/>
      <c r="S150" s="8"/>
      <c r="T150" s="8"/>
      <c r="U150" s="8"/>
      <c r="V150" s="8"/>
      <c r="W150" s="9" t="s">
        <v>3519</v>
      </c>
      <c r="X150" s="8">
        <v>47.48</v>
      </c>
      <c r="Y150" s="8">
        <v>1.72</v>
      </c>
      <c r="Z150" s="9">
        <v>0.37</v>
      </c>
      <c r="AA150" s="8">
        <v>1.7</v>
      </c>
      <c r="AB150" s="8">
        <v>123141</v>
      </c>
      <c r="AC150" s="22" t="s">
        <v>3519</v>
      </c>
      <c r="AD150" s="8" t="s">
        <v>4002</v>
      </c>
      <c r="AE150" s="8" t="s">
        <v>4364</v>
      </c>
      <c r="AF150" s="9">
        <f t="shared" si="32"/>
        <v>2.9239999999999999</v>
      </c>
      <c r="AG150" s="9">
        <f t="shared" si="33"/>
        <v>1.0483333333333333</v>
      </c>
      <c r="AH150" s="9">
        <f t="shared" si="34"/>
        <v>1.9204699502937204E-2</v>
      </c>
      <c r="AI150" s="9">
        <f t="shared" si="35"/>
        <v>3.688204829981165E-4</v>
      </c>
      <c r="AJ150" s="9">
        <f t="shared" si="36"/>
        <v>1.1936496532129354E-2</v>
      </c>
      <c r="AK150" s="9">
        <f t="shared" si="37"/>
        <v>1.424799494615361E-4</v>
      </c>
      <c r="AL150" s="9">
        <f t="shared" si="38"/>
        <v>7.3647745432926497E-3</v>
      </c>
      <c r="AM150" s="9">
        <f t="shared" si="39"/>
        <v>5.4239904073531459E-5</v>
      </c>
      <c r="AN150" s="9" t="s">
        <v>3519</v>
      </c>
    </row>
    <row r="151" spans="13:40" ht="23">
      <c r="M151" s="8" t="s">
        <v>2042</v>
      </c>
      <c r="N151" s="8" t="s">
        <v>2041</v>
      </c>
      <c r="O151" s="8"/>
      <c r="P151" s="8" t="s">
        <v>3704</v>
      </c>
      <c r="Q151" s="8"/>
      <c r="R151" s="8"/>
      <c r="S151" s="8"/>
      <c r="T151" s="8"/>
      <c r="U151" s="8"/>
      <c r="V151" s="8"/>
      <c r="W151" s="8" t="s">
        <v>2042</v>
      </c>
      <c r="X151" s="8">
        <v>72.28</v>
      </c>
      <c r="Y151" s="8">
        <v>4.01</v>
      </c>
      <c r="Z151" s="9">
        <v>1.4</v>
      </c>
      <c r="AA151" s="8">
        <v>1.5</v>
      </c>
      <c r="AB151" s="8">
        <v>45285</v>
      </c>
      <c r="AC151" s="21" t="s">
        <v>2042</v>
      </c>
      <c r="AD151" s="8" t="s">
        <v>4002</v>
      </c>
      <c r="AE151" s="8" t="s">
        <v>4364</v>
      </c>
      <c r="AF151" s="9">
        <f t="shared" si="32"/>
        <v>6.0149999999999997</v>
      </c>
      <c r="AG151" s="9">
        <f t="shared" si="33"/>
        <v>1.5099999999999998</v>
      </c>
      <c r="AH151" s="9">
        <f t="shared" si="34"/>
        <v>1.6945323090826948E-2</v>
      </c>
      <c r="AI151" s="9">
        <f t="shared" si="35"/>
        <v>2.8714397465251295E-4</v>
      </c>
      <c r="AJ151" s="9">
        <f t="shared" si="36"/>
        <v>2.4554728673309874E-2</v>
      </c>
      <c r="AK151" s="9">
        <f t="shared" si="37"/>
        <v>6.029347002198661E-4</v>
      </c>
      <c r="AL151" s="9">
        <f t="shared" si="38"/>
        <v>1.0608085431197361E-2</v>
      </c>
      <c r="AM151" s="9">
        <f t="shared" si="39"/>
        <v>1.125314765155817E-4</v>
      </c>
      <c r="AN151" s="8" t="s">
        <v>2042</v>
      </c>
    </row>
    <row r="152" spans="13:40" ht="23">
      <c r="M152" s="8" t="s">
        <v>38</v>
      </c>
      <c r="N152" s="8" t="s">
        <v>18</v>
      </c>
      <c r="O152" s="8"/>
      <c r="P152" s="8"/>
      <c r="Q152" s="8"/>
      <c r="R152" s="8"/>
      <c r="S152" s="8"/>
      <c r="T152" s="8"/>
      <c r="U152" s="8"/>
      <c r="V152" s="8"/>
      <c r="W152" s="8" t="s">
        <v>38</v>
      </c>
      <c r="X152" s="8">
        <v>26.97</v>
      </c>
      <c r="Y152" s="8">
        <v>1.94</v>
      </c>
      <c r="Z152" s="9">
        <v>0.06</v>
      </c>
      <c r="AA152" s="8">
        <v>1.5</v>
      </c>
      <c r="AB152" s="8">
        <v>53118</v>
      </c>
      <c r="AC152" s="21" t="s">
        <v>38</v>
      </c>
      <c r="AD152" s="8" t="s">
        <v>4002</v>
      </c>
      <c r="AE152" s="8" t="s">
        <v>4364</v>
      </c>
      <c r="AF152" s="9">
        <f t="shared" si="32"/>
        <v>2.91</v>
      </c>
      <c r="AG152" s="9">
        <f t="shared" si="33"/>
        <v>0.15000000000000002</v>
      </c>
      <c r="AH152" s="9">
        <f t="shared" si="34"/>
        <v>1.6945323090826948E-2</v>
      </c>
      <c r="AI152" s="9">
        <f t="shared" si="35"/>
        <v>2.8714397465251295E-4</v>
      </c>
      <c r="AJ152" s="9">
        <f t="shared" si="36"/>
        <v>1.1879345043945425E-2</v>
      </c>
      <c r="AK152" s="9">
        <f t="shared" si="37"/>
        <v>1.4111883867311072E-4</v>
      </c>
      <c r="AL152" s="9">
        <f t="shared" si="38"/>
        <v>1.0537833209798705E-3</v>
      </c>
      <c r="AM152" s="9">
        <f t="shared" si="39"/>
        <v>1.1104592875753647E-6</v>
      </c>
      <c r="AN152" s="8" t="s">
        <v>38</v>
      </c>
    </row>
    <row r="153" spans="13:40" ht="23">
      <c r="M153" s="9" t="s">
        <v>3305</v>
      </c>
      <c r="N153" s="8" t="s">
        <v>1939</v>
      </c>
      <c r="O153" s="8"/>
      <c r="P153" s="8"/>
      <c r="Q153" s="8"/>
      <c r="R153" s="8"/>
      <c r="S153" s="8"/>
      <c r="T153" s="8"/>
      <c r="U153" s="8"/>
      <c r="V153" s="8"/>
      <c r="W153" s="9" t="s">
        <v>3305</v>
      </c>
      <c r="X153" s="8">
        <v>53.94</v>
      </c>
      <c r="Y153" s="8">
        <v>1.67</v>
      </c>
      <c r="Z153" s="9">
        <v>1.07</v>
      </c>
      <c r="AA153" s="8">
        <v>1.3</v>
      </c>
      <c r="AB153" s="8">
        <v>107064</v>
      </c>
      <c r="AC153" s="22" t="s">
        <v>3305</v>
      </c>
      <c r="AD153" s="8" t="s">
        <v>4002</v>
      </c>
      <c r="AE153" s="8" t="s">
        <v>4364</v>
      </c>
      <c r="AF153" s="9">
        <f t="shared" si="32"/>
        <v>2.1709999999999998</v>
      </c>
      <c r="AG153" s="9">
        <f t="shared" si="33"/>
        <v>1.4516666666666667</v>
      </c>
      <c r="AH153" s="9">
        <f t="shared" si="34"/>
        <v>1.4685946678716685E-2</v>
      </c>
      <c r="AI153" s="9">
        <f t="shared" si="35"/>
        <v>2.1567702985010964E-4</v>
      </c>
      <c r="AJ153" s="9">
        <f t="shared" si="36"/>
        <v>8.8625629176651254E-3</v>
      </c>
      <c r="AK153" s="9">
        <f t="shared" si="37"/>
        <v>7.8545021469572974E-5</v>
      </c>
      <c r="AL153" s="9">
        <f t="shared" si="38"/>
        <v>1.0198280806371857E-2</v>
      </c>
      <c r="AM153" s="9">
        <f t="shared" si="39"/>
        <v>1.0400493140561262E-4</v>
      </c>
      <c r="AN153" s="9" t="s">
        <v>3305</v>
      </c>
    </row>
    <row r="154" spans="13:40" ht="23">
      <c r="M154" s="9" t="s">
        <v>3267</v>
      </c>
      <c r="N154" s="8" t="s">
        <v>1902</v>
      </c>
      <c r="O154" s="8"/>
      <c r="P154" s="8"/>
      <c r="Q154" s="8"/>
      <c r="R154" s="8"/>
      <c r="S154" s="8"/>
      <c r="T154" s="8"/>
      <c r="U154" s="8"/>
      <c r="V154" s="8"/>
      <c r="W154" s="9" t="s">
        <v>3267</v>
      </c>
      <c r="X154" s="8">
        <v>35.950000000000003</v>
      </c>
      <c r="Y154" s="8">
        <v>2.2599999999999998</v>
      </c>
      <c r="Z154" s="9">
        <v>0.37</v>
      </c>
      <c r="AA154" s="8">
        <v>1.3</v>
      </c>
      <c r="AB154" s="8">
        <v>70705</v>
      </c>
      <c r="AC154" s="22" t="s">
        <v>3267</v>
      </c>
      <c r="AD154" s="8" t="s">
        <v>4002</v>
      </c>
      <c r="AE154" s="8" t="s">
        <v>4364</v>
      </c>
      <c r="AF154" s="9">
        <f t="shared" si="32"/>
        <v>2.9379999999999997</v>
      </c>
      <c r="AG154" s="9">
        <f t="shared" si="33"/>
        <v>0.80166666666666675</v>
      </c>
      <c r="AH154" s="9">
        <f t="shared" si="34"/>
        <v>1.4685946678716685E-2</v>
      </c>
      <c r="AI154" s="9">
        <f t="shared" si="35"/>
        <v>2.1567702985010964E-4</v>
      </c>
      <c r="AJ154" s="9">
        <f t="shared" si="36"/>
        <v>1.1993648020313283E-2</v>
      </c>
      <c r="AK154" s="9">
        <f t="shared" si="37"/>
        <v>1.4384759283516473E-4</v>
      </c>
      <c r="AL154" s="9">
        <f t="shared" si="38"/>
        <v>5.6318864154590864E-3</v>
      </c>
      <c r="AM154" s="9">
        <f t="shared" si="39"/>
        <v>3.1718144596632597E-5</v>
      </c>
      <c r="AN154" s="9" t="s">
        <v>3267</v>
      </c>
    </row>
    <row r="155" spans="13:40" ht="23">
      <c r="M155" s="9" t="s">
        <v>3101</v>
      </c>
      <c r="N155" s="8" t="s">
        <v>1814</v>
      </c>
      <c r="O155" s="8"/>
      <c r="P155" s="8" t="s">
        <v>3691</v>
      </c>
      <c r="Q155" s="8"/>
      <c r="R155" s="8"/>
      <c r="S155" s="8"/>
      <c r="T155" s="8"/>
      <c r="U155" s="8"/>
      <c r="V155" s="8"/>
      <c r="W155" s="9" t="s">
        <v>3101</v>
      </c>
      <c r="X155" s="8">
        <v>21.41</v>
      </c>
      <c r="Y155" s="8">
        <v>4.3600000000000003</v>
      </c>
      <c r="Z155" s="9">
        <v>7.1</v>
      </c>
      <c r="AA155" s="8">
        <v>1.2</v>
      </c>
      <c r="AB155" s="8">
        <v>47629</v>
      </c>
      <c r="AC155" s="22" t="s">
        <v>3101</v>
      </c>
      <c r="AD155" s="8" t="s">
        <v>4002</v>
      </c>
      <c r="AE155" s="8" t="s">
        <v>4364</v>
      </c>
      <c r="AF155" s="9">
        <f t="shared" si="32"/>
        <v>5.2320000000000002</v>
      </c>
      <c r="AG155" s="9">
        <f t="shared" si="33"/>
        <v>8.4019999999999992</v>
      </c>
      <c r="AH155" s="9">
        <f t="shared" si="34"/>
        <v>1.3556258472661556E-2</v>
      </c>
      <c r="AI155" s="9">
        <f t="shared" si="35"/>
        <v>1.8377214377760822E-4</v>
      </c>
      <c r="AJ155" s="9">
        <f t="shared" si="36"/>
        <v>2.1358327584165795E-2</v>
      </c>
      <c r="AK155" s="9">
        <f t="shared" si="37"/>
        <v>4.5617815719253748E-4</v>
      </c>
      <c r="AL155" s="9">
        <f t="shared" si="38"/>
        <v>5.9025916419152474E-2</v>
      </c>
      <c r="AM155" s="9">
        <f t="shared" si="39"/>
        <v>3.4840588091207738E-3</v>
      </c>
      <c r="AN155" s="9" t="s">
        <v>3101</v>
      </c>
    </row>
    <row r="156" spans="13:40" ht="23">
      <c r="M156" s="8" t="s">
        <v>62</v>
      </c>
      <c r="N156" s="8" t="s">
        <v>24</v>
      </c>
      <c r="O156" s="8"/>
      <c r="P156" s="8"/>
      <c r="Q156" s="8"/>
      <c r="R156" s="8"/>
      <c r="S156" s="8"/>
      <c r="T156" s="8"/>
      <c r="U156" s="8"/>
      <c r="V156" s="8"/>
      <c r="W156" s="8" t="s">
        <v>62</v>
      </c>
      <c r="X156" s="8">
        <v>57.12</v>
      </c>
      <c r="Y156" s="8">
        <v>1.66</v>
      </c>
      <c r="Z156" s="9">
        <v>0.12</v>
      </c>
      <c r="AA156" s="8">
        <v>1.2</v>
      </c>
      <c r="AB156" s="8">
        <v>68270</v>
      </c>
      <c r="AC156" s="21" t="s">
        <v>62</v>
      </c>
      <c r="AD156" s="8" t="s">
        <v>4002</v>
      </c>
      <c r="AE156" s="8" t="s">
        <v>4364</v>
      </c>
      <c r="AF156" s="9">
        <f t="shared" si="32"/>
        <v>1.9919999999999998</v>
      </c>
      <c r="AG156" s="9">
        <f t="shared" si="33"/>
        <v>0.24</v>
      </c>
      <c r="AH156" s="9">
        <f t="shared" si="34"/>
        <v>1.3556258472661556E-2</v>
      </c>
      <c r="AI156" s="9">
        <f t="shared" si="35"/>
        <v>1.8377214377760822E-4</v>
      </c>
      <c r="AJ156" s="9">
        <f t="shared" si="36"/>
        <v>8.1318403187420219E-3</v>
      </c>
      <c r="AK156" s="9">
        <f t="shared" si="37"/>
        <v>6.6126826969518346E-5</v>
      </c>
      <c r="AL156" s="9">
        <f t="shared" si="38"/>
        <v>1.6860533135677927E-3</v>
      </c>
      <c r="AM156" s="9">
        <f t="shared" si="39"/>
        <v>2.8427757761929333E-6</v>
      </c>
      <c r="AN156" s="8" t="s">
        <v>62</v>
      </c>
    </row>
    <row r="157" spans="13:40" ht="23">
      <c r="M157" s="9" t="s">
        <v>3117</v>
      </c>
      <c r="N157" s="8" t="s">
        <v>1862</v>
      </c>
      <c r="O157" s="8"/>
      <c r="P157" s="8"/>
      <c r="Q157" s="8"/>
      <c r="R157" s="8"/>
      <c r="S157" s="8"/>
      <c r="T157" s="8"/>
      <c r="U157" s="8"/>
      <c r="V157" s="8"/>
      <c r="W157" s="9" t="s">
        <v>3117</v>
      </c>
      <c r="X157" s="8">
        <v>22.43</v>
      </c>
      <c r="Y157" s="8">
        <v>1.31</v>
      </c>
      <c r="Z157" s="9">
        <v>0.28000000000000003</v>
      </c>
      <c r="AA157" s="8">
        <v>1.1000000000000001</v>
      </c>
      <c r="AB157" s="8">
        <v>134826</v>
      </c>
      <c r="AC157" s="22" t="s">
        <v>3117</v>
      </c>
      <c r="AD157" s="8" t="s">
        <v>4002</v>
      </c>
      <c r="AE157" s="8" t="s">
        <v>4364</v>
      </c>
      <c r="AF157" s="9">
        <f t="shared" si="32"/>
        <v>1.4410000000000003</v>
      </c>
      <c r="AG157" s="9">
        <f t="shared" si="33"/>
        <v>0.51333333333333342</v>
      </c>
      <c r="AH157" s="9">
        <f t="shared" si="34"/>
        <v>1.2426570266606428E-2</v>
      </c>
      <c r="AI157" s="9">
        <f t="shared" si="35"/>
        <v>1.5441964859090693E-4</v>
      </c>
      <c r="AJ157" s="9">
        <f t="shared" si="36"/>
        <v>5.8825210337887833E-3</v>
      </c>
      <c r="AK157" s="9">
        <f t="shared" si="37"/>
        <v>3.4604053712967453E-5</v>
      </c>
      <c r="AL157" s="9">
        <f t="shared" si="38"/>
        <v>3.6062806984644459E-3</v>
      </c>
      <c r="AM157" s="9">
        <f t="shared" si="39"/>
        <v>1.3005260476117212E-5</v>
      </c>
      <c r="AN157" s="9" t="s">
        <v>3117</v>
      </c>
    </row>
    <row r="158" spans="13:40" ht="18">
      <c r="M158" s="49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9"/>
      <c r="AA158" s="48">
        <f>SUBTOTAL(109,Table13661[ترافیک کل])</f>
        <v>8851.9999999999927</v>
      </c>
      <c r="AB158" s="48"/>
      <c r="AC158" s="53"/>
      <c r="AD158" s="48"/>
      <c r="AE158" s="48"/>
      <c r="AF158" s="49">
        <f>SUBTOTAL(109,Table13661[[مجموع صفحات  مشاهده شده   ]])</f>
        <v>24496.299999999974</v>
      </c>
      <c r="AG158" s="49">
        <f>SUBTOTAL(109,Table13661[[مجموع زمان حضور در سایت ]])</f>
        <v>14234.425333333334</v>
      </c>
      <c r="AH158" s="49">
        <f>SUBTOTAL(109,Table13661[سهم سایت از کل ترافیک طبقه بندی])</f>
        <v>100.00000000000009</v>
      </c>
      <c r="AI158" s="49">
        <f>SUBTOTAL(109,Table13661[شاخص هرفیندال هیرشمن (ترافیک)])</f>
        <v>304.33118782758709</v>
      </c>
      <c r="AJ158" s="49">
        <f>SUBTOTAL(109,Table13661[سهم سایت از کل صفحات مشاهده شده در طبقه بندی])</f>
        <v>100.00000000000009</v>
      </c>
      <c r="AK158" s="49">
        <f>SUBTOTAL(109,Table13661[شاخص هرفیندال -هیرشمن (صفحات مشاهده شده )])</f>
        <v>350.27727712374372</v>
      </c>
      <c r="AL158" s="49">
        <f>SUBTOTAL(109,Table13661[سهم سایت از کل زمان حضور در طبقه بندی])</f>
        <v>100.0000000000001</v>
      </c>
      <c r="AM158" s="49">
        <f>SUBTOTAL(109,Table13661[شاخص هرفیندال هیرشمن (زمان حضور)])</f>
        <v>538.25510168111282</v>
      </c>
      <c r="AN158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{5B0E9517-F97D-4BDF-8735-EE33EEE4E1A4}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{99FF5957-B511-4839-A74A-E9F8DA8D4EBF}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{7BF97C07-E5AE-48BF-91BC-A4D2A9ADD6ED}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{95C83EC2-E81D-4D3C-BE07-96058DB66A8F}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{243179A2-46A7-491C-AAE4-8031D7119093}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{EDA1124D-7D4B-4485-9E36-CB42AED1256A}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0E9517-F97D-4BDF-8735-EE33EEE4E1A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9FF5957-B511-4839-A74A-E9F8DA8D4EB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BF97C07-E5AE-48BF-91BC-A4D2A9ADD6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5C83EC2-E81D-4D3C-BE07-96058DB66A8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43179A2-46A7-491C-AAE4-8031D711909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EDA1124D-7D4B-4485-9E36-CB42AED1256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42"/>
  <sheetViews>
    <sheetView showGridLines="0" rightToLeft="1" topLeftCell="AA1" zoomScale="70" zoomScaleNormal="70" workbookViewId="0">
      <selection activeCell="AE2" sqref="AE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3484</v>
      </c>
      <c r="N2" s="8" t="s">
        <v>2027</v>
      </c>
      <c r="O2" s="8"/>
      <c r="P2" s="8"/>
      <c r="Q2" s="8"/>
      <c r="R2" s="8"/>
      <c r="S2" s="8"/>
      <c r="T2" s="8"/>
      <c r="U2" s="8"/>
      <c r="V2" s="8"/>
      <c r="W2" s="9" t="s">
        <v>3484</v>
      </c>
      <c r="X2" s="8">
        <v>35.020000000000003</v>
      </c>
      <c r="Y2" s="8">
        <v>1.84</v>
      </c>
      <c r="Z2" s="9">
        <v>1.42</v>
      </c>
      <c r="AA2" s="8">
        <v>393.9</v>
      </c>
      <c r="AB2" s="8">
        <v>4900</v>
      </c>
      <c r="AC2" s="22" t="s">
        <v>3484</v>
      </c>
      <c r="AD2" s="8" t="s">
        <v>4359</v>
      </c>
      <c r="AE2" s="8" t="s">
        <v>4364</v>
      </c>
      <c r="AF2" s="9">
        <f t="shared" ref="AF2:AF41" si="0">(AA2*Y2)</f>
        <v>724.77599999999995</v>
      </c>
      <c r="AG2" s="9">
        <f t="shared" ref="AG2:AG41" si="1">((((RIGHT(Z2,2))/60)+(LEFT(Z2,2)))*AA2)</f>
        <v>669.63</v>
      </c>
      <c r="AH2" s="9">
        <f t="shared" ref="AH2:AH41" si="2">(AA2/$AA$42)*100</f>
        <v>15.879222768684995</v>
      </c>
      <c r="AI2" s="9">
        <f t="shared" ref="AI2:AI41" si="3">(AH2*AH2)</f>
        <v>252.14971573752396</v>
      </c>
      <c r="AJ2" s="9">
        <f t="shared" ref="AJ2:AJ41" si="4">(AF2/$AF$42)*100</f>
        <v>10.304424210568666</v>
      </c>
      <c r="AK2" s="9">
        <f t="shared" ref="AK2:AK41" si="5">(AJ2*AJ2)</f>
        <v>106.18115831135367</v>
      </c>
      <c r="AL2" s="9">
        <f t="shared" ref="AL2:AL41" si="6">(AG2/$AG$42)*100</f>
        <v>13.641577431616151</v>
      </c>
      <c r="AM2" s="9">
        <f t="shared" ref="AM2:AM41" si="7">(AL2*AL2)</f>
        <v>186.0926348227791</v>
      </c>
      <c r="AN2" s="9" t="s">
        <v>3484</v>
      </c>
    </row>
    <row r="3" spans="8:40" ht="23">
      <c r="M3" s="8" t="s">
        <v>2101</v>
      </c>
      <c r="N3" s="8" t="s">
        <v>2100</v>
      </c>
      <c r="O3" s="8"/>
      <c r="P3" s="8" t="s">
        <v>3692</v>
      </c>
      <c r="Q3" s="8"/>
      <c r="R3" s="8"/>
      <c r="S3" s="8"/>
      <c r="T3" s="8"/>
      <c r="U3" s="8"/>
      <c r="V3" s="8"/>
      <c r="W3" s="8" t="s">
        <v>2101</v>
      </c>
      <c r="X3" s="8">
        <v>23.58</v>
      </c>
      <c r="Y3" s="8">
        <v>3.93</v>
      </c>
      <c r="Z3" s="9">
        <v>3.36</v>
      </c>
      <c r="AA3" s="8">
        <v>284.8</v>
      </c>
      <c r="AB3" s="8">
        <v>901</v>
      </c>
      <c r="AC3" s="21" t="s">
        <v>2101</v>
      </c>
      <c r="AD3" s="8" t="s">
        <v>4359</v>
      </c>
      <c r="AE3" s="8" t="s">
        <v>4364</v>
      </c>
      <c r="AF3" s="9">
        <f t="shared" si="0"/>
        <v>1119.2640000000001</v>
      </c>
      <c r="AG3" s="9">
        <f t="shared" si="1"/>
        <v>1025.28</v>
      </c>
      <c r="AH3" s="9">
        <f t="shared" si="2"/>
        <v>11.481093283882933</v>
      </c>
      <c r="AI3" s="9">
        <f t="shared" si="3"/>
        <v>131.81550299322177</v>
      </c>
      <c r="AJ3" s="9">
        <f t="shared" si="4"/>
        <v>15.913014586048558</v>
      </c>
      <c r="AK3" s="9">
        <f t="shared" si="5"/>
        <v>253.22403321579415</v>
      </c>
      <c r="AL3" s="9">
        <f t="shared" si="6"/>
        <v>20.886812880377832</v>
      </c>
      <c r="AM3" s="9">
        <f t="shared" si="7"/>
        <v>436.25895229991733</v>
      </c>
      <c r="AN3" s="8" t="s">
        <v>2101</v>
      </c>
    </row>
    <row r="4" spans="8:40" ht="23">
      <c r="M4" s="9" t="s">
        <v>2155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9" t="s">
        <v>2155</v>
      </c>
      <c r="X4" s="8">
        <v>32.99</v>
      </c>
      <c r="Y4" s="8">
        <v>3.75</v>
      </c>
      <c r="Z4" s="9">
        <v>4.07</v>
      </c>
      <c r="AA4" s="8">
        <v>244.7</v>
      </c>
      <c r="AB4" s="8">
        <v>1184</v>
      </c>
      <c r="AC4" s="22" t="s">
        <v>2155</v>
      </c>
      <c r="AD4" s="8" t="s">
        <v>4359</v>
      </c>
      <c r="AE4" s="8" t="s">
        <v>4364</v>
      </c>
      <c r="AF4" s="9">
        <f t="shared" si="0"/>
        <v>917.625</v>
      </c>
      <c r="AG4" s="9">
        <f t="shared" si="1"/>
        <v>1007.3483333333331</v>
      </c>
      <c r="AH4" s="9">
        <f t="shared" si="2"/>
        <v>9.8645488994598072</v>
      </c>
      <c r="AI4" s="9">
        <f t="shared" si="3"/>
        <v>97.309324989833698</v>
      </c>
      <c r="AJ4" s="9">
        <f t="shared" si="4"/>
        <v>13.046233962249126</v>
      </c>
      <c r="AK4" s="9">
        <f t="shared" si="5"/>
        <v>170.20422059774253</v>
      </c>
      <c r="AL4" s="9">
        <f t="shared" si="6"/>
        <v>20.521512312435434</v>
      </c>
      <c r="AM4" s="9">
        <f t="shared" si="7"/>
        <v>421.1324675894391</v>
      </c>
      <c r="AN4" s="9" t="s">
        <v>2155</v>
      </c>
    </row>
    <row r="5" spans="8:40" ht="23">
      <c r="M5" s="9" t="s">
        <v>3485</v>
      </c>
      <c r="N5" s="8" t="s">
        <v>2027</v>
      </c>
      <c r="O5" s="8"/>
      <c r="P5" s="8"/>
      <c r="Q5" s="8"/>
      <c r="R5" s="8"/>
      <c r="S5" s="8"/>
      <c r="T5" s="8"/>
      <c r="U5" s="8"/>
      <c r="V5" s="8"/>
      <c r="W5" s="9" t="s">
        <v>3485</v>
      </c>
      <c r="X5" s="8">
        <v>38.35</v>
      </c>
      <c r="Y5" s="8">
        <v>1.37</v>
      </c>
      <c r="Z5" s="9">
        <v>7.0000000000000007E-2</v>
      </c>
      <c r="AA5" s="8">
        <v>228.2</v>
      </c>
      <c r="AB5" s="8">
        <v>11211</v>
      </c>
      <c r="AC5" s="22" t="s">
        <v>3485</v>
      </c>
      <c r="AD5" s="8" t="s">
        <v>4359</v>
      </c>
      <c r="AE5" s="8" t="s">
        <v>4364</v>
      </c>
      <c r="AF5" s="9">
        <f t="shared" si="0"/>
        <v>312.63400000000001</v>
      </c>
      <c r="AG5" s="9">
        <f t="shared" si="1"/>
        <v>26.623333333333331</v>
      </c>
      <c r="AH5" s="9">
        <f t="shared" si="2"/>
        <v>9.1993872450213665</v>
      </c>
      <c r="AI5" s="9">
        <f t="shared" si="3"/>
        <v>84.628725683861802</v>
      </c>
      <c r="AJ5" s="9">
        <f t="shared" si="4"/>
        <v>4.4448400038728169</v>
      </c>
      <c r="AK5" s="9">
        <f t="shared" si="5"/>
        <v>19.756602660028104</v>
      </c>
      <c r="AL5" s="9">
        <f t="shared" si="6"/>
        <v>0.54236557972969246</v>
      </c>
      <c r="AM5" s="9">
        <f t="shared" si="7"/>
        <v>0.2941604220755254</v>
      </c>
      <c r="AN5" s="9" t="s">
        <v>3485</v>
      </c>
    </row>
    <row r="6" spans="8:40" ht="23">
      <c r="M6" s="8" t="s">
        <v>17</v>
      </c>
      <c r="N6" s="8" t="s">
        <v>18</v>
      </c>
      <c r="O6" s="8"/>
      <c r="P6" s="8" t="s">
        <v>4696</v>
      </c>
      <c r="Q6" s="8"/>
      <c r="R6" s="8"/>
      <c r="S6" s="8"/>
      <c r="T6" s="8"/>
      <c r="U6" s="8"/>
      <c r="V6" s="8"/>
      <c r="W6" s="8" t="s">
        <v>17</v>
      </c>
      <c r="X6" s="8">
        <v>25.74</v>
      </c>
      <c r="Y6" s="8">
        <v>5.73</v>
      </c>
      <c r="Z6" s="9">
        <v>3.08</v>
      </c>
      <c r="AA6" s="8">
        <v>185.9</v>
      </c>
      <c r="AB6" s="8">
        <v>861</v>
      </c>
      <c r="AC6" s="21" t="s">
        <v>17</v>
      </c>
      <c r="AD6" s="8" t="s">
        <v>4359</v>
      </c>
      <c r="AE6" s="8" t="s">
        <v>4364</v>
      </c>
      <c r="AF6" s="9">
        <f t="shared" si="0"/>
        <v>1065.2070000000001</v>
      </c>
      <c r="AG6" s="9">
        <f t="shared" si="1"/>
        <v>582.48666666666668</v>
      </c>
      <c r="AH6" s="9">
        <f t="shared" si="2"/>
        <v>7.4941546400064505</v>
      </c>
      <c r="AI6" s="9">
        <f t="shared" si="3"/>
        <v>56.162353768330213</v>
      </c>
      <c r="AJ6" s="9">
        <f t="shared" si="4"/>
        <v>15.144465048604285</v>
      </c>
      <c r="AK6" s="9">
        <f t="shared" si="5"/>
        <v>229.3548216083968</v>
      </c>
      <c r="AL6" s="9">
        <f t="shared" si="6"/>
        <v>11.866309702697489</v>
      </c>
      <c r="AM6" s="9">
        <f t="shared" si="7"/>
        <v>140.80930596033258</v>
      </c>
      <c r="AN6" s="8" t="s">
        <v>17</v>
      </c>
    </row>
    <row r="7" spans="8:40" ht="23">
      <c r="M7" s="9" t="s">
        <v>3365</v>
      </c>
      <c r="N7" s="8" t="s">
        <v>1964</v>
      </c>
      <c r="O7" s="8"/>
      <c r="P7" s="8" t="s">
        <v>3694</v>
      </c>
      <c r="Q7" s="8"/>
      <c r="R7" s="8"/>
      <c r="S7" s="8"/>
      <c r="T7" s="8"/>
      <c r="U7" s="8"/>
      <c r="V7" s="8"/>
      <c r="W7" s="9" t="s">
        <v>3365</v>
      </c>
      <c r="X7" s="8">
        <v>21.39</v>
      </c>
      <c r="Y7" s="8">
        <v>1.2</v>
      </c>
      <c r="Z7" s="9">
        <v>0.17</v>
      </c>
      <c r="AA7" s="8">
        <v>168</v>
      </c>
      <c r="AB7" s="8">
        <v>14069</v>
      </c>
      <c r="AC7" s="22" t="s">
        <v>3365</v>
      </c>
      <c r="AD7" s="8" t="s">
        <v>4359</v>
      </c>
      <c r="AE7" s="8" t="s">
        <v>4364</v>
      </c>
      <c r="AF7" s="9">
        <f t="shared" si="0"/>
        <v>201.6</v>
      </c>
      <c r="AG7" s="9">
        <f t="shared" si="1"/>
        <v>47.6</v>
      </c>
      <c r="AH7" s="9">
        <f t="shared" si="2"/>
        <v>6.7725550270095942</v>
      </c>
      <c r="AI7" s="9">
        <f t="shared" si="3"/>
        <v>45.867501593872923</v>
      </c>
      <c r="AJ7" s="9">
        <f t="shared" si="4"/>
        <v>2.8662261455272295</v>
      </c>
      <c r="AK7" s="9">
        <f t="shared" si="5"/>
        <v>8.2152523173038787</v>
      </c>
      <c r="AL7" s="9">
        <f t="shared" si="6"/>
        <v>0.96969831958682962</v>
      </c>
      <c r="AM7" s="9">
        <f t="shared" si="7"/>
        <v>0.94031483100952118</v>
      </c>
      <c r="AN7" s="9" t="s">
        <v>3365</v>
      </c>
    </row>
    <row r="8" spans="8:40" ht="23">
      <c r="M8" s="8" t="s">
        <v>1299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1299</v>
      </c>
      <c r="X8" s="8">
        <v>25.64</v>
      </c>
      <c r="Y8" s="8">
        <v>2.19</v>
      </c>
      <c r="Z8" s="9">
        <v>1.2</v>
      </c>
      <c r="AA8" s="8">
        <v>111.1</v>
      </c>
      <c r="AB8" s="8">
        <v>3668</v>
      </c>
      <c r="AC8" s="21" t="s">
        <v>1299</v>
      </c>
      <c r="AD8" s="8" t="s">
        <v>4359</v>
      </c>
      <c r="AE8" s="8" t="s">
        <v>4364</v>
      </c>
      <c r="AF8" s="9">
        <f t="shared" si="0"/>
        <v>243.30899999999997</v>
      </c>
      <c r="AG8" s="9">
        <f t="shared" si="1"/>
        <v>111.47033333333334</v>
      </c>
      <c r="AH8" s="9">
        <f t="shared" si="2"/>
        <v>4.4787551398855117</v>
      </c>
      <c r="AI8" s="9">
        <f t="shared" si="3"/>
        <v>20.059247603050888</v>
      </c>
      <c r="AJ8" s="9">
        <f t="shared" si="4"/>
        <v>3.4592193315579589</v>
      </c>
      <c r="AK8" s="9">
        <f t="shared" si="5"/>
        <v>11.966198383824292</v>
      </c>
      <c r="AL8" s="9">
        <f t="shared" si="6"/>
        <v>2.2708528343932164</v>
      </c>
      <c r="AM8" s="9">
        <f t="shared" si="7"/>
        <v>5.156772595471705</v>
      </c>
      <c r="AN8" s="8" t="s">
        <v>1299</v>
      </c>
    </row>
    <row r="9" spans="8:40" ht="23">
      <c r="M9" s="8" t="s">
        <v>1223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1223</v>
      </c>
      <c r="X9" s="8">
        <v>29.41</v>
      </c>
      <c r="Y9" s="8">
        <v>2.0099999999999998</v>
      </c>
      <c r="Z9" s="9">
        <v>0.4</v>
      </c>
      <c r="AA9" s="8">
        <v>93.1</v>
      </c>
      <c r="AB9" s="8">
        <v>4229</v>
      </c>
      <c r="AC9" s="21" t="s">
        <v>1223</v>
      </c>
      <c r="AD9" s="8" t="s">
        <v>4359</v>
      </c>
      <c r="AE9" s="8" t="s">
        <v>4364</v>
      </c>
      <c r="AF9" s="9">
        <f t="shared" si="0"/>
        <v>187.13099999999997</v>
      </c>
      <c r="AG9" s="9">
        <f t="shared" si="1"/>
        <v>0.6206666666666667</v>
      </c>
      <c r="AH9" s="9">
        <f t="shared" si="2"/>
        <v>3.7531242441344834</v>
      </c>
      <c r="AI9" s="9">
        <f t="shared" si="3"/>
        <v>14.085941591910037</v>
      </c>
      <c r="AJ9" s="9">
        <f t="shared" si="4"/>
        <v>2.660514706540952</v>
      </c>
      <c r="AK9" s="9">
        <f t="shared" si="5"/>
        <v>7.0783385037206878</v>
      </c>
      <c r="AL9" s="9">
        <f t="shared" si="6"/>
        <v>1.2644105539710623E-2</v>
      </c>
      <c r="AM9" s="9">
        <f t="shared" si="7"/>
        <v>1.5987340489934085E-4</v>
      </c>
      <c r="AN9" s="8" t="s">
        <v>1223</v>
      </c>
    </row>
    <row r="10" spans="8:40" ht="23">
      <c r="M10" s="8" t="s">
        <v>1920</v>
      </c>
      <c r="N10" s="8" t="s">
        <v>1902</v>
      </c>
      <c r="O10" s="8"/>
      <c r="P10" s="8"/>
      <c r="Q10" s="8"/>
      <c r="R10" s="8"/>
      <c r="S10" s="8"/>
      <c r="T10" s="8"/>
      <c r="U10" s="8"/>
      <c r="V10" s="8"/>
      <c r="W10" s="8" t="s">
        <v>1920</v>
      </c>
      <c r="X10" s="8">
        <v>29.91</v>
      </c>
      <c r="Y10" s="8">
        <v>1.49</v>
      </c>
      <c r="Z10" s="9">
        <v>1.06</v>
      </c>
      <c r="AA10" s="8">
        <v>79.900000000000006</v>
      </c>
      <c r="AB10" s="8">
        <v>6913</v>
      </c>
      <c r="AC10" s="21" t="s">
        <v>1920</v>
      </c>
      <c r="AD10" s="8" t="s">
        <v>4359</v>
      </c>
      <c r="AE10" s="8" t="s">
        <v>4364</v>
      </c>
      <c r="AF10" s="9">
        <f t="shared" si="0"/>
        <v>119.051</v>
      </c>
      <c r="AG10" s="9">
        <f t="shared" si="1"/>
        <v>87.890000000000015</v>
      </c>
      <c r="AH10" s="9">
        <f t="shared" si="2"/>
        <v>3.2209949205837298</v>
      </c>
      <c r="AI10" s="9">
        <f t="shared" si="3"/>
        <v>10.374808278426189</v>
      </c>
      <c r="AJ10" s="9">
        <f t="shared" si="4"/>
        <v>1.6925946867617174</v>
      </c>
      <c r="AK10" s="9">
        <f t="shared" si="5"/>
        <v>2.8648767736539962</v>
      </c>
      <c r="AL10" s="9">
        <f t="shared" si="6"/>
        <v>1.7904786829513963</v>
      </c>
      <c r="AM10" s="9">
        <f t="shared" si="7"/>
        <v>3.2058139141033668</v>
      </c>
      <c r="AN10" s="8" t="s">
        <v>1920</v>
      </c>
    </row>
    <row r="11" spans="8:40" ht="23">
      <c r="M11" s="9" t="s">
        <v>3488</v>
      </c>
      <c r="N11" s="8" t="s">
        <v>2027</v>
      </c>
      <c r="O11" s="8"/>
      <c r="P11" s="8"/>
      <c r="Q11" s="8"/>
      <c r="R11" s="8"/>
      <c r="S11" s="8"/>
      <c r="T11" s="8"/>
      <c r="U11" s="8"/>
      <c r="V11" s="8"/>
      <c r="W11" s="9" t="s">
        <v>3488</v>
      </c>
      <c r="X11" s="8">
        <v>27.95</v>
      </c>
      <c r="Y11" s="8">
        <v>2.77</v>
      </c>
      <c r="Z11" s="9">
        <v>1.28</v>
      </c>
      <c r="AA11" s="8">
        <v>74.5</v>
      </c>
      <c r="AB11" s="8">
        <v>3370</v>
      </c>
      <c r="AC11" s="22" t="s">
        <v>3488</v>
      </c>
      <c r="AD11" s="8" t="s">
        <v>4359</v>
      </c>
      <c r="AE11" s="8" t="s">
        <v>4364</v>
      </c>
      <c r="AF11" s="9">
        <f t="shared" si="0"/>
        <v>206.36500000000001</v>
      </c>
      <c r="AG11" s="9">
        <f t="shared" si="1"/>
        <v>109.26666666666668</v>
      </c>
      <c r="AH11" s="9">
        <f t="shared" si="2"/>
        <v>3.0033056518584216</v>
      </c>
      <c r="AI11" s="9">
        <f t="shared" si="3"/>
        <v>9.0198448384847385</v>
      </c>
      <c r="AJ11" s="9">
        <f t="shared" si="4"/>
        <v>2.9339720164768193</v>
      </c>
      <c r="AK11" s="9">
        <f t="shared" si="5"/>
        <v>8.6081917934690537</v>
      </c>
      <c r="AL11" s="9">
        <f t="shared" si="6"/>
        <v>2.225960148183213</v>
      </c>
      <c r="AM11" s="9">
        <f t="shared" si="7"/>
        <v>4.9548985812998314</v>
      </c>
      <c r="AN11" s="9" t="s">
        <v>3488</v>
      </c>
    </row>
    <row r="12" spans="8:40" ht="23">
      <c r="M12" s="9" t="s">
        <v>3060</v>
      </c>
      <c r="N12" s="8" t="s">
        <v>1814</v>
      </c>
      <c r="O12" s="8"/>
      <c r="P12" s="8" t="s">
        <v>4742</v>
      </c>
      <c r="Q12" s="8"/>
      <c r="R12" s="8"/>
      <c r="S12" s="8"/>
      <c r="T12" s="8"/>
      <c r="U12" s="8"/>
      <c r="V12" s="8"/>
      <c r="W12" s="9" t="s">
        <v>3060</v>
      </c>
      <c r="X12" s="8">
        <v>19.72</v>
      </c>
      <c r="Y12" s="8">
        <v>2.93</v>
      </c>
      <c r="Z12" s="9">
        <v>2.15</v>
      </c>
      <c r="AA12" s="8">
        <v>72.099999999999994</v>
      </c>
      <c r="AB12" s="8">
        <v>3298</v>
      </c>
      <c r="AC12" s="22" t="s">
        <v>3060</v>
      </c>
      <c r="AD12" s="8" t="s">
        <v>4359</v>
      </c>
      <c r="AE12" s="8" t="s">
        <v>4364</v>
      </c>
      <c r="AF12" s="9">
        <f t="shared" si="0"/>
        <v>211.25299999999999</v>
      </c>
      <c r="AG12" s="9">
        <f t="shared" si="1"/>
        <v>162.22499999999999</v>
      </c>
      <c r="AH12" s="9">
        <f t="shared" si="2"/>
        <v>2.906554865758284</v>
      </c>
      <c r="AI12" s="9">
        <f t="shared" si="3"/>
        <v>8.4480611876631571</v>
      </c>
      <c r="AJ12" s="9">
        <f t="shared" si="4"/>
        <v>3.0034666265925782</v>
      </c>
      <c r="AK12" s="9">
        <f t="shared" si="5"/>
        <v>9.0208117770554015</v>
      </c>
      <c r="AL12" s="9">
        <f t="shared" si="6"/>
        <v>3.3048174347683492</v>
      </c>
      <c r="AM12" s="9">
        <f t="shared" si="7"/>
        <v>10.921818277148851</v>
      </c>
      <c r="AN12" s="9" t="s">
        <v>3060</v>
      </c>
    </row>
    <row r="13" spans="8:40" ht="23">
      <c r="M13" s="9" t="s">
        <v>2464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9" t="s">
        <v>2464</v>
      </c>
      <c r="X13" s="8">
        <v>33.799999999999997</v>
      </c>
      <c r="Y13" s="8">
        <v>1.39</v>
      </c>
      <c r="Z13" s="9">
        <v>0.38</v>
      </c>
      <c r="AA13" s="8">
        <v>68.5</v>
      </c>
      <c r="AB13" s="8">
        <v>11449</v>
      </c>
      <c r="AC13" s="22" t="s">
        <v>2464</v>
      </c>
      <c r="AD13" s="8" t="s">
        <v>4359</v>
      </c>
      <c r="AE13" s="8" t="s">
        <v>4364</v>
      </c>
      <c r="AF13" s="9">
        <f t="shared" si="0"/>
        <v>95.214999999999989</v>
      </c>
      <c r="AG13" s="9">
        <f t="shared" si="1"/>
        <v>43.383333333333333</v>
      </c>
      <c r="AH13" s="9">
        <f t="shared" si="2"/>
        <v>2.7614286866080788</v>
      </c>
      <c r="AI13" s="9">
        <f t="shared" si="3"/>
        <v>7.625488391222019</v>
      </c>
      <c r="AJ13" s="9">
        <f t="shared" si="4"/>
        <v>1.3537089407062257</v>
      </c>
      <c r="AK13" s="9">
        <f t="shared" si="5"/>
        <v>1.8325278961479716</v>
      </c>
      <c r="AL13" s="9">
        <f t="shared" si="6"/>
        <v>0.88379717292875259</v>
      </c>
      <c r="AM13" s="9">
        <f t="shared" si="7"/>
        <v>0.78109744287685545</v>
      </c>
      <c r="AN13" s="9" t="s">
        <v>2464</v>
      </c>
    </row>
    <row r="14" spans="8:40" ht="23">
      <c r="M14" s="9" t="s">
        <v>2942</v>
      </c>
      <c r="N14" s="8" t="s">
        <v>1717</v>
      </c>
      <c r="O14" s="8"/>
      <c r="P14" s="8"/>
      <c r="Q14" s="8"/>
      <c r="R14" s="8"/>
      <c r="S14" s="8"/>
      <c r="T14" s="8"/>
      <c r="U14" s="8"/>
      <c r="V14" s="8"/>
      <c r="W14" s="9" t="s">
        <v>2942</v>
      </c>
      <c r="X14" s="8">
        <v>33.700000000000003</v>
      </c>
      <c r="Y14" s="8">
        <v>3.94</v>
      </c>
      <c r="Z14" s="9">
        <v>3.4</v>
      </c>
      <c r="AA14" s="8">
        <v>66.8</v>
      </c>
      <c r="AB14" s="8">
        <v>3314</v>
      </c>
      <c r="AC14" s="22" t="s">
        <v>2942</v>
      </c>
      <c r="AD14" s="8" t="s">
        <v>4359</v>
      </c>
      <c r="AE14" s="8" t="s">
        <v>4364</v>
      </c>
      <c r="AF14" s="9">
        <f t="shared" si="0"/>
        <v>263.19200000000001</v>
      </c>
      <c r="AG14" s="9">
        <f t="shared" si="1"/>
        <v>200.84533333333334</v>
      </c>
      <c r="AH14" s="9">
        <f t="shared" si="2"/>
        <v>2.6928968797871482</v>
      </c>
      <c r="AI14" s="9">
        <f t="shared" si="3"/>
        <v>7.2516936051673584</v>
      </c>
      <c r="AJ14" s="9">
        <f t="shared" si="4"/>
        <v>3.7419037286389019</v>
      </c>
      <c r="AK14" s="9">
        <f t="shared" si="5"/>
        <v>14.001843514401717</v>
      </c>
      <c r="AL14" s="9">
        <f t="shared" si="6"/>
        <v>4.0915836602981095</v>
      </c>
      <c r="AM14" s="9">
        <f t="shared" si="7"/>
        <v>16.741056849218474</v>
      </c>
      <c r="AN14" s="9" t="s">
        <v>2942</v>
      </c>
    </row>
    <row r="15" spans="8:40" ht="23">
      <c r="M15" s="9" t="s">
        <v>3450</v>
      </c>
      <c r="N15" s="8" t="s">
        <v>2003</v>
      </c>
      <c r="O15" s="8"/>
      <c r="P15" s="8"/>
      <c r="Q15" s="8"/>
      <c r="R15" s="8"/>
      <c r="S15" s="8"/>
      <c r="T15" s="8"/>
      <c r="U15" s="8"/>
      <c r="V15" s="8"/>
      <c r="W15" s="9" t="s">
        <v>3450</v>
      </c>
      <c r="X15" s="8">
        <v>16.71</v>
      </c>
      <c r="Y15" s="8">
        <v>1.67</v>
      </c>
      <c r="Z15" s="9">
        <v>0.27</v>
      </c>
      <c r="AA15" s="8">
        <v>60.5</v>
      </c>
      <c r="AB15" s="8">
        <v>15141</v>
      </c>
      <c r="AC15" s="22" t="s">
        <v>3450</v>
      </c>
      <c r="AD15" s="8" t="s">
        <v>4359</v>
      </c>
      <c r="AE15" s="8" t="s">
        <v>4364</v>
      </c>
      <c r="AF15" s="9">
        <f t="shared" si="0"/>
        <v>101.035</v>
      </c>
      <c r="AG15" s="9">
        <f t="shared" si="1"/>
        <v>27.225000000000001</v>
      </c>
      <c r="AH15" s="9">
        <f t="shared" si="2"/>
        <v>2.4389260662742887</v>
      </c>
      <c r="AI15" s="9">
        <f t="shared" si="3"/>
        <v>5.9483603567521754</v>
      </c>
      <c r="AJ15" s="9">
        <f t="shared" si="4"/>
        <v>1.4364541597884108</v>
      </c>
      <c r="AK15" s="9">
        <f t="shared" si="5"/>
        <v>2.0634005531734294</v>
      </c>
      <c r="AL15" s="9">
        <f t="shared" si="6"/>
        <v>0.55462262081410585</v>
      </c>
      <c r="AM15" s="9">
        <f t="shared" si="7"/>
        <v>0.30760625151870746</v>
      </c>
      <c r="AN15" s="9" t="s">
        <v>3450</v>
      </c>
    </row>
    <row r="16" spans="8:40" ht="23">
      <c r="M16" s="9" t="s">
        <v>3646</v>
      </c>
      <c r="N16" s="8" t="s">
        <v>2100</v>
      </c>
      <c r="O16" s="8"/>
      <c r="P16" s="8" t="s">
        <v>3691</v>
      </c>
      <c r="Q16" s="8"/>
      <c r="R16" s="8"/>
      <c r="S16" s="8"/>
      <c r="T16" s="8"/>
      <c r="U16" s="8"/>
      <c r="V16" s="8"/>
      <c r="W16" s="9" t="s">
        <v>3646</v>
      </c>
      <c r="X16" s="8">
        <v>1</v>
      </c>
      <c r="Y16" s="8">
        <v>2.2200000000000002</v>
      </c>
      <c r="Z16" s="9">
        <v>0.26</v>
      </c>
      <c r="AA16" s="8">
        <v>60.3</v>
      </c>
      <c r="AB16" s="8">
        <v>19116</v>
      </c>
      <c r="AC16" s="22" t="s">
        <v>3646</v>
      </c>
      <c r="AD16" s="8" t="s">
        <v>4359</v>
      </c>
      <c r="AE16" s="8" t="s">
        <v>4364</v>
      </c>
      <c r="AF16" s="9">
        <f t="shared" si="0"/>
        <v>133.86600000000001</v>
      </c>
      <c r="AG16" s="9">
        <f t="shared" si="1"/>
        <v>26.13</v>
      </c>
      <c r="AH16" s="9">
        <f t="shared" si="2"/>
        <v>2.4308635007659438</v>
      </c>
      <c r="AI16" s="9">
        <f t="shared" si="3"/>
        <v>5.9090973593560596</v>
      </c>
      <c r="AJ16" s="9">
        <f t="shared" si="4"/>
        <v>1.9032253432398221</v>
      </c>
      <c r="AK16" s="9">
        <f t="shared" si="5"/>
        <v>3.6222667071503385</v>
      </c>
      <c r="AL16" s="9">
        <f t="shared" si="6"/>
        <v>0.53231548510092142</v>
      </c>
      <c r="AM16" s="9">
        <f t="shared" si="7"/>
        <v>0.28335977567822929</v>
      </c>
      <c r="AN16" s="9" t="s">
        <v>3646</v>
      </c>
    </row>
    <row r="17" spans="13:40" ht="23">
      <c r="M17" s="9" t="s">
        <v>3610</v>
      </c>
      <c r="N17" s="8" t="s">
        <v>2084</v>
      </c>
      <c r="O17" s="8"/>
      <c r="P17" s="8" t="s">
        <v>3705</v>
      </c>
      <c r="Q17" s="8"/>
      <c r="R17" s="8"/>
      <c r="S17" s="8"/>
      <c r="T17" s="8"/>
      <c r="U17" s="8"/>
      <c r="V17" s="8"/>
      <c r="W17" s="9" t="s">
        <v>3610</v>
      </c>
      <c r="X17" s="8">
        <v>26.08</v>
      </c>
      <c r="Y17" s="8">
        <v>6.84</v>
      </c>
      <c r="Z17" s="9">
        <v>5.17</v>
      </c>
      <c r="AA17" s="8">
        <v>36.700000000000003</v>
      </c>
      <c r="AB17" s="8">
        <v>2441</v>
      </c>
      <c r="AC17" s="22" t="s">
        <v>3610</v>
      </c>
      <c r="AD17" s="8" t="s">
        <v>4359</v>
      </c>
      <c r="AE17" s="8" t="s">
        <v>4364</v>
      </c>
      <c r="AF17" s="9">
        <f t="shared" si="0"/>
        <v>251.02800000000002</v>
      </c>
      <c r="AG17" s="9">
        <f t="shared" si="1"/>
        <v>193.89833333333334</v>
      </c>
      <c r="AH17" s="9">
        <f t="shared" si="2"/>
        <v>1.4794807707812627</v>
      </c>
      <c r="AI17" s="9">
        <f t="shared" si="3"/>
        <v>2.1888633511115194</v>
      </c>
      <c r="AJ17" s="9">
        <f t="shared" si="4"/>
        <v>3.5689633772788163</v>
      </c>
      <c r="AK17" s="9">
        <f t="shared" si="5"/>
        <v>12.737499588357414</v>
      </c>
      <c r="AL17" s="9">
        <f t="shared" si="6"/>
        <v>3.9500606723533678</v>
      </c>
      <c r="AM17" s="9">
        <f t="shared" si="7"/>
        <v>15.602979315272741</v>
      </c>
      <c r="AN17" s="9" t="s">
        <v>3610</v>
      </c>
    </row>
    <row r="18" spans="13:40" ht="23">
      <c r="M18" s="8" t="s">
        <v>1216</v>
      </c>
      <c r="N18" s="8" t="s">
        <v>150</v>
      </c>
      <c r="O18" s="8" t="s">
        <v>4163</v>
      </c>
      <c r="P18" s="8"/>
      <c r="Q18" s="8"/>
      <c r="R18" s="8"/>
      <c r="S18" s="8"/>
      <c r="T18" s="8"/>
      <c r="U18" s="8"/>
      <c r="V18" s="8"/>
      <c r="W18" s="8" t="s">
        <v>1216</v>
      </c>
      <c r="X18" s="8">
        <v>22.34</v>
      </c>
      <c r="Y18" s="8">
        <v>1.05</v>
      </c>
      <c r="Z18" s="9">
        <v>0.02</v>
      </c>
      <c r="AA18" s="8">
        <v>35.200000000000003</v>
      </c>
      <c r="AB18" s="8">
        <v>82388</v>
      </c>
      <c r="AC18" s="21" t="s">
        <v>1216</v>
      </c>
      <c r="AD18" s="8" t="s">
        <v>4359</v>
      </c>
      <c r="AE18" s="8" t="s">
        <v>4364</v>
      </c>
      <c r="AF18" s="9">
        <f t="shared" si="0"/>
        <v>36.960000000000008</v>
      </c>
      <c r="AG18" s="9">
        <f t="shared" si="1"/>
        <v>1.1733333333333333</v>
      </c>
      <c r="AH18" s="9">
        <f t="shared" si="2"/>
        <v>1.4190115294686771</v>
      </c>
      <c r="AI18" s="9">
        <f t="shared" si="3"/>
        <v>2.0135937207650345</v>
      </c>
      <c r="AJ18" s="9">
        <f t="shared" si="4"/>
        <v>0.52547479334665881</v>
      </c>
      <c r="AK18" s="9">
        <f t="shared" si="5"/>
        <v>0.27612375844271381</v>
      </c>
      <c r="AL18" s="9">
        <f t="shared" si="6"/>
        <v>2.3902927765725772E-2</v>
      </c>
      <c r="AM18" s="9">
        <f t="shared" si="7"/>
        <v>5.7134995577350404E-4</v>
      </c>
      <c r="AN18" s="8" t="s">
        <v>1216</v>
      </c>
    </row>
    <row r="19" spans="13:40" ht="23">
      <c r="M19" s="8" t="s">
        <v>1445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1445</v>
      </c>
      <c r="X19" s="8">
        <v>31.27</v>
      </c>
      <c r="Y19" s="8">
        <v>3.61</v>
      </c>
      <c r="Z19" s="9">
        <v>2.04</v>
      </c>
      <c r="AA19" s="8">
        <v>33.5</v>
      </c>
      <c r="AB19" s="8">
        <v>12512</v>
      </c>
      <c r="AC19" s="21" t="s">
        <v>1445</v>
      </c>
      <c r="AD19" s="8" t="s">
        <v>4359</v>
      </c>
      <c r="AE19" s="8" t="s">
        <v>4364</v>
      </c>
      <c r="AF19" s="9">
        <f t="shared" si="0"/>
        <v>120.935</v>
      </c>
      <c r="AG19" s="9">
        <f t="shared" si="1"/>
        <v>69.233333333333334</v>
      </c>
      <c r="AH19" s="9">
        <f t="shared" si="2"/>
        <v>1.3504797226477465</v>
      </c>
      <c r="AI19" s="9">
        <f t="shared" si="3"/>
        <v>1.8237954812827344</v>
      </c>
      <c r="AJ19" s="9">
        <f t="shared" si="4"/>
        <v>1.7193802525264659</v>
      </c>
      <c r="AK19" s="9">
        <f t="shared" si="5"/>
        <v>2.9562684527779735</v>
      </c>
      <c r="AL19" s="9">
        <f t="shared" si="6"/>
        <v>1.4104085502673986</v>
      </c>
      <c r="AM19" s="9">
        <f t="shared" si="7"/>
        <v>1.9892522786673852</v>
      </c>
      <c r="AN19" s="8" t="s">
        <v>1445</v>
      </c>
    </row>
    <row r="20" spans="13:40" ht="23">
      <c r="M20" s="9" t="s">
        <v>2756</v>
      </c>
      <c r="N20" s="8" t="s">
        <v>1614</v>
      </c>
      <c r="O20" s="8"/>
      <c r="P20" s="8" t="s">
        <v>3691</v>
      </c>
      <c r="Q20" s="8"/>
      <c r="R20" s="8"/>
      <c r="S20" s="8"/>
      <c r="T20" s="8"/>
      <c r="U20" s="8"/>
      <c r="V20" s="8"/>
      <c r="W20" s="9" t="s">
        <v>2756</v>
      </c>
      <c r="X20" s="8">
        <v>70.69</v>
      </c>
      <c r="Y20" s="8">
        <v>1.71</v>
      </c>
      <c r="Z20" s="9">
        <v>0.37</v>
      </c>
      <c r="AA20" s="8">
        <v>32</v>
      </c>
      <c r="AB20" s="8">
        <v>7437</v>
      </c>
      <c r="AC20" s="22" t="s">
        <v>2756</v>
      </c>
      <c r="AD20" s="8" t="s">
        <v>4359</v>
      </c>
      <c r="AE20" s="8" t="s">
        <v>4364</v>
      </c>
      <c r="AF20" s="9">
        <f t="shared" si="0"/>
        <v>54.72</v>
      </c>
      <c r="AG20" s="9">
        <f t="shared" si="1"/>
        <v>19.733333333333334</v>
      </c>
      <c r="AH20" s="9">
        <f t="shared" si="2"/>
        <v>1.2900104813351609</v>
      </c>
      <c r="AI20" s="9">
        <f t="shared" si="3"/>
        <v>1.6641270419545735</v>
      </c>
      <c r="AJ20" s="9">
        <f t="shared" si="4"/>
        <v>0.77797566807167651</v>
      </c>
      <c r="AK20" s="9">
        <f t="shared" si="5"/>
        <v>0.60524614011157141</v>
      </c>
      <c r="AL20" s="9">
        <f t="shared" si="6"/>
        <v>0.40200378515084262</v>
      </c>
      <c r="AM20" s="9">
        <f t="shared" si="7"/>
        <v>0.16160704327560482</v>
      </c>
      <c r="AN20" s="9" t="s">
        <v>2756</v>
      </c>
    </row>
    <row r="21" spans="13:40" ht="23">
      <c r="M21" s="9" t="s">
        <v>3212</v>
      </c>
      <c r="N21" s="8" t="s">
        <v>1902</v>
      </c>
      <c r="O21" s="8"/>
      <c r="P21" s="8"/>
      <c r="Q21" s="8"/>
      <c r="R21" s="8"/>
      <c r="S21" s="8"/>
      <c r="T21" s="8"/>
      <c r="U21" s="8"/>
      <c r="V21" s="8"/>
      <c r="W21" s="9" t="s">
        <v>3212</v>
      </c>
      <c r="X21" s="8">
        <v>26.3</v>
      </c>
      <c r="Y21" s="8">
        <v>7.1</v>
      </c>
      <c r="Z21" s="9">
        <v>4.01</v>
      </c>
      <c r="AA21" s="8">
        <v>27</v>
      </c>
      <c r="AB21" s="8">
        <v>3813</v>
      </c>
      <c r="AC21" s="22" t="s">
        <v>3212</v>
      </c>
      <c r="AD21" s="8" t="s">
        <v>4359</v>
      </c>
      <c r="AE21" s="8" t="s">
        <v>4364</v>
      </c>
      <c r="AF21" s="9">
        <f t="shared" si="0"/>
        <v>191.7</v>
      </c>
      <c r="AG21" s="9">
        <f t="shared" si="1"/>
        <v>108.45</v>
      </c>
      <c r="AH21" s="9">
        <f t="shared" si="2"/>
        <v>1.0884463436265419</v>
      </c>
      <c r="AI21" s="9">
        <f t="shared" si="3"/>
        <v>1.1847154429539881</v>
      </c>
      <c r="AJ21" s="9">
        <f t="shared" si="4"/>
        <v>2.7254739687379459</v>
      </c>
      <c r="AK21" s="9">
        <f t="shared" si="5"/>
        <v>7.4282083542681701</v>
      </c>
      <c r="AL21" s="9">
        <f t="shared" si="6"/>
        <v>2.2093231672099094</v>
      </c>
      <c r="AM21" s="9">
        <f t="shared" si="7"/>
        <v>4.8811088571704255</v>
      </c>
      <c r="AN21" s="9" t="s">
        <v>3212</v>
      </c>
    </row>
    <row r="22" spans="13:40" ht="23">
      <c r="M22" s="9" t="s">
        <v>2818</v>
      </c>
      <c r="N22" s="8" t="s">
        <v>1614</v>
      </c>
      <c r="O22" s="8"/>
      <c r="P22" s="8" t="s">
        <v>3691</v>
      </c>
      <c r="Q22" s="8"/>
      <c r="R22" s="8"/>
      <c r="S22" s="8"/>
      <c r="T22" s="8"/>
      <c r="U22" s="8"/>
      <c r="V22" s="8"/>
      <c r="W22" s="9" t="s">
        <v>2818</v>
      </c>
      <c r="X22" s="8">
        <v>35.979999999999997</v>
      </c>
      <c r="Y22" s="8">
        <v>6.35</v>
      </c>
      <c r="Z22" s="9">
        <v>5.54</v>
      </c>
      <c r="AA22" s="8">
        <v>14.2</v>
      </c>
      <c r="AB22" s="8">
        <v>7241</v>
      </c>
      <c r="AC22" s="22" t="s">
        <v>2818</v>
      </c>
      <c r="AD22" s="8" t="s">
        <v>4359</v>
      </c>
      <c r="AE22" s="8" t="s">
        <v>4364</v>
      </c>
      <c r="AF22" s="9">
        <f t="shared" si="0"/>
        <v>90.169999999999987</v>
      </c>
      <c r="AG22" s="9">
        <f t="shared" si="1"/>
        <v>83.78</v>
      </c>
      <c r="AH22" s="9">
        <f t="shared" si="2"/>
        <v>0.57244215109247765</v>
      </c>
      <c r="AI22" s="9">
        <f t="shared" si="3"/>
        <v>0.32769001634738298</v>
      </c>
      <c r="AJ22" s="9">
        <f t="shared" si="4"/>
        <v>1.2819822001100707</v>
      </c>
      <c r="AK22" s="9">
        <f t="shared" si="5"/>
        <v>1.6434783613990573</v>
      </c>
      <c r="AL22" s="9">
        <f t="shared" si="6"/>
        <v>1.706750529726567</v>
      </c>
      <c r="AM22" s="9">
        <f t="shared" si="7"/>
        <v>2.912997370721917</v>
      </c>
      <c r="AN22" s="9" t="s">
        <v>2818</v>
      </c>
    </row>
    <row r="23" spans="13:40" ht="23">
      <c r="M23" s="8" t="s">
        <v>1985</v>
      </c>
      <c r="N23" s="8" t="s">
        <v>1964</v>
      </c>
      <c r="O23" s="8"/>
      <c r="P23" s="8"/>
      <c r="Q23" s="8"/>
      <c r="R23" s="8"/>
      <c r="S23" s="8"/>
      <c r="T23" s="8"/>
      <c r="U23" s="8"/>
      <c r="V23" s="8"/>
      <c r="W23" s="8" t="s">
        <v>1985</v>
      </c>
      <c r="X23" s="8">
        <v>20.149999999999999</v>
      </c>
      <c r="Y23" s="8">
        <v>4.04</v>
      </c>
      <c r="Z23" s="9">
        <v>2.4700000000000002</v>
      </c>
      <c r="AA23" s="8">
        <v>12.4</v>
      </c>
      <c r="AB23" s="8">
        <v>8645</v>
      </c>
      <c r="AC23" s="21" t="s">
        <v>1985</v>
      </c>
      <c r="AD23" s="8" t="s">
        <v>4359</v>
      </c>
      <c r="AE23" s="8" t="s">
        <v>4364</v>
      </c>
      <c r="AF23" s="9">
        <f t="shared" si="0"/>
        <v>50.096000000000004</v>
      </c>
      <c r="AG23" s="9">
        <f t="shared" si="1"/>
        <v>34.513333333333335</v>
      </c>
      <c r="AH23" s="9">
        <f t="shared" si="2"/>
        <v>0.49987906151737482</v>
      </c>
      <c r="AI23" s="9">
        <f t="shared" si="3"/>
        <v>0.24987907614349139</v>
      </c>
      <c r="AJ23" s="9">
        <f t="shared" si="4"/>
        <v>0.71223444933696478</v>
      </c>
      <c r="AK23" s="9">
        <f t="shared" si="5"/>
        <v>0.50727791082232943</v>
      </c>
      <c r="AL23" s="9">
        <f t="shared" si="6"/>
        <v>0.70309918774524049</v>
      </c>
      <c r="AM23" s="9">
        <f t="shared" si="7"/>
        <v>0.49434846780801694</v>
      </c>
      <c r="AN23" s="8" t="s">
        <v>1985</v>
      </c>
    </row>
    <row r="24" spans="13:40" ht="23">
      <c r="M24" s="9" t="s">
        <v>3554</v>
      </c>
      <c r="N24" s="8" t="s">
        <v>2066</v>
      </c>
      <c r="O24" s="8"/>
      <c r="P24" s="8"/>
      <c r="Q24" s="8"/>
      <c r="R24" s="8"/>
      <c r="S24" s="8"/>
      <c r="T24" s="8"/>
      <c r="U24" s="8"/>
      <c r="V24" s="8"/>
      <c r="W24" s="9" t="s">
        <v>3554</v>
      </c>
      <c r="X24" s="8">
        <v>34.46</v>
      </c>
      <c r="Y24" s="8">
        <v>2.3199999999999998</v>
      </c>
      <c r="Z24" s="9">
        <v>1.32</v>
      </c>
      <c r="AA24" s="8">
        <v>12.2</v>
      </c>
      <c r="AB24" s="8">
        <v>10902</v>
      </c>
      <c r="AC24" s="22" t="s">
        <v>3554</v>
      </c>
      <c r="AD24" s="8" t="s">
        <v>4359</v>
      </c>
      <c r="AE24" s="8" t="s">
        <v>4364</v>
      </c>
      <c r="AF24" s="9">
        <f t="shared" si="0"/>
        <v>28.303999999999995</v>
      </c>
      <c r="AG24" s="9">
        <f t="shared" si="1"/>
        <v>18.706666666666663</v>
      </c>
      <c r="AH24" s="9">
        <f t="shared" si="2"/>
        <v>0.49181649600903005</v>
      </c>
      <c r="AI24" s="9">
        <f t="shared" si="3"/>
        <v>0.24188346574660027</v>
      </c>
      <c r="AJ24" s="9">
        <f t="shared" si="4"/>
        <v>0.40240905170140218</v>
      </c>
      <c r="AK24" s="9">
        <f t="shared" si="5"/>
        <v>0.16193304489122176</v>
      </c>
      <c r="AL24" s="9">
        <f t="shared" si="6"/>
        <v>0.38108872335583244</v>
      </c>
      <c r="AM24" s="9">
        <f t="shared" si="7"/>
        <v>0.14522861506897819</v>
      </c>
      <c r="AN24" s="9" t="s">
        <v>3554</v>
      </c>
    </row>
    <row r="25" spans="13:40" ht="23">
      <c r="M25" s="9" t="s">
        <v>3616</v>
      </c>
      <c r="N25" s="8" t="s">
        <v>2084</v>
      </c>
      <c r="O25" s="8"/>
      <c r="P25" s="8"/>
      <c r="Q25" s="8"/>
      <c r="R25" s="8"/>
      <c r="S25" s="8"/>
      <c r="T25" s="8"/>
      <c r="U25" s="8"/>
      <c r="V25" s="8"/>
      <c r="W25" s="9" t="s">
        <v>3616</v>
      </c>
      <c r="X25" s="8">
        <v>27.09</v>
      </c>
      <c r="Y25" s="8">
        <v>3.34</v>
      </c>
      <c r="Z25" s="9">
        <v>2.16</v>
      </c>
      <c r="AA25" s="8">
        <v>9.9</v>
      </c>
      <c r="AB25" s="8">
        <v>11036</v>
      </c>
      <c r="AC25" s="22" t="s">
        <v>3616</v>
      </c>
      <c r="AD25" s="8" t="s">
        <v>4359</v>
      </c>
      <c r="AE25" s="8" t="s">
        <v>4364</v>
      </c>
      <c r="AF25" s="9">
        <f t="shared" si="0"/>
        <v>33.066000000000003</v>
      </c>
      <c r="AG25" s="9">
        <f t="shared" si="1"/>
        <v>22.44</v>
      </c>
      <c r="AH25" s="9">
        <f t="shared" si="2"/>
        <v>0.39909699266306536</v>
      </c>
      <c r="AI25" s="9">
        <f t="shared" si="3"/>
        <v>0.15927840955270284</v>
      </c>
      <c r="AJ25" s="9">
        <f t="shared" si="4"/>
        <v>0.47011227047620718</v>
      </c>
      <c r="AK25" s="9">
        <f t="shared" si="5"/>
        <v>0.22100554685229459</v>
      </c>
      <c r="AL25" s="9">
        <f t="shared" si="6"/>
        <v>0.45714349351950545</v>
      </c>
      <c r="AM25" s="9">
        <f t="shared" si="7"/>
        <v>0.20898017366721813</v>
      </c>
      <c r="AN25" s="9" t="s">
        <v>3616</v>
      </c>
    </row>
    <row r="26" spans="13:40" ht="23">
      <c r="M26" s="8" t="s">
        <v>2023</v>
      </c>
      <c r="N26" s="8" t="s">
        <v>2017</v>
      </c>
      <c r="O26" s="8"/>
      <c r="P26" s="8"/>
      <c r="Q26" s="8"/>
      <c r="R26" s="8"/>
      <c r="S26" s="8"/>
      <c r="T26" s="8"/>
      <c r="U26" s="8"/>
      <c r="V26" s="8"/>
      <c r="W26" s="8" t="s">
        <v>2023</v>
      </c>
      <c r="X26" s="8">
        <v>20.98</v>
      </c>
      <c r="Y26" s="8">
        <v>3.68</v>
      </c>
      <c r="Z26" s="9">
        <v>3.34</v>
      </c>
      <c r="AA26" s="8">
        <v>9.3000000000000007</v>
      </c>
      <c r="AB26" s="8">
        <v>14542</v>
      </c>
      <c r="AC26" s="21" t="s">
        <v>2023</v>
      </c>
      <c r="AD26" s="8" t="s">
        <v>4359</v>
      </c>
      <c r="AE26" s="8" t="s">
        <v>4364</v>
      </c>
      <c r="AF26" s="9">
        <f t="shared" si="0"/>
        <v>34.224000000000004</v>
      </c>
      <c r="AG26" s="9">
        <f t="shared" si="1"/>
        <v>33.17</v>
      </c>
      <c r="AH26" s="9">
        <f t="shared" si="2"/>
        <v>0.37490929613803115</v>
      </c>
      <c r="AI26" s="9">
        <f t="shared" si="3"/>
        <v>0.14055698033071393</v>
      </c>
      <c r="AJ26" s="9">
        <f t="shared" si="4"/>
        <v>0.48657600994307493</v>
      </c>
      <c r="AK26" s="9">
        <f t="shared" si="5"/>
        <v>0.23675621345212336</v>
      </c>
      <c r="AL26" s="9">
        <f t="shared" si="6"/>
        <v>0.67573305169527609</v>
      </c>
      <c r="AM26" s="9">
        <f t="shared" si="7"/>
        <v>0.45661515715341067</v>
      </c>
      <c r="AN26" s="8" t="s">
        <v>2023</v>
      </c>
    </row>
    <row r="27" spans="13:40" ht="23">
      <c r="M27" s="8" t="s">
        <v>188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188</v>
      </c>
      <c r="X27" s="8">
        <v>38.94</v>
      </c>
      <c r="Y27" s="8">
        <v>2.4900000000000002</v>
      </c>
      <c r="Z27" s="9">
        <v>1.0900000000000001</v>
      </c>
      <c r="AA27" s="8">
        <v>7.9</v>
      </c>
      <c r="AB27" s="8">
        <v>16480</v>
      </c>
      <c r="AC27" s="21" t="s">
        <v>188</v>
      </c>
      <c r="AD27" s="8" t="s">
        <v>4359</v>
      </c>
      <c r="AE27" s="8" t="s">
        <v>4364</v>
      </c>
      <c r="AF27" s="9">
        <f t="shared" si="0"/>
        <v>19.671000000000003</v>
      </c>
      <c r="AG27" s="9">
        <f t="shared" si="1"/>
        <v>9.0849999999999991</v>
      </c>
      <c r="AH27" s="9">
        <f t="shared" si="2"/>
        <v>0.31847133757961787</v>
      </c>
      <c r="AI27" s="9">
        <f t="shared" si="3"/>
        <v>0.10142399285975093</v>
      </c>
      <c r="AJ27" s="9">
        <f t="shared" si="4"/>
        <v>0.27967031006282805</v>
      </c>
      <c r="AK27" s="9">
        <f t="shared" si="5"/>
        <v>7.8215482330638381E-2</v>
      </c>
      <c r="AL27" s="9">
        <f t="shared" si="6"/>
        <v>0.18507792507240223</v>
      </c>
      <c r="AM27" s="9">
        <f t="shared" si="7"/>
        <v>3.4253838349105732E-2</v>
      </c>
      <c r="AN27" s="8" t="s">
        <v>188</v>
      </c>
    </row>
    <row r="28" spans="13:40" ht="23">
      <c r="M28" s="8" t="s">
        <v>469</v>
      </c>
      <c r="N28" s="8" t="s">
        <v>150</v>
      </c>
      <c r="O28" s="8"/>
      <c r="P28" s="8" t="s">
        <v>3691</v>
      </c>
      <c r="Q28" s="8"/>
      <c r="R28" s="8"/>
      <c r="S28" s="8"/>
      <c r="T28" s="8"/>
      <c r="U28" s="8"/>
      <c r="V28" s="8"/>
      <c r="W28" s="8" t="s">
        <v>469</v>
      </c>
      <c r="X28" s="8">
        <v>37.08</v>
      </c>
      <c r="Y28" s="8">
        <v>3.97</v>
      </c>
      <c r="Z28" s="9">
        <v>2.2799999999999998</v>
      </c>
      <c r="AA28" s="8">
        <v>7.3</v>
      </c>
      <c r="AB28" s="8">
        <v>14502</v>
      </c>
      <c r="AC28" s="21" t="s">
        <v>469</v>
      </c>
      <c r="AD28" s="8" t="s">
        <v>4359</v>
      </c>
      <c r="AE28" s="8" t="s">
        <v>4364</v>
      </c>
      <c r="AF28" s="9">
        <f t="shared" si="0"/>
        <v>28.981000000000002</v>
      </c>
      <c r="AG28" s="9">
        <f t="shared" si="1"/>
        <v>18.006666666666668</v>
      </c>
      <c r="AH28" s="9">
        <f t="shared" si="2"/>
        <v>0.2942836410545836</v>
      </c>
      <c r="AI28" s="9">
        <f t="shared" si="3"/>
        <v>8.6602861392343009E-2</v>
      </c>
      <c r="AJ28" s="9">
        <f t="shared" si="4"/>
        <v>0.41203422581113414</v>
      </c>
      <c r="AK28" s="9">
        <f t="shared" si="5"/>
        <v>0.16977220323978068</v>
      </c>
      <c r="AL28" s="9">
        <f t="shared" si="6"/>
        <v>0.36682845395014385</v>
      </c>
      <c r="AM28" s="9">
        <f t="shared" si="7"/>
        <v>0.1345631146274528</v>
      </c>
      <c r="AN28" s="8" t="s">
        <v>469</v>
      </c>
    </row>
    <row r="29" spans="13:40" ht="23">
      <c r="M29" s="9" t="s">
        <v>3257</v>
      </c>
      <c r="N29" s="8" t="s">
        <v>1902</v>
      </c>
      <c r="O29" s="8"/>
      <c r="P29" s="8" t="s">
        <v>3691</v>
      </c>
      <c r="Q29" s="8"/>
      <c r="R29" s="8"/>
      <c r="S29" s="8"/>
      <c r="T29" s="8"/>
      <c r="U29" s="8"/>
      <c r="V29" s="8"/>
      <c r="W29" s="9" t="s">
        <v>3257</v>
      </c>
      <c r="X29" s="8">
        <v>42.01</v>
      </c>
      <c r="Y29" s="8">
        <v>2.59</v>
      </c>
      <c r="Z29" s="9">
        <v>2.38</v>
      </c>
      <c r="AA29" s="8">
        <v>6.8</v>
      </c>
      <c r="AB29" s="8">
        <v>17206</v>
      </c>
      <c r="AC29" s="22" t="s">
        <v>3257</v>
      </c>
      <c r="AD29" s="8" t="s">
        <v>4359</v>
      </c>
      <c r="AE29" s="8" t="s">
        <v>4364</v>
      </c>
      <c r="AF29" s="9">
        <f t="shared" si="0"/>
        <v>17.611999999999998</v>
      </c>
      <c r="AG29" s="9">
        <f t="shared" si="1"/>
        <v>17.906666666666666</v>
      </c>
      <c r="AH29" s="9">
        <f t="shared" si="2"/>
        <v>0.27412722728372169</v>
      </c>
      <c r="AI29" s="9">
        <f t="shared" si="3"/>
        <v>7.5145736738261207E-2</v>
      </c>
      <c r="AJ29" s="9">
        <f t="shared" si="4"/>
        <v>0.25039670076897602</v>
      </c>
      <c r="AK29" s="9">
        <f t="shared" si="5"/>
        <v>6.269850775598812E-2</v>
      </c>
      <c r="AL29" s="9">
        <f t="shared" si="6"/>
        <v>0.36479127260647404</v>
      </c>
      <c r="AM29" s="9">
        <f t="shared" si="7"/>
        <v>0.13307267256985086</v>
      </c>
      <c r="AN29" s="9" t="s">
        <v>3257</v>
      </c>
    </row>
    <row r="30" spans="13:40" ht="23">
      <c r="M30" s="8" t="s">
        <v>1857</v>
      </c>
      <c r="N30" s="8" t="s">
        <v>1814</v>
      </c>
      <c r="O30" s="8"/>
      <c r="P30" s="8" t="s">
        <v>3713</v>
      </c>
      <c r="Q30" s="8"/>
      <c r="R30" s="8"/>
      <c r="S30" s="8"/>
      <c r="T30" s="8"/>
      <c r="U30" s="8"/>
      <c r="V30" s="8"/>
      <c r="W30" s="8" t="s">
        <v>1857</v>
      </c>
      <c r="X30" s="8">
        <v>26.33</v>
      </c>
      <c r="Y30" s="8">
        <v>4.37</v>
      </c>
      <c r="Z30" s="9">
        <v>2.4300000000000002</v>
      </c>
      <c r="AA30" s="8">
        <v>6.6</v>
      </c>
      <c r="AB30" s="8">
        <v>13720</v>
      </c>
      <c r="AC30" s="21" t="s">
        <v>1857</v>
      </c>
      <c r="AD30" s="8" t="s">
        <v>4359</v>
      </c>
      <c r="AE30" s="8" t="s">
        <v>4364</v>
      </c>
      <c r="AF30" s="9">
        <f t="shared" si="0"/>
        <v>28.841999999999999</v>
      </c>
      <c r="AG30" s="9">
        <f t="shared" si="1"/>
        <v>17.93</v>
      </c>
      <c r="AH30" s="9">
        <f t="shared" si="2"/>
        <v>0.26606466177537691</v>
      </c>
      <c r="AI30" s="9">
        <f t="shared" si="3"/>
        <v>7.0790404245645713E-2</v>
      </c>
      <c r="AJ30" s="9">
        <f t="shared" si="4"/>
        <v>0.41005800837944623</v>
      </c>
      <c r="AK30" s="9">
        <f t="shared" si="5"/>
        <v>0.16814757023611798</v>
      </c>
      <c r="AL30" s="9">
        <f t="shared" si="6"/>
        <v>0.36526661491999696</v>
      </c>
      <c r="AM30" s="9">
        <f t="shared" si="7"/>
        <v>0.13341969997511335</v>
      </c>
      <c r="AN30" s="8" t="s">
        <v>1857</v>
      </c>
    </row>
    <row r="31" spans="13:40" ht="23">
      <c r="M31" s="9" t="s">
        <v>2334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9" t="s">
        <v>2334</v>
      </c>
      <c r="X31" s="8">
        <v>19.72</v>
      </c>
      <c r="Y31" s="8">
        <v>3.04</v>
      </c>
      <c r="Z31" s="9">
        <v>3.35</v>
      </c>
      <c r="AA31" s="8">
        <v>6.4</v>
      </c>
      <c r="AB31" s="8">
        <v>17743</v>
      </c>
      <c r="AC31" s="22" t="s">
        <v>2334</v>
      </c>
      <c r="AD31" s="8" t="s">
        <v>4359</v>
      </c>
      <c r="AE31" s="8" t="s">
        <v>4364</v>
      </c>
      <c r="AF31" s="9">
        <f t="shared" si="0"/>
        <v>19.456000000000003</v>
      </c>
      <c r="AG31" s="9">
        <f t="shared" si="1"/>
        <v>22.933333333333337</v>
      </c>
      <c r="AH31" s="9">
        <f t="shared" si="2"/>
        <v>0.25800209626703219</v>
      </c>
      <c r="AI31" s="9">
        <f t="shared" si="3"/>
        <v>6.6565081678182939E-2</v>
      </c>
      <c r="AJ31" s="9">
        <f t="shared" si="4"/>
        <v>0.27661357086992949</v>
      </c>
      <c r="AK31" s="9">
        <f t="shared" si="5"/>
        <v>7.651506758941351E-2</v>
      </c>
      <c r="AL31" s="9">
        <f t="shared" si="6"/>
        <v>0.46719358814827655</v>
      </c>
      <c r="AM31" s="9">
        <f t="shared" si="7"/>
        <v>0.21826984880686146</v>
      </c>
      <c r="AN31" s="9" t="s">
        <v>2334</v>
      </c>
    </row>
    <row r="32" spans="13:40" ht="23">
      <c r="M32" s="9" t="s">
        <v>3410</v>
      </c>
      <c r="N32" s="8" t="s">
        <v>1990</v>
      </c>
      <c r="O32" s="8"/>
      <c r="P32" s="8" t="s">
        <v>3692</v>
      </c>
      <c r="Q32" s="8"/>
      <c r="R32" s="8"/>
      <c r="S32" s="8"/>
      <c r="T32" s="8"/>
      <c r="U32" s="8"/>
      <c r="V32" s="8"/>
      <c r="W32" s="9" t="s">
        <v>3410</v>
      </c>
      <c r="X32" s="8">
        <v>16.02</v>
      </c>
      <c r="Y32" s="8">
        <v>4.34</v>
      </c>
      <c r="Z32" s="9">
        <v>2.5499999999999998</v>
      </c>
      <c r="AA32" s="8">
        <v>5.5</v>
      </c>
      <c r="AB32" s="8">
        <v>21289</v>
      </c>
      <c r="AC32" s="22" t="s">
        <v>3410</v>
      </c>
      <c r="AD32" s="8" t="s">
        <v>4359</v>
      </c>
      <c r="AE32" s="8" t="s">
        <v>4364</v>
      </c>
      <c r="AF32" s="9">
        <f t="shared" si="0"/>
        <v>23.869999999999997</v>
      </c>
      <c r="AG32" s="9">
        <f t="shared" si="1"/>
        <v>16.041666666666664</v>
      </c>
      <c r="AH32" s="9">
        <f t="shared" si="2"/>
        <v>0.22172055147948078</v>
      </c>
      <c r="AI32" s="9">
        <f t="shared" si="3"/>
        <v>4.9160002948365082E-2</v>
      </c>
      <c r="AJ32" s="9">
        <f t="shared" si="4"/>
        <v>0.33936913736971708</v>
      </c>
      <c r="AK32" s="9">
        <f t="shared" si="5"/>
        <v>0.11517141139906591</v>
      </c>
      <c r="AL32" s="9">
        <f t="shared" si="6"/>
        <v>0.32679784054703198</v>
      </c>
      <c r="AM32" s="9">
        <f t="shared" si="7"/>
        <v>0.10679682858620335</v>
      </c>
      <c r="AN32" s="9" t="s">
        <v>3410</v>
      </c>
    </row>
    <row r="33" spans="13:40" ht="23">
      <c r="M33" s="9" t="s">
        <v>2577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9" t="s">
        <v>2577</v>
      </c>
      <c r="X33" s="8">
        <v>47.73</v>
      </c>
      <c r="Y33" s="8">
        <v>1.84</v>
      </c>
      <c r="Z33" s="9">
        <v>1.54</v>
      </c>
      <c r="AA33" s="8">
        <v>5.0999999999999996</v>
      </c>
      <c r="AB33" s="8">
        <v>28119</v>
      </c>
      <c r="AC33" s="22" t="s">
        <v>2577</v>
      </c>
      <c r="AD33" s="8" t="s">
        <v>4359</v>
      </c>
      <c r="AE33" s="8" t="s">
        <v>4364</v>
      </c>
      <c r="AF33" s="9">
        <f t="shared" si="0"/>
        <v>9.3840000000000003</v>
      </c>
      <c r="AG33" s="9">
        <f t="shared" si="1"/>
        <v>9.69</v>
      </c>
      <c r="AH33" s="9">
        <f t="shared" si="2"/>
        <v>0.20559542046279128</v>
      </c>
      <c r="AI33" s="9">
        <f t="shared" si="3"/>
        <v>4.2269476915271935E-2</v>
      </c>
      <c r="AJ33" s="9">
        <f t="shared" si="4"/>
        <v>0.133416002726327</v>
      </c>
      <c r="AK33" s="9">
        <f t="shared" si="5"/>
        <v>1.7799829783471294E-2</v>
      </c>
      <c r="AL33" s="9">
        <f t="shared" si="6"/>
        <v>0.1974028722016046</v>
      </c>
      <c r="AM33" s="9">
        <f t="shared" si="7"/>
        <v>3.8967893953443036E-2</v>
      </c>
      <c r="AN33" s="9" t="s">
        <v>2577</v>
      </c>
    </row>
    <row r="34" spans="13:40" ht="23">
      <c r="M34" s="9" t="s">
        <v>3126</v>
      </c>
      <c r="N34" s="8" t="s">
        <v>1862</v>
      </c>
      <c r="O34" s="8"/>
      <c r="P34" s="8"/>
      <c r="Q34" s="8"/>
      <c r="R34" s="8"/>
      <c r="S34" s="8"/>
      <c r="T34" s="8"/>
      <c r="U34" s="8"/>
      <c r="V34" s="8"/>
      <c r="W34" s="9" t="s">
        <v>3126</v>
      </c>
      <c r="X34" s="8">
        <v>18.41</v>
      </c>
      <c r="Y34" s="8">
        <v>2.42</v>
      </c>
      <c r="Z34" s="9">
        <v>2.02</v>
      </c>
      <c r="AA34" s="8">
        <v>4.7</v>
      </c>
      <c r="AB34" s="8">
        <v>30821</v>
      </c>
      <c r="AC34" s="22" t="s">
        <v>3126</v>
      </c>
      <c r="AD34" s="8" t="s">
        <v>4359</v>
      </c>
      <c r="AE34" s="8" t="s">
        <v>4364</v>
      </c>
      <c r="AF34" s="9">
        <f t="shared" si="0"/>
        <v>11.374000000000001</v>
      </c>
      <c r="AG34" s="9">
        <f t="shared" si="1"/>
        <v>9.5566666666666666</v>
      </c>
      <c r="AH34" s="9">
        <f t="shared" si="2"/>
        <v>0.18947028944610178</v>
      </c>
      <c r="AI34" s="9">
        <f t="shared" si="3"/>
        <v>3.5898990582789586E-2</v>
      </c>
      <c r="AJ34" s="9">
        <f t="shared" si="4"/>
        <v>0.16170861200013248</v>
      </c>
      <c r="AK34" s="9">
        <f t="shared" si="5"/>
        <v>2.6149675195009391E-2</v>
      </c>
      <c r="AL34" s="9">
        <f t="shared" si="6"/>
        <v>0.19468663041004486</v>
      </c>
      <c r="AM34" s="9">
        <f t="shared" si="7"/>
        <v>3.7902884060417405E-2</v>
      </c>
      <c r="AN34" s="9" t="s">
        <v>3126</v>
      </c>
    </row>
    <row r="35" spans="13:40" ht="23">
      <c r="M35" s="9" t="s">
        <v>3380</v>
      </c>
      <c r="N35" s="8" t="s">
        <v>1964</v>
      </c>
      <c r="O35" s="8"/>
      <c r="P35" s="8"/>
      <c r="Q35" s="8"/>
      <c r="R35" s="8"/>
      <c r="S35" s="8"/>
      <c r="T35" s="8"/>
      <c r="U35" s="8"/>
      <c r="V35" s="8"/>
      <c r="W35" s="9" t="s">
        <v>3380</v>
      </c>
      <c r="X35" s="8">
        <v>22.46</v>
      </c>
      <c r="Y35" s="8">
        <v>2.36</v>
      </c>
      <c r="Z35" s="9">
        <v>3.19</v>
      </c>
      <c r="AA35" s="8">
        <v>4.5</v>
      </c>
      <c r="AB35" s="8">
        <v>22970</v>
      </c>
      <c r="AC35" s="22" t="s">
        <v>3380</v>
      </c>
      <c r="AD35" s="8" t="s">
        <v>4359</v>
      </c>
      <c r="AE35" s="8" t="s">
        <v>4364</v>
      </c>
      <c r="AF35" s="9">
        <f t="shared" si="0"/>
        <v>10.62</v>
      </c>
      <c r="AG35" s="9">
        <f t="shared" si="1"/>
        <v>14.924999999999999</v>
      </c>
      <c r="AH35" s="9">
        <f t="shared" si="2"/>
        <v>0.181407723937757</v>
      </c>
      <c r="AI35" s="9">
        <f t="shared" si="3"/>
        <v>3.2908762304277459E-2</v>
      </c>
      <c r="AJ35" s="9">
        <f t="shared" si="4"/>
        <v>0.15098869873759513</v>
      </c>
      <c r="AK35" s="9">
        <f t="shared" si="5"/>
        <v>2.2797587146472259E-2</v>
      </c>
      <c r="AL35" s="9">
        <f t="shared" si="6"/>
        <v>0.30404931554271913</v>
      </c>
      <c r="AM35" s="9">
        <f t="shared" si="7"/>
        <v>9.244598628199599E-2</v>
      </c>
      <c r="AN35" s="9" t="s">
        <v>3380</v>
      </c>
    </row>
    <row r="36" spans="13:40" ht="23">
      <c r="M36" s="8" t="s">
        <v>1910</v>
      </c>
      <c r="N36" s="8" t="s">
        <v>1902</v>
      </c>
      <c r="O36" s="8"/>
      <c r="P36" s="8" t="s">
        <v>3693</v>
      </c>
      <c r="Q36" s="8"/>
      <c r="R36" s="8"/>
      <c r="S36" s="8"/>
      <c r="T36" s="8"/>
      <c r="U36" s="8"/>
      <c r="V36" s="8"/>
      <c r="W36" s="8" t="s">
        <v>1910</v>
      </c>
      <c r="X36" s="8">
        <v>31.15</v>
      </c>
      <c r="Y36" s="8">
        <v>6.22</v>
      </c>
      <c r="Z36" s="9">
        <v>3.29</v>
      </c>
      <c r="AA36" s="8">
        <v>3</v>
      </c>
      <c r="AB36" s="8">
        <v>21380</v>
      </c>
      <c r="AC36" s="21" t="s">
        <v>1910</v>
      </c>
      <c r="AD36" s="8" t="s">
        <v>4359</v>
      </c>
      <c r="AE36" s="8" t="s">
        <v>4364</v>
      </c>
      <c r="AF36" s="9">
        <f t="shared" si="0"/>
        <v>18.66</v>
      </c>
      <c r="AG36" s="9">
        <f t="shared" si="1"/>
        <v>10.45</v>
      </c>
      <c r="AH36" s="9">
        <f t="shared" si="2"/>
        <v>0.12093848262517133</v>
      </c>
      <c r="AI36" s="9">
        <f t="shared" si="3"/>
        <v>1.4626116579678867E-2</v>
      </c>
      <c r="AJ36" s="9">
        <f t="shared" si="4"/>
        <v>0.2652965271604073</v>
      </c>
      <c r="AK36" s="9">
        <f t="shared" si="5"/>
        <v>7.0382247323372726E-2</v>
      </c>
      <c r="AL36" s="9">
        <f t="shared" si="6"/>
        <v>0.21288545041349516</v>
      </c>
      <c r="AM36" s="9">
        <f t="shared" si="7"/>
        <v>4.5320214997756708E-2</v>
      </c>
      <c r="AN36" s="8" t="s">
        <v>1910</v>
      </c>
    </row>
    <row r="37" spans="13:40" ht="23">
      <c r="M37" s="9" t="s">
        <v>3188</v>
      </c>
      <c r="N37" s="8" t="s">
        <v>1869</v>
      </c>
      <c r="O37" s="8"/>
      <c r="P37" s="8" t="s">
        <v>3691</v>
      </c>
      <c r="Q37" s="8"/>
      <c r="R37" s="8"/>
      <c r="S37" s="8"/>
      <c r="T37" s="8"/>
      <c r="U37" s="8"/>
      <c r="V37" s="8"/>
      <c r="W37" s="9" t="s">
        <v>3188</v>
      </c>
      <c r="X37" s="8">
        <v>15.46</v>
      </c>
      <c r="Y37" s="8">
        <v>4.42</v>
      </c>
      <c r="Z37" s="9">
        <v>3.42</v>
      </c>
      <c r="AA37" s="8">
        <v>1.9</v>
      </c>
      <c r="AB37" s="8">
        <v>39549</v>
      </c>
      <c r="AC37" s="22" t="s">
        <v>3188</v>
      </c>
      <c r="AD37" s="8" t="s">
        <v>4359</v>
      </c>
      <c r="AE37" s="8" t="s">
        <v>4364</v>
      </c>
      <c r="AF37" s="9">
        <f t="shared" si="0"/>
        <v>8.3979999999999997</v>
      </c>
      <c r="AG37" s="9">
        <f t="shared" si="1"/>
        <v>7.03</v>
      </c>
      <c r="AH37" s="9">
        <f t="shared" si="2"/>
        <v>7.659437232927517E-2</v>
      </c>
      <c r="AI37" s="9">
        <f t="shared" si="3"/>
        <v>5.8666978725156341E-3</v>
      </c>
      <c r="AJ37" s="9">
        <f t="shared" si="4"/>
        <v>0.11939765461377813</v>
      </c>
      <c r="AK37" s="9">
        <f t="shared" si="5"/>
        <v>1.4255799927271055E-2</v>
      </c>
      <c r="AL37" s="9">
        <f t="shared" si="6"/>
        <v>0.14321384845998766</v>
      </c>
      <c r="AM37" s="9">
        <f t="shared" si="7"/>
        <v>2.051020639072031E-2</v>
      </c>
      <c r="AN37" s="9" t="s">
        <v>3188</v>
      </c>
    </row>
    <row r="38" spans="13:40" ht="23">
      <c r="M38" s="9" t="s">
        <v>2625</v>
      </c>
      <c r="N38" s="8" t="s">
        <v>150</v>
      </c>
      <c r="O38" s="8"/>
      <c r="P38" s="8" t="s">
        <v>3700</v>
      </c>
      <c r="Q38" s="8"/>
      <c r="R38" s="8"/>
      <c r="S38" s="8"/>
      <c r="T38" s="8"/>
      <c r="U38" s="8"/>
      <c r="V38" s="8"/>
      <c r="W38" s="9" t="s">
        <v>2625</v>
      </c>
      <c r="X38" s="8">
        <v>26</v>
      </c>
      <c r="Y38" s="8">
        <v>9.2899999999999991</v>
      </c>
      <c r="Z38" s="9">
        <v>9.41</v>
      </c>
      <c r="AA38" s="8">
        <v>1.8</v>
      </c>
      <c r="AB38" s="8">
        <v>24149</v>
      </c>
      <c r="AC38" s="22" t="s">
        <v>2625</v>
      </c>
      <c r="AD38" s="8" t="s">
        <v>4359</v>
      </c>
      <c r="AE38" s="8" t="s">
        <v>4364</v>
      </c>
      <c r="AF38" s="9">
        <f t="shared" si="0"/>
        <v>16.721999999999998</v>
      </c>
      <c r="AG38" s="9">
        <f t="shared" si="1"/>
        <v>17.43</v>
      </c>
      <c r="AH38" s="9">
        <f t="shared" si="2"/>
        <v>7.256308957510281E-2</v>
      </c>
      <c r="AI38" s="9">
        <f t="shared" si="3"/>
        <v>5.2654019686843943E-3</v>
      </c>
      <c r="AJ38" s="9">
        <f t="shared" si="4"/>
        <v>0.23774322224953534</v>
      </c>
      <c r="AK38" s="9">
        <f t="shared" si="5"/>
        <v>5.6521839725591959E-2</v>
      </c>
      <c r="AL38" s="9">
        <f t="shared" si="6"/>
        <v>0.35508070820164789</v>
      </c>
      <c r="AM38" s="9">
        <f t="shared" si="7"/>
        <v>0.12608230933698381</v>
      </c>
      <c r="AN38" s="9" t="s">
        <v>2625</v>
      </c>
    </row>
    <row r="39" spans="13:40" ht="23">
      <c r="M39" s="9" t="s">
        <v>3517</v>
      </c>
      <c r="N39" s="8" t="s">
        <v>2041</v>
      </c>
      <c r="O39" s="8"/>
      <c r="P39" s="8" t="s">
        <v>3700</v>
      </c>
      <c r="Q39" s="8"/>
      <c r="R39" s="8"/>
      <c r="S39" s="8"/>
      <c r="T39" s="8"/>
      <c r="U39" s="8"/>
      <c r="V39" s="8"/>
      <c r="W39" s="9" t="s">
        <v>3517</v>
      </c>
      <c r="X39" s="8">
        <v>9.67</v>
      </c>
      <c r="Y39" s="8">
        <v>4.57</v>
      </c>
      <c r="Z39" s="9">
        <v>6.36</v>
      </c>
      <c r="AA39" s="8">
        <v>1.7</v>
      </c>
      <c r="AB39" s="8">
        <v>34255</v>
      </c>
      <c r="AC39" s="22" t="s">
        <v>3517</v>
      </c>
      <c r="AD39" s="8" t="s">
        <v>4359</v>
      </c>
      <c r="AE39" s="8" t="s">
        <v>4364</v>
      </c>
      <c r="AF39" s="9">
        <f t="shared" si="0"/>
        <v>7.7690000000000001</v>
      </c>
      <c r="AG39" s="9">
        <f t="shared" si="1"/>
        <v>11.219999999999999</v>
      </c>
      <c r="AH39" s="9">
        <f t="shared" si="2"/>
        <v>6.8531806820930422E-2</v>
      </c>
      <c r="AI39" s="9">
        <f t="shared" si="3"/>
        <v>4.6966085461413254E-3</v>
      </c>
      <c r="AJ39" s="9">
        <f t="shared" si="4"/>
        <v>0.11045491530060043</v>
      </c>
      <c r="AK39" s="9">
        <f t="shared" si="5"/>
        <v>1.2200288314062816E-2</v>
      </c>
      <c r="AL39" s="9">
        <f t="shared" si="6"/>
        <v>0.22857174675975267</v>
      </c>
      <c r="AM39" s="9">
        <f t="shared" si="7"/>
        <v>5.2245043416804506E-2</v>
      </c>
      <c r="AN39" s="9" t="s">
        <v>3517</v>
      </c>
    </row>
    <row r="40" spans="13:40" ht="23">
      <c r="M40" s="9" t="s">
        <v>3373</v>
      </c>
      <c r="N40" s="8" t="s">
        <v>1964</v>
      </c>
      <c r="O40" s="8"/>
      <c r="P40" s="8"/>
      <c r="Q40" s="8"/>
      <c r="R40" s="8"/>
      <c r="S40" s="8"/>
      <c r="T40" s="8"/>
      <c r="U40" s="8"/>
      <c r="V40" s="8"/>
      <c r="W40" s="9" t="s">
        <v>3373</v>
      </c>
      <c r="X40" s="8">
        <v>41.97</v>
      </c>
      <c r="Y40" s="8">
        <v>2.72</v>
      </c>
      <c r="Z40" s="9">
        <v>2.5299999999999998</v>
      </c>
      <c r="AA40" s="8">
        <v>1.6</v>
      </c>
      <c r="AB40" s="8">
        <v>48190</v>
      </c>
      <c r="AC40" s="22" t="s">
        <v>3373</v>
      </c>
      <c r="AD40" s="8" t="s">
        <v>4359</v>
      </c>
      <c r="AE40" s="8" t="s">
        <v>4364</v>
      </c>
      <c r="AF40" s="9">
        <f t="shared" si="0"/>
        <v>4.3520000000000003</v>
      </c>
      <c r="AG40" s="9">
        <f t="shared" si="1"/>
        <v>4.6133333333333333</v>
      </c>
      <c r="AH40" s="9">
        <f t="shared" si="2"/>
        <v>6.4500524066758047E-2</v>
      </c>
      <c r="AI40" s="9">
        <f t="shared" si="3"/>
        <v>4.1603176048864337E-3</v>
      </c>
      <c r="AJ40" s="9">
        <f t="shared" si="4"/>
        <v>6.1874088220905274E-2</v>
      </c>
      <c r="AK40" s="9">
        <f t="shared" si="5"/>
        <v>3.8284027931683689E-3</v>
      </c>
      <c r="AL40" s="9">
        <f t="shared" si="6"/>
        <v>9.398196598796725E-2</v>
      </c>
      <c r="AM40" s="9">
        <f t="shared" si="7"/>
        <v>8.832609930963433E-3</v>
      </c>
      <c r="AN40" s="9" t="s">
        <v>3373</v>
      </c>
    </row>
    <row r="41" spans="13:40" ht="23">
      <c r="M41" s="8" t="s">
        <v>1017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8" t="s">
        <v>1017</v>
      </c>
      <c r="X41" s="8">
        <v>29.68</v>
      </c>
      <c r="Y41" s="8">
        <v>13.82</v>
      </c>
      <c r="Z41" s="9">
        <v>8.1</v>
      </c>
      <c r="AA41" s="8">
        <v>1.1000000000000001</v>
      </c>
      <c r="AB41" s="8">
        <v>31262</v>
      </c>
      <c r="AC41" s="21" t="s">
        <v>1017</v>
      </c>
      <c r="AD41" s="8" t="s">
        <v>4359</v>
      </c>
      <c r="AE41" s="8" t="s">
        <v>4364</v>
      </c>
      <c r="AF41" s="9">
        <f t="shared" si="0"/>
        <v>15.202000000000002</v>
      </c>
      <c r="AG41" s="9">
        <f t="shared" si="1"/>
        <v>8.8018333333333345</v>
      </c>
      <c r="AH41" s="9">
        <f t="shared" si="2"/>
        <v>4.4344110295896161E-2</v>
      </c>
      <c r="AI41" s="9">
        <f t="shared" si="3"/>
        <v>1.966400117934604E-3</v>
      </c>
      <c r="AJ41" s="9">
        <f t="shared" si="4"/>
        <v>0.21613278702532218</v>
      </c>
      <c r="AK41" s="9">
        <f t="shared" si="5"/>
        <v>4.6713381627333274E-2</v>
      </c>
      <c r="AL41" s="9">
        <f t="shared" si="6"/>
        <v>0.17930930656757726</v>
      </c>
      <c r="AM41" s="9">
        <f t="shared" si="7"/>
        <v>3.215182742174541E-2</v>
      </c>
      <c r="AN41" s="8" t="s">
        <v>1017</v>
      </c>
    </row>
    <row r="42" spans="13:40" ht="18">
      <c r="M42" s="49"/>
      <c r="N42" s="48"/>
      <c r="O42" s="48"/>
      <c r="P42" s="48"/>
      <c r="Q42" s="48"/>
      <c r="R42" s="48"/>
      <c r="S42" s="48"/>
      <c r="T42" s="48"/>
      <c r="U42" s="48"/>
      <c r="V42" s="48"/>
      <c r="W42" s="49"/>
      <c r="X42" s="48"/>
      <c r="Y42" s="48"/>
      <c r="Z42" s="49"/>
      <c r="AA42" s="48">
        <f>SUBTOTAL(109,Table13662[ترافیک کل])</f>
        <v>2480.6</v>
      </c>
      <c r="AB42" s="48"/>
      <c r="AC42" s="54"/>
      <c r="AD42" s="48"/>
      <c r="AE42" s="48"/>
      <c r="AF42" s="49">
        <f>SUBTOTAL(109,Table13662[[مجموع صفحات  مشاهده شده   ]])</f>
        <v>7033.639000000001</v>
      </c>
      <c r="AG42" s="49">
        <f>SUBTOTAL(109,Table13662[[مجموع زمان حضور در سایت ]])</f>
        <v>4908.7431666666671</v>
      </c>
      <c r="AH42" s="49">
        <f>SUBTOTAL(109,Table13662[سهم سایت از کل ترافیک طبقه بندی])</f>
        <v>100</v>
      </c>
      <c r="AI42" s="49">
        <f>SUBTOTAL(109,Table13662[شاخص هرفیندال هیرشمن (ترافیک)])</f>
        <v>767.24739781722064</v>
      </c>
      <c r="AJ42" s="49">
        <f>SUBTOTAL(109,Table13662[سهم سایت از کل صفحات مشاهده شده در طبقه بندی])</f>
        <v>99.999999999999943</v>
      </c>
      <c r="AK42" s="49">
        <f>SUBTOTAL(109,Table13662[شاخص هرفیندال -هیرشمن (صفحات مشاهده شده )])</f>
        <v>875.70951127897763</v>
      </c>
      <c r="AL42" s="49">
        <f>SUBTOTAL(109,Table13662[سهم سایت از کل زمان حضور در طبقه بندی])</f>
        <v>100</v>
      </c>
      <c r="AM42" s="49">
        <f>SUBTOTAL(109,Table13662[شاخص هرفیندال هیرشمن (زمان حضور)])</f>
        <v>1255.9489430937415</v>
      </c>
      <c r="AN42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{98A05093-0A9F-4783-86EF-56C818120A21}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{EE739884-7B0C-47E0-84AD-7AE9CD1303BB}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{183FC726-B8C2-4630-853F-89307335A803}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{A2B9219F-0E6F-4A9A-BEB9-4D1569D34933}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{5A473D2A-4A8E-486C-9130-CF678870F80D}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{888048B4-D520-44C8-8B2B-5A7C2172672C}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8A05093-0A9F-4783-86EF-56C818120A2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E739884-7B0C-47E0-84AD-7AE9CD1303B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83FC726-B8C2-4630-853F-89307335A80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2B9219F-0E6F-4A9A-BEB9-4D1569D349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A473D2A-4A8E-486C-9130-CF678870F8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888048B4-D520-44C8-8B2B-5A7C2172672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1"/>
  <sheetViews>
    <sheetView showGridLines="0" rightToLeft="1" topLeftCell="AA1" zoomScale="70" zoomScaleNormal="70" workbookViewId="0">
      <selection activeCell="AC21" sqref="AC2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4322</v>
      </c>
      <c r="N2" s="8"/>
      <c r="O2" s="8"/>
      <c r="P2" s="8" t="s">
        <v>4161</v>
      </c>
      <c r="Q2" s="8"/>
      <c r="R2" s="8"/>
      <c r="S2" s="8"/>
      <c r="T2" s="8"/>
      <c r="U2" s="8"/>
      <c r="V2" s="8"/>
      <c r="W2" s="9" t="s">
        <v>4322</v>
      </c>
      <c r="X2" s="8">
        <v>32.729999999999997</v>
      </c>
      <c r="Y2" s="8">
        <v>2.15</v>
      </c>
      <c r="Z2" s="9">
        <v>0.52</v>
      </c>
      <c r="AA2" s="8">
        <v>346.6</v>
      </c>
      <c r="AB2" s="8">
        <v>2491</v>
      </c>
      <c r="AC2" s="22" t="s">
        <v>4322</v>
      </c>
      <c r="AD2" s="8" t="s">
        <v>4358</v>
      </c>
      <c r="AE2" s="8" t="s">
        <v>4364</v>
      </c>
      <c r="AF2" s="9">
        <f t="shared" ref="AF2:AF20" si="0">(AA2*Y2)</f>
        <v>745.19</v>
      </c>
      <c r="AG2" s="9">
        <f t="shared" ref="AG2:AG20" si="1">((((RIGHT(Z2,2))/60)+(LEFT(Z2,2)))*AA2)</f>
        <v>300.38666666666671</v>
      </c>
      <c r="AH2" s="9">
        <f t="shared" ref="AH2:AH20" si="2">(AA2/$AA$21)*100</f>
        <v>16.495335998477064</v>
      </c>
      <c r="AI2" s="9">
        <f t="shared" ref="AI2:AI20" si="3">(AH2*AH2)</f>
        <v>272.09610970265328</v>
      </c>
      <c r="AJ2" s="9">
        <f t="shared" ref="AJ2:AJ20" si="4">(AF2/$AF$21)*100</f>
        <v>16.421403731534216</v>
      </c>
      <c r="AK2" s="9">
        <f t="shared" ref="AK2:AK20" si="5">(AJ2*AJ2)</f>
        <v>269.66250051404586</v>
      </c>
      <c r="AL2" s="9">
        <f t="shared" ref="AL2:AL20" si="6">(AG2/$AG$21)*100</f>
        <v>12.408179765769377</v>
      </c>
      <c r="AM2" s="9">
        <f t="shared" ref="AM2:AM20" si="7">(AL2*AL2)</f>
        <v>153.9629250996486</v>
      </c>
      <c r="AN2" s="9" t="s">
        <v>4322</v>
      </c>
    </row>
    <row r="3" spans="8:40" ht="23">
      <c r="M3" s="8" t="s">
        <v>4441</v>
      </c>
      <c r="N3" s="8"/>
      <c r="O3" s="8"/>
      <c r="P3" s="8" t="s">
        <v>3705</v>
      </c>
      <c r="Q3" s="8"/>
      <c r="R3" s="8"/>
      <c r="S3" s="8"/>
      <c r="T3" s="8"/>
      <c r="U3" s="8"/>
      <c r="V3" s="8"/>
      <c r="W3" s="8" t="s">
        <v>4441</v>
      </c>
      <c r="X3" s="8">
        <v>27.57</v>
      </c>
      <c r="Y3" s="8">
        <v>2.83</v>
      </c>
      <c r="Z3" s="9">
        <v>2.3199999999999998</v>
      </c>
      <c r="AA3" s="8">
        <v>340.4</v>
      </c>
      <c r="AB3" s="8">
        <v>1105</v>
      </c>
      <c r="AC3" s="21" t="s">
        <v>4441</v>
      </c>
      <c r="AD3" s="8" t="s">
        <v>4358</v>
      </c>
      <c r="AE3" s="8" t="s">
        <v>4364</v>
      </c>
      <c r="AF3" s="9">
        <f t="shared" si="0"/>
        <v>963.33199999999999</v>
      </c>
      <c r="AG3" s="9">
        <f t="shared" si="1"/>
        <v>862.34666666666658</v>
      </c>
      <c r="AH3" s="9">
        <f t="shared" si="2"/>
        <v>16.200266514372743</v>
      </c>
      <c r="AI3" s="9">
        <f t="shared" si="3"/>
        <v>262.4486351367068</v>
      </c>
      <c r="AJ3" s="9">
        <f t="shared" si="4"/>
        <v>21.228497026941202</v>
      </c>
      <c r="AK3" s="9">
        <f t="shared" si="5"/>
        <v>450.64908602285146</v>
      </c>
      <c r="AL3" s="9">
        <f t="shared" si="6"/>
        <v>35.621263017928008</v>
      </c>
      <c r="AM3" s="9">
        <f t="shared" si="7"/>
        <v>1268.8743789924056</v>
      </c>
      <c r="AN3" s="8" t="s">
        <v>4441</v>
      </c>
    </row>
    <row r="4" spans="8:40" ht="23">
      <c r="M4" s="9" t="s">
        <v>3377</v>
      </c>
      <c r="N4" s="8" t="s">
        <v>1964</v>
      </c>
      <c r="O4" s="8"/>
      <c r="P4" s="8" t="s">
        <v>3693</v>
      </c>
      <c r="Q4" s="8"/>
      <c r="R4" s="8"/>
      <c r="S4" s="8"/>
      <c r="T4" s="8"/>
      <c r="U4" s="8"/>
      <c r="V4" s="8"/>
      <c r="W4" s="9" t="s">
        <v>3377</v>
      </c>
      <c r="X4" s="8">
        <v>21.68</v>
      </c>
      <c r="Y4" s="8">
        <v>1.92</v>
      </c>
      <c r="Z4" s="9">
        <v>0.4</v>
      </c>
      <c r="AA4" s="8">
        <v>225.7</v>
      </c>
      <c r="AB4" s="8">
        <v>10354</v>
      </c>
      <c r="AC4" s="22" t="s">
        <v>3377</v>
      </c>
      <c r="AD4" s="8" t="s">
        <v>4358</v>
      </c>
      <c r="AE4" s="8" t="s">
        <v>4364</v>
      </c>
      <c r="AF4" s="9">
        <f t="shared" si="0"/>
        <v>433.34399999999994</v>
      </c>
      <c r="AG4" s="9">
        <f t="shared" si="1"/>
        <v>1.5046666666666666</v>
      </c>
      <c r="AH4" s="9">
        <f t="shared" si="2"/>
        <v>10.741481058442796</v>
      </c>
      <c r="AI4" s="9">
        <f t="shared" si="3"/>
        <v>115.37941532888536</v>
      </c>
      <c r="AJ4" s="9">
        <f t="shared" si="4"/>
        <v>9.5493991849568047</v>
      </c>
      <c r="AK4" s="9">
        <f t="shared" si="5"/>
        <v>91.191024793653682</v>
      </c>
      <c r="AL4" s="9">
        <f t="shared" si="6"/>
        <v>6.2153805609084914E-2</v>
      </c>
      <c r="AM4" s="9">
        <f t="shared" si="7"/>
        <v>3.8630955516919152E-3</v>
      </c>
      <c r="AN4" s="9" t="s">
        <v>3377</v>
      </c>
    </row>
    <row r="5" spans="8:40" ht="23">
      <c r="M5" s="9" t="s">
        <v>3002</v>
      </c>
      <c r="N5" s="8" t="s">
        <v>1717</v>
      </c>
      <c r="O5" s="8"/>
      <c r="P5" s="8" t="s">
        <v>4161</v>
      </c>
      <c r="Q5" s="8"/>
      <c r="R5" s="8"/>
      <c r="S5" s="8"/>
      <c r="T5" s="8"/>
      <c r="U5" s="8"/>
      <c r="V5" s="8"/>
      <c r="W5" s="9" t="s">
        <v>3002</v>
      </c>
      <c r="X5" s="8">
        <v>39.659999999999997</v>
      </c>
      <c r="Y5" s="8">
        <v>1.61</v>
      </c>
      <c r="Z5" s="9">
        <v>0.19</v>
      </c>
      <c r="AA5" s="8">
        <v>199.2</v>
      </c>
      <c r="AB5" s="8">
        <v>5190</v>
      </c>
      <c r="AC5" s="22" t="s">
        <v>3002</v>
      </c>
      <c r="AD5" s="8" t="s">
        <v>4358</v>
      </c>
      <c r="AE5" s="8" t="s">
        <v>4364</v>
      </c>
      <c r="AF5" s="9">
        <f t="shared" si="0"/>
        <v>320.71199999999999</v>
      </c>
      <c r="AG5" s="9">
        <f t="shared" si="1"/>
        <v>63.079999999999991</v>
      </c>
      <c r="AH5" s="9">
        <f t="shared" si="2"/>
        <v>9.4802969731581967</v>
      </c>
      <c r="AI5" s="9">
        <f t="shared" si="3"/>
        <v>89.876030699272462</v>
      </c>
      <c r="AJ5" s="9">
        <f t="shared" si="4"/>
        <v>7.067380444648748</v>
      </c>
      <c r="AK5" s="9">
        <f t="shared" si="5"/>
        <v>49.947866349403533</v>
      </c>
      <c r="AL5" s="9">
        <f t="shared" si="6"/>
        <v>2.6056681819812204</v>
      </c>
      <c r="AM5" s="9">
        <f t="shared" si="7"/>
        <v>6.789506674589318</v>
      </c>
      <c r="AN5" s="9" t="s">
        <v>3002</v>
      </c>
    </row>
    <row r="6" spans="8:40" ht="23">
      <c r="M6" s="8" t="s">
        <v>121</v>
      </c>
      <c r="N6" s="8" t="s">
        <v>125</v>
      </c>
      <c r="O6" s="8"/>
      <c r="P6" s="8" t="s">
        <v>3691</v>
      </c>
      <c r="Q6" s="8"/>
      <c r="R6" s="8"/>
      <c r="S6" s="8"/>
      <c r="T6" s="8"/>
      <c r="U6" s="8"/>
      <c r="V6" s="8"/>
      <c r="W6" s="8" t="s">
        <v>121</v>
      </c>
      <c r="X6" s="8">
        <v>32.28</v>
      </c>
      <c r="Y6" s="8">
        <v>1.58</v>
      </c>
      <c r="Z6" s="9">
        <v>0.13</v>
      </c>
      <c r="AA6" s="8">
        <v>179.2</v>
      </c>
      <c r="AB6" s="8">
        <v>6635</v>
      </c>
      <c r="AC6" s="21" t="s">
        <v>121</v>
      </c>
      <c r="AD6" s="8" t="s">
        <v>4358</v>
      </c>
      <c r="AE6" s="8" t="s">
        <v>4364</v>
      </c>
      <c r="AF6" s="9">
        <f t="shared" si="0"/>
        <v>283.13599999999997</v>
      </c>
      <c r="AG6" s="9">
        <f t="shared" si="1"/>
        <v>38.826666666666668</v>
      </c>
      <c r="AH6" s="9">
        <f t="shared" si="2"/>
        <v>8.5284599276603856</v>
      </c>
      <c r="AI6" s="9">
        <f t="shared" si="3"/>
        <v>72.734628737708988</v>
      </c>
      <c r="AJ6" s="9">
        <f t="shared" si="4"/>
        <v>6.2393356955027182</v>
      </c>
      <c r="AK6" s="9">
        <f t="shared" si="5"/>
        <v>38.929309921174386</v>
      </c>
      <c r="AL6" s="9">
        <f t="shared" si="6"/>
        <v>1.6038270441617659</v>
      </c>
      <c r="AM6" s="9">
        <f t="shared" si="7"/>
        <v>2.572261187584667</v>
      </c>
      <c r="AN6" s="8" t="s">
        <v>121</v>
      </c>
    </row>
    <row r="7" spans="8:40" ht="23">
      <c r="M7" s="9" t="s">
        <v>3330</v>
      </c>
      <c r="N7" s="8" t="s">
        <v>1939</v>
      </c>
      <c r="O7" s="8"/>
      <c r="P7" s="8" t="s">
        <v>4662</v>
      </c>
      <c r="Q7" s="8"/>
      <c r="R7" s="8"/>
      <c r="S7" s="8"/>
      <c r="T7" s="8"/>
      <c r="U7" s="8"/>
      <c r="V7" s="8"/>
      <c r="W7" s="9" t="s">
        <v>3330</v>
      </c>
      <c r="X7" s="8">
        <v>18.27</v>
      </c>
      <c r="Y7" s="8">
        <v>2.33</v>
      </c>
      <c r="Z7" s="9">
        <v>1.56</v>
      </c>
      <c r="AA7" s="8">
        <v>135.30000000000001</v>
      </c>
      <c r="AB7" s="8">
        <v>3539</v>
      </c>
      <c r="AC7" s="22" t="s">
        <v>3330</v>
      </c>
      <c r="AD7" s="8" t="s">
        <v>4358</v>
      </c>
      <c r="AE7" s="8" t="s">
        <v>4364</v>
      </c>
      <c r="AF7" s="9">
        <f t="shared" si="0"/>
        <v>315.24900000000002</v>
      </c>
      <c r="AG7" s="9">
        <f t="shared" si="1"/>
        <v>261.58000000000004</v>
      </c>
      <c r="AH7" s="9">
        <f t="shared" si="2"/>
        <v>6.4391776127926903</v>
      </c>
      <c r="AI7" s="9">
        <f t="shared" si="3"/>
        <v>41.46300832909057</v>
      </c>
      <c r="AJ7" s="9">
        <f t="shared" si="4"/>
        <v>6.9469948670304609</v>
      </c>
      <c r="AK7" s="9">
        <f t="shared" si="5"/>
        <v>48.260737682547571</v>
      </c>
      <c r="AL7" s="9">
        <f t="shared" si="6"/>
        <v>10.805178868780086</v>
      </c>
      <c r="AM7" s="9">
        <f t="shared" si="7"/>
        <v>116.7518903863317</v>
      </c>
      <c r="AN7" s="9" t="s">
        <v>3330</v>
      </c>
    </row>
    <row r="8" spans="8:40" ht="23">
      <c r="M8" s="8" t="s">
        <v>2061</v>
      </c>
      <c r="N8" s="8" t="s">
        <v>2041</v>
      </c>
      <c r="O8" s="8"/>
      <c r="P8" s="8"/>
      <c r="Q8" s="8"/>
      <c r="R8" s="8"/>
      <c r="S8" s="8"/>
      <c r="T8" s="8"/>
      <c r="U8" s="8"/>
      <c r="V8" s="8"/>
      <c r="W8" s="8" t="s">
        <v>2061</v>
      </c>
      <c r="X8" s="8">
        <v>37.36</v>
      </c>
      <c r="Y8" s="8">
        <v>1.53</v>
      </c>
      <c r="Z8" s="9">
        <v>0.5</v>
      </c>
      <c r="AA8" s="8">
        <v>124.3</v>
      </c>
      <c r="AB8" s="8">
        <v>4316</v>
      </c>
      <c r="AC8" s="21" t="s">
        <v>2061</v>
      </c>
      <c r="AD8" s="8" t="s">
        <v>4358</v>
      </c>
      <c r="AE8" s="8" t="s">
        <v>4364</v>
      </c>
      <c r="AF8" s="9">
        <f t="shared" si="0"/>
        <v>190.179</v>
      </c>
      <c r="AG8" s="9">
        <f t="shared" si="1"/>
        <v>1.0358333333333334</v>
      </c>
      <c r="AH8" s="9">
        <f t="shared" si="2"/>
        <v>5.9156672377688944</v>
      </c>
      <c r="AI8" s="9">
        <f t="shared" si="3"/>
        <v>34.995118868012263</v>
      </c>
      <c r="AJ8" s="9">
        <f t="shared" si="4"/>
        <v>4.1908857341878516</v>
      </c>
      <c r="AK8" s="9">
        <f t="shared" si="5"/>
        <v>17.563523237019247</v>
      </c>
      <c r="AL8" s="9">
        <f t="shared" si="6"/>
        <v>4.2787538974353431E-2</v>
      </c>
      <c r="AM8" s="9">
        <f t="shared" si="7"/>
        <v>1.830773491481814E-3</v>
      </c>
      <c r="AN8" s="8" t="s">
        <v>2061</v>
      </c>
    </row>
    <row r="9" spans="8:40" ht="23">
      <c r="M9" s="8" t="s">
        <v>77</v>
      </c>
      <c r="N9" s="8" t="s">
        <v>82</v>
      </c>
      <c r="O9" s="8"/>
      <c r="P9" s="8" t="s">
        <v>3691</v>
      </c>
      <c r="Q9" s="8"/>
      <c r="R9" s="8"/>
      <c r="S9" s="8"/>
      <c r="T9" s="8"/>
      <c r="U9" s="8"/>
      <c r="V9" s="8"/>
      <c r="W9" s="8" t="s">
        <v>77</v>
      </c>
      <c r="X9" s="8">
        <v>29.09</v>
      </c>
      <c r="Y9" s="8">
        <v>1.81</v>
      </c>
      <c r="Z9" s="9">
        <v>0.59</v>
      </c>
      <c r="AA9" s="8">
        <v>117.4</v>
      </c>
      <c r="AB9" s="8">
        <v>2800</v>
      </c>
      <c r="AC9" s="21" t="s">
        <v>77</v>
      </c>
      <c r="AD9" s="8" t="s">
        <v>4358</v>
      </c>
      <c r="AE9" s="8" t="s">
        <v>4364</v>
      </c>
      <c r="AF9" s="9">
        <f t="shared" si="0"/>
        <v>212.49400000000003</v>
      </c>
      <c r="AG9" s="9">
        <f t="shared" si="1"/>
        <v>115.44333333333333</v>
      </c>
      <c r="AH9" s="9">
        <f t="shared" si="2"/>
        <v>5.5872834570721501</v>
      </c>
      <c r="AI9" s="9">
        <f t="shared" si="3"/>
        <v>31.217736429672119</v>
      </c>
      <c r="AJ9" s="9">
        <f t="shared" si="4"/>
        <v>4.6826309592568762</v>
      </c>
      <c r="AK9" s="9">
        <f t="shared" si="5"/>
        <v>21.927032700590974</v>
      </c>
      <c r="AL9" s="9">
        <f t="shared" si="6"/>
        <v>4.7686591707120902</v>
      </c>
      <c r="AM9" s="9">
        <f t="shared" si="7"/>
        <v>22.74011028641652</v>
      </c>
      <c r="AN9" s="8" t="s">
        <v>77</v>
      </c>
    </row>
    <row r="10" spans="8:40" ht="23">
      <c r="M10" s="8" t="s">
        <v>1576</v>
      </c>
      <c r="N10" s="8" t="s">
        <v>150</v>
      </c>
      <c r="O10" s="8"/>
      <c r="P10" s="8" t="s">
        <v>3705</v>
      </c>
      <c r="Q10" s="8"/>
      <c r="R10" s="8"/>
      <c r="S10" s="8"/>
      <c r="T10" s="8"/>
      <c r="U10" s="8"/>
      <c r="V10" s="8"/>
      <c r="W10" s="8" t="s">
        <v>1576</v>
      </c>
      <c r="X10" s="8">
        <v>12.08</v>
      </c>
      <c r="Y10" s="8">
        <v>1.62</v>
      </c>
      <c r="Z10" s="9">
        <v>0.46</v>
      </c>
      <c r="AA10" s="8">
        <v>99</v>
      </c>
      <c r="AB10" s="8">
        <v>6667</v>
      </c>
      <c r="AC10" s="21" t="s">
        <v>1576</v>
      </c>
      <c r="AD10" s="8" t="s">
        <v>4358</v>
      </c>
      <c r="AE10" s="8" t="s">
        <v>4364</v>
      </c>
      <c r="AF10" s="9">
        <f t="shared" si="0"/>
        <v>160.38000000000002</v>
      </c>
      <c r="AG10" s="9">
        <f t="shared" si="1"/>
        <v>75.900000000000006</v>
      </c>
      <c r="AH10" s="9">
        <f t="shared" si="2"/>
        <v>4.7115933752141643</v>
      </c>
      <c r="AI10" s="9">
        <f t="shared" si="3"/>
        <v>22.199112133362</v>
      </c>
      <c r="AJ10" s="9">
        <f t="shared" si="4"/>
        <v>3.534219099106882</v>
      </c>
      <c r="AK10" s="9">
        <f t="shared" si="5"/>
        <v>12.490704640491861</v>
      </c>
      <c r="AL10" s="9">
        <f t="shared" si="6"/>
        <v>3.1352285195366938</v>
      </c>
      <c r="AM10" s="9">
        <f t="shared" si="7"/>
        <v>9.8296578697162484</v>
      </c>
      <c r="AN10" s="8" t="s">
        <v>1576</v>
      </c>
    </row>
    <row r="11" spans="8:40" ht="23">
      <c r="M11" s="9" t="s">
        <v>3627</v>
      </c>
      <c r="N11" s="8" t="s">
        <v>2093</v>
      </c>
      <c r="O11" s="8"/>
      <c r="P11" s="8"/>
      <c r="Q11" s="8"/>
      <c r="R11" s="8"/>
      <c r="S11" s="8"/>
      <c r="T11" s="8"/>
      <c r="U11" s="8"/>
      <c r="V11" s="8"/>
      <c r="W11" s="9" t="s">
        <v>3627</v>
      </c>
      <c r="X11" s="8">
        <v>19.260000000000002</v>
      </c>
      <c r="Y11" s="8">
        <v>1.82</v>
      </c>
      <c r="Z11" s="9">
        <v>0.59</v>
      </c>
      <c r="AA11" s="8">
        <v>78.3</v>
      </c>
      <c r="AB11" s="8">
        <v>9295</v>
      </c>
      <c r="AC11" s="22" t="s">
        <v>3627</v>
      </c>
      <c r="AD11" s="8" t="s">
        <v>4358</v>
      </c>
      <c r="AE11" s="8" t="s">
        <v>4364</v>
      </c>
      <c r="AF11" s="9">
        <f t="shared" si="0"/>
        <v>142.506</v>
      </c>
      <c r="AG11" s="9">
        <f t="shared" si="1"/>
        <v>76.99499999999999</v>
      </c>
      <c r="AH11" s="9">
        <f t="shared" si="2"/>
        <v>3.7264420331239294</v>
      </c>
      <c r="AI11" s="9">
        <f t="shared" si="3"/>
        <v>13.886370226232804</v>
      </c>
      <c r="AJ11" s="9">
        <f t="shared" si="4"/>
        <v>3.1403381153343637</v>
      </c>
      <c r="AK11" s="9">
        <f t="shared" si="5"/>
        <v>9.8617234786217836</v>
      </c>
      <c r="AL11" s="9">
        <f t="shared" si="6"/>
        <v>3.1804600772296139</v>
      </c>
      <c r="AM11" s="9">
        <f t="shared" si="7"/>
        <v>10.115326302851402</v>
      </c>
      <c r="AN11" s="9" t="s">
        <v>3627</v>
      </c>
    </row>
    <row r="12" spans="8:40" ht="23">
      <c r="M12" s="9" t="s">
        <v>4744</v>
      </c>
      <c r="N12" s="8" t="s">
        <v>1990</v>
      </c>
      <c r="O12" s="8"/>
      <c r="P12" s="8"/>
      <c r="Q12" s="8"/>
      <c r="R12" s="8"/>
      <c r="S12" s="8"/>
      <c r="T12" s="8"/>
      <c r="U12" s="8"/>
      <c r="V12" s="8"/>
      <c r="W12" s="9" t="s">
        <v>4744</v>
      </c>
      <c r="X12" s="8">
        <v>34.43</v>
      </c>
      <c r="Y12" s="8">
        <v>2.81</v>
      </c>
      <c r="Z12" s="9">
        <v>1.49</v>
      </c>
      <c r="AA12" s="8">
        <v>78.099999999999994</v>
      </c>
      <c r="AB12" s="8">
        <v>6986</v>
      </c>
      <c r="AC12" s="22" t="s">
        <v>4744</v>
      </c>
      <c r="AD12" s="8" t="s">
        <v>4358</v>
      </c>
      <c r="AE12" s="8" t="s">
        <v>4364</v>
      </c>
      <c r="AF12" s="9">
        <f t="shared" si="0"/>
        <v>219.46099999999998</v>
      </c>
      <c r="AG12" s="9">
        <f t="shared" si="1"/>
        <v>141.88166666666666</v>
      </c>
      <c r="AH12" s="9">
        <f t="shared" si="2"/>
        <v>3.7169236626689512</v>
      </c>
      <c r="AI12" s="9">
        <f t="shared" si="3"/>
        <v>13.815521514108372</v>
      </c>
      <c r="AJ12" s="9">
        <f t="shared" si="4"/>
        <v>4.8361594819123033</v>
      </c>
      <c r="AK12" s="9">
        <f t="shared" si="5"/>
        <v>23.388438534490277</v>
      </c>
      <c r="AL12" s="9">
        <f t="shared" si="6"/>
        <v>5.8607568871242677</v>
      </c>
      <c r="AM12" s="9">
        <f t="shared" si="7"/>
        <v>34.348471289974533</v>
      </c>
      <c r="AN12" s="9" t="s">
        <v>4744</v>
      </c>
    </row>
    <row r="13" spans="8:40" ht="23">
      <c r="M13" s="8" t="s">
        <v>35</v>
      </c>
      <c r="N13" s="8" t="s">
        <v>18</v>
      </c>
      <c r="O13" s="8"/>
      <c r="P13" s="8" t="s">
        <v>3693</v>
      </c>
      <c r="Q13" s="8"/>
      <c r="R13" s="8"/>
      <c r="S13" s="8"/>
      <c r="T13" s="8"/>
      <c r="U13" s="8"/>
      <c r="V13" s="8"/>
      <c r="W13" s="8" t="s">
        <v>35</v>
      </c>
      <c r="X13" s="8">
        <v>33.24</v>
      </c>
      <c r="Y13" s="8">
        <v>3.6</v>
      </c>
      <c r="Z13" s="9">
        <v>3</v>
      </c>
      <c r="AA13" s="8">
        <v>73.3</v>
      </c>
      <c r="AB13" s="8">
        <v>4592</v>
      </c>
      <c r="AC13" s="21" t="s">
        <v>35</v>
      </c>
      <c r="AD13" s="8" t="s">
        <v>4358</v>
      </c>
      <c r="AE13" s="8" t="s">
        <v>4364</v>
      </c>
      <c r="AF13" s="9">
        <f t="shared" si="0"/>
        <v>263.88</v>
      </c>
      <c r="AG13" s="9">
        <f t="shared" si="1"/>
        <v>223.56499999999997</v>
      </c>
      <c r="AH13" s="9">
        <f t="shared" si="2"/>
        <v>3.4884827717494766</v>
      </c>
      <c r="AI13" s="9">
        <f t="shared" si="3"/>
        <v>12.16951204879291</v>
      </c>
      <c r="AJ13" s="9">
        <f t="shared" si="4"/>
        <v>5.8150002236708058</v>
      </c>
      <c r="AK13" s="9">
        <f t="shared" si="5"/>
        <v>33.81422760129152</v>
      </c>
      <c r="AL13" s="9">
        <f t="shared" si="6"/>
        <v>9.2348796307011973</v>
      </c>
      <c r="AM13" s="9">
        <f t="shared" si="7"/>
        <v>85.283001793539881</v>
      </c>
      <c r="AN13" s="8" t="s">
        <v>35</v>
      </c>
    </row>
    <row r="14" spans="8:40" ht="23">
      <c r="M14" s="8" t="s">
        <v>2118</v>
      </c>
      <c r="N14" s="8" t="s">
        <v>2107</v>
      </c>
      <c r="O14" s="8"/>
      <c r="P14" s="8" t="s">
        <v>3700</v>
      </c>
      <c r="Q14" s="8"/>
      <c r="R14" s="8"/>
      <c r="S14" s="8"/>
      <c r="T14" s="8"/>
      <c r="U14" s="8"/>
      <c r="V14" s="8"/>
      <c r="W14" s="8" t="s">
        <v>2118</v>
      </c>
      <c r="X14" s="8">
        <v>28.79</v>
      </c>
      <c r="Y14" s="8">
        <v>1.72</v>
      </c>
      <c r="Z14" s="9">
        <v>0.08</v>
      </c>
      <c r="AA14" s="8">
        <v>35.700000000000003</v>
      </c>
      <c r="AB14" s="8">
        <v>36203</v>
      </c>
      <c r="AC14" s="21" t="s">
        <v>2118</v>
      </c>
      <c r="AD14" s="8" t="s">
        <v>4358</v>
      </c>
      <c r="AE14" s="8" t="s">
        <v>4364</v>
      </c>
      <c r="AF14" s="9">
        <f t="shared" si="0"/>
        <v>61.404000000000003</v>
      </c>
      <c r="AG14" s="9">
        <f t="shared" si="1"/>
        <v>4.7600000000000007</v>
      </c>
      <c r="AH14" s="9">
        <f t="shared" si="2"/>
        <v>1.6990291262135926</v>
      </c>
      <c r="AI14" s="9">
        <f t="shared" si="3"/>
        <v>2.8866999717221238</v>
      </c>
      <c r="AJ14" s="9">
        <f t="shared" si="4"/>
        <v>1.3531312480456352</v>
      </c>
      <c r="AK14" s="9">
        <f t="shared" si="5"/>
        <v>1.8309641744375384</v>
      </c>
      <c r="AL14" s="9">
        <f t="shared" si="6"/>
        <v>0.19662302704867804</v>
      </c>
      <c r="AM14" s="9">
        <f t="shared" si="7"/>
        <v>3.8660614765785174E-2</v>
      </c>
      <c r="AN14" s="8" t="s">
        <v>2118</v>
      </c>
    </row>
    <row r="15" spans="8:40" ht="23">
      <c r="M15" s="8" t="s">
        <v>1818</v>
      </c>
      <c r="N15" s="8" t="s">
        <v>1814</v>
      </c>
      <c r="O15" s="8"/>
      <c r="P15" s="8"/>
      <c r="Q15" s="8"/>
      <c r="R15" s="8"/>
      <c r="S15" s="8"/>
      <c r="T15" s="8"/>
      <c r="U15" s="8"/>
      <c r="V15" s="8"/>
      <c r="W15" s="8" t="s">
        <v>1818</v>
      </c>
      <c r="X15" s="8">
        <v>19.14</v>
      </c>
      <c r="Y15" s="8">
        <v>4.7300000000000004</v>
      </c>
      <c r="Z15" s="9">
        <v>6.18</v>
      </c>
      <c r="AA15" s="8">
        <v>21.1</v>
      </c>
      <c r="AB15" s="8">
        <v>5869</v>
      </c>
      <c r="AC15" s="21" t="s">
        <v>1818</v>
      </c>
      <c r="AD15" s="8" t="s">
        <v>4358</v>
      </c>
      <c r="AE15" s="8" t="s">
        <v>4364</v>
      </c>
      <c r="AF15" s="9">
        <f t="shared" si="0"/>
        <v>99.803000000000011</v>
      </c>
      <c r="AG15" s="9">
        <f t="shared" si="1"/>
        <v>132.93</v>
      </c>
      <c r="AH15" s="9">
        <f t="shared" si="2"/>
        <v>1.0041880830001906</v>
      </c>
      <c r="AI15" s="9">
        <f t="shared" si="3"/>
        <v>1.0083937060395975</v>
      </c>
      <c r="AJ15" s="9">
        <f t="shared" si="4"/>
        <v>2.1993120635251535</v>
      </c>
      <c r="AK15" s="9">
        <f t="shared" si="5"/>
        <v>4.8369735527672688</v>
      </c>
      <c r="AL15" s="9">
        <f t="shared" si="6"/>
        <v>5.4909871818446998</v>
      </c>
      <c r="AM15" s="9">
        <f t="shared" si="7"/>
        <v>30.150940231182798</v>
      </c>
      <c r="AN15" s="8" t="s">
        <v>1818</v>
      </c>
    </row>
    <row r="16" spans="8:40" ht="23">
      <c r="M16" s="9" t="s">
        <v>2981</v>
      </c>
      <c r="N16" s="8" t="s">
        <v>1717</v>
      </c>
      <c r="O16" s="8"/>
      <c r="P16" s="8" t="s">
        <v>3700</v>
      </c>
      <c r="Q16" s="8"/>
      <c r="R16" s="8"/>
      <c r="S16" s="8"/>
      <c r="T16" s="8"/>
      <c r="U16" s="8"/>
      <c r="V16" s="8"/>
      <c r="W16" s="9" t="s">
        <v>2981</v>
      </c>
      <c r="X16" s="8">
        <v>33.54</v>
      </c>
      <c r="Y16" s="8">
        <v>2.42</v>
      </c>
      <c r="Z16" s="9">
        <v>2.1</v>
      </c>
      <c r="AA16" s="8">
        <v>15.4</v>
      </c>
      <c r="AB16" s="8">
        <v>8575</v>
      </c>
      <c r="AC16" s="22" t="s">
        <v>2981</v>
      </c>
      <c r="AD16" s="8" t="s">
        <v>4358</v>
      </c>
      <c r="AE16" s="8" t="s">
        <v>4364</v>
      </c>
      <c r="AF16" s="9">
        <f t="shared" si="0"/>
        <v>37.268000000000001</v>
      </c>
      <c r="AG16" s="9">
        <f t="shared" si="1"/>
        <v>30.825666666666663</v>
      </c>
      <c r="AH16" s="9">
        <f t="shared" si="2"/>
        <v>0.73291452503331433</v>
      </c>
      <c r="AI16" s="9">
        <f t="shared" si="3"/>
        <v>0.5371637010048087</v>
      </c>
      <c r="AJ16" s="9">
        <f t="shared" si="4"/>
        <v>0.82125749710384877</v>
      </c>
      <c r="AK16" s="9">
        <f t="shared" si="5"/>
        <v>0.6744638765492782</v>
      </c>
      <c r="AL16" s="9">
        <f t="shared" si="6"/>
        <v>1.2733268678137672</v>
      </c>
      <c r="AM16" s="9">
        <f t="shared" si="7"/>
        <v>1.621361312296419</v>
      </c>
      <c r="AN16" s="9" t="s">
        <v>2981</v>
      </c>
    </row>
    <row r="17" spans="13:40" ht="23">
      <c r="M17" s="9" t="s">
        <v>3120</v>
      </c>
      <c r="N17" s="8" t="s">
        <v>1862</v>
      </c>
      <c r="O17" s="8"/>
      <c r="P17" s="8" t="s">
        <v>4743</v>
      </c>
      <c r="Q17" s="8"/>
      <c r="R17" s="8"/>
      <c r="S17" s="8"/>
      <c r="T17" s="8"/>
      <c r="U17" s="8"/>
      <c r="V17" s="8"/>
      <c r="W17" s="9" t="s">
        <v>3120</v>
      </c>
      <c r="X17" s="8">
        <v>37.159999999999997</v>
      </c>
      <c r="Y17" s="8">
        <v>2.73</v>
      </c>
      <c r="Z17" s="9">
        <v>3.59</v>
      </c>
      <c r="AA17" s="8">
        <v>15.1</v>
      </c>
      <c r="AB17" s="8">
        <v>8525</v>
      </c>
      <c r="AC17" s="22" t="s">
        <v>3120</v>
      </c>
      <c r="AD17" s="8" t="s">
        <v>4358</v>
      </c>
      <c r="AE17" s="8" t="s">
        <v>4364</v>
      </c>
      <c r="AF17" s="9">
        <f t="shared" si="0"/>
        <v>41.222999999999999</v>
      </c>
      <c r="AG17" s="9">
        <f t="shared" si="1"/>
        <v>60.148333333333333</v>
      </c>
      <c r="AH17" s="9">
        <f t="shared" si="2"/>
        <v>0.7186369693508472</v>
      </c>
      <c r="AI17" s="9">
        <f t="shared" si="3"/>
        <v>0.51643909371777053</v>
      </c>
      <c r="AJ17" s="9">
        <f t="shared" si="4"/>
        <v>0.90841198355457642</v>
      </c>
      <c r="AK17" s="9">
        <f t="shared" si="5"/>
        <v>0.82521233186555998</v>
      </c>
      <c r="AL17" s="9">
        <f t="shared" si="6"/>
        <v>2.4845687756161561</v>
      </c>
      <c r="AM17" s="9">
        <f t="shared" si="7"/>
        <v>6.1730820007667653</v>
      </c>
      <c r="AN17" s="9" t="s">
        <v>3120</v>
      </c>
    </row>
    <row r="18" spans="13:40" ht="23">
      <c r="M18" s="8" t="s">
        <v>1716</v>
      </c>
      <c r="N18" s="8" t="s">
        <v>1614</v>
      </c>
      <c r="O18" s="8"/>
      <c r="P18" s="8"/>
      <c r="Q18" s="8"/>
      <c r="R18" s="8"/>
      <c r="S18" s="8"/>
      <c r="T18" s="8"/>
      <c r="U18" s="8"/>
      <c r="V18" s="8"/>
      <c r="W18" s="8" t="s">
        <v>1716</v>
      </c>
      <c r="X18" s="8">
        <v>37.840000000000003</v>
      </c>
      <c r="Y18" s="8">
        <v>3.02</v>
      </c>
      <c r="Z18" s="9">
        <v>1.43</v>
      </c>
      <c r="AA18" s="8">
        <v>13.7</v>
      </c>
      <c r="AB18" s="8">
        <v>48237</v>
      </c>
      <c r="AC18" s="21" t="s">
        <v>1716</v>
      </c>
      <c r="AD18" s="8" t="s">
        <v>4358</v>
      </c>
      <c r="AE18" s="8" t="s">
        <v>4364</v>
      </c>
      <c r="AF18" s="9">
        <f t="shared" si="0"/>
        <v>41.373999999999995</v>
      </c>
      <c r="AG18" s="9">
        <f t="shared" si="1"/>
        <v>23.518333333333334</v>
      </c>
      <c r="AH18" s="9">
        <f t="shared" si="2"/>
        <v>0.65200837616600049</v>
      </c>
      <c r="AI18" s="9">
        <f t="shared" si="3"/>
        <v>0.42511492259062478</v>
      </c>
      <c r="AJ18" s="9">
        <f t="shared" si="4"/>
        <v>0.9117394999778532</v>
      </c>
      <c r="AK18" s="9">
        <f t="shared" si="5"/>
        <v>0.83126891581986573</v>
      </c>
      <c r="AL18" s="9">
        <f t="shared" si="6"/>
        <v>0.97148022923105593</v>
      </c>
      <c r="AM18" s="9">
        <f t="shared" si="7"/>
        <v>0.94377383578682494</v>
      </c>
      <c r="AN18" s="8" t="s">
        <v>1716</v>
      </c>
    </row>
    <row r="19" spans="13:40" ht="23">
      <c r="M19" s="9" t="s">
        <v>3412</v>
      </c>
      <c r="N19" s="8" t="s">
        <v>1990</v>
      </c>
      <c r="O19" s="8"/>
      <c r="P19" s="8"/>
      <c r="Q19" s="8"/>
      <c r="R19" s="8"/>
      <c r="S19" s="8"/>
      <c r="T19" s="8"/>
      <c r="U19" s="8"/>
      <c r="V19" s="8"/>
      <c r="W19" s="9" t="s">
        <v>3412</v>
      </c>
      <c r="X19" s="8">
        <v>46.4</v>
      </c>
      <c r="Y19" s="8">
        <v>2.19</v>
      </c>
      <c r="Z19" s="9">
        <v>2.38</v>
      </c>
      <c r="AA19" s="8">
        <v>2.2999999999999998</v>
      </c>
      <c r="AB19" s="8">
        <v>41765</v>
      </c>
      <c r="AC19" s="22" t="s">
        <v>3412</v>
      </c>
      <c r="AD19" s="8" t="s">
        <v>4358</v>
      </c>
      <c r="AE19" s="8" t="s">
        <v>4364</v>
      </c>
      <c r="AF19" s="9">
        <f t="shared" si="0"/>
        <v>5.0369999999999999</v>
      </c>
      <c r="AG19" s="9">
        <f t="shared" si="1"/>
        <v>6.0566666666666658</v>
      </c>
      <c r="AH19" s="9">
        <f t="shared" si="2"/>
        <v>0.10946126023224825</v>
      </c>
      <c r="AI19" s="9">
        <f t="shared" si="3"/>
        <v>1.1981767491631972E-2</v>
      </c>
      <c r="AJ19" s="9">
        <f t="shared" si="4"/>
        <v>0.11099801472877766</v>
      </c>
      <c r="AK19" s="9">
        <f t="shared" si="5"/>
        <v>1.2320559273729942E-2</v>
      </c>
      <c r="AL19" s="9">
        <f t="shared" si="6"/>
        <v>0.25018490206403915</v>
      </c>
      <c r="AM19" s="9">
        <f t="shared" si="7"/>
        <v>6.2592485220792859E-2</v>
      </c>
      <c r="AN19" s="9" t="s">
        <v>3412</v>
      </c>
    </row>
    <row r="20" spans="13:40" ht="23">
      <c r="M20" s="9" t="s">
        <v>3448</v>
      </c>
      <c r="N20" s="8" t="s">
        <v>2003</v>
      </c>
      <c r="O20" s="8"/>
      <c r="P20" s="8"/>
      <c r="Q20" s="8"/>
      <c r="R20" s="8"/>
      <c r="S20" s="8"/>
      <c r="T20" s="8"/>
      <c r="U20" s="8"/>
      <c r="V20" s="8"/>
      <c r="W20" s="9" t="s">
        <v>3448</v>
      </c>
      <c r="X20" s="8">
        <v>35.07</v>
      </c>
      <c r="Y20" s="8">
        <v>1.77</v>
      </c>
      <c r="Z20" s="9">
        <v>0.05</v>
      </c>
      <c r="AA20" s="8">
        <v>1.1000000000000001</v>
      </c>
      <c r="AB20" s="8">
        <v>78188</v>
      </c>
      <c r="AC20" s="22" t="s">
        <v>3448</v>
      </c>
      <c r="AD20" s="8" t="s">
        <v>4358</v>
      </c>
      <c r="AE20" s="8" t="s">
        <v>4364</v>
      </c>
      <c r="AF20" s="9">
        <f t="shared" si="0"/>
        <v>1.9470000000000003</v>
      </c>
      <c r="AG20" s="9">
        <f t="shared" si="1"/>
        <v>9.1666666666666674E-2</v>
      </c>
      <c r="AH20" s="9">
        <f t="shared" si="2"/>
        <v>5.2351037502379599E-2</v>
      </c>
      <c r="AI20" s="9">
        <f t="shared" si="3"/>
        <v>2.740631127575555E-3</v>
      </c>
      <c r="AJ20" s="9">
        <f t="shared" si="4"/>
        <v>4.2905128980927167E-2</v>
      </c>
      <c r="AK20" s="9">
        <f t="shared" si="5"/>
        <v>1.8408500928699962E-3</v>
      </c>
      <c r="AL20" s="9">
        <f t="shared" si="6"/>
        <v>3.786507873836587E-3</v>
      </c>
      <c r="AM20" s="9">
        <f t="shared" si="7"/>
        <v>1.433764187862647E-5</v>
      </c>
      <c r="AN20" s="9" t="s">
        <v>3448</v>
      </c>
    </row>
    <row r="21" spans="13:40" ht="18">
      <c r="M21" s="49"/>
      <c r="N21" s="48"/>
      <c r="O21" s="48"/>
      <c r="P21" s="48"/>
      <c r="Q21" s="48"/>
      <c r="R21" s="48"/>
      <c r="S21" s="48"/>
      <c r="T21" s="48"/>
      <c r="U21" s="48"/>
      <c r="V21" s="48"/>
      <c r="W21" s="49"/>
      <c r="X21" s="48"/>
      <c r="Y21" s="48"/>
      <c r="Z21" s="49"/>
      <c r="AA21" s="48">
        <f>SUBTOTAL(109,Table13663[ترافیک کل])</f>
        <v>2101.1999999999998</v>
      </c>
      <c r="AB21" s="48"/>
      <c r="AC21" s="54"/>
      <c r="AD21" s="48"/>
      <c r="AE21" s="48"/>
      <c r="AF21" s="49">
        <f>SUBTOTAL(109,Table13663[[مجموع صفحات  مشاهده شده   ]])</f>
        <v>4537.9189999999999</v>
      </c>
      <c r="AG21" s="49">
        <f>SUBTOTAL(109,Table13663[[مجموع زمان حضور در سایت ]])</f>
        <v>2420.8761666666669</v>
      </c>
      <c r="AH21" s="49">
        <f>SUBTOTAL(109,Table13663[سهم سایت از کل ترافیک طبقه بندی])</f>
        <v>99.999999999999986</v>
      </c>
      <c r="AI21" s="49">
        <f>SUBTOTAL(109,Table13663[شاخص هرفیندال هیرشمن (ترافیک)])</f>
        <v>987.66973294819184</v>
      </c>
      <c r="AJ21" s="49">
        <f>SUBTOTAL(109,Table13663[سهم سایت از کل صفحات مشاهده شده در طبقه بندی])</f>
        <v>100</v>
      </c>
      <c r="AK21" s="49">
        <f>SUBTOTAL(109,Table13663[شاخص هرفیندال -هیرشمن (صفحات مشاهده شده )])</f>
        <v>1076.699219736988</v>
      </c>
      <c r="AL21" s="49">
        <f>SUBTOTAL(109,Table13663[سهم سایت از کل زمان حضور در طبقه بندی])</f>
        <v>99.999999999999986</v>
      </c>
      <c r="AM21" s="49">
        <f>SUBTOTAL(109,Table13663[شاخص هرفیندال هیرشمن (زمان حضور)])</f>
        <v>1750.2636485697628</v>
      </c>
      <c r="AN21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{53801689-4136-4894-AD2A-7A24FACBAC08}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{500F3589-3016-49CB-8A22-48317BE8DB5E}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{B3F6B1AA-1F00-48BD-8C33-92607E128CA6}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{FD7B2A5B-4CF3-4E63-87A5-6BC7C3529AEB}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{998709A7-ED7D-4030-A3EF-FFD794FAC0E3}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{3CBE2C56-E2BD-4591-8683-74F8D5478A15}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01689-4136-4894-AD2A-7A24FACBAC0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00F3589-3016-49CB-8A22-48317BE8DB5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3F6B1AA-1F00-48BD-8C33-92607E128CA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D7B2A5B-4CF3-4E63-87A5-6BC7C3529AE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998709A7-ED7D-4030-A3EF-FFD794FAC0E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3CBE2C56-E2BD-4591-8683-74F8D5478A1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7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366</v>
      </c>
      <c r="N2" s="8" t="s">
        <v>150</v>
      </c>
      <c r="O2" s="8"/>
      <c r="P2" s="8" t="s">
        <v>3691</v>
      </c>
      <c r="Q2" s="8"/>
      <c r="R2" s="8"/>
      <c r="S2" s="8"/>
      <c r="T2" s="8"/>
      <c r="U2" s="8"/>
      <c r="V2" s="8"/>
      <c r="W2" s="8" t="s">
        <v>366</v>
      </c>
      <c r="X2" s="8">
        <v>61.94</v>
      </c>
      <c r="Y2" s="8">
        <v>1.82</v>
      </c>
      <c r="Z2" s="9">
        <v>1.1599999999999999</v>
      </c>
      <c r="AA2" s="8">
        <v>1260.5</v>
      </c>
      <c r="AB2" s="8">
        <v>528</v>
      </c>
      <c r="AC2" s="21" t="s">
        <v>366</v>
      </c>
      <c r="AD2" s="8" t="s">
        <v>3711</v>
      </c>
      <c r="AE2" s="8"/>
      <c r="AF2" s="9">
        <f t="shared" ref="AF2:AF16" si="0">(AA2*Y2)</f>
        <v>2294.11</v>
      </c>
      <c r="AG2" s="9">
        <f t="shared" ref="AG2:AG16" si="1">((((RIGHT(Z2,2))/60)+(LEFT(Z2,2)))*AA2)</f>
        <v>1596.6333333333332</v>
      </c>
      <c r="AH2" s="9">
        <f t="shared" ref="AH2:AH16" si="2">(AA2/$AA$17)*100</f>
        <v>16.380340991787087</v>
      </c>
      <c r="AI2" s="9">
        <f t="shared" ref="AI2:AI16" si="3">(AH2*AH2)</f>
        <v>268.31557100722034</v>
      </c>
      <c r="AJ2" s="9">
        <f t="shared" ref="AJ2:AJ16" si="4">(AF2/$AF$17)*100</f>
        <v>10.858336878847359</v>
      </c>
      <c r="AK2" s="9">
        <f t="shared" ref="AK2:AK16" si="5">(AJ2*AJ2)</f>
        <v>117.90347977453661</v>
      </c>
      <c r="AL2" s="9">
        <f t="shared" ref="AL2:AL16" si="6">(AG2/$AG$17)*100</f>
        <v>10.776999647659</v>
      </c>
      <c r="AM2" s="9">
        <f t="shared" ref="AM2:AM16" si="7">(AL2*AL2)</f>
        <v>116.14372140564221</v>
      </c>
      <c r="AN2" s="8" t="s">
        <v>366</v>
      </c>
    </row>
    <row r="3" spans="8:40" ht="23">
      <c r="M3" s="8" t="s">
        <v>454</v>
      </c>
      <c r="N3" s="8" t="s">
        <v>150</v>
      </c>
      <c r="O3" s="8"/>
      <c r="P3" s="8" t="s">
        <v>3702</v>
      </c>
      <c r="Q3" s="8"/>
      <c r="R3" s="8"/>
      <c r="S3" s="8"/>
      <c r="T3" s="8"/>
      <c r="U3" s="8"/>
      <c r="V3" s="8"/>
      <c r="W3" s="8" t="s">
        <v>454</v>
      </c>
      <c r="X3" s="8">
        <v>43.93</v>
      </c>
      <c r="Y3" s="8">
        <v>3.46</v>
      </c>
      <c r="Z3" s="9">
        <v>2.2000000000000002</v>
      </c>
      <c r="AA3" s="8">
        <v>1082.5</v>
      </c>
      <c r="AB3" s="8">
        <v>859</v>
      </c>
      <c r="AC3" s="21" t="s">
        <v>454</v>
      </c>
      <c r="AD3" s="8" t="s">
        <v>3711</v>
      </c>
      <c r="AE3" s="8"/>
      <c r="AF3" s="9">
        <f t="shared" si="0"/>
        <v>3745.45</v>
      </c>
      <c r="AG3" s="9">
        <f t="shared" si="1"/>
        <v>2168.6083333333336</v>
      </c>
      <c r="AH3" s="9">
        <f t="shared" si="2"/>
        <v>14.067210728765984</v>
      </c>
      <c r="AI3" s="9">
        <f t="shared" si="3"/>
        <v>197.88641768750881</v>
      </c>
      <c r="AJ3" s="9">
        <f t="shared" si="4"/>
        <v>17.727727904450457</v>
      </c>
      <c r="AK3" s="9">
        <f t="shared" si="5"/>
        <v>314.27233665423142</v>
      </c>
      <c r="AL3" s="9">
        <f t="shared" si="6"/>
        <v>14.637732255940861</v>
      </c>
      <c r="AM3" s="9">
        <f t="shared" si="7"/>
        <v>214.26320559661153</v>
      </c>
      <c r="AN3" s="8" t="s">
        <v>454</v>
      </c>
    </row>
    <row r="4" spans="8:40" ht="23">
      <c r="M4" s="24" t="s">
        <v>5159</v>
      </c>
      <c r="N4" s="8" t="s">
        <v>150</v>
      </c>
      <c r="O4" s="24"/>
      <c r="P4" s="24"/>
      <c r="Q4" s="24"/>
      <c r="R4" s="24"/>
      <c r="S4" s="24"/>
      <c r="T4" s="24"/>
      <c r="U4" s="24"/>
      <c r="V4" s="24"/>
      <c r="W4" s="24" t="s">
        <v>5159</v>
      </c>
      <c r="X4" s="24">
        <v>31.29</v>
      </c>
      <c r="Y4" s="24">
        <v>3.72</v>
      </c>
      <c r="Z4" s="25">
        <v>2.3199999999999998</v>
      </c>
      <c r="AA4" s="24">
        <v>1009</v>
      </c>
      <c r="AB4" s="24">
        <v>647</v>
      </c>
      <c r="AC4" s="21" t="s">
        <v>5159</v>
      </c>
      <c r="AD4" s="8" t="s">
        <v>3711</v>
      </c>
      <c r="AE4" s="24"/>
      <c r="AF4" s="25">
        <f t="shared" si="0"/>
        <v>3753.48</v>
      </c>
      <c r="AG4" s="9">
        <f t="shared" si="1"/>
        <v>2556.1333333333332</v>
      </c>
      <c r="AH4" s="9">
        <f t="shared" si="2"/>
        <v>13.112069861731989</v>
      </c>
      <c r="AI4" s="25">
        <f t="shared" si="3"/>
        <v>171.92637605894035</v>
      </c>
      <c r="AJ4" s="9">
        <f t="shared" si="4"/>
        <v>17.765734994405666</v>
      </c>
      <c r="AK4" s="25">
        <f t="shared" si="5"/>
        <v>315.62133989145008</v>
      </c>
      <c r="AL4" s="9">
        <f t="shared" si="6"/>
        <v>17.253459174118099</v>
      </c>
      <c r="AM4" s="25">
        <f t="shared" si="7"/>
        <v>297.68185347295997</v>
      </c>
      <c r="AN4" s="24" t="s">
        <v>5159</v>
      </c>
    </row>
    <row r="5" spans="8:40" ht="23">
      <c r="M5" s="9" t="s">
        <v>970</v>
      </c>
      <c r="N5" s="8" t="s">
        <v>150</v>
      </c>
      <c r="O5" s="8"/>
      <c r="P5" s="8" t="s">
        <v>3693</v>
      </c>
      <c r="Q5" s="8"/>
      <c r="R5" s="8"/>
      <c r="S5" s="8"/>
      <c r="T5" s="8"/>
      <c r="U5" s="8"/>
      <c r="V5" s="8"/>
      <c r="W5" s="9" t="s">
        <v>970</v>
      </c>
      <c r="X5" s="8">
        <v>48.38</v>
      </c>
      <c r="Y5" s="8">
        <v>2.98</v>
      </c>
      <c r="Z5" s="9">
        <v>2.5299999999999998</v>
      </c>
      <c r="AA5" s="8">
        <v>883.1</v>
      </c>
      <c r="AB5" s="8">
        <v>564</v>
      </c>
      <c r="AC5" s="22" t="s">
        <v>970</v>
      </c>
      <c r="AD5" s="8" t="s">
        <v>4571</v>
      </c>
      <c r="AE5" s="8"/>
      <c r="AF5" s="9">
        <f t="shared" si="0"/>
        <v>2631.6379999999999</v>
      </c>
      <c r="AG5" s="9">
        <f t="shared" si="1"/>
        <v>2546.2716666666665</v>
      </c>
      <c r="AH5" s="9">
        <f t="shared" si="2"/>
        <v>11.475985029628861</v>
      </c>
      <c r="AI5" s="9">
        <f t="shared" si="3"/>
        <v>131.69823240026574</v>
      </c>
      <c r="AJ5" s="9">
        <f t="shared" si="4"/>
        <v>12.455903137676966</v>
      </c>
      <c r="AK5" s="9">
        <f t="shared" si="5"/>
        <v>155.14952297519088</v>
      </c>
      <c r="AL5" s="9">
        <f t="shared" si="6"/>
        <v>17.186894624842335</v>
      </c>
      <c r="AM5" s="9">
        <f t="shared" si="7"/>
        <v>295.38934684543432</v>
      </c>
      <c r="AN5" s="9" t="s">
        <v>970</v>
      </c>
    </row>
    <row r="6" spans="8:40" ht="23">
      <c r="M6" s="9" t="s">
        <v>3283</v>
      </c>
      <c r="N6" s="8" t="s">
        <v>1939</v>
      </c>
      <c r="O6" s="8"/>
      <c r="P6" s="8" t="s">
        <v>4155</v>
      </c>
      <c r="Q6" s="8"/>
      <c r="R6" s="8"/>
      <c r="S6" s="8"/>
      <c r="T6" s="8"/>
      <c r="U6" s="8"/>
      <c r="V6" s="8"/>
      <c r="W6" s="9" t="s">
        <v>3283</v>
      </c>
      <c r="X6" s="8">
        <v>59.28</v>
      </c>
      <c r="Y6" s="8">
        <v>1.72</v>
      </c>
      <c r="Z6" s="9">
        <v>1.45</v>
      </c>
      <c r="AA6" s="8">
        <v>869.7</v>
      </c>
      <c r="AB6" s="8">
        <v>2101</v>
      </c>
      <c r="AC6" s="22" t="s">
        <v>3283</v>
      </c>
      <c r="AD6" s="8" t="s">
        <v>3711</v>
      </c>
      <c r="AE6" s="8"/>
      <c r="AF6" s="9">
        <f t="shared" si="0"/>
        <v>1495.884</v>
      </c>
      <c r="AG6" s="9">
        <f t="shared" si="1"/>
        <v>1521.9750000000001</v>
      </c>
      <c r="AH6" s="9">
        <f t="shared" si="2"/>
        <v>11.301850504210417</v>
      </c>
      <c r="AI6" s="9">
        <f t="shared" si="3"/>
        <v>127.73182481952126</v>
      </c>
      <c r="AJ6" s="9">
        <f t="shared" si="4"/>
        <v>7.0802238792724417</v>
      </c>
      <c r="AK6" s="9">
        <f t="shared" si="5"/>
        <v>50.129570180619702</v>
      </c>
      <c r="AL6" s="9">
        <f t="shared" si="6"/>
        <v>10.273068773092847</v>
      </c>
      <c r="AM6" s="9">
        <f t="shared" si="7"/>
        <v>105.53594201669537</v>
      </c>
      <c r="AN6" s="9" t="s">
        <v>3283</v>
      </c>
    </row>
    <row r="7" spans="8:40" ht="23">
      <c r="M7" s="8" t="s">
        <v>517</v>
      </c>
      <c r="N7" s="8" t="s">
        <v>150</v>
      </c>
      <c r="O7" s="8"/>
      <c r="P7" s="8" t="s">
        <v>3693</v>
      </c>
      <c r="Q7" s="8"/>
      <c r="R7" s="8"/>
      <c r="S7" s="8"/>
      <c r="T7" s="8"/>
      <c r="U7" s="8"/>
      <c r="V7" s="8"/>
      <c r="W7" s="8" t="s">
        <v>517</v>
      </c>
      <c r="X7" s="8">
        <v>41.75</v>
      </c>
      <c r="Y7" s="8">
        <v>3.64</v>
      </c>
      <c r="Z7" s="9">
        <v>2.5099999999999998</v>
      </c>
      <c r="AA7" s="8">
        <v>638.70000000000005</v>
      </c>
      <c r="AB7" s="8">
        <v>1610</v>
      </c>
      <c r="AC7" s="21" t="s">
        <v>517</v>
      </c>
      <c r="AD7" s="8" t="s">
        <v>3711</v>
      </c>
      <c r="AE7" s="8"/>
      <c r="AF7" s="9">
        <f t="shared" si="0"/>
        <v>2324.8680000000004</v>
      </c>
      <c r="AG7" s="9">
        <f t="shared" si="1"/>
        <v>1820.2950000000001</v>
      </c>
      <c r="AH7" s="9">
        <f t="shared" si="2"/>
        <v>8.2999792078178611</v>
      </c>
      <c r="AI7" s="9">
        <f t="shared" si="3"/>
        <v>68.889654850208814</v>
      </c>
      <c r="AJ7" s="9">
        <f t="shared" si="4"/>
        <v>11.00391870610045</v>
      </c>
      <c r="AK7" s="9">
        <f t="shared" si="5"/>
        <v>121.0862268904674</v>
      </c>
      <c r="AL7" s="9">
        <f t="shared" si="6"/>
        <v>12.286677325394335</v>
      </c>
      <c r="AM7" s="9">
        <f t="shared" si="7"/>
        <v>150.96243969835928</v>
      </c>
      <c r="AN7" s="8" t="s">
        <v>517</v>
      </c>
    </row>
    <row r="8" spans="8:40" ht="23">
      <c r="M8" s="8" t="s">
        <v>1454</v>
      </c>
      <c r="N8" s="8" t="s">
        <v>150</v>
      </c>
      <c r="O8" s="8"/>
      <c r="P8" s="8" t="s">
        <v>3715</v>
      </c>
      <c r="Q8" s="8"/>
      <c r="R8" s="8"/>
      <c r="S8" s="8"/>
      <c r="T8" s="8"/>
      <c r="U8" s="8"/>
      <c r="V8" s="8"/>
      <c r="W8" s="8" t="s">
        <v>1454</v>
      </c>
      <c r="X8" s="8">
        <v>41.7</v>
      </c>
      <c r="Y8" s="8">
        <v>1.68</v>
      </c>
      <c r="Z8" s="9">
        <v>0.38</v>
      </c>
      <c r="AA8" s="8">
        <v>520.9</v>
      </c>
      <c r="AB8" s="8">
        <v>1775</v>
      </c>
      <c r="AC8" s="21" t="s">
        <v>1454</v>
      </c>
      <c r="AD8" s="8" t="s">
        <v>3711</v>
      </c>
      <c r="AE8" s="8"/>
      <c r="AF8" s="9">
        <f t="shared" si="0"/>
        <v>875.11199999999997</v>
      </c>
      <c r="AG8" s="9">
        <f t="shared" si="1"/>
        <v>329.90333333333331</v>
      </c>
      <c r="AH8" s="9">
        <f t="shared" si="2"/>
        <v>6.7691547977960287</v>
      </c>
      <c r="AI8" s="9">
        <f t="shared" si="3"/>
        <v>45.821456676524996</v>
      </c>
      <c r="AJ8" s="9">
        <f t="shared" si="4"/>
        <v>4.1420249694748152</v>
      </c>
      <c r="AK8" s="9">
        <f t="shared" si="5"/>
        <v>17.156370847752843</v>
      </c>
      <c r="AL8" s="9">
        <f t="shared" si="6"/>
        <v>2.2267906055000291</v>
      </c>
      <c r="AM8" s="9">
        <f t="shared" si="7"/>
        <v>4.9585964007431862</v>
      </c>
      <c r="AN8" s="8" t="s">
        <v>1454</v>
      </c>
    </row>
    <row r="9" spans="8:40" ht="23">
      <c r="M9" s="24" t="s">
        <v>5161</v>
      </c>
      <c r="N9" s="24"/>
      <c r="O9" s="24"/>
      <c r="P9" s="24"/>
      <c r="Q9" s="24"/>
      <c r="R9" s="24"/>
      <c r="S9" s="24"/>
      <c r="T9" s="24"/>
      <c r="U9" s="24"/>
      <c r="V9" s="24"/>
      <c r="W9" s="24" t="s">
        <v>5161</v>
      </c>
      <c r="X9" s="24">
        <v>32.869999999999997</v>
      </c>
      <c r="Y9" s="24">
        <v>2.77</v>
      </c>
      <c r="Z9" s="25">
        <v>1.43</v>
      </c>
      <c r="AA9" s="24">
        <v>297.10000000000002</v>
      </c>
      <c r="AB9" s="24">
        <v>2074</v>
      </c>
      <c r="AC9" s="21" t="s">
        <v>5161</v>
      </c>
      <c r="AD9" s="8" t="s">
        <v>3711</v>
      </c>
      <c r="AE9" s="24"/>
      <c r="AF9" s="25">
        <f t="shared" si="0"/>
        <v>822.9670000000001</v>
      </c>
      <c r="AG9" s="9">
        <f t="shared" si="1"/>
        <v>510.02166666666676</v>
      </c>
      <c r="AH9" s="9">
        <f t="shared" si="2"/>
        <v>3.8608483210312925</v>
      </c>
      <c r="AI9" s="25">
        <f t="shared" si="3"/>
        <v>14.90614975801015</v>
      </c>
      <c r="AJ9" s="9">
        <f t="shared" si="4"/>
        <v>3.8952155416149945</v>
      </c>
      <c r="AK9" s="25">
        <f t="shared" si="5"/>
        <v>15.172704115638995</v>
      </c>
      <c r="AL9" s="9">
        <f t="shared" si="6"/>
        <v>3.4425582926356237</v>
      </c>
      <c r="AM9" s="25">
        <f t="shared" si="7"/>
        <v>11.851207598194302</v>
      </c>
      <c r="AN9" s="24" t="s">
        <v>5161</v>
      </c>
    </row>
    <row r="10" spans="8:40" ht="23">
      <c r="M10" s="8" t="s">
        <v>1770</v>
      </c>
      <c r="N10" s="8" t="s">
        <v>1717</v>
      </c>
      <c r="O10" s="8"/>
      <c r="P10" s="8"/>
      <c r="Q10" s="8"/>
      <c r="R10" s="8"/>
      <c r="S10" s="8"/>
      <c r="T10" s="8"/>
      <c r="U10" s="8"/>
      <c r="V10" s="8"/>
      <c r="W10" s="8" t="s">
        <v>1770</v>
      </c>
      <c r="X10" s="8">
        <v>52.88</v>
      </c>
      <c r="Y10" s="8">
        <v>1.25</v>
      </c>
      <c r="Z10" s="9">
        <v>0.15</v>
      </c>
      <c r="AA10" s="8">
        <v>263.5</v>
      </c>
      <c r="AB10" s="8">
        <v>5816</v>
      </c>
      <c r="AC10" s="21" t="s">
        <v>1770</v>
      </c>
      <c r="AD10" s="8" t="s">
        <v>3711</v>
      </c>
      <c r="AE10" s="8"/>
      <c r="AF10" s="9">
        <f t="shared" si="0"/>
        <v>329.375</v>
      </c>
      <c r="AG10" s="9">
        <f t="shared" si="1"/>
        <v>65.875</v>
      </c>
      <c r="AH10" s="9">
        <f t="shared" si="2"/>
        <v>3.4242124961014664</v>
      </c>
      <c r="AI10" s="9">
        <f t="shared" si="3"/>
        <v>11.725231218457434</v>
      </c>
      <c r="AJ10" s="9">
        <f t="shared" si="4"/>
        <v>1.55897699302577</v>
      </c>
      <c r="AK10" s="9">
        <f t="shared" si="5"/>
        <v>2.4304092647836715</v>
      </c>
      <c r="AL10" s="9">
        <f t="shared" si="6"/>
        <v>0.44464488932307777</v>
      </c>
      <c r="AM10" s="9">
        <f t="shared" si="7"/>
        <v>0.19770907760113207</v>
      </c>
      <c r="AN10" s="8" t="s">
        <v>1770</v>
      </c>
    </row>
    <row r="11" spans="8:40" ht="23">
      <c r="M11" s="8" t="s">
        <v>415</v>
      </c>
      <c r="N11" s="8" t="s">
        <v>150</v>
      </c>
      <c r="O11" s="8"/>
      <c r="P11" s="8" t="s">
        <v>3692</v>
      </c>
      <c r="Q11" s="8"/>
      <c r="R11" s="8"/>
      <c r="S11" s="8"/>
      <c r="T11" s="8"/>
      <c r="U11" s="8"/>
      <c r="V11" s="8"/>
      <c r="W11" s="8" t="s">
        <v>415</v>
      </c>
      <c r="X11" s="8">
        <v>19.57</v>
      </c>
      <c r="Y11" s="8">
        <v>5.74</v>
      </c>
      <c r="Z11" s="9">
        <v>3.41</v>
      </c>
      <c r="AA11" s="8">
        <v>262.5</v>
      </c>
      <c r="AB11" s="8">
        <v>737</v>
      </c>
      <c r="AC11" s="21" t="s">
        <v>415</v>
      </c>
      <c r="AD11" s="8" t="s">
        <v>4571</v>
      </c>
      <c r="AE11" s="8"/>
      <c r="AF11" s="9">
        <f t="shared" si="0"/>
        <v>1506.75</v>
      </c>
      <c r="AG11" s="9">
        <f t="shared" si="1"/>
        <v>966.87500000000011</v>
      </c>
      <c r="AH11" s="9">
        <f t="shared" si="2"/>
        <v>3.4112173822642684</v>
      </c>
      <c r="AI11" s="9">
        <f t="shared" si="3"/>
        <v>11.636404029061888</v>
      </c>
      <c r="AJ11" s="9">
        <f t="shared" si="4"/>
        <v>7.1316541457049825</v>
      </c>
      <c r="AK11" s="9">
        <f t="shared" si="5"/>
        <v>50.860490853951063</v>
      </c>
      <c r="AL11" s="9">
        <f t="shared" si="6"/>
        <v>6.5262395045806585</v>
      </c>
      <c r="AM11" s="9">
        <f t="shared" si="7"/>
        <v>42.591802071149196</v>
      </c>
      <c r="AN11" s="8" t="s">
        <v>415</v>
      </c>
    </row>
    <row r="12" spans="8:40" ht="23">
      <c r="M12" s="24" t="s">
        <v>5158</v>
      </c>
      <c r="N12" s="8" t="s">
        <v>150</v>
      </c>
      <c r="O12" s="24"/>
      <c r="P12" s="24"/>
      <c r="Q12" s="24"/>
      <c r="R12" s="24"/>
      <c r="S12" s="24"/>
      <c r="T12" s="24"/>
      <c r="U12" s="24"/>
      <c r="V12" s="24"/>
      <c r="W12" s="24" t="s">
        <v>5158</v>
      </c>
      <c r="X12" s="24">
        <v>27.85</v>
      </c>
      <c r="Y12" s="24">
        <v>2.34</v>
      </c>
      <c r="Z12" s="25">
        <v>0.57999999999999996</v>
      </c>
      <c r="AA12" s="24">
        <v>238.9</v>
      </c>
      <c r="AB12" s="24">
        <v>2791</v>
      </c>
      <c r="AC12" s="21" t="s">
        <v>5158</v>
      </c>
      <c r="AD12" s="8" t="s">
        <v>3711</v>
      </c>
      <c r="AE12" s="24"/>
      <c r="AF12" s="25">
        <f t="shared" si="0"/>
        <v>559.02599999999995</v>
      </c>
      <c r="AG12" s="9">
        <f t="shared" si="1"/>
        <v>230.93666666666667</v>
      </c>
      <c r="AH12" s="9">
        <f t="shared" si="2"/>
        <v>3.1045326957064145</v>
      </c>
      <c r="AI12" s="25">
        <f t="shared" si="3"/>
        <v>9.638123258710138</v>
      </c>
      <c r="AJ12" s="9">
        <f t="shared" si="4"/>
        <v>2.6459466337858792</v>
      </c>
      <c r="AK12" s="25">
        <f t="shared" si="5"/>
        <v>7.0010335888428257</v>
      </c>
      <c r="AL12" s="9">
        <f t="shared" si="6"/>
        <v>1.5587826731027021</v>
      </c>
      <c r="AM12" s="25">
        <f t="shared" si="7"/>
        <v>2.4298034219652056</v>
      </c>
      <c r="AN12" s="24" t="s">
        <v>5158</v>
      </c>
    </row>
    <row r="13" spans="8:40" ht="23">
      <c r="M13" s="24" t="s">
        <v>5160</v>
      </c>
      <c r="N13" s="8" t="s">
        <v>150</v>
      </c>
      <c r="O13" s="24"/>
      <c r="P13" s="24"/>
      <c r="Q13" s="24"/>
      <c r="R13" s="24"/>
      <c r="S13" s="24"/>
      <c r="T13" s="24"/>
      <c r="U13" s="24"/>
      <c r="V13" s="24"/>
      <c r="W13" s="24" t="s">
        <v>5160</v>
      </c>
      <c r="X13" s="24">
        <v>33.76</v>
      </c>
      <c r="Y13" s="24">
        <v>1.57</v>
      </c>
      <c r="Z13" s="25">
        <v>1.23</v>
      </c>
      <c r="AA13" s="24">
        <v>194.3</v>
      </c>
      <c r="AB13" s="24">
        <v>11282</v>
      </c>
      <c r="AC13" s="21" t="s">
        <v>5160</v>
      </c>
      <c r="AD13" s="8" t="s">
        <v>3711</v>
      </c>
      <c r="AE13" s="24"/>
      <c r="AF13" s="25">
        <f t="shared" si="0"/>
        <v>305.05100000000004</v>
      </c>
      <c r="AG13" s="9">
        <f t="shared" si="1"/>
        <v>268.78166666666669</v>
      </c>
      <c r="AH13" s="9">
        <f t="shared" si="2"/>
        <v>2.5249506185674191</v>
      </c>
      <c r="AI13" s="25">
        <f t="shared" si="3"/>
        <v>6.3753756262039927</v>
      </c>
      <c r="AJ13" s="9">
        <f t="shared" si="4"/>
        <v>1.443848169106654</v>
      </c>
      <c r="AK13" s="25">
        <f t="shared" si="5"/>
        <v>2.0846975354326371</v>
      </c>
      <c r="AL13" s="9">
        <f t="shared" si="6"/>
        <v>1.8142298964261463</v>
      </c>
      <c r="AM13" s="25">
        <f t="shared" si="7"/>
        <v>3.2914301170864255</v>
      </c>
      <c r="AN13" s="24" t="s">
        <v>5160</v>
      </c>
    </row>
    <row r="14" spans="8:40" ht="23">
      <c r="M14" s="8" t="s">
        <v>2330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2330</v>
      </c>
      <c r="X14" s="8">
        <v>30.89</v>
      </c>
      <c r="Y14" s="8">
        <v>2.44</v>
      </c>
      <c r="Z14" s="9">
        <v>0.42</v>
      </c>
      <c r="AA14" s="8">
        <v>130.80000000000001</v>
      </c>
      <c r="AB14" s="8">
        <v>24076</v>
      </c>
      <c r="AC14" s="21" t="s">
        <v>2330</v>
      </c>
      <c r="AD14" s="8" t="s">
        <v>3711</v>
      </c>
      <c r="AE14" s="8"/>
      <c r="AF14" s="9">
        <f t="shared" si="0"/>
        <v>319.15200000000004</v>
      </c>
      <c r="AG14" s="9">
        <f t="shared" si="1"/>
        <v>91.56</v>
      </c>
      <c r="AH14" s="9">
        <f t="shared" si="2"/>
        <v>1.6997608899053958</v>
      </c>
      <c r="AI14" s="9">
        <f t="shared" si="3"/>
        <v>2.8891870828519828</v>
      </c>
      <c r="AJ14" s="9">
        <f t="shared" si="4"/>
        <v>1.5105901336718348</v>
      </c>
      <c r="AK14" s="9">
        <f t="shared" si="5"/>
        <v>2.2818825519466919</v>
      </c>
      <c r="AL14" s="9">
        <f t="shared" si="6"/>
        <v>0.61801420973694121</v>
      </c>
      <c r="AM14" s="9">
        <f t="shared" si="7"/>
        <v>0.38194156343677599</v>
      </c>
      <c r="AN14" s="8" t="s">
        <v>2330</v>
      </c>
    </row>
    <row r="15" spans="8:40" ht="23">
      <c r="M15" s="8" t="s">
        <v>845</v>
      </c>
      <c r="N15" s="8" t="s">
        <v>150</v>
      </c>
      <c r="O15" s="8"/>
      <c r="P15" s="8" t="s">
        <v>3705</v>
      </c>
      <c r="Q15" s="8"/>
      <c r="R15" s="8"/>
      <c r="S15" s="8"/>
      <c r="T15" s="8"/>
      <c r="U15" s="8"/>
      <c r="V15" s="8"/>
      <c r="W15" s="8" t="s">
        <v>845</v>
      </c>
      <c r="X15" s="8">
        <v>35.64</v>
      </c>
      <c r="Y15" s="8">
        <v>3.15</v>
      </c>
      <c r="Z15" s="9">
        <v>2.5499999999999998</v>
      </c>
      <c r="AA15" s="8">
        <v>39</v>
      </c>
      <c r="AB15" s="8">
        <v>4686</v>
      </c>
      <c r="AC15" s="21" t="s">
        <v>845</v>
      </c>
      <c r="AD15" s="8" t="s">
        <v>3711</v>
      </c>
      <c r="AE15" s="8"/>
      <c r="AF15" s="9">
        <f t="shared" si="0"/>
        <v>122.85</v>
      </c>
      <c r="AG15" s="9">
        <f t="shared" si="1"/>
        <v>113.75</v>
      </c>
      <c r="AH15" s="9">
        <f t="shared" si="2"/>
        <v>0.50680943965069136</v>
      </c>
      <c r="AI15" s="9">
        <f t="shared" si="3"/>
        <v>0.25685580811904779</v>
      </c>
      <c r="AJ15" s="9">
        <f t="shared" si="4"/>
        <v>0.58146587808186967</v>
      </c>
      <c r="AK15" s="9">
        <f t="shared" si="5"/>
        <v>0.33810256737351974</v>
      </c>
      <c r="AL15" s="9">
        <f t="shared" si="6"/>
        <v>0.76779288289184211</v>
      </c>
      <c r="AM15" s="9">
        <f t="shared" si="7"/>
        <v>0.589505911019366</v>
      </c>
      <c r="AN15" s="8" t="s">
        <v>845</v>
      </c>
    </row>
    <row r="16" spans="8:40" ht="23">
      <c r="M16" s="9" t="s">
        <v>4766</v>
      </c>
      <c r="N16" s="8" t="s">
        <v>150</v>
      </c>
      <c r="O16" s="8"/>
      <c r="P16" s="8" t="s">
        <v>3691</v>
      </c>
      <c r="Q16" s="8"/>
      <c r="R16" s="8"/>
      <c r="S16" s="8"/>
      <c r="T16" s="8"/>
      <c r="U16" s="8"/>
      <c r="V16" s="8"/>
      <c r="W16" s="9" t="s">
        <v>4766</v>
      </c>
      <c r="X16" s="8">
        <v>44.35</v>
      </c>
      <c r="Y16" s="8">
        <v>8.92</v>
      </c>
      <c r="Z16" s="9">
        <v>5.52</v>
      </c>
      <c r="AA16" s="8">
        <v>4.7</v>
      </c>
      <c r="AB16" s="8">
        <v>46425</v>
      </c>
      <c r="AC16" s="22" t="s">
        <v>4766</v>
      </c>
      <c r="AD16" s="8" t="s">
        <v>3711</v>
      </c>
      <c r="AE16" s="8"/>
      <c r="AF16" s="9">
        <f t="shared" si="0"/>
        <v>41.923999999999999</v>
      </c>
      <c r="AG16" s="9">
        <f t="shared" si="1"/>
        <v>27.573333333333338</v>
      </c>
      <c r="AH16" s="9">
        <f t="shared" si="2"/>
        <v>6.1077035034826914E-2</v>
      </c>
      <c r="AI16" s="9">
        <f t="shared" si="3"/>
        <v>3.7304042086454743E-3</v>
      </c>
      <c r="AJ16" s="9">
        <f t="shared" si="4"/>
        <v>0.19843203477984783</v>
      </c>
      <c r="AK16" s="9">
        <f t="shared" si="5"/>
        <v>3.9375272426870743E-2</v>
      </c>
      <c r="AL16" s="9">
        <f t="shared" si="6"/>
        <v>0.18611524475549651</v>
      </c>
      <c r="AM16" s="9">
        <f t="shared" si="7"/>
        <v>3.463888433039837E-2</v>
      </c>
      <c r="AN16" s="9" t="s">
        <v>4766</v>
      </c>
    </row>
    <row r="17" spans="13:40" ht="23"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9"/>
      <c r="AA17" s="8">
        <f>SUBTOTAL(109,Table13683[ترافیک کل])</f>
        <v>7695.2</v>
      </c>
      <c r="AB17" s="8"/>
      <c r="AC17" s="21"/>
      <c r="AD17" s="8"/>
      <c r="AE17" s="8"/>
      <c r="AF17" s="9">
        <f>SUBTOTAL(109,Table13683[[مجموع صفحات  مشاهده شده   ]])</f>
        <v>21127.637000000002</v>
      </c>
      <c r="AG17" s="9">
        <f>SUBTOTAL(109,Table13683[[مجموع زمان حضور در سایت ]])</f>
        <v>14815.193333333335</v>
      </c>
      <c r="AH17" s="9">
        <f>SUBTOTAL(109,Table13683[سهم سایت از کل ترافیک طبقه بندی])</f>
        <v>100</v>
      </c>
      <c r="AI17" s="9">
        <f>SUBTOTAL(109,Table13683[شاخص هرفیندال هیرشمن (ترافیک)])</f>
        <v>1069.7005906858135</v>
      </c>
      <c r="AJ17" s="9">
        <f>SUBTOTAL(109,Table13683[سهم سایت از کل صفحات مشاهده شده در طبقه بندی])</f>
        <v>99.999999999999986</v>
      </c>
      <c r="AK17" s="9">
        <f>SUBTOTAL(109,Table13683[شاخص هرفیندال -هیرشمن (صفحات مشاهده شده )])</f>
        <v>1171.5275429646451</v>
      </c>
      <c r="AL17" s="9">
        <f>SUBTOTAL(109,Table13683[سهم سایت از کل زمان حضور در طبقه بندی])</f>
        <v>99.999999999999986</v>
      </c>
      <c r="AM17" s="9">
        <f>SUBTOTAL(109,Table13683[شاخص هرفیندال هیرشمن (زمان حضور)])</f>
        <v>1246.303144081229</v>
      </c>
      <c r="AN17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{E9C8F776-E5A2-4DC0-89A8-6B9442AD2F08}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{EBA3A0B0-B8A7-419C-BB6B-8218F1FC5A4D}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{D68ED954-EAFB-479E-B9CB-C222CDC9BDB9}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{13211D63-56EF-44E6-A2F0-CF13C73B802E}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{5DEAFBED-6144-4DC8-AF63-7A98C67546DD}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{C9F95B78-24C5-4687-803E-33C3F0E0586E}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9C8F776-E5A2-4DC0-89A8-6B9442AD2F0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BA3A0B0-B8A7-419C-BB6B-8218F1FC5A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68ED954-EAFB-479E-B9CB-C222CDC9BDB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3211D63-56EF-44E6-A2F0-CF13C73B802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DEAFBED-6144-4DC8-AF63-7A98C67546D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C9F95B78-24C5-4687-803E-33C3F0E058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7"/>
  <sheetViews>
    <sheetView showGridLines="0" rightToLeft="1" topLeftCell="AB1" zoomScale="55" zoomScaleNormal="55" workbookViewId="0">
      <selection activeCell="AE2" sqref="AE2:AE1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4" customHeight="1">
      <c r="M2" s="8" t="s">
        <v>437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437</v>
      </c>
      <c r="X2" s="8">
        <v>38.42</v>
      </c>
      <c r="Y2" s="8">
        <v>4.41</v>
      </c>
      <c r="Z2" s="9">
        <v>6.23</v>
      </c>
      <c r="AA2" s="8">
        <v>100142.7</v>
      </c>
      <c r="AB2" s="8">
        <v>7</v>
      </c>
      <c r="AC2" s="21" t="s">
        <v>437</v>
      </c>
      <c r="AD2" s="8" t="s">
        <v>4550</v>
      </c>
      <c r="AE2" s="8" t="s">
        <v>5359</v>
      </c>
      <c r="AF2" s="9">
        <f t="shared" ref="AF2:AF12" si="0">(AA2*Y2)</f>
        <v>441629.30700000003</v>
      </c>
      <c r="AG2" s="9">
        <f t="shared" ref="AG2:AG12" si="1">((((RIGHT(Z2,2))/60)+(LEFT(Z2,2)))*AA2)</f>
        <v>639244.23499999999</v>
      </c>
      <c r="AH2" s="9">
        <f t="shared" ref="AH2:AH12" si="2">(AA2/$AA$13)*100</f>
        <v>68.72311179522795</v>
      </c>
      <c r="AI2" s="9">
        <f t="shared" ref="AI2:AI12" si="3">(AH2*AH2)</f>
        <v>4722.8660948193992</v>
      </c>
      <c r="AJ2" s="9">
        <f t="shared" ref="AJ2:AJ12" si="4">(AF2/$AF$13)*100</f>
        <v>80.108863732356028</v>
      </c>
      <c r="AK2" s="9">
        <f t="shared" ref="AK2:AK12" si="5">(AJ2*AJ2)</f>
        <v>6417.4300484891874</v>
      </c>
      <c r="AL2" s="9">
        <f t="shared" ref="AL2:AL12" si="6">(AG2/$AG$13)*100</f>
        <v>75.444426708249296</v>
      </c>
      <c r="AM2" s="9">
        <f t="shared" ref="AM2:AM12" si="7">(AL2*AL2)</f>
        <v>5691.8615213364001</v>
      </c>
      <c r="AN2" s="8" t="s">
        <v>437</v>
      </c>
    </row>
    <row r="3" spans="8:40" ht="25" customHeight="1">
      <c r="M3" s="8" t="s">
        <v>3747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3747</v>
      </c>
      <c r="X3" s="8">
        <v>49.73</v>
      </c>
      <c r="Y3" s="8">
        <v>2.84</v>
      </c>
      <c r="Z3" s="9">
        <v>6.22</v>
      </c>
      <c r="AA3" s="8">
        <v>26146.5</v>
      </c>
      <c r="AB3" s="8">
        <v>65</v>
      </c>
      <c r="AC3" s="21" t="s">
        <v>3747</v>
      </c>
      <c r="AD3" s="8" t="s">
        <v>4550</v>
      </c>
      <c r="AE3" s="8" t="s">
        <v>5359</v>
      </c>
      <c r="AF3" s="9">
        <f t="shared" si="0"/>
        <v>74256.06</v>
      </c>
      <c r="AG3" s="9">
        <f t="shared" si="1"/>
        <v>166466.04999999999</v>
      </c>
      <c r="AH3" s="9">
        <f t="shared" si="2"/>
        <v>17.943083645177609</v>
      </c>
      <c r="AI3" s="9">
        <f t="shared" si="3"/>
        <v>321.95425069784017</v>
      </c>
      <c r="AJ3" s="9">
        <f t="shared" si="4"/>
        <v>13.469596554292201</v>
      </c>
      <c r="AK3" s="9">
        <f t="shared" si="5"/>
        <v>181.43003133540032</v>
      </c>
      <c r="AL3" s="9">
        <f t="shared" si="6"/>
        <v>19.646537302971161</v>
      </c>
      <c r="AM3" s="9">
        <f t="shared" si="7"/>
        <v>385.98642799703737</v>
      </c>
      <c r="AN3" s="8" t="s">
        <v>3747</v>
      </c>
    </row>
    <row r="4" spans="8:40" ht="23">
      <c r="M4" s="24" t="s">
        <v>4650</v>
      </c>
      <c r="N4" s="24"/>
      <c r="O4" s="24"/>
      <c r="P4" s="24"/>
      <c r="Q4" s="24"/>
      <c r="R4" s="24"/>
      <c r="S4" s="24"/>
      <c r="T4" s="24"/>
      <c r="U4" s="24"/>
      <c r="V4" s="24"/>
      <c r="W4" s="24" t="s">
        <v>4650</v>
      </c>
      <c r="X4" s="24">
        <v>65.95</v>
      </c>
      <c r="Y4" s="24">
        <v>1.72</v>
      </c>
      <c r="Z4" s="25">
        <v>2.5</v>
      </c>
      <c r="AA4" s="24">
        <v>9041.2000000000007</v>
      </c>
      <c r="AB4" s="24">
        <v>110</v>
      </c>
      <c r="AC4" s="21" t="s">
        <v>4650</v>
      </c>
      <c r="AD4" s="8" t="s">
        <v>4550</v>
      </c>
      <c r="AE4" s="8" t="s">
        <v>5359</v>
      </c>
      <c r="AF4" s="25">
        <f t="shared" si="0"/>
        <v>15550.864000000001</v>
      </c>
      <c r="AG4" s="9">
        <f t="shared" si="1"/>
        <v>18157.743333333336</v>
      </c>
      <c r="AH4" s="9">
        <f t="shared" si="2"/>
        <v>6.2045401049004569</v>
      </c>
      <c r="AI4" s="25">
        <f t="shared" si="3"/>
        <v>38.496317913318173</v>
      </c>
      <c r="AJ4" s="9">
        <f t="shared" si="4"/>
        <v>2.8208319179696133</v>
      </c>
      <c r="AK4" s="25">
        <f t="shared" si="5"/>
        <v>7.957092709436127</v>
      </c>
      <c r="AL4" s="9">
        <f t="shared" si="6"/>
        <v>2.1430002197812064</v>
      </c>
      <c r="AM4" s="25">
        <f t="shared" si="7"/>
        <v>4.5924499419822986</v>
      </c>
      <c r="AN4" s="24" t="s">
        <v>4650</v>
      </c>
    </row>
    <row r="5" spans="8:40" ht="22" customHeight="1">
      <c r="M5" s="24" t="s">
        <v>4652</v>
      </c>
      <c r="N5" s="24"/>
      <c r="O5" s="24"/>
      <c r="P5" s="24"/>
      <c r="Q5" s="24"/>
      <c r="R5" s="24"/>
      <c r="S5" s="24"/>
      <c r="T5" s="24"/>
      <c r="U5" s="24"/>
      <c r="V5" s="24"/>
      <c r="W5" s="24" t="s">
        <v>4652</v>
      </c>
      <c r="X5" s="24">
        <v>50.58</v>
      </c>
      <c r="Y5" s="24">
        <v>2.2400000000000002</v>
      </c>
      <c r="Z5" s="25">
        <v>4.37</v>
      </c>
      <c r="AA5" s="24">
        <v>2482.5</v>
      </c>
      <c r="AB5" s="24">
        <v>712</v>
      </c>
      <c r="AC5" s="21" t="s">
        <v>4652</v>
      </c>
      <c r="AD5" s="8" t="s">
        <v>4550</v>
      </c>
      <c r="AE5" s="8" t="s">
        <v>5359</v>
      </c>
      <c r="AF5" s="25">
        <f t="shared" si="0"/>
        <v>5560.8</v>
      </c>
      <c r="AG5" s="9">
        <f t="shared" si="1"/>
        <v>11460.875000000002</v>
      </c>
      <c r="AH5" s="9">
        <f t="shared" si="2"/>
        <v>1.7036201843135184</v>
      </c>
      <c r="AI5" s="25">
        <f t="shared" si="3"/>
        <v>2.9023217324004262</v>
      </c>
      <c r="AJ5" s="9">
        <f t="shared" si="4"/>
        <v>1.0086952165130776</v>
      </c>
      <c r="AK5" s="25">
        <f t="shared" si="5"/>
        <v>1.0174660398163644</v>
      </c>
      <c r="AL5" s="9">
        <f t="shared" si="6"/>
        <v>1.3526272066417726</v>
      </c>
      <c r="AM5" s="25">
        <f t="shared" si="7"/>
        <v>1.8296003601475246</v>
      </c>
      <c r="AN5" s="24" t="s">
        <v>4652</v>
      </c>
    </row>
    <row r="6" spans="8:40" ht="21" customHeight="1">
      <c r="M6" s="24" t="s">
        <v>4651</v>
      </c>
      <c r="N6" s="24"/>
      <c r="O6" s="24"/>
      <c r="P6" s="24" t="s">
        <v>3700</v>
      </c>
      <c r="Q6" s="24"/>
      <c r="R6" s="24"/>
      <c r="S6" s="24"/>
      <c r="T6" s="24"/>
      <c r="U6" s="24"/>
      <c r="V6" s="24"/>
      <c r="W6" s="24" t="s">
        <v>4651</v>
      </c>
      <c r="X6" s="24">
        <v>71</v>
      </c>
      <c r="Y6" s="24">
        <v>1.45</v>
      </c>
      <c r="Z6" s="25">
        <v>1.1599999999999999</v>
      </c>
      <c r="AA6" s="24">
        <v>2109</v>
      </c>
      <c r="AB6" s="24">
        <v>1227</v>
      </c>
      <c r="AC6" s="21" t="s">
        <v>4651</v>
      </c>
      <c r="AD6" s="8" t="s">
        <v>4550</v>
      </c>
      <c r="AE6" s="8" t="s">
        <v>5359</v>
      </c>
      <c r="AF6" s="25">
        <f t="shared" si="0"/>
        <v>3058.0499999999997</v>
      </c>
      <c r="AG6" s="9">
        <f t="shared" si="1"/>
        <v>2671.4</v>
      </c>
      <c r="AH6" s="9">
        <f t="shared" si="2"/>
        <v>1.4473051233503367</v>
      </c>
      <c r="AI6" s="25">
        <f t="shared" si="3"/>
        <v>2.0946921200761333</v>
      </c>
      <c r="AJ6" s="9">
        <f t="shared" si="4"/>
        <v>0.55471162545997277</v>
      </c>
      <c r="AK6" s="25">
        <f t="shared" si="5"/>
        <v>0.30770498742044511</v>
      </c>
      <c r="AL6" s="9">
        <f t="shared" si="6"/>
        <v>0.31528206352681021</v>
      </c>
      <c r="AM6" s="25">
        <f t="shared" si="7"/>
        <v>9.9402779581723583E-2</v>
      </c>
      <c r="AN6" s="24" t="s">
        <v>4651</v>
      </c>
    </row>
    <row r="7" spans="8:40" ht="22.5" customHeight="1">
      <c r="M7" s="8" t="s">
        <v>3808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3808</v>
      </c>
      <c r="X7" s="8">
        <v>56.06</v>
      </c>
      <c r="Y7" s="8">
        <v>2</v>
      </c>
      <c r="Z7" s="9">
        <v>1.55</v>
      </c>
      <c r="AA7" s="8">
        <v>1997.5</v>
      </c>
      <c r="AB7" s="8">
        <v>790</v>
      </c>
      <c r="AC7" s="21" t="s">
        <v>3808</v>
      </c>
      <c r="AD7" s="8" t="s">
        <v>4550</v>
      </c>
      <c r="AE7" s="8" t="s">
        <v>5359</v>
      </c>
      <c r="AF7" s="9">
        <f t="shared" si="0"/>
        <v>3995</v>
      </c>
      <c r="AG7" s="9">
        <f t="shared" si="1"/>
        <v>3828.5416666666665</v>
      </c>
      <c r="AH7" s="9">
        <f t="shared" si="2"/>
        <v>1.3707880435715019</v>
      </c>
      <c r="AI7" s="9">
        <f t="shared" si="3"/>
        <v>1.8790598603985857</v>
      </c>
      <c r="AJ7" s="9">
        <f t="shared" si="4"/>
        <v>0.72466864299556621</v>
      </c>
      <c r="AK7" s="9">
        <f t="shared" si="5"/>
        <v>0.5251446421410354</v>
      </c>
      <c r="AL7" s="9">
        <f t="shared" si="6"/>
        <v>0.45184941115708604</v>
      </c>
      <c r="AM7" s="9">
        <f t="shared" si="7"/>
        <v>0.20416789036300539</v>
      </c>
      <c r="AN7" s="8" t="s">
        <v>3808</v>
      </c>
    </row>
    <row r="8" spans="8:40" ht="27" customHeight="1">
      <c r="M8" s="8" t="s">
        <v>3982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3982</v>
      </c>
      <c r="X8" s="8">
        <v>63.78</v>
      </c>
      <c r="Y8" s="8">
        <v>1.95</v>
      </c>
      <c r="Z8" s="9">
        <v>2.0099999999999998</v>
      </c>
      <c r="AA8" s="8">
        <v>1447.5</v>
      </c>
      <c r="AB8" s="8">
        <v>3089</v>
      </c>
      <c r="AC8" s="21" t="s">
        <v>3982</v>
      </c>
      <c r="AD8" s="8" t="s">
        <v>4550</v>
      </c>
      <c r="AE8" s="8" t="s">
        <v>5359</v>
      </c>
      <c r="AF8" s="9">
        <f t="shared" si="0"/>
        <v>2822.625</v>
      </c>
      <c r="AG8" s="9">
        <f t="shared" si="1"/>
        <v>2919.125</v>
      </c>
      <c r="AH8" s="9">
        <f t="shared" si="2"/>
        <v>0.99334953345168908</v>
      </c>
      <c r="AI8" s="9">
        <f t="shared" si="3"/>
        <v>0.98674329560868834</v>
      </c>
      <c r="AJ8" s="9">
        <f t="shared" si="4"/>
        <v>0.51200696581611016</v>
      </c>
      <c r="AK8" s="9">
        <f t="shared" si="5"/>
        <v>0.26215113304421939</v>
      </c>
      <c r="AL8" s="9">
        <f t="shared" si="6"/>
        <v>0.34451888661102786</v>
      </c>
      <c r="AM8" s="9">
        <f t="shared" si="7"/>
        <v>0.11869326323170228</v>
      </c>
      <c r="AN8" s="8" t="s">
        <v>3982</v>
      </c>
    </row>
    <row r="9" spans="8:40" ht="23">
      <c r="M9" s="8" t="s">
        <v>4551</v>
      </c>
      <c r="N9" s="8"/>
      <c r="O9" s="8"/>
      <c r="P9" s="8"/>
      <c r="Q9" s="8"/>
      <c r="R9" s="8"/>
      <c r="S9" s="8"/>
      <c r="T9" s="8"/>
      <c r="U9" s="8"/>
      <c r="V9" s="8"/>
      <c r="W9" s="8" t="s">
        <v>4551</v>
      </c>
      <c r="X9" s="8">
        <v>67.150000000000006</v>
      </c>
      <c r="Y9" s="8">
        <v>1.88</v>
      </c>
      <c r="Z9" s="9">
        <v>1.22</v>
      </c>
      <c r="AA9" s="8">
        <v>1142.0999999999999</v>
      </c>
      <c r="AB9" s="8">
        <v>1057</v>
      </c>
      <c r="AC9" s="21" t="s">
        <v>4551</v>
      </c>
      <c r="AD9" s="8" t="s">
        <v>4550</v>
      </c>
      <c r="AE9" s="8" t="s">
        <v>5359</v>
      </c>
      <c r="AF9" s="9">
        <f t="shared" si="0"/>
        <v>2147.1479999999997</v>
      </c>
      <c r="AG9" s="9">
        <f t="shared" si="1"/>
        <v>1560.87</v>
      </c>
      <c r="AH9" s="9">
        <f t="shared" si="2"/>
        <v>0.78376822255970569</v>
      </c>
      <c r="AI9" s="9">
        <f t="shared" si="3"/>
        <v>0.61429262669440032</v>
      </c>
      <c r="AJ9" s="9">
        <f t="shared" si="4"/>
        <v>0.38947955631305226</v>
      </c>
      <c r="AK9" s="9">
        <f t="shared" si="5"/>
        <v>0.15169432478581205</v>
      </c>
      <c r="AL9" s="9">
        <f t="shared" si="6"/>
        <v>0.18421588474099432</v>
      </c>
      <c r="AM9" s="9">
        <f t="shared" si="7"/>
        <v>3.3935492190907302E-2</v>
      </c>
      <c r="AN9" s="8" t="s">
        <v>4551</v>
      </c>
    </row>
    <row r="10" spans="8:40" ht="23">
      <c r="M10" s="8" t="s">
        <v>4552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4552</v>
      </c>
      <c r="X10" s="8">
        <v>48.43</v>
      </c>
      <c r="Y10" s="8">
        <v>2.1800000000000002</v>
      </c>
      <c r="Z10" s="9">
        <v>1.1100000000000001</v>
      </c>
      <c r="AA10" s="8">
        <v>663.4</v>
      </c>
      <c r="AB10" s="8">
        <v>2324</v>
      </c>
      <c r="AC10" s="21" t="s">
        <v>4552</v>
      </c>
      <c r="AD10" s="8" t="s">
        <v>4550</v>
      </c>
      <c r="AE10" s="8" t="s">
        <v>5359</v>
      </c>
      <c r="AF10" s="9">
        <f t="shared" si="0"/>
        <v>1446.212</v>
      </c>
      <c r="AG10" s="9">
        <f t="shared" si="1"/>
        <v>785.02333333333331</v>
      </c>
      <c r="AH10" s="9">
        <f t="shared" si="2"/>
        <v>0.45525946838815234</v>
      </c>
      <c r="AI10" s="9">
        <f t="shared" si="3"/>
        <v>0.20726118355706308</v>
      </c>
      <c r="AJ10" s="9">
        <f t="shared" si="4"/>
        <v>0.26233403943026379</v>
      </c>
      <c r="AK10" s="9">
        <f t="shared" si="5"/>
        <v>6.88191482437992E-2</v>
      </c>
      <c r="AL10" s="9">
        <f t="shared" si="6"/>
        <v>9.2649463371276594E-2</v>
      </c>
      <c r="AM10" s="9">
        <f t="shared" si="7"/>
        <v>8.5839230629855233E-3</v>
      </c>
      <c r="AN10" s="8" t="s">
        <v>4552</v>
      </c>
    </row>
    <row r="11" spans="8:40" ht="24.5" customHeight="1">
      <c r="M11" s="24" t="s">
        <v>4938</v>
      </c>
      <c r="N11" s="24"/>
      <c r="O11" s="24"/>
      <c r="P11" s="24"/>
      <c r="Q11" s="24"/>
      <c r="R11" s="24"/>
      <c r="S11" s="24"/>
      <c r="T11" s="24"/>
      <c r="U11" s="24"/>
      <c r="V11" s="24"/>
      <c r="W11" s="24" t="s">
        <v>4938</v>
      </c>
      <c r="X11" s="24">
        <v>57.5</v>
      </c>
      <c r="Y11" s="24">
        <v>1.51</v>
      </c>
      <c r="Z11" s="25">
        <v>0.21</v>
      </c>
      <c r="AA11" s="24">
        <v>473.3</v>
      </c>
      <c r="AB11" s="24">
        <v>3571</v>
      </c>
      <c r="AC11" s="21" t="s">
        <v>4938</v>
      </c>
      <c r="AD11" s="8" t="s">
        <v>4550</v>
      </c>
      <c r="AE11" s="8" t="s">
        <v>5359</v>
      </c>
      <c r="AF11" s="25">
        <f t="shared" si="0"/>
        <v>714.68299999999999</v>
      </c>
      <c r="AG11" s="9">
        <f t="shared" si="1"/>
        <v>165.655</v>
      </c>
      <c r="AH11" s="9">
        <f t="shared" si="2"/>
        <v>0.32480299425401343</v>
      </c>
      <c r="AI11" s="25">
        <f t="shared" si="3"/>
        <v>0.10549698507637269</v>
      </c>
      <c r="AJ11" s="9">
        <f t="shared" si="4"/>
        <v>0.12963913886908643</v>
      </c>
      <c r="AK11" s="25">
        <f t="shared" si="5"/>
        <v>1.6806306326718274E-2</v>
      </c>
      <c r="AL11" s="9">
        <f t="shared" si="6"/>
        <v>1.9550816138928555E-2</v>
      </c>
      <c r="AM11" s="25">
        <f t="shared" si="7"/>
        <v>3.8223441169818923E-4</v>
      </c>
      <c r="AN11" s="24" t="s">
        <v>4938</v>
      </c>
    </row>
    <row r="12" spans="8:40" ht="21" customHeight="1">
      <c r="M12" s="24" t="s">
        <v>5225</v>
      </c>
      <c r="N12" s="24"/>
      <c r="O12" s="24"/>
      <c r="P12" s="24"/>
      <c r="Q12" s="24"/>
      <c r="R12" s="24"/>
      <c r="S12" s="24"/>
      <c r="T12" s="24"/>
      <c r="U12" s="24"/>
      <c r="V12" s="24"/>
      <c r="W12" s="24" t="s">
        <v>5225</v>
      </c>
      <c r="X12" s="24">
        <v>24.13</v>
      </c>
      <c r="Y12" s="24">
        <v>1.44</v>
      </c>
      <c r="Z12" s="25">
        <v>0.37</v>
      </c>
      <c r="AA12" s="24">
        <v>73.400000000000006</v>
      </c>
      <c r="AB12" s="24">
        <v>7391</v>
      </c>
      <c r="AC12" s="21" t="s">
        <v>5225</v>
      </c>
      <c r="AD12" s="8" t="s">
        <v>4550</v>
      </c>
      <c r="AE12" s="8" t="s">
        <v>5359</v>
      </c>
      <c r="AF12" s="25">
        <f t="shared" si="0"/>
        <v>105.696</v>
      </c>
      <c r="AG12" s="25">
        <f t="shared" si="1"/>
        <v>45.263333333333343</v>
      </c>
      <c r="AH12" s="9">
        <f t="shared" si="2"/>
        <v>5.0370884805080465E-2</v>
      </c>
      <c r="AI12" s="25">
        <f t="shared" si="3"/>
        <v>2.5372260360466861E-3</v>
      </c>
      <c r="AJ12" s="9">
        <f t="shared" si="4"/>
        <v>1.9172609984996088E-2</v>
      </c>
      <c r="AK12" s="25">
        <f t="shared" si="5"/>
        <v>3.675889736367717E-4</v>
      </c>
      <c r="AL12" s="9">
        <f t="shared" si="6"/>
        <v>5.342036810449648E-3</v>
      </c>
      <c r="AM12" s="25">
        <f t="shared" si="7"/>
        <v>2.8537357284199047E-5</v>
      </c>
      <c r="AN12" s="24" t="s">
        <v>5225</v>
      </c>
    </row>
    <row r="13" spans="8:40" ht="20" customHeight="1"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9"/>
      <c r="AA13" s="48">
        <f>SUBTOTAL(109,Table13679[ترافیک کل])</f>
        <v>145719.09999999998</v>
      </c>
      <c r="AB13" s="48"/>
      <c r="AC13" s="53"/>
      <c r="AD13" s="48"/>
      <c r="AE13" s="48"/>
      <c r="AF13" s="49">
        <f>SUBTOTAL(109,Table13679[[مجموع صفحات  مشاهده شده   ]])</f>
        <v>551286.44500000018</v>
      </c>
      <c r="AG13" s="49">
        <f>SUBTOTAL(109,Table13679[[مجموع زمان حضور در سایت ]])</f>
        <v>847304.7816666665</v>
      </c>
      <c r="AH13" s="49">
        <f>SUBTOTAL(109,Table13679[سهم سایت از کل ترافیک طبقه بندی])</f>
        <v>100.00000000000001</v>
      </c>
      <c r="AI13" s="49">
        <f>SUBTOTAL(109,Table13679[شاخص هرفیندال هیرشمن (ترافیک)])</f>
        <v>5092.109068460406</v>
      </c>
      <c r="AJ13" s="49">
        <f>SUBTOTAL(109,Table13679[سهم سایت از کل صفحات مشاهده شده در طبقه بندی])</f>
        <v>99.999999999999943</v>
      </c>
      <c r="AK13" s="49">
        <f>SUBTOTAL(109,Table13679[شاخص هرفیندال -هیرشمن (صفحات مشاهده شده )])</f>
        <v>6609.1673267047763</v>
      </c>
      <c r="AL13" s="49">
        <f>SUBTOTAL(109,Table13679[سهم سایت از کل زمان حضور در طبقه بندی])</f>
        <v>99.999999999999986</v>
      </c>
      <c r="AM13" s="49">
        <f>SUBTOTAL(109,Table13679[شاخص هرفیندال هیرشمن (زمان حضور)])</f>
        <v>6084.735193755766</v>
      </c>
      <c r="AN13" s="49"/>
    </row>
    <row r="15" spans="8:40" ht="25.5" customHeight="1"/>
    <row r="17" ht="15.5" customHeight="1"/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{3084B318-5AAC-4124-9F25-E720F5384959}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{FF89AC2F-63E3-4EE8-88E0-77F6A95712B4}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{C4F2BA17-0FCF-421E-890E-BD5AC8351908}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{800489D7-B47C-454E-836E-2E1F38C04C21}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{6EBF85EF-602C-4A1C-BA58-97A438B4702F}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{C5D64114-B548-491E-B796-2482F46081EE}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084B318-5AAC-4124-9F25-E720F538495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F89AC2F-63E3-4EE8-88E0-77F6A95712B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4F2BA17-0FCF-421E-890E-BD5AC835190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00489D7-B47C-454E-836E-2E1F38C04C2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EBF85EF-602C-4A1C-BA58-97A438B47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C5D64114-B548-491E-B796-2482F46081E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8"/>
  <sheetViews>
    <sheetView showGridLines="0" rightToLeft="1" topLeftCell="AA1" zoomScale="70" zoomScaleNormal="70" workbookViewId="0">
      <selection activeCell="AE2" sqref="AE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461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461</v>
      </c>
      <c r="X2" s="8">
        <v>30.85</v>
      </c>
      <c r="Y2" s="8">
        <v>3.58</v>
      </c>
      <c r="Z2" s="9">
        <v>5.37</v>
      </c>
      <c r="AA2" s="8">
        <v>3770.2</v>
      </c>
      <c r="AB2" s="8">
        <v>167</v>
      </c>
      <c r="AC2" s="21" t="s">
        <v>461</v>
      </c>
      <c r="AD2" s="8" t="s">
        <v>4097</v>
      </c>
      <c r="AE2" s="8" t="s">
        <v>5359</v>
      </c>
      <c r="AF2" s="9">
        <f t="shared" ref="AF2:AF27" si="0">(AA2*Y2)</f>
        <v>13497.315999999999</v>
      </c>
      <c r="AG2" s="9">
        <f t="shared" ref="AG2:AG27" si="1">((((RIGHT(Z2,2))/60)+(LEFT(Z2,2)))*AA2)</f>
        <v>21175.956666666669</v>
      </c>
      <c r="AH2" s="9">
        <f t="shared" ref="AH2:AH27" si="2">(AA2/$AA$28)*100</f>
        <v>13.713857536219759</v>
      </c>
      <c r="AI2" s="9">
        <f t="shared" ref="AI2:AI27" si="3">(AH2*AH2)</f>
        <v>188.06988852373149</v>
      </c>
      <c r="AJ2" s="9">
        <f t="shared" ref="AJ2:AJ27" si="4">(AF2/$AF$28)*100</f>
        <v>17.844968940538713</v>
      </c>
      <c r="AK2" s="9">
        <f t="shared" ref="AK2:AK27" si="5">(AJ2*AJ2)</f>
        <v>318.44291648879135</v>
      </c>
      <c r="AL2" s="9">
        <f t="shared" ref="AL2:AL27" si="6">(AG2/$AG$28)*100</f>
        <v>25.87147153861692</v>
      </c>
      <c r="AM2" s="9">
        <f t="shared" ref="AM2:AM27" si="7">(AL2*AL2)</f>
        <v>669.33303957346527</v>
      </c>
      <c r="AN2" s="8" t="s">
        <v>461</v>
      </c>
    </row>
    <row r="3" spans="8:40" ht="23">
      <c r="M3" s="8" t="s">
        <v>874</v>
      </c>
      <c r="N3" s="8" t="s">
        <v>150</v>
      </c>
      <c r="O3" s="8"/>
      <c r="P3" s="8" t="s">
        <v>3691</v>
      </c>
      <c r="Q3" s="8"/>
      <c r="R3" s="8"/>
      <c r="S3" s="8"/>
      <c r="T3" s="8"/>
      <c r="U3" s="8"/>
      <c r="V3" s="8"/>
      <c r="W3" s="8" t="s">
        <v>874</v>
      </c>
      <c r="X3" s="8">
        <v>50.84</v>
      </c>
      <c r="Y3" s="8">
        <v>3.37</v>
      </c>
      <c r="Z3" s="9">
        <v>3.37</v>
      </c>
      <c r="AA3" s="8">
        <v>3665.1</v>
      </c>
      <c r="AB3" s="8">
        <v>150</v>
      </c>
      <c r="AC3" s="21" t="s">
        <v>874</v>
      </c>
      <c r="AD3" s="8" t="s">
        <v>4077</v>
      </c>
      <c r="AE3" s="8" t="s">
        <v>5359</v>
      </c>
      <c r="AF3" s="9">
        <f t="shared" si="0"/>
        <v>12351.387000000001</v>
      </c>
      <c r="AG3" s="9">
        <f t="shared" si="1"/>
        <v>13255.445</v>
      </c>
      <c r="AH3" s="9">
        <f t="shared" si="2"/>
        <v>13.331563114953859</v>
      </c>
      <c r="AI3" s="9">
        <f t="shared" si="3"/>
        <v>177.73057508799823</v>
      </c>
      <c r="AJ3" s="9">
        <f t="shared" si="4"/>
        <v>16.329921992459365</v>
      </c>
      <c r="AK3" s="9">
        <f t="shared" si="5"/>
        <v>266.66635227980805</v>
      </c>
      <c r="AL3" s="9">
        <f t="shared" si="6"/>
        <v>16.194681234355972</v>
      </c>
      <c r="AM3" s="9">
        <f t="shared" si="7"/>
        <v>262.26770028240145</v>
      </c>
      <c r="AN3" s="8" t="s">
        <v>874</v>
      </c>
    </row>
    <row r="4" spans="8:40" ht="23.5" customHeight="1">
      <c r="M4" s="8" t="s">
        <v>3898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3898</v>
      </c>
      <c r="X4" s="8">
        <v>67.88</v>
      </c>
      <c r="Y4" s="8">
        <v>1.65</v>
      </c>
      <c r="Z4" s="9">
        <v>1.59</v>
      </c>
      <c r="AA4" s="8">
        <v>3031.2</v>
      </c>
      <c r="AB4" s="8">
        <v>497</v>
      </c>
      <c r="AC4" s="21" t="s">
        <v>3898</v>
      </c>
      <c r="AD4" s="8" t="s">
        <v>4097</v>
      </c>
      <c r="AE4" s="8" t="s">
        <v>5359</v>
      </c>
      <c r="AF4" s="9">
        <f t="shared" si="0"/>
        <v>5001.4799999999996</v>
      </c>
      <c r="AG4" s="9">
        <f t="shared" si="1"/>
        <v>6011.88</v>
      </c>
      <c r="AH4" s="9">
        <f t="shared" si="2"/>
        <v>11.025793051771613</v>
      </c>
      <c r="AI4" s="9">
        <f t="shared" si="3"/>
        <v>121.56811242049518</v>
      </c>
      <c r="AJ4" s="9">
        <f t="shared" si="4"/>
        <v>6.6125187597834687</v>
      </c>
      <c r="AK4" s="9">
        <f t="shared" si="5"/>
        <v>43.725404348488304</v>
      </c>
      <c r="AL4" s="9">
        <f t="shared" si="6"/>
        <v>7.3449424156789895</v>
      </c>
      <c r="AM4" s="9">
        <f t="shared" si="7"/>
        <v>53.948179089640313</v>
      </c>
      <c r="AN4" s="8" t="s">
        <v>3898</v>
      </c>
    </row>
    <row r="5" spans="8:40" ht="25.5" customHeight="1">
      <c r="M5" s="8" t="s">
        <v>5331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5331</v>
      </c>
      <c r="X5" s="8">
        <v>32.1</v>
      </c>
      <c r="Y5" s="8">
        <v>2.73</v>
      </c>
      <c r="Z5" s="9">
        <v>3.31</v>
      </c>
      <c r="AA5" s="8">
        <v>2659.9</v>
      </c>
      <c r="AB5" s="8">
        <v>425</v>
      </c>
      <c r="AC5" s="21" t="s">
        <v>5331</v>
      </c>
      <c r="AD5" s="8" t="s">
        <v>4097</v>
      </c>
      <c r="AE5" s="8" t="s">
        <v>5359</v>
      </c>
      <c r="AF5" s="9">
        <f t="shared" si="0"/>
        <v>7261.527</v>
      </c>
      <c r="AG5" s="9">
        <f t="shared" si="1"/>
        <v>9353.9816666666666</v>
      </c>
      <c r="AH5" s="9">
        <f t="shared" si="2"/>
        <v>9.6752134265001697</v>
      </c>
      <c r="AI5" s="9">
        <f t="shared" si="3"/>
        <v>93.60975484832916</v>
      </c>
      <c r="AJ5" s="9">
        <f t="shared" si="4"/>
        <v>9.6005549381731363</v>
      </c>
      <c r="AK5" s="9">
        <f t="shared" si="5"/>
        <v>92.170655120880596</v>
      </c>
      <c r="AL5" s="9">
        <f t="shared" si="6"/>
        <v>11.428115115235775</v>
      </c>
      <c r="AM5" s="9">
        <f t="shared" si="7"/>
        <v>130.60181508708038</v>
      </c>
      <c r="AN5" s="9" t="s">
        <v>5331</v>
      </c>
    </row>
    <row r="6" spans="8:40" ht="23">
      <c r="M6" s="24" t="s">
        <v>5146</v>
      </c>
      <c r="N6" s="8" t="s">
        <v>150</v>
      </c>
      <c r="O6" s="24"/>
      <c r="P6" s="24" t="s">
        <v>4722</v>
      </c>
      <c r="Q6" s="24"/>
      <c r="R6" s="24"/>
      <c r="S6" s="24"/>
      <c r="T6" s="24"/>
      <c r="U6" s="24"/>
      <c r="V6" s="24"/>
      <c r="W6" s="24" t="s">
        <v>5146</v>
      </c>
      <c r="X6" s="24">
        <v>49.61</v>
      </c>
      <c r="Y6" s="24">
        <v>2.4700000000000002</v>
      </c>
      <c r="Z6" s="25">
        <v>2.23</v>
      </c>
      <c r="AA6" s="24">
        <v>2340.6</v>
      </c>
      <c r="AB6" s="24">
        <v>236</v>
      </c>
      <c r="AC6" s="21" t="s">
        <v>5146</v>
      </c>
      <c r="AD6" s="8" t="s">
        <v>4077</v>
      </c>
      <c r="AE6" s="8" t="s">
        <v>5359</v>
      </c>
      <c r="AF6" s="25">
        <f t="shared" si="0"/>
        <v>5781.2820000000002</v>
      </c>
      <c r="AG6" s="9">
        <f t="shared" si="1"/>
        <v>5578.4299999999994</v>
      </c>
      <c r="AH6" s="9">
        <f t="shared" si="2"/>
        <v>8.5137804225972022</v>
      </c>
      <c r="AI6" s="25">
        <f t="shared" si="3"/>
        <v>72.484457084199391</v>
      </c>
      <c r="AJ6" s="9">
        <f t="shared" si="4"/>
        <v>7.6435046587407118</v>
      </c>
      <c r="AK6" s="25">
        <f t="shared" si="5"/>
        <v>58.423163468190964</v>
      </c>
      <c r="AL6" s="9">
        <f t="shared" si="6"/>
        <v>6.8153800674491407</v>
      </c>
      <c r="AM6" s="25">
        <f t="shared" si="7"/>
        <v>46.449405463783052</v>
      </c>
      <c r="AN6" s="24" t="s">
        <v>5146</v>
      </c>
    </row>
    <row r="7" spans="8:40" ht="23">
      <c r="M7" s="24" t="s">
        <v>5207</v>
      </c>
      <c r="N7" s="24"/>
      <c r="O7" s="24"/>
      <c r="P7" s="24" t="s">
        <v>4653</v>
      </c>
      <c r="Q7" s="24"/>
      <c r="R7" s="24"/>
      <c r="S7" s="24"/>
      <c r="T7" s="24"/>
      <c r="U7" s="24"/>
      <c r="V7" s="24"/>
      <c r="W7" s="24" t="s">
        <v>5207</v>
      </c>
      <c r="X7" s="24">
        <v>54.91</v>
      </c>
      <c r="Y7" s="24">
        <v>3.1</v>
      </c>
      <c r="Z7" s="25">
        <v>0.27</v>
      </c>
      <c r="AA7" s="24">
        <v>1557.3</v>
      </c>
      <c r="AB7" s="24">
        <v>121</v>
      </c>
      <c r="AC7" s="21" t="s">
        <v>5207</v>
      </c>
      <c r="AD7" s="8" t="s">
        <v>4077</v>
      </c>
      <c r="AE7" s="8" t="s">
        <v>5359</v>
      </c>
      <c r="AF7" s="25">
        <f t="shared" si="0"/>
        <v>4827.63</v>
      </c>
      <c r="AG7" s="9">
        <f t="shared" si="1"/>
        <v>700.78499999999997</v>
      </c>
      <c r="AH7" s="9">
        <f t="shared" si="2"/>
        <v>5.664577566483219</v>
      </c>
      <c r="AI7" s="25">
        <f t="shared" si="3"/>
        <v>32.087439006704948</v>
      </c>
      <c r="AJ7" s="9">
        <f t="shared" si="4"/>
        <v>6.3826695178814008</v>
      </c>
      <c r="AK7" s="25">
        <f t="shared" si="5"/>
        <v>40.738470174492392</v>
      </c>
      <c r="AL7" s="9">
        <f t="shared" si="6"/>
        <v>0.85617568394106347</v>
      </c>
      <c r="AM7" s="25">
        <f t="shared" si="7"/>
        <v>0.73303680177194785</v>
      </c>
      <c r="AN7" s="24" t="s">
        <v>5207</v>
      </c>
    </row>
    <row r="8" spans="8:40" ht="23">
      <c r="M8" s="8" t="s">
        <v>4484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4484</v>
      </c>
      <c r="X8" s="8">
        <v>37.590000000000003</v>
      </c>
      <c r="Y8" s="8">
        <v>2.99</v>
      </c>
      <c r="Z8" s="9">
        <v>4.25</v>
      </c>
      <c r="AA8" s="8">
        <v>1526</v>
      </c>
      <c r="AB8" s="8"/>
      <c r="AC8" s="21" t="s">
        <v>4484</v>
      </c>
      <c r="AD8" s="8" t="s">
        <v>4097</v>
      </c>
      <c r="AE8" s="8" t="s">
        <v>5359</v>
      </c>
      <c r="AF8" s="9">
        <f t="shared" si="0"/>
        <v>4562.7400000000007</v>
      </c>
      <c r="AG8" s="9">
        <f t="shared" si="1"/>
        <v>6739.8333333333339</v>
      </c>
      <c r="AH8" s="9">
        <f t="shared" si="2"/>
        <v>5.5507258501595018</v>
      </c>
      <c r="AI8" s="9">
        <f t="shared" si="3"/>
        <v>30.810557463628925</v>
      </c>
      <c r="AJ8" s="9">
        <f t="shared" si="4"/>
        <v>6.0324551624747942</v>
      </c>
      <c r="AK8" s="9">
        <f t="shared" si="5"/>
        <v>36.390515287268798</v>
      </c>
      <c r="AL8" s="9">
        <f t="shared" si="6"/>
        <v>8.2343106856103443</v>
      </c>
      <c r="AM8" s="9">
        <f t="shared" si="7"/>
        <v>67.803872467156694</v>
      </c>
      <c r="AN8" s="8" t="s">
        <v>4484</v>
      </c>
    </row>
    <row r="9" spans="8:40" ht="23">
      <c r="M9" s="8" t="s">
        <v>4482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4482</v>
      </c>
      <c r="X9" s="8">
        <v>61.64</v>
      </c>
      <c r="Y9" s="8">
        <v>2.15</v>
      </c>
      <c r="Z9" s="9">
        <v>3.13</v>
      </c>
      <c r="AA9" s="8">
        <v>1521</v>
      </c>
      <c r="AB9" s="8">
        <v>561</v>
      </c>
      <c r="AC9" s="21" t="s">
        <v>4482</v>
      </c>
      <c r="AD9" s="8" t="s">
        <v>4097</v>
      </c>
      <c r="AE9" s="8" t="s">
        <v>5359</v>
      </c>
      <c r="AF9" s="9">
        <f t="shared" si="0"/>
        <v>3270.15</v>
      </c>
      <c r="AG9" s="9">
        <f t="shared" si="1"/>
        <v>4892.55</v>
      </c>
      <c r="AH9" s="9">
        <f t="shared" si="2"/>
        <v>5.5325386750279177</v>
      </c>
      <c r="AI9" s="9">
        <f t="shared" si="3"/>
        <v>30.608984190679667</v>
      </c>
      <c r="AJ9" s="9">
        <f t="shared" si="4"/>
        <v>4.3235058867187135</v>
      </c>
      <c r="AK9" s="9">
        <f t="shared" si="5"/>
        <v>18.692703152491369</v>
      </c>
      <c r="AL9" s="9">
        <f t="shared" si="6"/>
        <v>5.9774143888151867</v>
      </c>
      <c r="AM9" s="9">
        <f t="shared" si="7"/>
        <v>35.729482775614834</v>
      </c>
      <c r="AN9" s="8" t="s">
        <v>4482</v>
      </c>
    </row>
    <row r="10" spans="8:40" ht="23">
      <c r="M10" s="9" t="s">
        <v>2319</v>
      </c>
      <c r="N10" s="8" t="s">
        <v>150</v>
      </c>
      <c r="O10" s="8"/>
      <c r="P10" s="8" t="s">
        <v>3691</v>
      </c>
      <c r="Q10" s="8"/>
      <c r="R10" s="8"/>
      <c r="S10" s="8"/>
      <c r="T10" s="8"/>
      <c r="U10" s="8"/>
      <c r="V10" s="8"/>
      <c r="W10" s="9" t="s">
        <v>2319</v>
      </c>
      <c r="X10" s="8">
        <v>47.49</v>
      </c>
      <c r="Y10" s="8">
        <v>3.25</v>
      </c>
      <c r="Z10" s="9">
        <v>2.4500000000000002</v>
      </c>
      <c r="AA10" s="8">
        <v>1168.5999999999999</v>
      </c>
      <c r="AB10" s="8">
        <v>269</v>
      </c>
      <c r="AC10" s="22" t="s">
        <v>2319</v>
      </c>
      <c r="AD10" s="8" t="s">
        <v>4077</v>
      </c>
      <c r="AE10" s="8" t="s">
        <v>5359</v>
      </c>
      <c r="AF10" s="9">
        <f t="shared" si="0"/>
        <v>3797.95</v>
      </c>
      <c r="AG10" s="9">
        <f t="shared" si="1"/>
        <v>3213.6499999999996</v>
      </c>
      <c r="AH10" s="9">
        <f t="shared" si="2"/>
        <v>4.2507065717538621</v>
      </c>
      <c r="AI10" s="9">
        <f t="shared" si="3"/>
        <v>18.068506359151471</v>
      </c>
      <c r="AJ10" s="9">
        <f t="shared" si="4"/>
        <v>5.0213168149666947</v>
      </c>
      <c r="AK10" s="9">
        <f t="shared" si="5"/>
        <v>25.213622556267271</v>
      </c>
      <c r="AL10" s="9">
        <f t="shared" si="6"/>
        <v>3.9262384136321389</v>
      </c>
      <c r="AM10" s="9">
        <f t="shared" si="7"/>
        <v>15.415348080680614</v>
      </c>
      <c r="AN10" s="9" t="s">
        <v>2319</v>
      </c>
    </row>
    <row r="11" spans="8:40" ht="23">
      <c r="M11" s="24" t="s">
        <v>5142</v>
      </c>
      <c r="N11" s="8" t="s">
        <v>150</v>
      </c>
      <c r="O11" s="24"/>
      <c r="P11" s="24" t="s">
        <v>4693</v>
      </c>
      <c r="Q11" s="24"/>
      <c r="R11" s="24"/>
      <c r="S11" s="24"/>
      <c r="T11" s="24"/>
      <c r="U11" s="24"/>
      <c r="V11" s="24"/>
      <c r="W11" s="24" t="s">
        <v>5142</v>
      </c>
      <c r="X11" s="24">
        <v>59.43</v>
      </c>
      <c r="Y11" s="24">
        <v>1.73</v>
      </c>
      <c r="Z11" s="25">
        <v>1.21</v>
      </c>
      <c r="AA11" s="24">
        <v>1102.5</v>
      </c>
      <c r="AB11" s="24">
        <v>991</v>
      </c>
      <c r="AC11" s="21" t="s">
        <v>5142</v>
      </c>
      <c r="AD11" s="8" t="s">
        <v>4077</v>
      </c>
      <c r="AE11" s="8" t="s">
        <v>5359</v>
      </c>
      <c r="AF11" s="25">
        <f t="shared" si="0"/>
        <v>1907.325</v>
      </c>
      <c r="AG11" s="9">
        <f t="shared" si="1"/>
        <v>1488.375</v>
      </c>
      <c r="AH11" s="9">
        <f t="shared" si="2"/>
        <v>4.0102721165143196</v>
      </c>
      <c r="AI11" s="25">
        <f t="shared" si="3"/>
        <v>16.08228244849224</v>
      </c>
      <c r="AJ11" s="9">
        <f t="shared" si="4"/>
        <v>2.5216980460791616</v>
      </c>
      <c r="AK11" s="25">
        <f t="shared" si="5"/>
        <v>6.358961035599461</v>
      </c>
      <c r="AL11" s="9">
        <f t="shared" si="6"/>
        <v>1.8184043374013148</v>
      </c>
      <c r="AM11" s="25">
        <f t="shared" si="7"/>
        <v>3.3065943342799149</v>
      </c>
      <c r="AN11" s="24" t="s">
        <v>5142</v>
      </c>
    </row>
    <row r="12" spans="8:40" ht="23">
      <c r="M12" s="24" t="s">
        <v>5149</v>
      </c>
      <c r="N12" s="8" t="s">
        <v>150</v>
      </c>
      <c r="O12" s="24"/>
      <c r="P12" s="24" t="s">
        <v>3700</v>
      </c>
      <c r="Q12" s="24"/>
      <c r="R12" s="24"/>
      <c r="S12" s="24"/>
      <c r="T12" s="24"/>
      <c r="U12" s="24"/>
      <c r="V12" s="24"/>
      <c r="W12" s="24" t="s">
        <v>5149</v>
      </c>
      <c r="X12" s="24">
        <v>51.11</v>
      </c>
      <c r="Y12" s="24">
        <v>2.14</v>
      </c>
      <c r="Z12" s="25">
        <v>1.3</v>
      </c>
      <c r="AA12" s="24">
        <v>852.7</v>
      </c>
      <c r="AB12" s="24">
        <v>704</v>
      </c>
      <c r="AC12" s="21" t="s">
        <v>5149</v>
      </c>
      <c r="AD12" s="8" t="s">
        <v>4077</v>
      </c>
      <c r="AE12" s="8" t="s">
        <v>5359</v>
      </c>
      <c r="AF12" s="25">
        <f t="shared" si="0"/>
        <v>1824.7780000000002</v>
      </c>
      <c r="AG12" s="9">
        <f t="shared" si="1"/>
        <v>856.96349999999995</v>
      </c>
      <c r="AH12" s="9">
        <f t="shared" si="2"/>
        <v>3.1016408469403718</v>
      </c>
      <c r="AI12" s="25">
        <f t="shared" si="3"/>
        <v>9.6201759434089862</v>
      </c>
      <c r="AJ12" s="9">
        <f t="shared" si="4"/>
        <v>2.4125616332445916</v>
      </c>
      <c r="AK12" s="25">
        <f t="shared" si="5"/>
        <v>5.8204536342038118</v>
      </c>
      <c r="AL12" s="9">
        <f t="shared" si="6"/>
        <v>1.0469848965446287</v>
      </c>
      <c r="AM12" s="25">
        <f t="shared" si="7"/>
        <v>1.0961773735925668</v>
      </c>
      <c r="AN12" s="24" t="s">
        <v>5149</v>
      </c>
    </row>
    <row r="13" spans="8:40" ht="23">
      <c r="M13" s="9" t="s">
        <v>2198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9" t="s">
        <v>2198</v>
      </c>
      <c r="X13" s="8">
        <v>45.41</v>
      </c>
      <c r="Y13" s="8">
        <v>2.5</v>
      </c>
      <c r="Z13" s="9">
        <v>2.1</v>
      </c>
      <c r="AA13" s="8">
        <v>731.5</v>
      </c>
      <c r="AB13" s="8">
        <v>666</v>
      </c>
      <c r="AC13" s="22" t="s">
        <v>2198</v>
      </c>
      <c r="AD13" s="8" t="s">
        <v>4077</v>
      </c>
      <c r="AE13" s="8" t="s">
        <v>5359</v>
      </c>
      <c r="AF13" s="9">
        <f t="shared" si="0"/>
        <v>1828.75</v>
      </c>
      <c r="AG13" s="9">
        <f t="shared" si="1"/>
        <v>1464.2191666666665</v>
      </c>
      <c r="AH13" s="9">
        <f t="shared" si="2"/>
        <v>2.6607837217507706</v>
      </c>
      <c r="AI13" s="9">
        <f t="shared" si="3"/>
        <v>7.0797700139338824</v>
      </c>
      <c r="AJ13" s="9">
        <f t="shared" si="4"/>
        <v>2.4178130637239414</v>
      </c>
      <c r="AK13" s="9">
        <f t="shared" si="5"/>
        <v>5.8458200111141521</v>
      </c>
      <c r="AL13" s="9">
        <f t="shared" si="6"/>
        <v>1.7888922372203278</v>
      </c>
      <c r="AM13" s="9">
        <f t="shared" si="7"/>
        <v>3.2001354363871495</v>
      </c>
      <c r="AN13" s="9" t="s">
        <v>2198</v>
      </c>
    </row>
    <row r="14" spans="8:40" ht="23">
      <c r="M14" s="8" t="s">
        <v>360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360</v>
      </c>
      <c r="X14" s="8">
        <v>47.15</v>
      </c>
      <c r="Y14" s="8">
        <v>3.92</v>
      </c>
      <c r="Z14" s="9">
        <v>3.34</v>
      </c>
      <c r="AA14" s="8">
        <v>647.9</v>
      </c>
      <c r="AB14" s="8">
        <v>566</v>
      </c>
      <c r="AC14" s="21" t="s">
        <v>360</v>
      </c>
      <c r="AD14" s="8" t="s">
        <v>4097</v>
      </c>
      <c r="AE14" s="8" t="s">
        <v>5359</v>
      </c>
      <c r="AF14" s="9">
        <f t="shared" si="0"/>
        <v>2539.768</v>
      </c>
      <c r="AG14" s="9">
        <f t="shared" si="1"/>
        <v>2310.8433333333332</v>
      </c>
      <c r="AH14" s="9">
        <f t="shared" si="2"/>
        <v>2.3566941535506825</v>
      </c>
      <c r="AI14" s="9">
        <f t="shared" si="3"/>
        <v>5.5540073333799675</v>
      </c>
      <c r="AJ14" s="9">
        <f t="shared" si="4"/>
        <v>3.3578587828998101</v>
      </c>
      <c r="AK14" s="9">
        <f t="shared" si="5"/>
        <v>11.275215605897394</v>
      </c>
      <c r="AL14" s="9">
        <f t="shared" si="6"/>
        <v>2.8232451770476161</v>
      </c>
      <c r="AM14" s="9">
        <f t="shared" si="7"/>
        <v>7.9707133297226251</v>
      </c>
      <c r="AN14" s="8" t="s">
        <v>360</v>
      </c>
    </row>
    <row r="15" spans="8:40" ht="23">
      <c r="M15" s="9" t="s">
        <v>2563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9" t="s">
        <v>2563</v>
      </c>
      <c r="X15" s="8">
        <v>41.83</v>
      </c>
      <c r="Y15" s="8">
        <v>1.05</v>
      </c>
      <c r="Z15" s="9">
        <v>0.01</v>
      </c>
      <c r="AA15" s="8">
        <v>556.20000000000005</v>
      </c>
      <c r="AB15" s="8">
        <v>27247</v>
      </c>
      <c r="AC15" s="22" t="s">
        <v>2563</v>
      </c>
      <c r="AD15" s="8" t="s">
        <v>4077</v>
      </c>
      <c r="AE15" s="8" t="s">
        <v>5359</v>
      </c>
      <c r="AF15" s="9">
        <f t="shared" si="0"/>
        <v>584.0100000000001</v>
      </c>
      <c r="AG15" s="9">
        <f t="shared" si="1"/>
        <v>9.2700000000000014</v>
      </c>
      <c r="AH15" s="9">
        <f t="shared" si="2"/>
        <v>2.0231413616374283</v>
      </c>
      <c r="AI15" s="9">
        <f t="shared" si="3"/>
        <v>4.0931009691681473</v>
      </c>
      <c r="AJ15" s="9">
        <f t="shared" si="4"/>
        <v>0.77212686662770702</v>
      </c>
      <c r="AK15" s="9">
        <f t="shared" si="5"/>
        <v>0.59617989816832084</v>
      </c>
      <c r="AL15" s="9">
        <f t="shared" si="6"/>
        <v>1.1325511519415599E-2</v>
      </c>
      <c r="AM15" s="9">
        <f t="shared" si="7"/>
        <v>1.2826721117641544E-4</v>
      </c>
      <c r="AN15" s="9" t="s">
        <v>2563</v>
      </c>
    </row>
    <row r="16" spans="8:40" ht="23">
      <c r="M16" s="8" t="s">
        <v>5141</v>
      </c>
      <c r="N16" s="8" t="s">
        <v>150</v>
      </c>
      <c r="O16" s="8"/>
      <c r="P16" s="8" t="s">
        <v>4653</v>
      </c>
      <c r="Q16" s="8"/>
      <c r="R16" s="8"/>
      <c r="S16" s="8"/>
      <c r="T16" s="8"/>
      <c r="U16" s="8"/>
      <c r="V16" s="8"/>
      <c r="W16" s="8" t="s">
        <v>5141</v>
      </c>
      <c r="X16" s="8">
        <v>38.31</v>
      </c>
      <c r="Y16" s="8">
        <v>2.61</v>
      </c>
      <c r="Z16" s="9">
        <v>4.33</v>
      </c>
      <c r="AA16" s="8">
        <v>460.8</v>
      </c>
      <c r="AB16" s="8">
        <v>970</v>
      </c>
      <c r="AC16" s="21" t="s">
        <v>5141</v>
      </c>
      <c r="AD16" s="8" t="s">
        <v>4077</v>
      </c>
      <c r="AE16" s="8" t="s">
        <v>5359</v>
      </c>
      <c r="AF16" s="9">
        <f t="shared" si="0"/>
        <v>1202.6879999999999</v>
      </c>
      <c r="AG16" s="9">
        <f t="shared" si="1"/>
        <v>2096.64</v>
      </c>
      <c r="AH16" s="9">
        <f t="shared" si="2"/>
        <v>1.676130060126801</v>
      </c>
      <c r="AI16" s="9">
        <f t="shared" si="3"/>
        <v>2.8094119784606737</v>
      </c>
      <c r="AJ16" s="9">
        <f t="shared" si="4"/>
        <v>1.5900887261703456</v>
      </c>
      <c r="AK16" s="9">
        <f t="shared" si="5"/>
        <v>2.5283821570940321</v>
      </c>
      <c r="AL16" s="9">
        <f t="shared" si="6"/>
        <v>2.5615448189932595</v>
      </c>
      <c r="AM16" s="9">
        <f t="shared" si="7"/>
        <v>6.5615118597112101</v>
      </c>
      <c r="AN16" s="8" t="s">
        <v>5141</v>
      </c>
    </row>
    <row r="17" spans="13:40" ht="23">
      <c r="M17" s="24" t="s">
        <v>5144</v>
      </c>
      <c r="N17" s="8" t="s">
        <v>150</v>
      </c>
      <c r="O17" s="24"/>
      <c r="P17" s="24" t="s">
        <v>4653</v>
      </c>
      <c r="Q17" s="24"/>
      <c r="R17" s="24"/>
      <c r="S17" s="24"/>
      <c r="T17" s="24"/>
      <c r="U17" s="24"/>
      <c r="V17" s="24"/>
      <c r="W17" s="24" t="s">
        <v>5144</v>
      </c>
      <c r="X17" s="24">
        <v>35.020000000000003</v>
      </c>
      <c r="Y17" s="24">
        <v>2.17</v>
      </c>
      <c r="Z17" s="25">
        <v>0.53</v>
      </c>
      <c r="AA17" s="24">
        <v>444.6</v>
      </c>
      <c r="AB17" s="24">
        <v>1266</v>
      </c>
      <c r="AC17" s="21" t="s">
        <v>5144</v>
      </c>
      <c r="AD17" s="8" t="s">
        <v>4077</v>
      </c>
      <c r="AE17" s="8" t="s">
        <v>5359</v>
      </c>
      <c r="AF17" s="25">
        <f t="shared" si="0"/>
        <v>964.78200000000004</v>
      </c>
      <c r="AG17" s="9">
        <f t="shared" si="1"/>
        <v>392.73</v>
      </c>
      <c r="AH17" s="9">
        <f t="shared" si="2"/>
        <v>1.6172036127004681</v>
      </c>
      <c r="AI17" s="25">
        <f t="shared" si="3"/>
        <v>2.6153475249314457</v>
      </c>
      <c r="AJ17" s="9">
        <f t="shared" si="4"/>
        <v>1.2755502519457071</v>
      </c>
      <c r="AK17" s="25">
        <f t="shared" si="5"/>
        <v>1.6270284452387569</v>
      </c>
      <c r="AL17" s="9">
        <f t="shared" si="6"/>
        <v>0.47981317573032223</v>
      </c>
      <c r="AM17" s="25">
        <f t="shared" si="7"/>
        <v>0.23022068360441708</v>
      </c>
      <c r="AN17" s="24" t="s">
        <v>5144</v>
      </c>
    </row>
    <row r="18" spans="13:40" ht="23">
      <c r="M18" s="24" t="s">
        <v>5143</v>
      </c>
      <c r="N18" s="8" t="s">
        <v>150</v>
      </c>
      <c r="O18" s="24"/>
      <c r="P18" s="24" t="s">
        <v>4722</v>
      </c>
      <c r="Q18" s="24"/>
      <c r="R18" s="24"/>
      <c r="S18" s="24"/>
      <c r="T18" s="24"/>
      <c r="U18" s="24"/>
      <c r="V18" s="24"/>
      <c r="W18" s="24" t="s">
        <v>5143</v>
      </c>
      <c r="X18" s="24">
        <v>16.809999999999999</v>
      </c>
      <c r="Y18" s="24">
        <v>4.7300000000000004</v>
      </c>
      <c r="Z18" s="25">
        <v>2.41</v>
      </c>
      <c r="AA18" s="24">
        <v>441.5</v>
      </c>
      <c r="AB18" s="24">
        <v>488</v>
      </c>
      <c r="AC18" s="21" t="s">
        <v>5143</v>
      </c>
      <c r="AD18" s="8" t="s">
        <v>4077</v>
      </c>
      <c r="AE18" s="8" t="s">
        <v>5359</v>
      </c>
      <c r="AF18" s="25">
        <f t="shared" si="0"/>
        <v>2088.2950000000001</v>
      </c>
      <c r="AG18" s="9">
        <f t="shared" si="1"/>
        <v>1184.6916666666668</v>
      </c>
      <c r="AH18" s="9">
        <f t="shared" si="2"/>
        <v>1.6059275641188859</v>
      </c>
      <c r="AI18" s="25">
        <f t="shared" si="3"/>
        <v>2.5790033411968185</v>
      </c>
      <c r="AJ18" s="9">
        <f t="shared" si="4"/>
        <v>2.7609607283168223</v>
      </c>
      <c r="AK18" s="25">
        <f t="shared" si="5"/>
        <v>7.6229041433077578</v>
      </c>
      <c r="AL18" s="9">
        <f t="shared" si="6"/>
        <v>1.4473828606029124</v>
      </c>
      <c r="AM18" s="25">
        <f t="shared" si="7"/>
        <v>2.0949171451670701</v>
      </c>
      <c r="AN18" s="24" t="s">
        <v>5143</v>
      </c>
    </row>
    <row r="19" spans="13:40" ht="23">
      <c r="M19" s="9" t="s">
        <v>2466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9" t="s">
        <v>2466</v>
      </c>
      <c r="X19" s="8">
        <v>74</v>
      </c>
      <c r="Y19" s="8">
        <v>1.29</v>
      </c>
      <c r="Z19" s="9">
        <v>0.34</v>
      </c>
      <c r="AA19" s="8">
        <v>287.5</v>
      </c>
      <c r="AB19" s="8">
        <v>10736</v>
      </c>
      <c r="AC19" s="22" t="s">
        <v>2466</v>
      </c>
      <c r="AD19" s="8" t="s">
        <v>4077</v>
      </c>
      <c r="AE19" s="8" t="s">
        <v>5359</v>
      </c>
      <c r="AF19" s="9">
        <f t="shared" si="0"/>
        <v>370.875</v>
      </c>
      <c r="AG19" s="9">
        <f t="shared" si="1"/>
        <v>162.91666666666666</v>
      </c>
      <c r="AH19" s="9">
        <f t="shared" si="2"/>
        <v>1.0457625700660924</v>
      </c>
      <c r="AI19" s="9">
        <f t="shared" si="3"/>
        <v>1.0936193529512388</v>
      </c>
      <c r="AJ19" s="9">
        <f t="shared" si="4"/>
        <v>0.49033843882904538</v>
      </c>
      <c r="AK19" s="9">
        <f t="shared" si="5"/>
        <v>0.24043178459330547</v>
      </c>
      <c r="AL19" s="9">
        <f t="shared" si="6"/>
        <v>0.1990414870591288</v>
      </c>
      <c r="AM19" s="9">
        <f t="shared" si="7"/>
        <v>3.9617513570709341E-2</v>
      </c>
      <c r="AN19" s="9" t="s">
        <v>2466</v>
      </c>
    </row>
    <row r="20" spans="13:40" ht="23">
      <c r="M20" s="8" t="s">
        <v>1154</v>
      </c>
      <c r="N20" s="8" t="s">
        <v>150</v>
      </c>
      <c r="O20" s="8"/>
      <c r="P20" s="8" t="s">
        <v>3692</v>
      </c>
      <c r="Q20" s="8"/>
      <c r="R20" s="8"/>
      <c r="S20" s="8"/>
      <c r="T20" s="8"/>
      <c r="U20" s="8"/>
      <c r="V20" s="8"/>
      <c r="W20" s="8" t="s">
        <v>1154</v>
      </c>
      <c r="X20" s="8">
        <v>34.31</v>
      </c>
      <c r="Y20" s="8">
        <v>3.66</v>
      </c>
      <c r="Z20" s="9">
        <v>0.56000000000000005</v>
      </c>
      <c r="AA20" s="8">
        <v>185.8</v>
      </c>
      <c r="AB20" s="8">
        <v>3927</v>
      </c>
      <c r="AC20" s="21" t="s">
        <v>1154</v>
      </c>
      <c r="AD20" s="8" t="s">
        <v>4097</v>
      </c>
      <c r="AE20" s="8" t="s">
        <v>5359</v>
      </c>
      <c r="AF20" s="9">
        <f t="shared" si="0"/>
        <v>680.02800000000002</v>
      </c>
      <c r="AG20" s="9">
        <f t="shared" si="1"/>
        <v>173.41333333333336</v>
      </c>
      <c r="AH20" s="9">
        <f t="shared" si="2"/>
        <v>0.67583542788966944</v>
      </c>
      <c r="AI20" s="9">
        <f t="shared" si="3"/>
        <v>0.45675352559081256</v>
      </c>
      <c r="AJ20" s="9">
        <f t="shared" si="4"/>
        <v>0.89907345569272168</v>
      </c>
      <c r="AK20" s="9">
        <f t="shared" si="5"/>
        <v>0.80833307873125237</v>
      </c>
      <c r="AL20" s="9">
        <f t="shared" si="6"/>
        <v>0.21186566389287204</v>
      </c>
      <c r="AM20" s="9">
        <f t="shared" si="7"/>
        <v>4.4887059536767422E-2</v>
      </c>
      <c r="AN20" s="8" t="s">
        <v>1154</v>
      </c>
    </row>
    <row r="21" spans="13:40" ht="23">
      <c r="M21" s="8" t="s">
        <v>4483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4483</v>
      </c>
      <c r="X21" s="8">
        <v>15.73</v>
      </c>
      <c r="Y21" s="8">
        <v>2.6</v>
      </c>
      <c r="Z21" s="9">
        <v>0.59</v>
      </c>
      <c r="AA21" s="8">
        <v>185.3</v>
      </c>
      <c r="AB21" s="8">
        <v>8646</v>
      </c>
      <c r="AC21" s="21" t="s">
        <v>4483</v>
      </c>
      <c r="AD21" s="8" t="s">
        <v>4077</v>
      </c>
      <c r="AE21" s="8" t="s">
        <v>5359</v>
      </c>
      <c r="AF21" s="9">
        <f t="shared" si="0"/>
        <v>481.78000000000003</v>
      </c>
      <c r="AG21" s="9">
        <f t="shared" si="1"/>
        <v>182.21166666666667</v>
      </c>
      <c r="AH21" s="9">
        <f t="shared" si="2"/>
        <v>0.67401671037651101</v>
      </c>
      <c r="AI21" s="9">
        <f t="shared" si="3"/>
        <v>0.45429852586677349</v>
      </c>
      <c r="AJ21" s="9">
        <f t="shared" si="4"/>
        <v>0.6369673152923695</v>
      </c>
      <c r="AK21" s="9">
        <f t="shared" si="5"/>
        <v>0.40572736075076887</v>
      </c>
      <c r="AL21" s="9">
        <f t="shared" si="6"/>
        <v>0.22261492230908828</v>
      </c>
      <c r="AM21" s="9">
        <f t="shared" si="7"/>
        <v>4.9557403634681411E-2</v>
      </c>
      <c r="AN21" s="8" t="s">
        <v>4483</v>
      </c>
    </row>
    <row r="22" spans="13:40" ht="23">
      <c r="M22" s="24" t="s">
        <v>758</v>
      </c>
      <c r="N22" s="8" t="s">
        <v>150</v>
      </c>
      <c r="O22" s="24"/>
      <c r="P22" s="24" t="s">
        <v>3705</v>
      </c>
      <c r="Q22" s="24"/>
      <c r="R22" s="24"/>
      <c r="S22" s="24"/>
      <c r="T22" s="24"/>
      <c r="U22" s="24"/>
      <c r="V22" s="24"/>
      <c r="W22" s="24" t="s">
        <v>758</v>
      </c>
      <c r="X22" s="24">
        <v>29.12</v>
      </c>
      <c r="Y22" s="24">
        <v>2.5299999999999998</v>
      </c>
      <c r="Z22" s="25">
        <v>1.31</v>
      </c>
      <c r="AA22" s="24">
        <v>138.5</v>
      </c>
      <c r="AB22" s="24">
        <v>2447</v>
      </c>
      <c r="AC22" s="21" t="s">
        <v>758</v>
      </c>
      <c r="AD22" s="8" t="s">
        <v>4077</v>
      </c>
      <c r="AE22" s="8" t="s">
        <v>5359</v>
      </c>
      <c r="AF22" s="25">
        <f t="shared" si="0"/>
        <v>350.40499999999997</v>
      </c>
      <c r="AG22" s="9">
        <f t="shared" si="1"/>
        <v>210.05833333333334</v>
      </c>
      <c r="AH22" s="9">
        <f t="shared" si="2"/>
        <v>0.50378475114488275</v>
      </c>
      <c r="AI22" s="25">
        <f t="shared" si="3"/>
        <v>0.25379907548611141</v>
      </c>
      <c r="AJ22" s="9">
        <f t="shared" si="4"/>
        <v>0.46327479786421749</v>
      </c>
      <c r="AK22" s="25">
        <f t="shared" si="5"/>
        <v>0.21462353833613157</v>
      </c>
      <c r="AL22" s="9">
        <f t="shared" si="6"/>
        <v>0.25663625392836115</v>
      </c>
      <c r="AM22" s="25">
        <f t="shared" si="7"/>
        <v>6.5862166830382263E-2</v>
      </c>
      <c r="AN22" s="24" t="s">
        <v>758</v>
      </c>
    </row>
    <row r="23" spans="13:40" ht="23">
      <c r="M23" s="8" t="s">
        <v>4485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4485</v>
      </c>
      <c r="X23" s="8">
        <v>23.27</v>
      </c>
      <c r="Y23" s="8">
        <v>1.98</v>
      </c>
      <c r="Z23" s="9">
        <v>1.29</v>
      </c>
      <c r="AA23" s="8">
        <v>137.69999999999999</v>
      </c>
      <c r="AB23" s="8">
        <v>5388</v>
      </c>
      <c r="AC23" s="21" t="s">
        <v>4485</v>
      </c>
      <c r="AD23" s="8" t="s">
        <v>4077</v>
      </c>
      <c r="AE23" s="8" t="s">
        <v>5359</v>
      </c>
      <c r="AF23" s="9">
        <f t="shared" si="0"/>
        <v>272.64599999999996</v>
      </c>
      <c r="AG23" s="9">
        <f t="shared" si="1"/>
        <v>204.255</v>
      </c>
      <c r="AH23" s="9">
        <f t="shared" si="2"/>
        <v>0.50087480312382915</v>
      </c>
      <c r="AI23" s="9">
        <f t="shared" si="3"/>
        <v>0.25087556840433461</v>
      </c>
      <c r="AJ23" s="9">
        <f t="shared" si="4"/>
        <v>0.36046865923285176</v>
      </c>
      <c r="AK23" s="9">
        <f t="shared" si="5"/>
        <v>0.12993765428912982</v>
      </c>
      <c r="AL23" s="9">
        <f t="shared" si="6"/>
        <v>0.24954610090595822</v>
      </c>
      <c r="AM23" s="9">
        <f t="shared" si="7"/>
        <v>6.227325647736668E-2</v>
      </c>
      <c r="AN23" s="8" t="s">
        <v>4485</v>
      </c>
    </row>
    <row r="24" spans="13:40" ht="23">
      <c r="M24" s="8" t="s">
        <v>4937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4937</v>
      </c>
      <c r="X24" s="8">
        <v>11.43</v>
      </c>
      <c r="Y24" s="8">
        <v>1.84</v>
      </c>
      <c r="Z24" s="9">
        <v>2.0499999999999998</v>
      </c>
      <c r="AA24" s="8">
        <v>53.5</v>
      </c>
      <c r="AB24" s="8">
        <v>18622</v>
      </c>
      <c r="AC24" s="21" t="s">
        <v>4937</v>
      </c>
      <c r="AD24" s="8" t="s">
        <v>4077</v>
      </c>
      <c r="AE24" s="8" t="s">
        <v>5359</v>
      </c>
      <c r="AF24" s="9">
        <f t="shared" si="0"/>
        <v>98.44</v>
      </c>
      <c r="AG24" s="9">
        <f t="shared" si="1"/>
        <v>111.45833333333334</v>
      </c>
      <c r="AH24" s="9">
        <f t="shared" si="2"/>
        <v>0.19460277390795108</v>
      </c>
      <c r="AI24" s="9">
        <f t="shared" si="3"/>
        <v>3.7870239612669124E-2</v>
      </c>
      <c r="AJ24" s="9">
        <f t="shared" si="4"/>
        <v>0.130148745314004</v>
      </c>
      <c r="AK24" s="9">
        <f t="shared" si="5"/>
        <v>1.6938695906809478E-2</v>
      </c>
      <c r="AL24" s="9">
        <f t="shared" si="6"/>
        <v>0.13617288436909711</v>
      </c>
      <c r="AM24" s="9">
        <f t="shared" si="7"/>
        <v>1.8543054437399491E-2</v>
      </c>
      <c r="AN24" s="8" t="s">
        <v>4937</v>
      </c>
    </row>
    <row r="25" spans="13:40" ht="23">
      <c r="M25" s="24" t="s">
        <v>5145</v>
      </c>
      <c r="N25" s="8" t="s">
        <v>150</v>
      </c>
      <c r="O25" s="24"/>
      <c r="P25" s="24" t="s">
        <v>4722</v>
      </c>
      <c r="Q25" s="24"/>
      <c r="R25" s="24"/>
      <c r="S25" s="24"/>
      <c r="T25" s="24"/>
      <c r="U25" s="24"/>
      <c r="V25" s="24"/>
      <c r="W25" s="24" t="s">
        <v>5145</v>
      </c>
      <c r="X25" s="24">
        <v>20.13</v>
      </c>
      <c r="Y25" s="24">
        <v>4.32</v>
      </c>
      <c r="Z25" s="25">
        <v>4.0199999999999996</v>
      </c>
      <c r="AA25" s="24">
        <v>14.8</v>
      </c>
      <c r="AB25" s="24">
        <v>6225</v>
      </c>
      <c r="AC25" s="21" t="s">
        <v>5145</v>
      </c>
      <c r="AD25" s="8" t="s">
        <v>4077</v>
      </c>
      <c r="AE25" s="8" t="s">
        <v>5359</v>
      </c>
      <c r="AF25" s="25">
        <f t="shared" si="0"/>
        <v>63.936000000000007</v>
      </c>
      <c r="AG25" s="9">
        <f t="shared" si="1"/>
        <v>59.693333333333335</v>
      </c>
      <c r="AH25" s="9">
        <f t="shared" si="2"/>
        <v>5.3834038389489275E-2</v>
      </c>
      <c r="AI25" s="25">
        <f t="shared" si="3"/>
        <v>2.8981036893210052E-3</v>
      </c>
      <c r="AJ25" s="9">
        <f t="shared" si="4"/>
        <v>8.4530578833768397E-2</v>
      </c>
      <c r="AK25" s="25">
        <f t="shared" si="5"/>
        <v>7.1454187579719341E-3</v>
      </c>
      <c r="AL25" s="9">
        <f t="shared" si="6"/>
        <v>7.2929615350483465E-2</v>
      </c>
      <c r="AM25" s="25">
        <f t="shared" si="7"/>
        <v>5.3187287951694737E-3</v>
      </c>
      <c r="AN25" s="24" t="s">
        <v>5145</v>
      </c>
    </row>
    <row r="26" spans="13:40" ht="23">
      <c r="M26" s="8" t="s">
        <v>205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8" t="s">
        <v>205</v>
      </c>
      <c r="X26" s="8">
        <v>74.28</v>
      </c>
      <c r="Y26" s="8">
        <v>1.75</v>
      </c>
      <c r="Z26" s="9">
        <v>0.53</v>
      </c>
      <c r="AA26" s="8">
        <v>6.9</v>
      </c>
      <c r="AB26" s="8">
        <v>23053</v>
      </c>
      <c r="AC26" s="21" t="s">
        <v>205</v>
      </c>
      <c r="AD26" s="8" t="s">
        <v>4097</v>
      </c>
      <c r="AE26" s="8" t="s">
        <v>5359</v>
      </c>
      <c r="AF26" s="9">
        <f t="shared" si="0"/>
        <v>12.075000000000001</v>
      </c>
      <c r="AG26" s="9">
        <f t="shared" si="1"/>
        <v>6.0949999999999998</v>
      </c>
      <c r="AH26" s="9">
        <f t="shared" si="2"/>
        <v>2.5098301681586214E-2</v>
      </c>
      <c r="AI26" s="9">
        <f t="shared" si="3"/>
        <v>6.2992474729991338E-4</v>
      </c>
      <c r="AJ26" s="9">
        <f t="shared" si="4"/>
        <v>1.5964507310713107E-2</v>
      </c>
      <c r="AK26" s="9">
        <f t="shared" si="5"/>
        <v>2.5486549367381223E-4</v>
      </c>
      <c r="AL26" s="9">
        <f t="shared" si="6"/>
        <v>7.4464932805650549E-3</v>
      </c>
      <c r="AM26" s="9">
        <f t="shared" si="7"/>
        <v>5.5450262177500514E-5</v>
      </c>
      <c r="AN26" s="8" t="s">
        <v>205</v>
      </c>
    </row>
    <row r="27" spans="13:40" ht="23">
      <c r="M27" s="8" t="s">
        <v>4481</v>
      </c>
      <c r="N27" s="8" t="s">
        <v>1614</v>
      </c>
      <c r="O27" s="8"/>
      <c r="P27" s="8" t="s">
        <v>4745</v>
      </c>
      <c r="Q27" s="8"/>
      <c r="R27" s="8"/>
      <c r="S27" s="8"/>
      <c r="T27" s="8"/>
      <c r="U27" s="8"/>
      <c r="V27" s="8"/>
      <c r="W27" s="8" t="s">
        <v>4481</v>
      </c>
      <c r="X27" s="8">
        <v>27.68</v>
      </c>
      <c r="Y27" s="8">
        <v>3.37</v>
      </c>
      <c r="Z27" s="9">
        <v>3.19</v>
      </c>
      <c r="AA27" s="8">
        <v>4.3</v>
      </c>
      <c r="AB27" s="8">
        <v>32371</v>
      </c>
      <c r="AC27" s="21" t="s">
        <v>4481</v>
      </c>
      <c r="AD27" s="8" t="s">
        <v>4097</v>
      </c>
      <c r="AE27" s="8" t="s">
        <v>5359</v>
      </c>
      <c r="AF27" s="9">
        <f t="shared" si="0"/>
        <v>14.491</v>
      </c>
      <c r="AG27" s="9">
        <f t="shared" si="1"/>
        <v>14.261666666666665</v>
      </c>
      <c r="AH27" s="9">
        <f t="shared" si="2"/>
        <v>1.5640970613162424E-2</v>
      </c>
      <c r="AI27" s="9">
        <f t="shared" si="3"/>
        <v>2.4463996172181053E-4</v>
      </c>
      <c r="AJ27" s="9">
        <f t="shared" si="4"/>
        <v>1.9158730885262411E-2</v>
      </c>
      <c r="AK27" s="9">
        <f t="shared" si="5"/>
        <v>3.6705696913390783E-4</v>
      </c>
      <c r="AL27" s="9">
        <f t="shared" si="6"/>
        <v>1.7424020509104503E-2</v>
      </c>
      <c r="AM27" s="9">
        <f t="shared" si="7"/>
        <v>3.0359649070169434E-4</v>
      </c>
      <c r="AN27" s="8" t="s">
        <v>4481</v>
      </c>
    </row>
    <row r="28" spans="13:40" ht="18"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9"/>
      <c r="AA28" s="48">
        <f>SUBTOTAL(109,Table13681[ترافیک کل])</f>
        <v>27491.899999999998</v>
      </c>
      <c r="AB28" s="48"/>
      <c r="AC28" s="53"/>
      <c r="AD28" s="48"/>
      <c r="AE28" s="48"/>
      <c r="AF28" s="49">
        <f>SUBTOTAL(109,Table13681[[مجموع صفحات  مشاهده شده   ]])</f>
        <v>75636.533999999971</v>
      </c>
      <c r="AG28" s="49">
        <f>SUBTOTAL(109,Table13681[[مجموع زمان حضور در سایت ]])</f>
        <v>81850.607666666678</v>
      </c>
      <c r="AH28" s="49">
        <f>SUBTOTAL(109,Table13681[سهم سایت از کل ترافیک طبقه بندی])</f>
        <v>99.999999999999972</v>
      </c>
      <c r="AI28" s="49">
        <f>SUBTOTAL(109,Table13681[شاخص هرفیندال هیرشمن (ترافیک)])</f>
        <v>818.0223634942007</v>
      </c>
      <c r="AJ28" s="49">
        <f>SUBTOTAL(109,Table13681[سهم سایت از کل صفحات مشاهده شده در طبقه بندی])</f>
        <v>100</v>
      </c>
      <c r="AK28" s="49">
        <f>SUBTOTAL(109,Table13681[شاخص هرفیندال -هیرشمن (صفحات مشاهده شده )])</f>
        <v>943.96250726113112</v>
      </c>
      <c r="AL28" s="49">
        <f>SUBTOTAL(109,Table13681[سهم سایت از کل زمان حضور در طبقه بندی])</f>
        <v>100.00000000000001</v>
      </c>
      <c r="AM28" s="49">
        <f>SUBTOTAL(109,Table13681[شاخص هرفیندال هیرشمن (زمان حضور)])</f>
        <v>1307.0286962813059</v>
      </c>
      <c r="AN28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{D2B433DB-323B-4F70-B048-277F0DC47822}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{9E04BC10-AE3D-43E6-BC07-F987036DD21F}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{5A0B8C90-8BFD-43DD-854D-9F30C63D3733}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{E3B50A8E-E696-4545-95C4-236187E4DD22}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{09F8B0D2-20EA-44D3-9CDD-1AC338E932FC}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{6DFE50B6-686E-4636-A794-7E88B290451A}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B433DB-323B-4F70-B048-277F0DC478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E04BC10-AE3D-43E6-BC07-F987036DD21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A0B8C90-8BFD-43DD-854D-9F30C63D3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3B50A8E-E696-4545-95C4-236187E4DD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9F8B0D2-20EA-44D3-9CDD-1AC338E932F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6DFE50B6-686E-4636-A794-7E88B290451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8"/>
  <sheetViews>
    <sheetView showGridLines="0" rightToLeft="1" topLeftCell="AK1" zoomScale="70" zoomScaleNormal="70" workbookViewId="0">
      <selection activeCell="AM8" sqref="AM8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317</v>
      </c>
      <c r="N2" s="8" t="s">
        <v>150</v>
      </c>
      <c r="O2" s="8"/>
      <c r="P2" s="8" t="s">
        <v>3693</v>
      </c>
      <c r="Q2" s="8"/>
      <c r="R2" s="8"/>
      <c r="S2" s="8"/>
      <c r="T2" s="8"/>
      <c r="U2" s="8"/>
      <c r="V2" s="8"/>
      <c r="W2" s="8" t="s">
        <v>317</v>
      </c>
      <c r="X2" s="8">
        <v>52.8</v>
      </c>
      <c r="Y2" s="8">
        <v>2.2000000000000002</v>
      </c>
      <c r="Z2" s="9">
        <v>1.28</v>
      </c>
      <c r="AA2" s="8">
        <v>1277.2</v>
      </c>
      <c r="AB2" s="8">
        <v>636</v>
      </c>
      <c r="AC2" s="21" t="s">
        <v>317</v>
      </c>
      <c r="AD2" s="8" t="s">
        <v>3710</v>
      </c>
      <c r="AE2" s="8" t="s">
        <v>5359</v>
      </c>
      <c r="AF2" s="9">
        <f t="shared" ref="AF2:AF7" si="0">(AA2*Y2)</f>
        <v>2809.84</v>
      </c>
      <c r="AG2" s="9">
        <f t="shared" ref="AG2:AG7" si="1">((((RIGHT(Z2,2))/60)+(LEFT(Z2,2)))*AA2)</f>
        <v>1873.2266666666669</v>
      </c>
      <c r="AH2" s="9">
        <f t="shared" ref="AH2:AH7" si="2">(AA2/$AA$8)*100</f>
        <v>57.954442326889911</v>
      </c>
      <c r="AI2" s="9">
        <f t="shared" ref="AI2:AI7" si="3">(AH2*AH2)</f>
        <v>3358.717385420809</v>
      </c>
      <c r="AJ2" s="9">
        <f t="shared" ref="AJ2:AJ7" si="4">(AF2/$AF$8)*100</f>
        <v>51.854542126002265</v>
      </c>
      <c r="AK2" s="9">
        <f t="shared" ref="AK2:AK7" si="5">(AJ2*AJ2)</f>
        <v>2688.8935390973434</v>
      </c>
      <c r="AL2" s="9">
        <f t="shared" ref="AL2:AL7" si="6">(AG2/$AG$8)*100</f>
        <v>68.843106568949636</v>
      </c>
      <c r="AM2" s="9">
        <f t="shared" ref="AM2:AM7" si="7">(AL2*AL2)</f>
        <v>4739.3733220637569</v>
      </c>
      <c r="AN2" s="8" t="s">
        <v>317</v>
      </c>
    </row>
    <row r="3" spans="8:40" ht="23">
      <c r="M3" s="8" t="s">
        <v>504</v>
      </c>
      <c r="N3" s="8" t="s">
        <v>150</v>
      </c>
      <c r="O3" s="8"/>
      <c r="P3" s="8" t="s">
        <v>4765</v>
      </c>
      <c r="Q3" s="8"/>
      <c r="R3" s="8"/>
      <c r="S3" s="8"/>
      <c r="T3" s="8"/>
      <c r="U3" s="8"/>
      <c r="V3" s="8"/>
      <c r="W3" s="8" t="s">
        <v>504</v>
      </c>
      <c r="X3" s="8">
        <v>49.81</v>
      </c>
      <c r="Y3" s="8">
        <v>1.84</v>
      </c>
      <c r="Z3" s="9">
        <v>1.06</v>
      </c>
      <c r="AA3" s="8">
        <v>313.60000000000002</v>
      </c>
      <c r="AB3" s="8">
        <v>4214</v>
      </c>
      <c r="AC3" s="21" t="s">
        <v>504</v>
      </c>
      <c r="AD3" s="8" t="s">
        <v>3710</v>
      </c>
      <c r="AE3" s="8" t="s">
        <v>5359</v>
      </c>
      <c r="AF3" s="9">
        <f t="shared" si="0"/>
        <v>577.02400000000011</v>
      </c>
      <c r="AG3" s="9">
        <f t="shared" si="1"/>
        <v>344.96000000000004</v>
      </c>
      <c r="AH3" s="9">
        <f t="shared" si="2"/>
        <v>14.229966421635357</v>
      </c>
      <c r="AI3" s="9">
        <f t="shared" si="3"/>
        <v>202.49194436086975</v>
      </c>
      <c r="AJ3" s="9">
        <f t="shared" si="4"/>
        <v>10.648761251784562</v>
      </c>
      <c r="AK3" s="9">
        <f t="shared" si="5"/>
        <v>113.39611619750831</v>
      </c>
      <c r="AL3" s="9">
        <f t="shared" si="6"/>
        <v>12.677653198416031</v>
      </c>
      <c r="AM3" s="9">
        <f t="shared" si="7"/>
        <v>160.72289061930823</v>
      </c>
      <c r="AN3" s="8" t="s">
        <v>504</v>
      </c>
    </row>
    <row r="4" spans="8:40" ht="23">
      <c r="M4" s="8" t="s">
        <v>5163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5163</v>
      </c>
      <c r="X4" s="8">
        <v>0.75</v>
      </c>
      <c r="Y4" s="8">
        <v>1.98</v>
      </c>
      <c r="Z4" s="9">
        <v>0.08</v>
      </c>
      <c r="AA4" s="8">
        <v>269.10000000000002</v>
      </c>
      <c r="AB4" s="8">
        <v>27254</v>
      </c>
      <c r="AC4" s="21" t="s">
        <v>5163</v>
      </c>
      <c r="AD4" s="8" t="s">
        <v>3710</v>
      </c>
      <c r="AE4" s="8" t="s">
        <v>5359</v>
      </c>
      <c r="AF4" s="9">
        <f t="shared" si="0"/>
        <v>532.81799999999998</v>
      </c>
      <c r="AG4" s="9">
        <f t="shared" si="1"/>
        <v>35.880000000000003</v>
      </c>
      <c r="AH4" s="9">
        <f t="shared" si="2"/>
        <v>12.210726926218349</v>
      </c>
      <c r="AI4" s="9">
        <f t="shared" si="3"/>
        <v>149.10185206667381</v>
      </c>
      <c r="AJ4" s="9">
        <f t="shared" si="4"/>
        <v>9.8329561208083991</v>
      </c>
      <c r="AK4" s="9">
        <f t="shared" si="5"/>
        <v>96.687026073743354</v>
      </c>
      <c r="AL4" s="9">
        <f t="shared" si="6"/>
        <v>1.3186288171358047</v>
      </c>
      <c r="AM4" s="9">
        <f t="shared" si="7"/>
        <v>1.7387819573809715</v>
      </c>
      <c r="AN4" s="8" t="s">
        <v>5163</v>
      </c>
    </row>
    <row r="5" spans="8:40" ht="23">
      <c r="M5" s="8" t="s">
        <v>4312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4312</v>
      </c>
      <c r="X5" s="8">
        <v>11</v>
      </c>
      <c r="Y5" s="8">
        <v>5.4</v>
      </c>
      <c r="Z5" s="9">
        <v>0.25</v>
      </c>
      <c r="AA5" s="8">
        <v>158.80000000000001</v>
      </c>
      <c r="AB5" s="8">
        <v>9584</v>
      </c>
      <c r="AC5" s="21" t="s">
        <v>4312</v>
      </c>
      <c r="AD5" s="8" t="s">
        <v>3710</v>
      </c>
      <c r="AE5" s="8" t="s">
        <v>5359</v>
      </c>
      <c r="AF5" s="9">
        <f t="shared" si="0"/>
        <v>857.5200000000001</v>
      </c>
      <c r="AG5" s="9">
        <f t="shared" si="1"/>
        <v>66.166666666666671</v>
      </c>
      <c r="AH5" s="9">
        <f t="shared" si="2"/>
        <v>7.2057355476903533</v>
      </c>
      <c r="AI5" s="9">
        <f t="shared" si="3"/>
        <v>51.922624783248395</v>
      </c>
      <c r="AJ5" s="9">
        <f t="shared" si="4"/>
        <v>15.825209607625155</v>
      </c>
      <c r="AK5" s="9">
        <f t="shared" si="5"/>
        <v>250.43725912527151</v>
      </c>
      <c r="AL5" s="9">
        <f t="shared" si="6"/>
        <v>2.4316965830681645</v>
      </c>
      <c r="AM5" s="9">
        <f t="shared" si="7"/>
        <v>5.9131482721053867</v>
      </c>
      <c r="AN5" s="8" t="s">
        <v>4312</v>
      </c>
    </row>
    <row r="6" spans="8:40" ht="23">
      <c r="M6" s="8" t="s">
        <v>365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365</v>
      </c>
      <c r="X6" s="8">
        <v>24.72</v>
      </c>
      <c r="Y6" s="8">
        <v>2.1</v>
      </c>
      <c r="Z6" s="9">
        <v>0.35</v>
      </c>
      <c r="AA6" s="8">
        <v>136.30000000000001</v>
      </c>
      <c r="AB6" s="8">
        <v>7973</v>
      </c>
      <c r="AC6" s="21" t="s">
        <v>365</v>
      </c>
      <c r="AD6" s="8" t="s">
        <v>3710</v>
      </c>
      <c r="AE6" s="8" t="s">
        <v>5359</v>
      </c>
      <c r="AF6" s="9">
        <f t="shared" si="0"/>
        <v>286.23</v>
      </c>
      <c r="AG6" s="9">
        <f t="shared" si="1"/>
        <v>79.50833333333334</v>
      </c>
      <c r="AH6" s="9">
        <f t="shared" si="2"/>
        <v>6.184771757872765</v>
      </c>
      <c r="AI6" s="9">
        <f t="shared" si="3"/>
        <v>38.251401696980572</v>
      </c>
      <c r="AJ6" s="9">
        <f t="shared" si="4"/>
        <v>5.2822671727662893</v>
      </c>
      <c r="AK6" s="9">
        <f t="shared" si="5"/>
        <v>27.902346484484369</v>
      </c>
      <c r="AL6" s="9">
        <f t="shared" si="6"/>
        <v>2.9220172668832944</v>
      </c>
      <c r="AM6" s="9">
        <f t="shared" si="7"/>
        <v>8.5381849079641174</v>
      </c>
      <c r="AN6" s="8" t="s">
        <v>365</v>
      </c>
    </row>
    <row r="7" spans="8:40" ht="23">
      <c r="M7" s="8" t="s">
        <v>5162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5162</v>
      </c>
      <c r="X7" s="8">
        <v>2.95</v>
      </c>
      <c r="Y7" s="8">
        <v>7.28</v>
      </c>
      <c r="Z7" s="9">
        <v>6.35</v>
      </c>
      <c r="AA7" s="8">
        <v>48.8</v>
      </c>
      <c r="AB7" s="8">
        <v>34014</v>
      </c>
      <c r="AC7" s="21" t="s">
        <v>5162</v>
      </c>
      <c r="AD7" s="8" t="s">
        <v>3710</v>
      </c>
      <c r="AE7" s="8" t="s">
        <v>5359</v>
      </c>
      <c r="AF7" s="9">
        <f t="shared" si="0"/>
        <v>355.26400000000001</v>
      </c>
      <c r="AG7" s="9">
        <f t="shared" si="1"/>
        <v>321.26666666666665</v>
      </c>
      <c r="AH7" s="9">
        <f t="shared" si="2"/>
        <v>2.2143570196932569</v>
      </c>
      <c r="AI7" s="9">
        <f t="shared" si="3"/>
        <v>4.9033770106648031</v>
      </c>
      <c r="AJ7" s="9">
        <f t="shared" si="4"/>
        <v>6.5562637210133206</v>
      </c>
      <c r="AK7" s="9">
        <f t="shared" si="5"/>
        <v>42.984593979475434</v>
      </c>
      <c r="AL7" s="9">
        <f t="shared" si="6"/>
        <v>11.806897565547086</v>
      </c>
      <c r="AM7" s="9">
        <f t="shared" si="7"/>
        <v>139.40283012332171</v>
      </c>
      <c r="AN7" s="8" t="s">
        <v>5162</v>
      </c>
    </row>
    <row r="8" spans="8:40" ht="18"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9"/>
      <c r="AA8" s="48">
        <f>SUBTOTAL(109,Table13685[ترافیک کل])</f>
        <v>2203.8000000000002</v>
      </c>
      <c r="AB8" s="48"/>
      <c r="AC8" s="48"/>
      <c r="AD8" s="48"/>
      <c r="AE8" s="48"/>
      <c r="AF8" s="49">
        <f>SUBTOTAL(109,Table13685[[مجموع صفحات  مشاهده شده   ]])</f>
        <v>5418.6960000000008</v>
      </c>
      <c r="AG8" s="49">
        <f>SUBTOTAL(109,Table13685[[مجموع زمان حضور در سایت ]])</f>
        <v>2721.0083333333332</v>
      </c>
      <c r="AH8" s="49">
        <f>SUBTOTAL(109,Table13685[سهم سایت از کل ترافیک طبقه بندی])</f>
        <v>99.999999999999986</v>
      </c>
      <c r="AI8" s="49">
        <f>SUBTOTAL(109,Table13685[شاخص هرفیندال هیرشمن (ترافیک)])</f>
        <v>3805.3885853392467</v>
      </c>
      <c r="AJ8" s="49">
        <f>SUBTOTAL(109,Table13685[سهم سایت از کل صفحات مشاهده شده در طبقه بندی])</f>
        <v>100</v>
      </c>
      <c r="AK8" s="49">
        <f>SUBTOTAL(109,Table13685[شاخص هرفیندال -هیرشمن (صفحات مشاهده شده )])</f>
        <v>3220.3008809578264</v>
      </c>
      <c r="AL8" s="49">
        <f>SUBTOTAL(109,Table13685[سهم سایت از کل زمان حضور در طبقه بندی])</f>
        <v>100.00000000000001</v>
      </c>
      <c r="AM8" s="49">
        <f>SUBTOTAL(109,Table13685[شاخص هرفیندال هیرشمن (زمان حضور)])</f>
        <v>5055.689157943837</v>
      </c>
      <c r="AN8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{1CD49ED1-B2F4-4E69-A1F4-6476F6CD296E}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{826B6CB9-103A-43B8-95EA-70F58B14C9F6}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{7CC53C0D-4381-4116-93B3-C2C45911031A}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{E5EBEEEE-8CC1-4C47-84A2-9C05ED66D0F3}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{119BA753-0ADF-481C-8C63-6A33B94D42C0}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{7CD4D83D-C4F4-4264-8921-F0CDA69F97D8}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CD49ED1-B2F4-4E69-A1F4-6476F6CD29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26B6CB9-103A-43B8-95EA-70F58B14C9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CC53C0D-4381-4116-93B3-C2C45911031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5EBEEEE-8CC1-4C47-84A2-9C05ED66D0F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19BA753-0ADF-481C-8C63-6A33B94D42C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7CD4D83D-C4F4-4264-8921-F0CDA69F97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01"/>
  <sheetViews>
    <sheetView showGridLines="0" rightToLeft="1" topLeftCell="Z1" zoomScale="70" zoomScaleNormal="70" workbookViewId="0">
      <selection activeCell="AC101" sqref="AC10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0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803</v>
      </c>
      <c r="N2" s="8" t="s">
        <v>150</v>
      </c>
      <c r="O2" s="8"/>
      <c r="P2" s="8" t="s">
        <v>3693</v>
      </c>
      <c r="Q2" s="8"/>
      <c r="R2" s="8"/>
      <c r="S2" s="8"/>
      <c r="T2" s="8"/>
      <c r="U2" s="8"/>
      <c r="V2" s="8"/>
      <c r="W2" s="8" t="s">
        <v>803</v>
      </c>
      <c r="X2" s="8">
        <v>49.02</v>
      </c>
      <c r="Y2" s="8">
        <v>2.97</v>
      </c>
      <c r="Z2" s="9">
        <v>3.4</v>
      </c>
      <c r="AA2" s="8">
        <v>6127.6</v>
      </c>
      <c r="AB2" s="8">
        <v>199</v>
      </c>
      <c r="AC2" s="21" t="s">
        <v>803</v>
      </c>
      <c r="AD2" s="8" t="s">
        <v>4003</v>
      </c>
      <c r="AE2" s="8" t="s">
        <v>4238</v>
      </c>
      <c r="AF2" s="9">
        <f t="shared" ref="AF2:AF33" si="0">(AA2*Y2)</f>
        <v>18198.972000000002</v>
      </c>
      <c r="AG2" s="9">
        <f t="shared" ref="AG2:AG33" si="1">((((RIGHT(Z2,2))/60)+(LEFT(Z2,2)))*AA2)</f>
        <v>18423.650666666668</v>
      </c>
      <c r="AH2" s="9">
        <f t="shared" ref="AH2:AH33" si="2">(AA2/$AA$101)*100</f>
        <v>28.559709909859532</v>
      </c>
      <c r="AI2" s="9">
        <f t="shared" ref="AI2:AI33" si="3">(AH2*AH2)</f>
        <v>815.65703013532868</v>
      </c>
      <c r="AJ2" s="9">
        <f t="shared" ref="AJ2:AJ33" si="4">(AF2/$AF$101)*100</f>
        <v>24.844983460565707</v>
      </c>
      <c r="AK2" s="9">
        <f t="shared" ref="AK2:AK33" si="5">(AJ2*AJ2)</f>
        <v>617.27320315578356</v>
      </c>
      <c r="AL2" s="9">
        <f t="shared" ref="AL2:AL33" si="6">(AG2/$AG$101)*100</f>
        <v>26.436468983510537</v>
      </c>
      <c r="AM2" s="9">
        <f t="shared" ref="AM2:AM33" si="7">(AL2*AL2)</f>
        <v>698.88689231611465</v>
      </c>
      <c r="AN2" s="8" t="s">
        <v>803</v>
      </c>
    </row>
    <row r="3" spans="8:40" ht="23">
      <c r="M3" s="9" t="s">
        <v>2386</v>
      </c>
      <c r="N3" s="8" t="s">
        <v>150</v>
      </c>
      <c r="O3" s="8"/>
      <c r="P3" s="8" t="s">
        <v>3693</v>
      </c>
      <c r="Q3" s="8"/>
      <c r="R3" s="8"/>
      <c r="S3" s="8"/>
      <c r="T3" s="8"/>
      <c r="U3" s="8"/>
      <c r="V3" s="8"/>
      <c r="W3" s="9" t="s">
        <v>2386</v>
      </c>
      <c r="X3" s="8">
        <v>31.13</v>
      </c>
      <c r="Y3" s="8">
        <v>4.91</v>
      </c>
      <c r="Z3" s="9">
        <v>6.37</v>
      </c>
      <c r="AA3" s="8">
        <v>2191.6</v>
      </c>
      <c r="AB3" s="8">
        <v>583</v>
      </c>
      <c r="AC3" s="22" t="s">
        <v>2386</v>
      </c>
      <c r="AD3" s="8" t="s">
        <v>4003</v>
      </c>
      <c r="AE3" s="8" t="s">
        <v>4238</v>
      </c>
      <c r="AF3" s="9">
        <f t="shared" si="0"/>
        <v>10760.755999999999</v>
      </c>
      <c r="AG3" s="9">
        <f t="shared" si="1"/>
        <v>14501.086666666668</v>
      </c>
      <c r="AH3" s="9">
        <f t="shared" si="2"/>
        <v>10.214677889948454</v>
      </c>
      <c r="AI3" s="9">
        <f t="shared" si="3"/>
        <v>104.33964439540181</v>
      </c>
      <c r="AJ3" s="9">
        <f t="shared" si="4"/>
        <v>14.690434429108587</v>
      </c>
      <c r="AK3" s="9">
        <f t="shared" si="5"/>
        <v>215.80886371593891</v>
      </c>
      <c r="AL3" s="9">
        <f t="shared" si="6"/>
        <v>20.807902561034133</v>
      </c>
      <c r="AM3" s="9">
        <f t="shared" si="7"/>
        <v>432.96880898949087</v>
      </c>
      <c r="AN3" s="9" t="s">
        <v>2386</v>
      </c>
    </row>
    <row r="4" spans="8:40" ht="23">
      <c r="M4" s="8" t="s">
        <v>447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447</v>
      </c>
      <c r="X4" s="8">
        <v>42.46</v>
      </c>
      <c r="Y4" s="8">
        <v>3.08</v>
      </c>
      <c r="Z4" s="9">
        <v>3.24</v>
      </c>
      <c r="AA4" s="8">
        <v>1176.9000000000001</v>
      </c>
      <c r="AB4" s="8">
        <v>391</v>
      </c>
      <c r="AC4" s="21" t="s">
        <v>447</v>
      </c>
      <c r="AD4" s="8" t="s">
        <v>4003</v>
      </c>
      <c r="AE4" s="8" t="s">
        <v>4238</v>
      </c>
      <c r="AF4" s="9">
        <f t="shared" si="0"/>
        <v>3624.8520000000003</v>
      </c>
      <c r="AG4" s="9">
        <f t="shared" si="1"/>
        <v>4001.46</v>
      </c>
      <c r="AH4" s="9">
        <f t="shared" si="2"/>
        <v>5.4853323638804232</v>
      </c>
      <c r="AI4" s="9">
        <f t="shared" si="3"/>
        <v>30.088871142233991</v>
      </c>
      <c r="AJ4" s="9">
        <f t="shared" si="4"/>
        <v>4.9485975354541187</v>
      </c>
      <c r="AK4" s="9">
        <f t="shared" si="5"/>
        <v>24.488617567902576</v>
      </c>
      <c r="AL4" s="9">
        <f t="shared" si="6"/>
        <v>5.7417758886489638</v>
      </c>
      <c r="AM4" s="9">
        <f t="shared" si="7"/>
        <v>32.967990355470597</v>
      </c>
      <c r="AN4" s="8" t="s">
        <v>447</v>
      </c>
    </row>
    <row r="5" spans="8:40" ht="23">
      <c r="M5" s="8" t="s">
        <v>1403</v>
      </c>
      <c r="N5" s="8" t="s">
        <v>150</v>
      </c>
      <c r="O5" s="8"/>
      <c r="P5" s="8" t="s">
        <v>3705</v>
      </c>
      <c r="Q5" s="8"/>
      <c r="R5" s="8"/>
      <c r="S5" s="8"/>
      <c r="T5" s="8"/>
      <c r="U5" s="8"/>
      <c r="V5" s="8"/>
      <c r="W5" s="8" t="s">
        <v>1403</v>
      </c>
      <c r="X5" s="8">
        <v>28.67</v>
      </c>
      <c r="Y5" s="8">
        <v>5.71</v>
      </c>
      <c r="Z5" s="9">
        <v>5.56</v>
      </c>
      <c r="AA5" s="8">
        <v>1098.7</v>
      </c>
      <c r="AB5" s="8">
        <v>471</v>
      </c>
      <c r="AC5" s="21" t="s">
        <v>1403</v>
      </c>
      <c r="AD5" s="8" t="s">
        <v>4003</v>
      </c>
      <c r="AE5" s="8" t="s">
        <v>4238</v>
      </c>
      <c r="AF5" s="9">
        <f t="shared" si="0"/>
        <v>6273.5770000000002</v>
      </c>
      <c r="AG5" s="9">
        <f t="shared" si="1"/>
        <v>6518.9533333333338</v>
      </c>
      <c r="AH5" s="9">
        <f t="shared" si="2"/>
        <v>5.1208553557612548</v>
      </c>
      <c r="AI5" s="9">
        <f t="shared" si="3"/>
        <v>26.223159574628728</v>
      </c>
      <c r="AJ5" s="9">
        <f t="shared" si="4"/>
        <v>8.5646000666183451</v>
      </c>
      <c r="AK5" s="9">
        <f t="shared" si="5"/>
        <v>73.352374301118957</v>
      </c>
      <c r="AL5" s="9">
        <f t="shared" si="6"/>
        <v>9.3541779921731383</v>
      </c>
      <c r="AM5" s="9">
        <f t="shared" si="7"/>
        <v>87.500645909256278</v>
      </c>
      <c r="AN5" s="8" t="s">
        <v>1403</v>
      </c>
    </row>
    <row r="6" spans="8:40" ht="23">
      <c r="M6" s="22" t="s">
        <v>5168</v>
      </c>
      <c r="N6" s="8" t="s">
        <v>150</v>
      </c>
      <c r="O6" s="8"/>
      <c r="P6" s="8" t="s">
        <v>3705</v>
      </c>
      <c r="Q6" s="8"/>
      <c r="R6" s="8"/>
      <c r="S6" s="8"/>
      <c r="T6" s="8"/>
      <c r="U6" s="8"/>
      <c r="V6" s="8"/>
      <c r="W6" s="22" t="s">
        <v>5168</v>
      </c>
      <c r="X6" s="8">
        <v>39.130000000000003</v>
      </c>
      <c r="Y6" s="8">
        <v>3.23</v>
      </c>
      <c r="Z6" s="9">
        <v>4.0999999999999996</v>
      </c>
      <c r="AA6" s="8">
        <v>724.9</v>
      </c>
      <c r="AB6" s="8">
        <v>1213</v>
      </c>
      <c r="AC6" s="22" t="s">
        <v>5168</v>
      </c>
      <c r="AD6" s="8" t="s">
        <v>4003</v>
      </c>
      <c r="AE6" s="8" t="s">
        <v>4238</v>
      </c>
      <c r="AF6" s="9">
        <f t="shared" si="0"/>
        <v>2341.4270000000001</v>
      </c>
      <c r="AG6" s="9">
        <f t="shared" si="1"/>
        <v>2900.8081666666667</v>
      </c>
      <c r="AH6" s="9">
        <f t="shared" si="2"/>
        <v>3.3786366136264077</v>
      </c>
      <c r="AI6" s="9">
        <f t="shared" si="3"/>
        <v>11.415185366936919</v>
      </c>
      <c r="AJ6" s="9">
        <f t="shared" si="4"/>
        <v>3.1964835755075605</v>
      </c>
      <c r="AK6" s="9">
        <f t="shared" si="5"/>
        <v>10.217507248489598</v>
      </c>
      <c r="AL6" s="9">
        <f t="shared" si="6"/>
        <v>4.1624283109071865</v>
      </c>
      <c r="AM6" s="9">
        <f t="shared" si="7"/>
        <v>17.325809443441653</v>
      </c>
      <c r="AN6" s="22" t="s">
        <v>5168</v>
      </c>
    </row>
    <row r="7" spans="8:40" ht="23">
      <c r="M7" s="9" t="s">
        <v>3654</v>
      </c>
      <c r="N7" s="8" t="s">
        <v>2107</v>
      </c>
      <c r="O7" s="8"/>
      <c r="P7" s="8" t="s">
        <v>3693</v>
      </c>
      <c r="Q7" s="8"/>
      <c r="R7" s="8"/>
      <c r="S7" s="8"/>
      <c r="T7" s="8"/>
      <c r="U7" s="8"/>
      <c r="V7" s="8"/>
      <c r="W7" s="9" t="s">
        <v>3654</v>
      </c>
      <c r="X7" s="8">
        <v>48.86</v>
      </c>
      <c r="Y7" s="8">
        <v>2.4500000000000002</v>
      </c>
      <c r="Z7" s="9">
        <v>3.15</v>
      </c>
      <c r="AA7" s="8">
        <v>567.4</v>
      </c>
      <c r="AB7" s="8">
        <v>832</v>
      </c>
      <c r="AC7" s="22" t="s">
        <v>3654</v>
      </c>
      <c r="AD7" s="8" t="s">
        <v>4003</v>
      </c>
      <c r="AE7" s="8" t="s">
        <v>4238</v>
      </c>
      <c r="AF7" s="9">
        <f t="shared" si="0"/>
        <v>1390.13</v>
      </c>
      <c r="AG7" s="9">
        <f t="shared" si="1"/>
        <v>1844.05</v>
      </c>
      <c r="AH7" s="9">
        <f t="shared" si="2"/>
        <v>2.6445556829516117</v>
      </c>
      <c r="AI7" s="9">
        <f t="shared" si="3"/>
        <v>6.9936747602316656</v>
      </c>
      <c r="AJ7" s="9">
        <f t="shared" si="4"/>
        <v>1.8977861418785744</v>
      </c>
      <c r="AK7" s="9">
        <f t="shared" si="5"/>
        <v>3.6015922403063647</v>
      </c>
      <c r="AL7" s="9">
        <f t="shared" si="6"/>
        <v>2.6460646432709862</v>
      </c>
      <c r="AM7" s="9">
        <f t="shared" si="7"/>
        <v>7.0016580963688115</v>
      </c>
      <c r="AN7" s="9" t="s">
        <v>3654</v>
      </c>
    </row>
    <row r="8" spans="8:40" ht="23">
      <c r="M8" s="9" t="s">
        <v>1343</v>
      </c>
      <c r="N8" s="8" t="s">
        <v>150</v>
      </c>
      <c r="O8" s="8"/>
      <c r="P8" s="8" t="s">
        <v>3691</v>
      </c>
      <c r="Q8" s="8"/>
      <c r="R8" s="8"/>
      <c r="S8" s="8"/>
      <c r="T8" s="8"/>
      <c r="U8" s="8"/>
      <c r="V8" s="8"/>
      <c r="W8" s="9" t="s">
        <v>1343</v>
      </c>
      <c r="X8" s="8">
        <v>59.16</v>
      </c>
      <c r="Y8" s="8">
        <v>1.7</v>
      </c>
      <c r="Z8" s="9">
        <v>1.32</v>
      </c>
      <c r="AA8" s="8">
        <v>565.70000000000005</v>
      </c>
      <c r="AB8" s="8">
        <v>1390</v>
      </c>
      <c r="AC8" s="22" t="s">
        <v>1343</v>
      </c>
      <c r="AD8" s="8" t="s">
        <v>3995</v>
      </c>
      <c r="AE8" s="8" t="s">
        <v>4238</v>
      </c>
      <c r="AF8" s="9">
        <f t="shared" si="0"/>
        <v>961.69</v>
      </c>
      <c r="AG8" s="9">
        <f t="shared" si="1"/>
        <v>867.40666666666664</v>
      </c>
      <c r="AH8" s="9">
        <f t="shared" si="2"/>
        <v>2.6366322697316305</v>
      </c>
      <c r="AI8" s="9">
        <f t="shared" si="3"/>
        <v>6.9518297257901693</v>
      </c>
      <c r="AJ8" s="9">
        <f t="shared" si="4"/>
        <v>1.3128858126816962</v>
      </c>
      <c r="AK8" s="9">
        <f t="shared" si="5"/>
        <v>1.723669157140878</v>
      </c>
      <c r="AL8" s="9">
        <f t="shared" si="6"/>
        <v>1.2446593704098092</v>
      </c>
      <c r="AM8" s="9">
        <f t="shared" si="7"/>
        <v>1.5491769483489426</v>
      </c>
      <c r="AN8" s="9" t="s">
        <v>1343</v>
      </c>
    </row>
    <row r="9" spans="8:40" ht="23">
      <c r="M9" s="8" t="s">
        <v>4499</v>
      </c>
      <c r="N9" s="8" t="s">
        <v>150</v>
      </c>
      <c r="O9" s="8"/>
      <c r="P9" s="8" t="s">
        <v>3691</v>
      </c>
      <c r="Q9" s="8"/>
      <c r="R9" s="8"/>
      <c r="S9" s="8"/>
      <c r="T9" s="8"/>
      <c r="U9" s="8"/>
      <c r="V9" s="8"/>
      <c r="W9" s="8" t="s">
        <v>4499</v>
      </c>
      <c r="X9" s="8">
        <v>15.43</v>
      </c>
      <c r="Y9" s="8">
        <v>5.05</v>
      </c>
      <c r="Z9" s="9">
        <v>2.36</v>
      </c>
      <c r="AA9" s="8">
        <v>523.20000000000005</v>
      </c>
      <c r="AB9" s="8">
        <v>1442</v>
      </c>
      <c r="AC9" s="21" t="s">
        <v>4499</v>
      </c>
      <c r="AD9" s="8" t="s">
        <v>4003</v>
      </c>
      <c r="AE9" s="8" t="s">
        <v>4238</v>
      </c>
      <c r="AF9" s="9">
        <f t="shared" si="0"/>
        <v>2642.1600000000003</v>
      </c>
      <c r="AG9" s="9">
        <f t="shared" si="1"/>
        <v>1360.3200000000002</v>
      </c>
      <c r="AH9" s="9">
        <f t="shared" si="2"/>
        <v>2.438546939232082</v>
      </c>
      <c r="AI9" s="9">
        <f t="shared" si="3"/>
        <v>5.9465111748381556</v>
      </c>
      <c r="AJ9" s="9">
        <f t="shared" si="4"/>
        <v>3.6070400844711608</v>
      </c>
      <c r="AK9" s="9">
        <f t="shared" si="5"/>
        <v>13.010738170981719</v>
      </c>
      <c r="AL9" s="9">
        <f t="shared" si="6"/>
        <v>1.9519506822127319</v>
      </c>
      <c r="AM9" s="9">
        <f t="shared" si="7"/>
        <v>3.8101114657907496</v>
      </c>
      <c r="AN9" s="8" t="s">
        <v>4499</v>
      </c>
    </row>
    <row r="10" spans="8:40" ht="23">
      <c r="M10" s="21" t="s">
        <v>5206</v>
      </c>
      <c r="N10" s="8" t="s">
        <v>150</v>
      </c>
      <c r="O10" s="8"/>
      <c r="P10" s="8" t="s">
        <v>3693</v>
      </c>
      <c r="Q10" s="8"/>
      <c r="R10" s="8"/>
      <c r="S10" s="8"/>
      <c r="T10" s="8"/>
      <c r="U10" s="8"/>
      <c r="V10" s="8"/>
      <c r="W10" s="21" t="s">
        <v>5206</v>
      </c>
      <c r="X10" s="8">
        <v>51.65</v>
      </c>
      <c r="Y10" s="8">
        <v>1.75</v>
      </c>
      <c r="Z10" s="9">
        <v>1.52</v>
      </c>
      <c r="AA10" s="8">
        <v>511.9</v>
      </c>
      <c r="AB10" s="8">
        <v>1362</v>
      </c>
      <c r="AC10" s="21" t="s">
        <v>5206</v>
      </c>
      <c r="AD10" s="8" t="s">
        <v>4003</v>
      </c>
      <c r="AE10" s="8" t="s">
        <v>4238</v>
      </c>
      <c r="AF10" s="9">
        <f t="shared" si="0"/>
        <v>895.82499999999993</v>
      </c>
      <c r="AG10" s="9">
        <f t="shared" si="1"/>
        <v>955.54666666666662</v>
      </c>
      <c r="AH10" s="9">
        <f t="shared" si="2"/>
        <v>2.3858795454757318</v>
      </c>
      <c r="AI10" s="9">
        <f t="shared" si="3"/>
        <v>5.6924212055194845</v>
      </c>
      <c r="AJ10" s="9">
        <f t="shared" si="4"/>
        <v>1.2229678307412788</v>
      </c>
      <c r="AK10" s="9">
        <f t="shared" si="5"/>
        <v>1.4956503150280291</v>
      </c>
      <c r="AL10" s="9">
        <f t="shared" si="6"/>
        <v>1.3711332391540976</v>
      </c>
      <c r="AM10" s="9">
        <f t="shared" si="7"/>
        <v>1.8800063595132077</v>
      </c>
      <c r="AN10" s="21" t="s">
        <v>5206</v>
      </c>
    </row>
    <row r="11" spans="8:40" ht="23">
      <c r="M11" s="9" t="s">
        <v>4380</v>
      </c>
      <c r="N11" s="8" t="s">
        <v>150</v>
      </c>
      <c r="O11" s="8"/>
      <c r="P11" s="8" t="s">
        <v>3693</v>
      </c>
      <c r="Q11" s="8"/>
      <c r="R11" s="8"/>
      <c r="S11" s="8"/>
      <c r="T11" s="8"/>
      <c r="U11" s="8"/>
      <c r="V11" s="8"/>
      <c r="W11" s="9" t="s">
        <v>4380</v>
      </c>
      <c r="X11" s="8">
        <v>37.35</v>
      </c>
      <c r="Y11" s="8">
        <v>3.01</v>
      </c>
      <c r="Z11" s="9">
        <v>3.45</v>
      </c>
      <c r="AA11" s="8">
        <v>496.5</v>
      </c>
      <c r="AB11" s="8">
        <v>925</v>
      </c>
      <c r="AC11" s="22" t="s">
        <v>4380</v>
      </c>
      <c r="AD11" s="8" t="s">
        <v>4003</v>
      </c>
      <c r="AE11" s="8" t="s">
        <v>4239</v>
      </c>
      <c r="AF11" s="9">
        <f t="shared" si="0"/>
        <v>1494.4649999999999</v>
      </c>
      <c r="AG11" s="9">
        <f t="shared" si="1"/>
        <v>1861.875</v>
      </c>
      <c r="AH11" s="9">
        <f t="shared" si="2"/>
        <v>2.3141027433653072</v>
      </c>
      <c r="AI11" s="9">
        <f t="shared" si="3"/>
        <v>5.355071506850841</v>
      </c>
      <c r="AJ11" s="9">
        <f t="shared" si="4"/>
        <v>2.04022283277288</v>
      </c>
      <c r="AK11" s="9">
        <f t="shared" si="5"/>
        <v>4.162509207367795</v>
      </c>
      <c r="AL11" s="9">
        <f t="shared" si="6"/>
        <v>2.6716420963044212</v>
      </c>
      <c r="AM11" s="9">
        <f t="shared" si="7"/>
        <v>7.1376714907458823</v>
      </c>
      <c r="AN11" s="9" t="s">
        <v>4380</v>
      </c>
    </row>
    <row r="12" spans="8:40" ht="23">
      <c r="M12" s="9" t="s">
        <v>2885</v>
      </c>
      <c r="N12" s="8" t="s">
        <v>1717</v>
      </c>
      <c r="O12" s="8"/>
      <c r="P12" s="8" t="s">
        <v>4073</v>
      </c>
      <c r="Q12" s="8"/>
      <c r="R12" s="8"/>
      <c r="S12" s="8"/>
      <c r="T12" s="8"/>
      <c r="U12" s="8"/>
      <c r="V12" s="8"/>
      <c r="W12" s="9" t="s">
        <v>2885</v>
      </c>
      <c r="X12" s="8">
        <v>38.14</v>
      </c>
      <c r="Y12" s="8">
        <v>2.2000000000000002</v>
      </c>
      <c r="Z12" s="9">
        <v>2.48</v>
      </c>
      <c r="AA12" s="8">
        <v>434</v>
      </c>
      <c r="AB12" s="8">
        <v>2298</v>
      </c>
      <c r="AC12" s="22" t="s">
        <v>2885</v>
      </c>
      <c r="AD12" s="8" t="s">
        <v>4003</v>
      </c>
      <c r="AE12" s="8" t="s">
        <v>4238</v>
      </c>
      <c r="AF12" s="9">
        <f t="shared" si="0"/>
        <v>954.80000000000007</v>
      </c>
      <c r="AG12" s="9">
        <f t="shared" si="1"/>
        <v>1215.1999999999998</v>
      </c>
      <c r="AH12" s="9">
        <f t="shared" si="2"/>
        <v>2.0228007867483253</v>
      </c>
      <c r="AI12" s="9">
        <f t="shared" si="3"/>
        <v>4.091723022869644</v>
      </c>
      <c r="AJ12" s="9">
        <f t="shared" si="4"/>
        <v>1.3034796805087747</v>
      </c>
      <c r="AK12" s="9">
        <f t="shared" si="5"/>
        <v>1.6990592774992574</v>
      </c>
      <c r="AL12" s="9">
        <f t="shared" si="6"/>
        <v>1.7437150589750288</v>
      </c>
      <c r="AM12" s="9">
        <f t="shared" si="7"/>
        <v>3.040542206896288</v>
      </c>
      <c r="AN12" s="9" t="s">
        <v>2885</v>
      </c>
    </row>
    <row r="13" spans="8:40" ht="23">
      <c r="M13" s="9" t="s">
        <v>1630</v>
      </c>
      <c r="N13" s="8" t="s">
        <v>1614</v>
      </c>
      <c r="O13" s="8"/>
      <c r="P13" s="8" t="s">
        <v>3693</v>
      </c>
      <c r="Q13" s="8"/>
      <c r="R13" s="8"/>
      <c r="S13" s="8"/>
      <c r="T13" s="8"/>
      <c r="U13" s="8"/>
      <c r="V13" s="8"/>
      <c r="W13" s="9" t="s">
        <v>1630</v>
      </c>
      <c r="X13" s="8">
        <v>18.72</v>
      </c>
      <c r="Y13" s="8">
        <v>3.35</v>
      </c>
      <c r="Z13" s="9">
        <v>2.2400000000000002</v>
      </c>
      <c r="AA13" s="8">
        <v>411.7</v>
      </c>
      <c r="AB13" s="8">
        <v>1901</v>
      </c>
      <c r="AC13" s="22" t="s">
        <v>1630</v>
      </c>
      <c r="AD13" s="8" t="s">
        <v>3995</v>
      </c>
      <c r="AE13" s="8" t="s">
        <v>4238</v>
      </c>
      <c r="AF13" s="9">
        <f t="shared" si="0"/>
        <v>1379.1949999999999</v>
      </c>
      <c r="AG13" s="9">
        <f t="shared" si="1"/>
        <v>988.07999999999993</v>
      </c>
      <c r="AH13" s="9">
        <f t="shared" si="2"/>
        <v>1.9188642486273857</v>
      </c>
      <c r="AI13" s="9">
        <f t="shared" si="3"/>
        <v>3.6820400046603416</v>
      </c>
      <c r="AJ13" s="9">
        <f t="shared" si="4"/>
        <v>1.8828578319640754</v>
      </c>
      <c r="AK13" s="9">
        <f t="shared" si="5"/>
        <v>3.5451536153884584</v>
      </c>
      <c r="AL13" s="9">
        <f t="shared" si="6"/>
        <v>1.4178159771823953</v>
      </c>
      <c r="AM13" s="9">
        <f t="shared" si="7"/>
        <v>2.0102021451536705</v>
      </c>
      <c r="AN13" s="9" t="s">
        <v>1630</v>
      </c>
    </row>
    <row r="14" spans="8:40" ht="23">
      <c r="M14" s="8" t="s">
        <v>993</v>
      </c>
      <c r="N14" s="8" t="s">
        <v>150</v>
      </c>
      <c r="O14" s="8"/>
      <c r="P14" s="8" t="s">
        <v>4672</v>
      </c>
      <c r="Q14" s="8"/>
      <c r="R14" s="8"/>
      <c r="S14" s="8"/>
      <c r="T14" s="8"/>
      <c r="U14" s="8"/>
      <c r="V14" s="8"/>
      <c r="W14" s="8" t="s">
        <v>993</v>
      </c>
      <c r="X14" s="8">
        <v>15.26</v>
      </c>
      <c r="Y14" s="8">
        <v>4.2300000000000004</v>
      </c>
      <c r="Z14" s="9">
        <v>4.41</v>
      </c>
      <c r="AA14" s="8">
        <v>400.1</v>
      </c>
      <c r="AB14" s="8">
        <v>729</v>
      </c>
      <c r="AC14" s="21" t="s">
        <v>993</v>
      </c>
      <c r="AD14" s="8" t="s">
        <v>4003</v>
      </c>
      <c r="AE14" s="8" t="s">
        <v>4238</v>
      </c>
      <c r="AF14" s="9">
        <f t="shared" si="0"/>
        <v>1692.4230000000002</v>
      </c>
      <c r="AG14" s="9">
        <f t="shared" si="1"/>
        <v>1873.801666666667</v>
      </c>
      <c r="AH14" s="9">
        <f t="shared" si="2"/>
        <v>1.8647986054792738</v>
      </c>
      <c r="AI14" s="9">
        <f t="shared" si="3"/>
        <v>3.4774738389974442</v>
      </c>
      <c r="AJ14" s="9">
        <f t="shared" si="4"/>
        <v>2.3104723411454775</v>
      </c>
      <c r="AK14" s="9">
        <f t="shared" si="5"/>
        <v>5.338282439198264</v>
      </c>
      <c r="AL14" s="9">
        <f t="shared" si="6"/>
        <v>2.6887559115365169</v>
      </c>
      <c r="AM14" s="9">
        <f t="shared" si="7"/>
        <v>7.229408351822566</v>
      </c>
      <c r="AN14" s="8" t="s">
        <v>993</v>
      </c>
    </row>
    <row r="15" spans="8:40" ht="23">
      <c r="M15" s="8" t="s">
        <v>1329</v>
      </c>
      <c r="N15" s="8" t="s">
        <v>150</v>
      </c>
      <c r="O15" s="8"/>
      <c r="P15" s="8" t="s">
        <v>3693</v>
      </c>
      <c r="Q15" s="8"/>
      <c r="R15" s="8"/>
      <c r="S15" s="8"/>
      <c r="T15" s="8"/>
      <c r="U15" s="8"/>
      <c r="V15" s="8"/>
      <c r="W15" s="8" t="s">
        <v>1329</v>
      </c>
      <c r="X15" s="8">
        <v>15.69</v>
      </c>
      <c r="Y15" s="8">
        <v>3.33</v>
      </c>
      <c r="Z15" s="9">
        <v>2.1800000000000002</v>
      </c>
      <c r="AA15" s="8">
        <v>380.3</v>
      </c>
      <c r="AB15" s="8">
        <v>2028</v>
      </c>
      <c r="AC15" s="21" t="s">
        <v>1329</v>
      </c>
      <c r="AD15" s="8" t="s">
        <v>4003</v>
      </c>
      <c r="AE15" s="8" t="s">
        <v>4238</v>
      </c>
      <c r="AF15" s="9">
        <f t="shared" si="0"/>
        <v>1266.3990000000001</v>
      </c>
      <c r="AG15" s="9">
        <f t="shared" si="1"/>
        <v>874.68999999999994</v>
      </c>
      <c r="AH15" s="9">
        <f t="shared" si="2"/>
        <v>1.7725141456230138</v>
      </c>
      <c r="AI15" s="9">
        <f t="shared" si="3"/>
        <v>3.1418063964336826</v>
      </c>
      <c r="AJ15" s="9">
        <f t="shared" si="4"/>
        <v>1.728870301546535</v>
      </c>
      <c r="AK15" s="9">
        <f t="shared" si="5"/>
        <v>2.988992519569607</v>
      </c>
      <c r="AL15" s="9">
        <f t="shared" si="6"/>
        <v>1.2551103727245458</v>
      </c>
      <c r="AM15" s="9">
        <f t="shared" si="7"/>
        <v>1.5753020477207484</v>
      </c>
      <c r="AN15" s="8" t="s">
        <v>1329</v>
      </c>
    </row>
    <row r="16" spans="8:40" ht="23">
      <c r="M16" s="8" t="s">
        <v>2117</v>
      </c>
      <c r="N16" s="8" t="s">
        <v>2107</v>
      </c>
      <c r="O16" s="8"/>
      <c r="P16" s="8" t="s">
        <v>3693</v>
      </c>
      <c r="Q16" s="8"/>
      <c r="R16" s="8"/>
      <c r="S16" s="8"/>
      <c r="T16" s="8"/>
      <c r="U16" s="8"/>
      <c r="V16" s="8"/>
      <c r="W16" s="8" t="s">
        <v>2117</v>
      </c>
      <c r="X16" s="8">
        <v>29.06</v>
      </c>
      <c r="Y16" s="8">
        <v>2.21</v>
      </c>
      <c r="Z16" s="9">
        <v>1.26</v>
      </c>
      <c r="AA16" s="8">
        <v>305.3</v>
      </c>
      <c r="AB16" s="8">
        <v>1915</v>
      </c>
      <c r="AC16" s="21" t="s">
        <v>2117</v>
      </c>
      <c r="AD16" s="8" t="s">
        <v>4003</v>
      </c>
      <c r="AE16" s="8" t="s">
        <v>4239</v>
      </c>
      <c r="AF16" s="9">
        <f t="shared" si="0"/>
        <v>674.71299999999997</v>
      </c>
      <c r="AG16" s="9">
        <f t="shared" si="1"/>
        <v>437.59666666666669</v>
      </c>
      <c r="AH16" s="9">
        <f t="shared" si="2"/>
        <v>1.4229517976826351</v>
      </c>
      <c r="AI16" s="9">
        <f t="shared" si="3"/>
        <v>2.024791818528243</v>
      </c>
      <c r="AJ16" s="9">
        <f t="shared" si="4"/>
        <v>0.92110880359773439</v>
      </c>
      <c r="AK16" s="9">
        <f t="shared" si="5"/>
        <v>0.84844142806524958</v>
      </c>
      <c r="AL16" s="9">
        <f t="shared" si="6"/>
        <v>0.62791630795255349</v>
      </c>
      <c r="AM16" s="9">
        <f t="shared" si="7"/>
        <v>0.39427888979276599</v>
      </c>
      <c r="AN16" s="8" t="s">
        <v>2117</v>
      </c>
    </row>
    <row r="17" spans="13:40" ht="23">
      <c r="M17" s="22" t="s">
        <v>5174</v>
      </c>
      <c r="N17" s="8" t="s">
        <v>1862</v>
      </c>
      <c r="O17" s="8"/>
      <c r="P17" s="8" t="s">
        <v>3705</v>
      </c>
      <c r="Q17" s="8"/>
      <c r="R17" s="8"/>
      <c r="S17" s="8"/>
      <c r="T17" s="8"/>
      <c r="U17" s="8"/>
      <c r="V17" s="8"/>
      <c r="W17" s="22" t="s">
        <v>5174</v>
      </c>
      <c r="X17" s="8">
        <v>26.53</v>
      </c>
      <c r="Y17" s="8">
        <v>3.46</v>
      </c>
      <c r="Z17" s="9">
        <v>2.29</v>
      </c>
      <c r="AA17" s="8">
        <v>285</v>
      </c>
      <c r="AB17" s="8">
        <v>2895</v>
      </c>
      <c r="AC17" s="22" t="s">
        <v>5174</v>
      </c>
      <c r="AD17" s="8" t="s">
        <v>4003</v>
      </c>
      <c r="AE17" s="8" t="s">
        <v>4238</v>
      </c>
      <c r="AF17" s="9">
        <f t="shared" si="0"/>
        <v>986.1</v>
      </c>
      <c r="AG17" s="9">
        <f t="shared" si="1"/>
        <v>707.75</v>
      </c>
      <c r="AH17" s="9">
        <f t="shared" si="2"/>
        <v>1.3283369221734393</v>
      </c>
      <c r="AI17" s="9">
        <f t="shared" si="3"/>
        <v>1.7644789788092059</v>
      </c>
      <c r="AJ17" s="9">
        <f t="shared" si="4"/>
        <v>1.3462100051840205</v>
      </c>
      <c r="AK17" s="9">
        <f t="shared" si="5"/>
        <v>1.8122813780575604</v>
      </c>
      <c r="AL17" s="9">
        <f t="shared" si="6"/>
        <v>1.0155647901494214</v>
      </c>
      <c r="AM17" s="9">
        <f t="shared" si="7"/>
        <v>1.0313718429912382</v>
      </c>
      <c r="AN17" s="22" t="s">
        <v>5174</v>
      </c>
    </row>
    <row r="18" spans="13:40" ht="23">
      <c r="M18" s="8" t="s">
        <v>1696</v>
      </c>
      <c r="N18" s="8" t="s">
        <v>1614</v>
      </c>
      <c r="O18" s="8"/>
      <c r="P18" s="8" t="s">
        <v>3693</v>
      </c>
      <c r="Q18" s="8"/>
      <c r="R18" s="8"/>
      <c r="S18" s="8"/>
      <c r="T18" s="8"/>
      <c r="U18" s="8"/>
      <c r="V18" s="8"/>
      <c r="W18" s="8" t="s">
        <v>1696</v>
      </c>
      <c r="X18" s="8">
        <v>24.42</v>
      </c>
      <c r="Y18" s="8">
        <v>3.3</v>
      </c>
      <c r="Z18" s="9">
        <v>1.59</v>
      </c>
      <c r="AA18" s="8">
        <v>262</v>
      </c>
      <c r="AB18" s="8">
        <v>1558</v>
      </c>
      <c r="AC18" s="21" t="s">
        <v>1696</v>
      </c>
      <c r="AD18" s="8" t="s">
        <v>4003</v>
      </c>
      <c r="AE18" s="8" t="s">
        <v>4238</v>
      </c>
      <c r="AF18" s="9">
        <f t="shared" si="0"/>
        <v>864.59999999999991</v>
      </c>
      <c r="AG18" s="9">
        <f t="shared" si="1"/>
        <v>519.63333333333333</v>
      </c>
      <c r="AH18" s="9">
        <f t="shared" si="2"/>
        <v>1.2211378021383896</v>
      </c>
      <c r="AI18" s="9">
        <f t="shared" si="3"/>
        <v>1.4911775318113769</v>
      </c>
      <c r="AJ18" s="9">
        <f t="shared" si="4"/>
        <v>1.1803398950229225</v>
      </c>
      <c r="AK18" s="9">
        <f t="shared" si="5"/>
        <v>1.3932022677827236</v>
      </c>
      <c r="AL18" s="9">
        <f t="shared" si="6"/>
        <v>0.74563238024911482</v>
      </c>
      <c r="AM18" s="9">
        <f t="shared" si="7"/>
        <v>0.55596764647596053</v>
      </c>
      <c r="AN18" s="8" t="s">
        <v>1696</v>
      </c>
    </row>
    <row r="19" spans="13:40" ht="23">
      <c r="M19" s="8" t="s">
        <v>1066</v>
      </c>
      <c r="N19" s="8" t="s">
        <v>150</v>
      </c>
      <c r="O19" s="8"/>
      <c r="P19" s="8" t="s">
        <v>4013</v>
      </c>
      <c r="Q19" s="8"/>
      <c r="R19" s="8"/>
      <c r="S19" s="8"/>
      <c r="T19" s="8"/>
      <c r="U19" s="8"/>
      <c r="V19" s="8"/>
      <c r="W19" s="8" t="s">
        <v>1066</v>
      </c>
      <c r="X19" s="8">
        <v>39.51</v>
      </c>
      <c r="Y19" s="8">
        <v>1.91</v>
      </c>
      <c r="Z19" s="9">
        <v>1.1100000000000001</v>
      </c>
      <c r="AA19" s="8">
        <v>256.5</v>
      </c>
      <c r="AB19" s="8">
        <v>3416</v>
      </c>
      <c r="AC19" s="21" t="s">
        <v>1066</v>
      </c>
      <c r="AD19" s="8" t="s">
        <v>4003</v>
      </c>
      <c r="AE19" s="8" t="s">
        <v>4238</v>
      </c>
      <c r="AF19" s="9">
        <f t="shared" si="0"/>
        <v>489.91499999999996</v>
      </c>
      <c r="AG19" s="9">
        <f t="shared" si="1"/>
        <v>303.52499999999998</v>
      </c>
      <c r="AH19" s="9">
        <f t="shared" si="2"/>
        <v>1.1955032299560953</v>
      </c>
      <c r="AI19" s="9">
        <f t="shared" si="3"/>
        <v>1.4292279728354564</v>
      </c>
      <c r="AJ19" s="9">
        <f t="shared" si="4"/>
        <v>0.66882514419402628</v>
      </c>
      <c r="AK19" s="9">
        <f t="shared" si="5"/>
        <v>0.44732707350616002</v>
      </c>
      <c r="AL19" s="9">
        <f t="shared" si="6"/>
        <v>0.43553416168153042</v>
      </c>
      <c r="AM19" s="9">
        <f t="shared" si="7"/>
        <v>0.18969000599163349</v>
      </c>
      <c r="AN19" s="8" t="s">
        <v>1066</v>
      </c>
    </row>
    <row r="20" spans="13:40" ht="23">
      <c r="M20" s="9" t="s">
        <v>2259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9" t="s">
        <v>2259</v>
      </c>
      <c r="X20" s="8">
        <v>42.65</v>
      </c>
      <c r="Y20" s="8">
        <v>1.56</v>
      </c>
      <c r="Z20" s="9">
        <v>1.45</v>
      </c>
      <c r="AA20" s="8">
        <v>254.1</v>
      </c>
      <c r="AB20" s="8">
        <v>5336</v>
      </c>
      <c r="AC20" s="22" t="s">
        <v>2259</v>
      </c>
      <c r="AD20" s="8" t="s">
        <v>4003</v>
      </c>
      <c r="AE20" s="8" t="s">
        <v>4238</v>
      </c>
      <c r="AF20" s="9">
        <f t="shared" si="0"/>
        <v>396.39600000000002</v>
      </c>
      <c r="AG20" s="9">
        <f t="shared" si="1"/>
        <v>444.67500000000001</v>
      </c>
      <c r="AH20" s="9">
        <f t="shared" si="2"/>
        <v>1.1843172348220032</v>
      </c>
      <c r="AI20" s="9">
        <f t="shared" si="3"/>
        <v>1.402607312696436</v>
      </c>
      <c r="AJ20" s="9">
        <f t="shared" si="4"/>
        <v>0.54115430606928805</v>
      </c>
      <c r="AK20" s="9">
        <f t="shared" si="5"/>
        <v>0.29284798297733267</v>
      </c>
      <c r="AL20" s="9">
        <f t="shared" si="6"/>
        <v>0.63807315162090283</v>
      </c>
      <c r="AM20" s="9">
        <f t="shared" si="7"/>
        <v>0.40713734681943164</v>
      </c>
      <c r="AN20" s="9" t="s">
        <v>2259</v>
      </c>
    </row>
    <row r="21" spans="13:40" ht="23">
      <c r="M21" s="9" t="s">
        <v>5312</v>
      </c>
      <c r="N21" s="8" t="s">
        <v>150</v>
      </c>
      <c r="O21" s="8"/>
      <c r="P21" s="8" t="s">
        <v>4013</v>
      </c>
      <c r="Q21" s="8"/>
      <c r="R21" s="8"/>
      <c r="S21" s="8"/>
      <c r="T21" s="8"/>
      <c r="U21" s="8"/>
      <c r="V21" s="8"/>
      <c r="W21" s="9" t="s">
        <v>5312</v>
      </c>
      <c r="X21" s="8">
        <v>7.2</v>
      </c>
      <c r="Y21" s="8">
        <v>9.89</v>
      </c>
      <c r="Z21" s="9">
        <v>3.29</v>
      </c>
      <c r="AA21" s="8">
        <v>252.3</v>
      </c>
      <c r="AB21" s="8">
        <v>7345</v>
      </c>
      <c r="AC21" s="22" t="s">
        <v>5312</v>
      </c>
      <c r="AD21" s="8" t="s">
        <v>4003</v>
      </c>
      <c r="AE21" s="8" t="s">
        <v>4238</v>
      </c>
      <c r="AF21" s="9">
        <f t="shared" si="0"/>
        <v>2495.2470000000003</v>
      </c>
      <c r="AG21" s="9">
        <f t="shared" si="1"/>
        <v>878.84500000000003</v>
      </c>
      <c r="AH21" s="9">
        <f t="shared" si="2"/>
        <v>1.1759277384714339</v>
      </c>
      <c r="AI21" s="9">
        <f t="shared" si="3"/>
        <v>1.3828060461065412</v>
      </c>
      <c r="AJ21" s="9">
        <f t="shared" si="4"/>
        <v>3.4064765001576021</v>
      </c>
      <c r="AK21" s="9">
        <f t="shared" si="5"/>
        <v>11.604082146125986</v>
      </c>
      <c r="AL21" s="9">
        <f t="shared" si="6"/>
        <v>1.2610724662647379</v>
      </c>
      <c r="AM21" s="9">
        <f t="shared" si="7"/>
        <v>1.5903037651710286</v>
      </c>
      <c r="AN21" s="9" t="s">
        <v>5312</v>
      </c>
    </row>
    <row r="22" spans="13:40" ht="23">
      <c r="M22" s="9" t="s">
        <v>2602</v>
      </c>
      <c r="N22" s="8" t="s">
        <v>150</v>
      </c>
      <c r="O22" s="8"/>
      <c r="P22" s="8" t="s">
        <v>3693</v>
      </c>
      <c r="Q22" s="8"/>
      <c r="R22" s="8"/>
      <c r="S22" s="8"/>
      <c r="T22" s="8"/>
      <c r="U22" s="8"/>
      <c r="V22" s="8"/>
      <c r="W22" s="9" t="s">
        <v>2602</v>
      </c>
      <c r="X22" s="8">
        <v>27.64</v>
      </c>
      <c r="Y22" s="8">
        <v>1.73</v>
      </c>
      <c r="Z22" s="9">
        <v>1.53</v>
      </c>
      <c r="AA22" s="8">
        <v>235.5</v>
      </c>
      <c r="AB22" s="8">
        <v>5266</v>
      </c>
      <c r="AC22" s="22" t="s">
        <v>2602</v>
      </c>
      <c r="AD22" s="8" t="s">
        <v>4003</v>
      </c>
      <c r="AE22" s="8" t="s">
        <v>4238</v>
      </c>
      <c r="AF22" s="9">
        <f t="shared" si="0"/>
        <v>407.41500000000002</v>
      </c>
      <c r="AG22" s="9">
        <f t="shared" si="1"/>
        <v>443.52499999999998</v>
      </c>
      <c r="AH22" s="9">
        <f t="shared" si="2"/>
        <v>1.0976257725327894</v>
      </c>
      <c r="AI22" s="9">
        <f t="shared" si="3"/>
        <v>1.2047823365282027</v>
      </c>
      <c r="AJ22" s="9">
        <f t="shared" si="4"/>
        <v>0.55619729161550324</v>
      </c>
      <c r="AK22" s="9">
        <f t="shared" si="5"/>
        <v>0.30935542720042114</v>
      </c>
      <c r="AL22" s="9">
        <f t="shared" si="6"/>
        <v>0.6364229933606812</v>
      </c>
      <c r="AM22" s="9">
        <f t="shared" si="7"/>
        <v>0.40503422647816967</v>
      </c>
      <c r="AN22" s="9" t="s">
        <v>2602</v>
      </c>
    </row>
    <row r="23" spans="13:40" ht="23">
      <c r="M23" s="8" t="s">
        <v>5170</v>
      </c>
      <c r="N23" s="8" t="s">
        <v>150</v>
      </c>
      <c r="O23" s="8"/>
      <c r="P23" s="8" t="s">
        <v>4673</v>
      </c>
      <c r="Q23" s="8"/>
      <c r="R23" s="8"/>
      <c r="S23" s="8"/>
      <c r="T23" s="8"/>
      <c r="U23" s="8"/>
      <c r="V23" s="8"/>
      <c r="W23" s="8" t="s">
        <v>5170</v>
      </c>
      <c r="X23" s="8">
        <v>27.25</v>
      </c>
      <c r="Y23" s="8">
        <v>2.52</v>
      </c>
      <c r="Z23" s="9">
        <v>1.1000000000000001</v>
      </c>
      <c r="AA23" s="8">
        <v>217</v>
      </c>
      <c r="AB23" s="8">
        <v>2890</v>
      </c>
      <c r="AC23" s="21" t="s">
        <v>5170</v>
      </c>
      <c r="AD23" s="8" t="s">
        <v>4003</v>
      </c>
      <c r="AE23" s="8" t="s">
        <v>4238</v>
      </c>
      <c r="AF23" s="9">
        <f t="shared" si="0"/>
        <v>546.84</v>
      </c>
      <c r="AG23" s="9">
        <f t="shared" si="1"/>
        <v>217.36166666666668</v>
      </c>
      <c r="AH23" s="9">
        <f t="shared" si="2"/>
        <v>1.0114003933741627</v>
      </c>
      <c r="AI23" s="9">
        <f t="shared" si="3"/>
        <v>1.022930755717411</v>
      </c>
      <c r="AJ23" s="9">
        <f t="shared" si="4"/>
        <v>0.74653836247320737</v>
      </c>
      <c r="AK23" s="9">
        <f t="shared" si="5"/>
        <v>0.55731952664417794</v>
      </c>
      <c r="AL23" s="9">
        <f t="shared" si="6"/>
        <v>0.31189665191785493</v>
      </c>
      <c r="AM23" s="9">
        <f t="shared" si="7"/>
        <v>9.7279521477567563E-2</v>
      </c>
      <c r="AN23" s="8" t="s">
        <v>5170</v>
      </c>
    </row>
    <row r="24" spans="13:40" ht="23">
      <c r="M24" s="8" t="s">
        <v>1201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1201</v>
      </c>
      <c r="X24" s="8">
        <v>13.83</v>
      </c>
      <c r="Y24" s="8">
        <v>9.07</v>
      </c>
      <c r="Z24" s="9">
        <v>3.07</v>
      </c>
      <c r="AA24" s="8">
        <v>212.9</v>
      </c>
      <c r="AB24" s="8">
        <v>7910</v>
      </c>
      <c r="AC24" s="21" t="s">
        <v>1201</v>
      </c>
      <c r="AD24" s="8" t="s">
        <v>4003</v>
      </c>
      <c r="AE24" s="8" t="s">
        <v>4238</v>
      </c>
      <c r="AF24" s="9">
        <f t="shared" si="0"/>
        <v>1931.0030000000002</v>
      </c>
      <c r="AG24" s="9">
        <f t="shared" si="1"/>
        <v>663.53833333333341</v>
      </c>
      <c r="AH24" s="9">
        <f t="shared" si="2"/>
        <v>0.99229098502008839</v>
      </c>
      <c r="AI24" s="9">
        <f t="shared" si="3"/>
        <v>0.98464139895213731</v>
      </c>
      <c r="AJ24" s="9">
        <f t="shared" si="4"/>
        <v>2.6361784389416481</v>
      </c>
      <c r="AK24" s="9">
        <f t="shared" si="5"/>
        <v>6.9494367619408246</v>
      </c>
      <c r="AL24" s="9">
        <f t="shared" si="6"/>
        <v>0.95212457541188777</v>
      </c>
      <c r="AM24" s="9">
        <f t="shared" si="7"/>
        <v>0.90654120710326758</v>
      </c>
      <c r="AN24" s="8" t="s">
        <v>1201</v>
      </c>
    </row>
    <row r="25" spans="13:40" ht="23">
      <c r="M25" s="9" t="s">
        <v>2374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9" t="s">
        <v>2374</v>
      </c>
      <c r="X25" s="8">
        <v>39.54</v>
      </c>
      <c r="Y25" s="8">
        <v>2.4300000000000002</v>
      </c>
      <c r="Z25" s="9">
        <v>0.56000000000000005</v>
      </c>
      <c r="AA25" s="8">
        <v>206</v>
      </c>
      <c r="AB25" s="8">
        <v>4560</v>
      </c>
      <c r="AC25" s="22" t="s">
        <v>2374</v>
      </c>
      <c r="AD25" s="8" t="s">
        <v>4003</v>
      </c>
      <c r="AE25" s="8" t="s">
        <v>4238</v>
      </c>
      <c r="AF25" s="9">
        <f t="shared" si="0"/>
        <v>500.58000000000004</v>
      </c>
      <c r="AG25" s="9">
        <f t="shared" si="1"/>
        <v>192.26666666666668</v>
      </c>
      <c r="AH25" s="9">
        <f t="shared" si="2"/>
        <v>0.96013124900957358</v>
      </c>
      <c r="AI25" s="9">
        <f t="shared" si="3"/>
        <v>0.92185201532468375</v>
      </c>
      <c r="AJ25" s="9">
        <f t="shared" si="4"/>
        <v>0.68338485386372272</v>
      </c>
      <c r="AK25" s="9">
        <f t="shared" si="5"/>
        <v>0.46701485849034163</v>
      </c>
      <c r="AL25" s="9">
        <f t="shared" si="6"/>
        <v>0.27588732883936717</v>
      </c>
      <c r="AM25" s="9">
        <f t="shared" si="7"/>
        <v>7.6113818214121123E-2</v>
      </c>
      <c r="AN25" s="9" t="s">
        <v>2374</v>
      </c>
    </row>
    <row r="26" spans="13:40" ht="23">
      <c r="M26" s="22" t="s">
        <v>5166</v>
      </c>
      <c r="N26" s="8" t="s">
        <v>1814</v>
      </c>
      <c r="O26" s="8"/>
      <c r="P26" s="8" t="s">
        <v>3715</v>
      </c>
      <c r="Q26" s="8"/>
      <c r="R26" s="8"/>
      <c r="S26" s="8"/>
      <c r="T26" s="8"/>
      <c r="U26" s="8"/>
      <c r="V26" s="8"/>
      <c r="W26" s="22" t="s">
        <v>5166</v>
      </c>
      <c r="X26" s="8">
        <v>9.7100000000000009</v>
      </c>
      <c r="Y26" s="8">
        <v>4.59</v>
      </c>
      <c r="Z26" s="9">
        <v>3.18</v>
      </c>
      <c r="AA26" s="8">
        <v>193.1</v>
      </c>
      <c r="AB26" s="8">
        <v>3476</v>
      </c>
      <c r="AC26" s="22" t="s">
        <v>5166</v>
      </c>
      <c r="AD26" s="8" t="s">
        <v>4003</v>
      </c>
      <c r="AE26" s="8" t="s">
        <v>4239</v>
      </c>
      <c r="AF26" s="9">
        <f t="shared" si="0"/>
        <v>886.32899999999995</v>
      </c>
      <c r="AG26" s="9">
        <f t="shared" si="1"/>
        <v>637.2299999999999</v>
      </c>
      <c r="AH26" s="9">
        <f t="shared" si="2"/>
        <v>0.90000652516382851</v>
      </c>
      <c r="AI26" s="9">
        <f t="shared" si="3"/>
        <v>0.81001174533746911</v>
      </c>
      <c r="AJ26" s="9">
        <f t="shared" si="4"/>
        <v>1.2100040236129677</v>
      </c>
      <c r="AK26" s="9">
        <f t="shared" si="5"/>
        <v>1.4641097371595713</v>
      </c>
      <c r="AL26" s="9">
        <f t="shared" si="6"/>
        <v>0.91437421579218059</v>
      </c>
      <c r="AM26" s="9">
        <f t="shared" si="7"/>
        <v>0.83608020650556525</v>
      </c>
      <c r="AN26" s="22" t="s">
        <v>5166</v>
      </c>
    </row>
    <row r="27" spans="13:40" ht="23">
      <c r="M27" s="22" t="s">
        <v>5169</v>
      </c>
      <c r="N27" s="8" t="s">
        <v>150</v>
      </c>
      <c r="O27" s="8"/>
      <c r="P27" s="8" t="s">
        <v>4722</v>
      </c>
      <c r="Q27" s="8"/>
      <c r="R27" s="8"/>
      <c r="S27" s="8"/>
      <c r="T27" s="8"/>
      <c r="U27" s="8"/>
      <c r="V27" s="8"/>
      <c r="W27" s="22" t="s">
        <v>5169</v>
      </c>
      <c r="X27" s="8">
        <v>14.16</v>
      </c>
      <c r="Y27" s="8">
        <v>4.8499999999999996</v>
      </c>
      <c r="Z27" s="9">
        <v>3.12</v>
      </c>
      <c r="AA27" s="8">
        <v>178.9</v>
      </c>
      <c r="AB27" s="8">
        <v>2140</v>
      </c>
      <c r="AC27" s="22" t="s">
        <v>5169</v>
      </c>
      <c r="AD27" s="8" t="s">
        <v>4003</v>
      </c>
      <c r="AE27" s="8" t="s">
        <v>4238</v>
      </c>
      <c r="AF27" s="9">
        <f t="shared" si="0"/>
        <v>867.66499999999996</v>
      </c>
      <c r="AG27" s="9">
        <f t="shared" si="1"/>
        <v>572.48</v>
      </c>
      <c r="AH27" s="9">
        <f t="shared" si="2"/>
        <v>0.83382272062045015</v>
      </c>
      <c r="AI27" s="9">
        <f t="shared" si="3"/>
        <v>0.69526032942288929</v>
      </c>
      <c r="AJ27" s="9">
        <f t="shared" si="4"/>
        <v>1.1845241903944763</v>
      </c>
      <c r="AK27" s="9">
        <f t="shared" si="5"/>
        <v>1.4030975576296896</v>
      </c>
      <c r="AL27" s="9">
        <f t="shared" si="6"/>
        <v>0.82146313114057345</v>
      </c>
      <c r="AM27" s="9">
        <f t="shared" si="7"/>
        <v>0.67480167582327499</v>
      </c>
      <c r="AN27" s="22" t="s">
        <v>5169</v>
      </c>
    </row>
    <row r="28" spans="13:40" ht="23">
      <c r="M28" s="9" t="s">
        <v>2891</v>
      </c>
      <c r="N28" s="8" t="s">
        <v>1717</v>
      </c>
      <c r="O28" s="8"/>
      <c r="P28" s="8"/>
      <c r="Q28" s="8"/>
      <c r="R28" s="8"/>
      <c r="S28" s="8"/>
      <c r="T28" s="8"/>
      <c r="U28" s="8"/>
      <c r="V28" s="8"/>
      <c r="W28" s="9" t="s">
        <v>2891</v>
      </c>
      <c r="X28" s="8">
        <v>19.920000000000002</v>
      </c>
      <c r="Y28" s="8">
        <v>2.02</v>
      </c>
      <c r="Z28" s="9">
        <v>0.32</v>
      </c>
      <c r="AA28" s="8">
        <v>174.2</v>
      </c>
      <c r="AB28" s="8">
        <v>7094</v>
      </c>
      <c r="AC28" s="22" t="s">
        <v>2891</v>
      </c>
      <c r="AD28" s="8" t="s">
        <v>4003</v>
      </c>
      <c r="AE28" s="8" t="s">
        <v>4238</v>
      </c>
      <c r="AF28" s="9">
        <f t="shared" si="0"/>
        <v>351.88399999999996</v>
      </c>
      <c r="AG28" s="9">
        <f t="shared" si="1"/>
        <v>92.906666666666666</v>
      </c>
      <c r="AH28" s="9">
        <f t="shared" si="2"/>
        <v>0.81191681348285294</v>
      </c>
      <c r="AI28" s="9">
        <f t="shared" si="3"/>
        <v>0.65920891201614984</v>
      </c>
      <c r="AJ28" s="9">
        <f t="shared" si="4"/>
        <v>0.48038714274837624</v>
      </c>
      <c r="AK28" s="9">
        <f t="shared" si="5"/>
        <v>0.2307718069179488</v>
      </c>
      <c r="AL28" s="9">
        <f t="shared" si="6"/>
        <v>0.13331365515622123</v>
      </c>
      <c r="AM28" s="9">
        <f t="shared" si="7"/>
        <v>1.7772530651111871E-2</v>
      </c>
      <c r="AN28" s="9" t="s">
        <v>2891</v>
      </c>
    </row>
    <row r="29" spans="13:40" ht="23">
      <c r="M29" s="9" t="s">
        <v>3661</v>
      </c>
      <c r="N29" s="8" t="s">
        <v>2107</v>
      </c>
      <c r="O29" s="8"/>
      <c r="P29" s="8" t="s">
        <v>3715</v>
      </c>
      <c r="Q29" s="8"/>
      <c r="R29" s="8"/>
      <c r="S29" s="8"/>
      <c r="T29" s="8"/>
      <c r="U29" s="8"/>
      <c r="V29" s="8"/>
      <c r="W29" s="9" t="s">
        <v>3661</v>
      </c>
      <c r="X29" s="8">
        <v>25.75</v>
      </c>
      <c r="Y29" s="8">
        <v>2.58</v>
      </c>
      <c r="Z29" s="9">
        <v>1.37</v>
      </c>
      <c r="AA29" s="8">
        <v>171.5</v>
      </c>
      <c r="AB29" s="8">
        <v>2584</v>
      </c>
      <c r="AC29" s="22" t="s">
        <v>3661</v>
      </c>
      <c r="AD29" s="8" t="s">
        <v>4003</v>
      </c>
      <c r="AE29" s="8" t="s">
        <v>4238</v>
      </c>
      <c r="AF29" s="9">
        <f t="shared" si="0"/>
        <v>442.47</v>
      </c>
      <c r="AG29" s="9">
        <f t="shared" si="1"/>
        <v>277.25833333333333</v>
      </c>
      <c r="AH29" s="9">
        <f t="shared" si="2"/>
        <v>0.79933256895699945</v>
      </c>
      <c r="AI29" s="9">
        <f t="shared" si="3"/>
        <v>0.63893255579539632</v>
      </c>
      <c r="AJ29" s="9">
        <f t="shared" si="4"/>
        <v>0.60405389006568655</v>
      </c>
      <c r="AK29" s="9">
        <f t="shared" si="5"/>
        <v>0.36488110210348851</v>
      </c>
      <c r="AL29" s="9">
        <f t="shared" si="6"/>
        <v>0.39784359040458495</v>
      </c>
      <c r="AM29" s="9">
        <f t="shared" si="7"/>
        <v>0.15827952242601115</v>
      </c>
      <c r="AN29" s="9" t="s">
        <v>3661</v>
      </c>
    </row>
    <row r="30" spans="13:40" ht="23">
      <c r="M30" s="8" t="s">
        <v>1447</v>
      </c>
      <c r="N30" s="8" t="s">
        <v>150</v>
      </c>
      <c r="O30" s="8"/>
      <c r="P30" s="8" t="s">
        <v>3704</v>
      </c>
      <c r="Q30" s="8"/>
      <c r="R30" s="8"/>
      <c r="S30" s="8"/>
      <c r="T30" s="8"/>
      <c r="U30" s="8"/>
      <c r="V30" s="8"/>
      <c r="W30" s="8" t="s">
        <v>1447</v>
      </c>
      <c r="X30" s="8">
        <v>33.049999999999997</v>
      </c>
      <c r="Y30" s="8">
        <v>1.03</v>
      </c>
      <c r="Z30" s="9">
        <v>0.04</v>
      </c>
      <c r="AA30" s="8">
        <v>171.1</v>
      </c>
      <c r="AB30" s="8">
        <v>16889</v>
      </c>
      <c r="AC30" s="21" t="s">
        <v>1447</v>
      </c>
      <c r="AD30" s="8" t="s">
        <v>4003</v>
      </c>
      <c r="AE30" s="8" t="s">
        <v>4238</v>
      </c>
      <c r="AF30" s="9">
        <f t="shared" si="0"/>
        <v>176.233</v>
      </c>
      <c r="AG30" s="9">
        <f t="shared" si="1"/>
        <v>11.406666666666666</v>
      </c>
      <c r="AH30" s="9">
        <f t="shared" si="2"/>
        <v>0.79746823643465059</v>
      </c>
      <c r="AI30" s="9">
        <f t="shared" si="3"/>
        <v>0.63595558812219177</v>
      </c>
      <c r="AJ30" s="9">
        <f t="shared" si="4"/>
        <v>0.24059084052691967</v>
      </c>
      <c r="AK30" s="9">
        <f t="shared" si="5"/>
        <v>5.7883952545449695E-2</v>
      </c>
      <c r="AL30" s="9">
        <f t="shared" si="6"/>
        <v>1.636765671442986E-2</v>
      </c>
      <c r="AM30" s="9">
        <f t="shared" si="7"/>
        <v>2.6790018632142086E-4</v>
      </c>
      <c r="AN30" s="8" t="s">
        <v>1447</v>
      </c>
    </row>
    <row r="31" spans="13:40" ht="23">
      <c r="M31" s="9" t="s">
        <v>3387</v>
      </c>
      <c r="N31" s="8" t="s">
        <v>1990</v>
      </c>
      <c r="O31" s="8"/>
      <c r="P31" s="8" t="s">
        <v>3691</v>
      </c>
      <c r="Q31" s="8"/>
      <c r="R31" s="8"/>
      <c r="S31" s="8"/>
      <c r="T31" s="8"/>
      <c r="U31" s="8"/>
      <c r="V31" s="8"/>
      <c r="W31" s="9" t="s">
        <v>3387</v>
      </c>
      <c r="X31" s="8">
        <v>27.54</v>
      </c>
      <c r="Y31" s="8">
        <v>1.05</v>
      </c>
      <c r="Z31" s="9">
        <v>0.03</v>
      </c>
      <c r="AA31" s="8">
        <v>159.9</v>
      </c>
      <c r="AB31" s="8">
        <v>23548</v>
      </c>
      <c r="AC31" s="22" t="s">
        <v>3387</v>
      </c>
      <c r="AD31" s="8" t="s">
        <v>4003</v>
      </c>
      <c r="AE31" s="8" t="s">
        <v>4238</v>
      </c>
      <c r="AF31" s="9">
        <f t="shared" si="0"/>
        <v>167.89500000000001</v>
      </c>
      <c r="AG31" s="9">
        <f t="shared" si="1"/>
        <v>7.995000000000001</v>
      </c>
      <c r="AH31" s="9">
        <f t="shared" si="2"/>
        <v>0.74526692580888754</v>
      </c>
      <c r="AI31" s="9">
        <f t="shared" si="3"/>
        <v>0.55542279070462985</v>
      </c>
      <c r="AJ31" s="9">
        <f t="shared" si="4"/>
        <v>0.22920791889298359</v>
      </c>
      <c r="AK31" s="9">
        <f t="shared" si="5"/>
        <v>5.253627008325254E-2</v>
      </c>
      <c r="AL31" s="9">
        <f t="shared" si="6"/>
        <v>1.1472187209105793E-2</v>
      </c>
      <c r="AM31" s="9">
        <f t="shared" si="7"/>
        <v>1.3161107936077057E-4</v>
      </c>
      <c r="AN31" s="9" t="s">
        <v>3387</v>
      </c>
    </row>
    <row r="32" spans="13:40" ht="23">
      <c r="M32" s="9" t="s">
        <v>5313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9" t="s">
        <v>5313</v>
      </c>
      <c r="X32" s="8">
        <v>23.61</v>
      </c>
      <c r="Y32" s="8">
        <v>1.22</v>
      </c>
      <c r="Z32" s="9">
        <v>0.21</v>
      </c>
      <c r="AA32" s="8">
        <v>146.30000000000001</v>
      </c>
      <c r="AB32" s="8">
        <v>20904</v>
      </c>
      <c r="AC32" s="22" t="s">
        <v>5313</v>
      </c>
      <c r="AD32" s="8" t="s">
        <v>4003</v>
      </c>
      <c r="AE32" s="8" t="s">
        <v>4238</v>
      </c>
      <c r="AF32" s="9">
        <f t="shared" si="0"/>
        <v>178.48600000000002</v>
      </c>
      <c r="AG32" s="9">
        <f t="shared" si="1"/>
        <v>51.204999999999998</v>
      </c>
      <c r="AH32" s="9">
        <f t="shared" si="2"/>
        <v>0.68187962004903213</v>
      </c>
      <c r="AI32" s="9">
        <f t="shared" si="3"/>
        <v>0.46495981623821242</v>
      </c>
      <c r="AJ32" s="9">
        <f t="shared" si="4"/>
        <v>0.24366660479188226</v>
      </c>
      <c r="AK32" s="9">
        <f t="shared" si="5"/>
        <v>5.9373414290803339E-2</v>
      </c>
      <c r="AL32" s="9">
        <f t="shared" si="6"/>
        <v>7.3475090186649425E-2</v>
      </c>
      <c r="AM32" s="9">
        <f t="shared" si="7"/>
        <v>5.3985888779362664E-3</v>
      </c>
      <c r="AN32" s="9" t="s">
        <v>5313</v>
      </c>
    </row>
    <row r="33" spans="13:40" ht="23">
      <c r="M33" s="8" t="s">
        <v>207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8" t="s">
        <v>207</v>
      </c>
      <c r="X33" s="8">
        <v>41.13</v>
      </c>
      <c r="Y33" s="8">
        <v>2.75</v>
      </c>
      <c r="Z33" s="9">
        <v>2.57</v>
      </c>
      <c r="AA33" s="8">
        <v>130.19999999999999</v>
      </c>
      <c r="AB33" s="8">
        <v>4126</v>
      </c>
      <c r="AC33" s="21" t="s">
        <v>207</v>
      </c>
      <c r="AD33" s="8" t="s">
        <v>4003</v>
      </c>
      <c r="AE33" s="8" t="s">
        <v>4239</v>
      </c>
      <c r="AF33" s="9">
        <f t="shared" si="0"/>
        <v>358.04999999999995</v>
      </c>
      <c r="AG33" s="9">
        <f t="shared" si="1"/>
        <v>384.09</v>
      </c>
      <c r="AH33" s="9">
        <f t="shared" si="2"/>
        <v>0.60684023602449744</v>
      </c>
      <c r="AI33" s="9">
        <f t="shared" si="3"/>
        <v>0.36825507205826774</v>
      </c>
      <c r="AJ33" s="9">
        <f t="shared" si="4"/>
        <v>0.48880488019079044</v>
      </c>
      <c r="AK33" s="9">
        <f t="shared" si="5"/>
        <v>0.238930210898333</v>
      </c>
      <c r="AL33" s="9">
        <f t="shared" si="6"/>
        <v>0.55113850971175027</v>
      </c>
      <c r="AM33" s="9">
        <f t="shared" si="7"/>
        <v>0.30375365688728906</v>
      </c>
      <c r="AN33" s="8" t="s">
        <v>207</v>
      </c>
    </row>
    <row r="34" spans="13:40" ht="23">
      <c r="M34" s="9" t="s">
        <v>3140</v>
      </c>
      <c r="N34" s="8" t="s">
        <v>1869</v>
      </c>
      <c r="O34" s="8"/>
      <c r="P34" s="8" t="s">
        <v>3705</v>
      </c>
      <c r="Q34" s="8"/>
      <c r="R34" s="8"/>
      <c r="S34" s="8"/>
      <c r="T34" s="8"/>
      <c r="U34" s="8"/>
      <c r="V34" s="8"/>
      <c r="W34" s="9" t="s">
        <v>3140</v>
      </c>
      <c r="X34" s="8">
        <v>11.51</v>
      </c>
      <c r="Y34" s="8">
        <v>5.24</v>
      </c>
      <c r="Z34" s="9">
        <v>2.58</v>
      </c>
      <c r="AA34" s="8">
        <v>122.1</v>
      </c>
      <c r="AB34" s="8">
        <v>2107</v>
      </c>
      <c r="AC34" s="22" t="s">
        <v>3140</v>
      </c>
      <c r="AD34" s="8" t="s">
        <v>4003</v>
      </c>
      <c r="AE34" s="8" t="s">
        <v>4238</v>
      </c>
      <c r="AF34" s="9">
        <f t="shared" ref="AF34:AF65" si="8">(AA34*Y34)</f>
        <v>639.80399999999997</v>
      </c>
      <c r="AG34" s="9">
        <f t="shared" ref="AG34:AG65" si="9">((((RIGHT(Z34,2))/60)+(LEFT(Z34,2)))*AA34)</f>
        <v>362.23</v>
      </c>
      <c r="AH34" s="9">
        <f t="shared" ref="AH34:AH65" si="10">(AA34/$AA$101)*100</f>
        <v>0.56908750244693651</v>
      </c>
      <c r="AI34" s="9">
        <f t="shared" ref="AI34:AI65" si="11">(AH34*AH34)</f>
        <v>0.32386058544129198</v>
      </c>
      <c r="AJ34" s="9">
        <f t="shared" ref="AJ34:AJ65" si="12">(AF34/$AF$101)*100</f>
        <v>0.87345152231696266</v>
      </c>
      <c r="AK34" s="9">
        <f t="shared" ref="AK34:AK65" si="13">(AJ34*AJ34)</f>
        <v>0.76291756183781956</v>
      </c>
      <c r="AL34" s="9">
        <f t="shared" ref="AL34:AL65" si="14">(AG34/$AG$101)*100</f>
        <v>0.51977115356527714</v>
      </c>
      <c r="AM34" s="9">
        <f t="shared" ref="AM34:AM65" si="15">(AL34*AL34)</f>
        <v>0.27016205207857891</v>
      </c>
      <c r="AN34" s="9" t="s">
        <v>3140</v>
      </c>
    </row>
    <row r="35" spans="13:40" ht="23">
      <c r="M35" s="8" t="s">
        <v>2111</v>
      </c>
      <c r="N35" s="8" t="s">
        <v>2107</v>
      </c>
      <c r="O35" s="8"/>
      <c r="P35" s="8" t="s">
        <v>3693</v>
      </c>
      <c r="Q35" s="8"/>
      <c r="R35" s="8"/>
      <c r="S35" s="8"/>
      <c r="T35" s="8"/>
      <c r="U35" s="8"/>
      <c r="V35" s="8"/>
      <c r="W35" s="8" t="s">
        <v>2111</v>
      </c>
      <c r="X35" s="8">
        <v>5.97</v>
      </c>
      <c r="Y35" s="8">
        <v>3.01</v>
      </c>
      <c r="Z35" s="9">
        <v>0.43</v>
      </c>
      <c r="AA35" s="8">
        <v>109</v>
      </c>
      <c r="AB35" s="8">
        <v>6775</v>
      </c>
      <c r="AC35" s="21" t="s">
        <v>2111</v>
      </c>
      <c r="AD35" s="8" t="s">
        <v>4003</v>
      </c>
      <c r="AE35" s="8" t="s">
        <v>4239</v>
      </c>
      <c r="AF35" s="9">
        <f t="shared" si="8"/>
        <v>328.09</v>
      </c>
      <c r="AG35" s="9">
        <f t="shared" si="9"/>
        <v>78.116666666666674</v>
      </c>
      <c r="AH35" s="9">
        <f t="shared" si="10"/>
        <v>0.50803061234001712</v>
      </c>
      <c r="AI35" s="9">
        <f t="shared" si="11"/>
        <v>0.25809510307457273</v>
      </c>
      <c r="AJ35" s="9">
        <f t="shared" si="12"/>
        <v>0.44790390487863829</v>
      </c>
      <c r="AK35" s="9">
        <f t="shared" si="13"/>
        <v>0.20061790800553225</v>
      </c>
      <c r="AL35" s="9">
        <f t="shared" si="14"/>
        <v>0.11209118500954524</v>
      </c>
      <c r="AM35" s="9">
        <f t="shared" si="15"/>
        <v>1.2564433756844099E-2</v>
      </c>
      <c r="AN35" s="8" t="s">
        <v>2111</v>
      </c>
    </row>
    <row r="36" spans="13:40" ht="23">
      <c r="M36" s="9" t="s">
        <v>2895</v>
      </c>
      <c r="N36" s="8" t="s">
        <v>1717</v>
      </c>
      <c r="O36" s="8"/>
      <c r="P36" s="8"/>
      <c r="Q36" s="8"/>
      <c r="R36" s="8"/>
      <c r="S36" s="8"/>
      <c r="T36" s="8"/>
      <c r="U36" s="8"/>
      <c r="V36" s="8"/>
      <c r="W36" s="9" t="s">
        <v>2895</v>
      </c>
      <c r="X36" s="8">
        <v>26.03</v>
      </c>
      <c r="Y36" s="8">
        <v>1.1499999999999999</v>
      </c>
      <c r="Z36" s="9">
        <v>7.0000000000000007E-2</v>
      </c>
      <c r="AA36" s="8">
        <v>107.3</v>
      </c>
      <c r="AB36" s="8">
        <v>13694</v>
      </c>
      <c r="AC36" s="22" t="s">
        <v>2895</v>
      </c>
      <c r="AD36" s="8" t="s">
        <v>4003</v>
      </c>
      <c r="AE36" s="8" t="s">
        <v>4238</v>
      </c>
      <c r="AF36" s="9">
        <f t="shared" si="8"/>
        <v>123.39499999999998</v>
      </c>
      <c r="AG36" s="9">
        <f t="shared" si="9"/>
        <v>12.518333333333333</v>
      </c>
      <c r="AH36" s="9">
        <f t="shared" si="10"/>
        <v>0.50010719912003521</v>
      </c>
      <c r="AI36" s="9">
        <f t="shared" si="11"/>
        <v>0.25010721061168656</v>
      </c>
      <c r="AJ36" s="9">
        <f t="shared" si="12"/>
        <v>0.1684571378051741</v>
      </c>
      <c r="AK36" s="9">
        <f t="shared" si="13"/>
        <v>2.8377807277511418E-2</v>
      </c>
      <c r="AL36" s="9">
        <f t="shared" si="14"/>
        <v>1.7962809699310738E-2</v>
      </c>
      <c r="AM36" s="9">
        <f t="shared" si="15"/>
        <v>3.226625322936519E-4</v>
      </c>
      <c r="AN36" s="9" t="s">
        <v>2895</v>
      </c>
    </row>
    <row r="37" spans="13:40" ht="23">
      <c r="M37" s="8" t="s">
        <v>524</v>
      </c>
      <c r="N37" s="8" t="s">
        <v>150</v>
      </c>
      <c r="O37" s="8"/>
      <c r="P37" s="8" t="s">
        <v>3694</v>
      </c>
      <c r="Q37" s="8"/>
      <c r="R37" s="8"/>
      <c r="S37" s="8"/>
      <c r="T37" s="8"/>
      <c r="U37" s="8"/>
      <c r="V37" s="8"/>
      <c r="W37" s="8" t="s">
        <v>524</v>
      </c>
      <c r="X37" s="8">
        <v>36.33</v>
      </c>
      <c r="Y37" s="8">
        <v>3.13</v>
      </c>
      <c r="Z37" s="9">
        <v>0.39</v>
      </c>
      <c r="AA37" s="8">
        <v>105.3</v>
      </c>
      <c r="AB37" s="8">
        <v>7317</v>
      </c>
      <c r="AC37" s="21" t="s">
        <v>524</v>
      </c>
      <c r="AD37" s="8" t="s">
        <v>4003</v>
      </c>
      <c r="AE37" s="8" t="s">
        <v>4239</v>
      </c>
      <c r="AF37" s="9">
        <f t="shared" si="8"/>
        <v>329.589</v>
      </c>
      <c r="AG37" s="9">
        <f t="shared" si="9"/>
        <v>68.445000000000007</v>
      </c>
      <c r="AH37" s="9">
        <f t="shared" si="10"/>
        <v>0.49078553650829171</v>
      </c>
      <c r="AI37" s="9">
        <f t="shared" si="11"/>
        <v>0.24087044284573172</v>
      </c>
      <c r="AJ37" s="9">
        <f t="shared" si="12"/>
        <v>0.44995031883033776</v>
      </c>
      <c r="AK37" s="9">
        <f t="shared" si="13"/>
        <v>0.2024552894155226</v>
      </c>
      <c r="AL37" s="9">
        <f t="shared" si="14"/>
        <v>9.8213114887710576E-2</v>
      </c>
      <c r="AM37" s="9">
        <f t="shared" si="15"/>
        <v>9.6458159359466365E-3</v>
      </c>
      <c r="AN37" s="8" t="s">
        <v>524</v>
      </c>
    </row>
    <row r="38" spans="13:40" ht="23">
      <c r="M38" s="8" t="s">
        <v>4500</v>
      </c>
      <c r="N38" s="8" t="s">
        <v>150</v>
      </c>
      <c r="O38" s="8"/>
      <c r="P38" s="8" t="s">
        <v>3693</v>
      </c>
      <c r="Q38" s="8"/>
      <c r="R38" s="8"/>
      <c r="S38" s="8"/>
      <c r="T38" s="8"/>
      <c r="U38" s="8"/>
      <c r="V38" s="8"/>
      <c r="W38" s="8" t="s">
        <v>4500</v>
      </c>
      <c r="X38" s="8">
        <v>22.56</v>
      </c>
      <c r="Y38" s="8">
        <v>2.66</v>
      </c>
      <c r="Z38" s="9">
        <v>1.39</v>
      </c>
      <c r="AA38" s="8">
        <v>96.3</v>
      </c>
      <c r="AB38" s="8">
        <v>3639</v>
      </c>
      <c r="AC38" s="21" t="s">
        <v>4500</v>
      </c>
      <c r="AD38" s="8" t="s">
        <v>4003</v>
      </c>
      <c r="AE38" s="8" t="s">
        <v>4238</v>
      </c>
      <c r="AF38" s="9">
        <f t="shared" si="8"/>
        <v>256.15800000000002</v>
      </c>
      <c r="AG38" s="9">
        <f t="shared" si="9"/>
        <v>158.89499999999998</v>
      </c>
      <c r="AH38" s="9">
        <f t="shared" si="10"/>
        <v>0.4488380547554463</v>
      </c>
      <c r="AI38" s="9">
        <f t="shared" si="11"/>
        <v>0.201455599396653</v>
      </c>
      <c r="AJ38" s="9">
        <f t="shared" si="12"/>
        <v>0.34970333891890099</v>
      </c>
      <c r="AK38" s="9">
        <f t="shared" si="13"/>
        <v>0.12229242525102772</v>
      </c>
      <c r="AL38" s="9">
        <f t="shared" si="14"/>
        <v>0.22800164935470477</v>
      </c>
      <c r="AM38" s="9">
        <f t="shared" si="15"/>
        <v>5.1984752108465745E-2</v>
      </c>
      <c r="AN38" s="8" t="s">
        <v>4500</v>
      </c>
    </row>
    <row r="39" spans="13:40" ht="23">
      <c r="M39" s="9" t="s">
        <v>5315</v>
      </c>
      <c r="N39" s="8" t="s">
        <v>150</v>
      </c>
      <c r="O39" s="8"/>
      <c r="P39" s="8"/>
      <c r="Q39" s="8"/>
      <c r="R39" s="8"/>
      <c r="S39" s="8"/>
      <c r="T39" s="8"/>
      <c r="U39" s="8"/>
      <c r="V39" s="8"/>
      <c r="W39" s="9" t="s">
        <v>5315</v>
      </c>
      <c r="X39" s="8">
        <v>10.07</v>
      </c>
      <c r="Y39" s="8">
        <v>2.04</v>
      </c>
      <c r="Z39" s="9">
        <v>3.11</v>
      </c>
      <c r="AA39" s="8">
        <v>95.7</v>
      </c>
      <c r="AB39" s="8">
        <v>8603</v>
      </c>
      <c r="AC39" s="22" t="s">
        <v>5315</v>
      </c>
      <c r="AD39" s="8" t="s">
        <v>3995</v>
      </c>
      <c r="AE39" s="8" t="s">
        <v>4238</v>
      </c>
      <c r="AF39" s="9">
        <f t="shared" si="8"/>
        <v>195.22800000000001</v>
      </c>
      <c r="AG39" s="9">
        <f t="shared" si="9"/>
        <v>304.64499999999998</v>
      </c>
      <c r="AH39" s="9">
        <f t="shared" si="10"/>
        <v>0.44604155597192324</v>
      </c>
      <c r="AI39" s="9">
        <f t="shared" si="11"/>
        <v>0.19895306965385434</v>
      </c>
      <c r="AJ39" s="9">
        <f t="shared" si="12"/>
        <v>0.26652255034181721</v>
      </c>
      <c r="AK39" s="9">
        <f t="shared" si="13"/>
        <v>7.1034269840706488E-2</v>
      </c>
      <c r="AL39" s="9">
        <f t="shared" si="14"/>
        <v>0.43714127233496364</v>
      </c>
      <c r="AM39" s="9">
        <f t="shared" si="15"/>
        <v>0.19109249197863085</v>
      </c>
      <c r="AN39" s="9" t="s">
        <v>5315</v>
      </c>
    </row>
    <row r="40" spans="13:40" ht="23">
      <c r="M40" s="22" t="s">
        <v>5167</v>
      </c>
      <c r="N40" s="8" t="s">
        <v>1717</v>
      </c>
      <c r="O40" s="8"/>
      <c r="P40" s="8" t="s">
        <v>4013</v>
      </c>
      <c r="Q40" s="8"/>
      <c r="R40" s="8"/>
      <c r="S40" s="8"/>
      <c r="T40" s="8"/>
      <c r="U40" s="8"/>
      <c r="V40" s="8"/>
      <c r="W40" s="22" t="s">
        <v>5167</v>
      </c>
      <c r="X40" s="8">
        <v>11.69</v>
      </c>
      <c r="Y40" s="8">
        <v>2.84</v>
      </c>
      <c r="Z40" s="9">
        <v>2.4500000000000002</v>
      </c>
      <c r="AA40" s="8">
        <v>90.8</v>
      </c>
      <c r="AB40" s="8">
        <v>3371</v>
      </c>
      <c r="AC40" s="22" t="s">
        <v>5167</v>
      </c>
      <c r="AD40" s="8" t="s">
        <v>4003</v>
      </c>
      <c r="AE40" s="8" t="s">
        <v>4238</v>
      </c>
      <c r="AF40" s="9">
        <f t="shared" si="8"/>
        <v>257.87199999999996</v>
      </c>
      <c r="AG40" s="9">
        <f t="shared" si="9"/>
        <v>249.7</v>
      </c>
      <c r="AH40" s="9">
        <f t="shared" si="10"/>
        <v>0.42320348257315188</v>
      </c>
      <c r="AI40" s="9">
        <f t="shared" si="11"/>
        <v>0.17910118766204405</v>
      </c>
      <c r="AJ40" s="9">
        <f t="shared" si="12"/>
        <v>0.35204326788035051</v>
      </c>
      <c r="AK40" s="9">
        <f t="shared" si="13"/>
        <v>0.12393446245987623</v>
      </c>
      <c r="AL40" s="9">
        <f t="shared" si="14"/>
        <v>0.35829958050202831</v>
      </c>
      <c r="AM40" s="9">
        <f t="shared" si="15"/>
        <v>0.12837858938792948</v>
      </c>
      <c r="AN40" s="22" t="s">
        <v>5167</v>
      </c>
    </row>
    <row r="41" spans="13:40" ht="23">
      <c r="M41" s="9" t="s">
        <v>4379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9" t="s">
        <v>4379</v>
      </c>
      <c r="X41" s="8">
        <v>14.61</v>
      </c>
      <c r="Y41" s="8">
        <v>1.85</v>
      </c>
      <c r="Z41" s="9">
        <v>4.55</v>
      </c>
      <c r="AA41" s="8">
        <v>85.6</v>
      </c>
      <c r="AB41" s="8">
        <v>18587</v>
      </c>
      <c r="AC41" s="22" t="s">
        <v>4379</v>
      </c>
      <c r="AD41" s="8" t="s">
        <v>4003</v>
      </c>
      <c r="AE41" s="8" t="s">
        <v>4238</v>
      </c>
      <c r="AF41" s="9">
        <f t="shared" si="8"/>
        <v>158.35999999999999</v>
      </c>
      <c r="AG41" s="9">
        <f t="shared" si="9"/>
        <v>420.86666666666667</v>
      </c>
      <c r="AH41" s="9">
        <f t="shared" si="10"/>
        <v>0.39896715978261887</v>
      </c>
      <c r="AI41" s="9">
        <f t="shared" si="11"/>
        <v>0.15917479458500974</v>
      </c>
      <c r="AJ41" s="9">
        <f t="shared" si="12"/>
        <v>0.21619086950708999</v>
      </c>
      <c r="AK41" s="9">
        <f t="shared" si="13"/>
        <v>4.6738492058231614E-2</v>
      </c>
      <c r="AL41" s="9">
        <f t="shared" si="14"/>
        <v>0.60391009256689487</v>
      </c>
      <c r="AM41" s="9">
        <f t="shared" si="15"/>
        <v>0.36470739990415552</v>
      </c>
      <c r="AN41" s="9" t="s">
        <v>4379</v>
      </c>
    </row>
    <row r="42" spans="13:40" ht="23">
      <c r="M42" s="22" t="s">
        <v>5172</v>
      </c>
      <c r="N42" s="8" t="s">
        <v>150</v>
      </c>
      <c r="O42" s="8"/>
      <c r="P42" s="8" t="s">
        <v>3694</v>
      </c>
      <c r="Q42" s="8"/>
      <c r="R42" s="8"/>
      <c r="S42" s="8"/>
      <c r="T42" s="8"/>
      <c r="U42" s="8"/>
      <c r="V42" s="8"/>
      <c r="W42" s="22" t="s">
        <v>5172</v>
      </c>
      <c r="X42" s="8">
        <v>7.57</v>
      </c>
      <c r="Y42" s="8">
        <v>8.7200000000000006</v>
      </c>
      <c r="Z42" s="9">
        <v>2.3199999999999998</v>
      </c>
      <c r="AA42" s="8">
        <v>79</v>
      </c>
      <c r="AB42" s="8">
        <v>5175</v>
      </c>
      <c r="AC42" s="22" t="s">
        <v>5172</v>
      </c>
      <c r="AD42" s="8" t="s">
        <v>4003</v>
      </c>
      <c r="AE42" s="8" t="s">
        <v>4238</v>
      </c>
      <c r="AF42" s="9">
        <f t="shared" si="8"/>
        <v>688.88</v>
      </c>
      <c r="AG42" s="9">
        <f t="shared" si="9"/>
        <v>200.13333333333333</v>
      </c>
      <c r="AH42" s="9">
        <f t="shared" si="10"/>
        <v>0.3682056731638656</v>
      </c>
      <c r="AI42" s="9">
        <f t="shared" si="11"/>
        <v>0.13557541775005541</v>
      </c>
      <c r="AJ42" s="9">
        <f t="shared" si="12"/>
        <v>0.94044939496112767</v>
      </c>
      <c r="AK42" s="9">
        <f t="shared" si="13"/>
        <v>0.88444506448275106</v>
      </c>
      <c r="AL42" s="9">
        <f t="shared" si="14"/>
        <v>0.28717536795276705</v>
      </c>
      <c r="AM42" s="9">
        <f t="shared" si="15"/>
        <v>8.2469691958807143E-2</v>
      </c>
      <c r="AN42" s="22" t="s">
        <v>5172</v>
      </c>
    </row>
    <row r="43" spans="13:40" ht="23">
      <c r="M43" s="8" t="s">
        <v>2058</v>
      </c>
      <c r="N43" s="8" t="s">
        <v>2041</v>
      </c>
      <c r="O43" s="8"/>
      <c r="P43" s="8"/>
      <c r="Q43" s="8"/>
      <c r="R43" s="8"/>
      <c r="S43" s="8"/>
      <c r="T43" s="8"/>
      <c r="U43" s="8"/>
      <c r="V43" s="8"/>
      <c r="W43" s="8" t="s">
        <v>2058</v>
      </c>
      <c r="X43" s="8">
        <v>11.99</v>
      </c>
      <c r="Y43" s="8">
        <v>2.86</v>
      </c>
      <c r="Z43" s="9">
        <v>0.49</v>
      </c>
      <c r="AA43" s="8">
        <v>69.2</v>
      </c>
      <c r="AB43" s="8">
        <v>16717</v>
      </c>
      <c r="AC43" s="21" t="s">
        <v>2058</v>
      </c>
      <c r="AD43" s="8" t="s">
        <v>4003</v>
      </c>
      <c r="AE43" s="8" t="s">
        <v>4238</v>
      </c>
      <c r="AF43" s="9">
        <f t="shared" si="8"/>
        <v>197.91200000000001</v>
      </c>
      <c r="AG43" s="9">
        <f t="shared" si="9"/>
        <v>56.513333333333335</v>
      </c>
      <c r="AH43" s="9">
        <f t="shared" si="10"/>
        <v>0.32252952636632282</v>
      </c>
      <c r="AI43" s="9">
        <f t="shared" si="11"/>
        <v>0.10402529537808453</v>
      </c>
      <c r="AJ43" s="9">
        <f t="shared" si="12"/>
        <v>0.27018670981237181</v>
      </c>
      <c r="AK43" s="9">
        <f t="shared" si="13"/>
        <v>7.3000858159234808E-2</v>
      </c>
      <c r="AL43" s="9">
        <f t="shared" si="14"/>
        <v>8.1092125054483891E-2</v>
      </c>
      <c r="AM43" s="9">
        <f t="shared" si="15"/>
        <v>6.5759327458520542E-3</v>
      </c>
      <c r="AN43" s="8" t="s">
        <v>2058</v>
      </c>
    </row>
    <row r="44" spans="13:40" ht="23">
      <c r="M44" s="9" t="s">
        <v>5314</v>
      </c>
      <c r="N44" s="8" t="s">
        <v>150</v>
      </c>
      <c r="O44" s="8"/>
      <c r="P44" s="8" t="s">
        <v>3691</v>
      </c>
      <c r="Q44" s="8"/>
      <c r="R44" s="8"/>
      <c r="S44" s="8"/>
      <c r="T44" s="8"/>
      <c r="U44" s="8"/>
      <c r="V44" s="8"/>
      <c r="W44" s="9" t="s">
        <v>5314</v>
      </c>
      <c r="X44" s="8">
        <v>85.03</v>
      </c>
      <c r="Y44" s="8">
        <v>1.42</v>
      </c>
      <c r="Z44" s="9">
        <v>0.44</v>
      </c>
      <c r="AA44" s="8">
        <v>68.5</v>
      </c>
      <c r="AB44" s="8">
        <v>6702</v>
      </c>
      <c r="AC44" s="22" t="s">
        <v>5314</v>
      </c>
      <c r="AD44" s="8" t="s">
        <v>4003</v>
      </c>
      <c r="AE44" s="8" t="s">
        <v>4238</v>
      </c>
      <c r="AF44" s="9">
        <f t="shared" si="8"/>
        <v>97.27</v>
      </c>
      <c r="AG44" s="9">
        <f t="shared" si="9"/>
        <v>50.233333333333327</v>
      </c>
      <c r="AH44" s="9">
        <f t="shared" si="10"/>
        <v>0.31926694445221254</v>
      </c>
      <c r="AI44" s="9">
        <f t="shared" si="11"/>
        <v>0.10193138181985217</v>
      </c>
      <c r="AJ44" s="9">
        <f t="shared" si="12"/>
        <v>0.13279165115530844</v>
      </c>
      <c r="AK44" s="9">
        <f t="shared" si="13"/>
        <v>1.763362261655313E-2</v>
      </c>
      <c r="AL44" s="9">
        <f t="shared" si="14"/>
        <v>7.2080826033447676E-2</v>
      </c>
      <c r="AM44" s="9">
        <f t="shared" si="15"/>
        <v>5.1956454816641483E-3</v>
      </c>
      <c r="AN44" s="9" t="s">
        <v>5314</v>
      </c>
    </row>
    <row r="45" spans="13:40" ht="23">
      <c r="M45" s="8" t="s">
        <v>1492</v>
      </c>
      <c r="N45" s="8" t="s">
        <v>150</v>
      </c>
      <c r="O45" s="8"/>
      <c r="P45" s="8"/>
      <c r="Q45" s="8"/>
      <c r="R45" s="8"/>
      <c r="S45" s="8"/>
      <c r="T45" s="8"/>
      <c r="U45" s="8"/>
      <c r="V45" s="8"/>
      <c r="W45" s="8" t="s">
        <v>1492</v>
      </c>
      <c r="X45" s="8">
        <v>29.13</v>
      </c>
      <c r="Y45" s="8">
        <v>1.41</v>
      </c>
      <c r="Z45" s="9">
        <v>0.57999999999999996</v>
      </c>
      <c r="AA45" s="8">
        <v>68.400000000000006</v>
      </c>
      <c r="AB45" s="8">
        <v>13234</v>
      </c>
      <c r="AC45" s="21" t="s">
        <v>1492</v>
      </c>
      <c r="AD45" s="8" t="s">
        <v>4003</v>
      </c>
      <c r="AE45" s="8" t="s">
        <v>4238</v>
      </c>
      <c r="AF45" s="9">
        <f t="shared" si="8"/>
        <v>96.444000000000003</v>
      </c>
      <c r="AG45" s="9">
        <f t="shared" si="9"/>
        <v>66.12</v>
      </c>
      <c r="AH45" s="9">
        <f t="shared" si="10"/>
        <v>0.31880086132162544</v>
      </c>
      <c r="AI45" s="9">
        <f t="shared" si="11"/>
        <v>0.10163398917941026</v>
      </c>
      <c r="AJ45" s="9">
        <f t="shared" si="12"/>
        <v>0.13166400744343135</v>
      </c>
      <c r="AK45" s="9">
        <f t="shared" si="13"/>
        <v>1.7335410856063944E-2</v>
      </c>
      <c r="AL45" s="9">
        <f t="shared" si="14"/>
        <v>9.4876925361610381E-2</v>
      </c>
      <c r="AM45" s="9">
        <f t="shared" si="15"/>
        <v>9.0016309660725866E-3</v>
      </c>
      <c r="AN45" s="8" t="s">
        <v>1492</v>
      </c>
    </row>
    <row r="46" spans="13:40" ht="23">
      <c r="M46" s="9" t="s">
        <v>2893</v>
      </c>
      <c r="N46" s="8" t="s">
        <v>1717</v>
      </c>
      <c r="O46" s="8"/>
      <c r="P46" s="8"/>
      <c r="Q46" s="8"/>
      <c r="R46" s="8"/>
      <c r="S46" s="8"/>
      <c r="T46" s="8"/>
      <c r="U46" s="8"/>
      <c r="V46" s="8"/>
      <c r="W46" s="9" t="s">
        <v>2893</v>
      </c>
      <c r="X46" s="8">
        <v>20.91</v>
      </c>
      <c r="Y46" s="8">
        <v>1.54</v>
      </c>
      <c r="Z46" s="9">
        <v>2.29</v>
      </c>
      <c r="AA46" s="8">
        <v>67.099999999999994</v>
      </c>
      <c r="AB46" s="8">
        <v>7172</v>
      </c>
      <c r="AC46" s="22" t="s">
        <v>2893</v>
      </c>
      <c r="AD46" s="8" t="s">
        <v>4003</v>
      </c>
      <c r="AE46" s="8" t="s">
        <v>4238</v>
      </c>
      <c r="AF46" s="9">
        <f t="shared" si="8"/>
        <v>103.33399999999999</v>
      </c>
      <c r="AG46" s="9">
        <f t="shared" si="9"/>
        <v>166.63166666666666</v>
      </c>
      <c r="AH46" s="9">
        <f t="shared" si="10"/>
        <v>0.31274178062399216</v>
      </c>
      <c r="AI46" s="9">
        <f t="shared" si="11"/>
        <v>9.7807421347865242E-2</v>
      </c>
      <c r="AJ46" s="9">
        <f t="shared" si="12"/>
        <v>0.14107013961635284</v>
      </c>
      <c r="AK46" s="9">
        <f t="shared" si="13"/>
        <v>1.9900784291377285E-2</v>
      </c>
      <c r="AL46" s="9">
        <f t="shared" si="14"/>
        <v>0.23910314883868836</v>
      </c>
      <c r="AM46" s="9">
        <f t="shared" si="15"/>
        <v>5.7170315784575959E-2</v>
      </c>
      <c r="AN46" s="9" t="s">
        <v>2893</v>
      </c>
    </row>
    <row r="47" spans="13:40" ht="23">
      <c r="M47" s="9" t="s">
        <v>2992</v>
      </c>
      <c r="N47" s="8" t="s">
        <v>1717</v>
      </c>
      <c r="O47" s="8"/>
      <c r="P47" s="8"/>
      <c r="Q47" s="8"/>
      <c r="R47" s="8"/>
      <c r="S47" s="8"/>
      <c r="T47" s="8"/>
      <c r="U47" s="8"/>
      <c r="V47" s="8"/>
      <c r="W47" s="9" t="s">
        <v>2992</v>
      </c>
      <c r="X47" s="8">
        <v>49.5</v>
      </c>
      <c r="Y47" s="8">
        <v>1.1599999999999999</v>
      </c>
      <c r="Z47" s="9">
        <v>0.35</v>
      </c>
      <c r="AA47" s="8">
        <v>64.400000000000006</v>
      </c>
      <c r="AB47" s="8">
        <v>3004</v>
      </c>
      <c r="AC47" s="22" t="s">
        <v>2992</v>
      </c>
      <c r="AD47" s="8" t="s">
        <v>4003</v>
      </c>
      <c r="AE47" s="8" t="s">
        <v>4238</v>
      </c>
      <c r="AF47" s="9">
        <f t="shared" si="8"/>
        <v>74.704000000000008</v>
      </c>
      <c r="AG47" s="9">
        <f t="shared" si="9"/>
        <v>37.56666666666667</v>
      </c>
      <c r="AH47" s="9">
        <f t="shared" si="10"/>
        <v>0.30015753609813856</v>
      </c>
      <c r="AI47" s="9">
        <f t="shared" si="11"/>
        <v>9.0094546476505347E-2</v>
      </c>
      <c r="AJ47" s="9">
        <f t="shared" si="12"/>
        <v>0.1019848618063757</v>
      </c>
      <c r="AK47" s="9">
        <f t="shared" si="13"/>
        <v>1.040091203766555E-2</v>
      </c>
      <c r="AL47" s="9">
        <f t="shared" si="14"/>
        <v>5.3905169833905482E-2</v>
      </c>
      <c r="AM47" s="9">
        <f t="shared" si="15"/>
        <v>2.9057673348221935E-3</v>
      </c>
      <c r="AN47" s="9" t="s">
        <v>2992</v>
      </c>
    </row>
    <row r="48" spans="13:40" ht="23">
      <c r="M48" s="9" t="s">
        <v>3014</v>
      </c>
      <c r="N48" s="8" t="s">
        <v>1717</v>
      </c>
      <c r="O48" s="8"/>
      <c r="P48" s="8" t="s">
        <v>3693</v>
      </c>
      <c r="Q48" s="8"/>
      <c r="R48" s="8"/>
      <c r="S48" s="8"/>
      <c r="T48" s="8"/>
      <c r="U48" s="8"/>
      <c r="V48" s="8"/>
      <c r="W48" s="9" t="s">
        <v>3014</v>
      </c>
      <c r="X48" s="8">
        <v>20.399999999999999</v>
      </c>
      <c r="Y48" s="8">
        <v>1.95</v>
      </c>
      <c r="Z48" s="9">
        <v>1</v>
      </c>
      <c r="AA48" s="8">
        <v>64</v>
      </c>
      <c r="AB48" s="8">
        <v>7395</v>
      </c>
      <c r="AC48" s="22" t="s">
        <v>3014</v>
      </c>
      <c r="AD48" s="8" t="s">
        <v>4003</v>
      </c>
      <c r="AE48" s="8" t="s">
        <v>4238</v>
      </c>
      <c r="AF48" s="9">
        <f t="shared" si="8"/>
        <v>124.8</v>
      </c>
      <c r="AG48" s="9">
        <f t="shared" si="9"/>
        <v>65.066666666666663</v>
      </c>
      <c r="AH48" s="9">
        <f t="shared" si="10"/>
        <v>0.29829320357578987</v>
      </c>
      <c r="AI48" s="9">
        <f t="shared" si="11"/>
        <v>8.8978835299507619E-2</v>
      </c>
      <c r="AJ48" s="9">
        <f t="shared" si="12"/>
        <v>0.17037522426423865</v>
      </c>
      <c r="AK48" s="9">
        <f t="shared" si="13"/>
        <v>2.9027717043089613E-2</v>
      </c>
      <c r="AL48" s="9">
        <f t="shared" si="14"/>
        <v>9.3365476056595814E-2</v>
      </c>
      <c r="AM48" s="9">
        <f t="shared" si="15"/>
        <v>8.7171121192747662E-3</v>
      </c>
      <c r="AN48" s="9" t="s">
        <v>3014</v>
      </c>
    </row>
    <row r="49" spans="13:40" ht="23">
      <c r="M49" s="9" t="s">
        <v>2879</v>
      </c>
      <c r="N49" s="8" t="s">
        <v>1717</v>
      </c>
      <c r="O49" s="8"/>
      <c r="P49" s="8" t="s">
        <v>3691</v>
      </c>
      <c r="Q49" s="8"/>
      <c r="R49" s="8"/>
      <c r="S49" s="8"/>
      <c r="T49" s="8"/>
      <c r="U49" s="8"/>
      <c r="V49" s="8"/>
      <c r="W49" s="9" t="s">
        <v>2879</v>
      </c>
      <c r="X49" s="8">
        <v>11.54</v>
      </c>
      <c r="Y49" s="8">
        <v>6.11</v>
      </c>
      <c r="Z49" s="9">
        <v>1</v>
      </c>
      <c r="AA49" s="8">
        <v>62.2</v>
      </c>
      <c r="AB49" s="8">
        <v>7516</v>
      </c>
      <c r="AC49" s="22" t="s">
        <v>2879</v>
      </c>
      <c r="AD49" s="8" t="s">
        <v>4003</v>
      </c>
      <c r="AE49" s="8" t="s">
        <v>4239</v>
      </c>
      <c r="AF49" s="9">
        <f t="shared" si="8"/>
        <v>380.04200000000003</v>
      </c>
      <c r="AG49" s="9">
        <f t="shared" si="9"/>
        <v>63.236666666666665</v>
      </c>
      <c r="AH49" s="9">
        <f t="shared" si="10"/>
        <v>0.2899037072252208</v>
      </c>
      <c r="AI49" s="9">
        <f t="shared" si="11"/>
        <v>8.4044159462926538E-2</v>
      </c>
      <c r="AJ49" s="9">
        <f t="shared" si="12"/>
        <v>0.51882805272299515</v>
      </c>
      <c r="AK49" s="9">
        <f t="shared" si="13"/>
        <v>0.26918254829233501</v>
      </c>
      <c r="AL49" s="9">
        <f t="shared" si="14"/>
        <v>9.073957204250406E-2</v>
      </c>
      <c r="AM49" s="9">
        <f t="shared" si="15"/>
        <v>8.2336699344567853E-3</v>
      </c>
      <c r="AN49" s="9" t="s">
        <v>2879</v>
      </c>
    </row>
    <row r="50" spans="13:40" ht="23">
      <c r="M50" s="9" t="s">
        <v>5138</v>
      </c>
      <c r="N50" s="8" t="s">
        <v>150</v>
      </c>
      <c r="O50" s="8"/>
      <c r="P50" s="8" t="s">
        <v>3715</v>
      </c>
      <c r="Q50" s="8"/>
      <c r="R50" s="8"/>
      <c r="S50" s="8"/>
      <c r="T50" s="8"/>
      <c r="U50" s="8"/>
      <c r="V50" s="8"/>
      <c r="W50" s="9" t="s">
        <v>5138</v>
      </c>
      <c r="X50" s="8">
        <v>11.72</v>
      </c>
      <c r="Y50" s="8">
        <v>3.45</v>
      </c>
      <c r="Z50" s="9">
        <v>1.05</v>
      </c>
      <c r="AA50" s="8">
        <v>55</v>
      </c>
      <c r="AB50" s="8">
        <v>17186</v>
      </c>
      <c r="AC50" s="22" t="s">
        <v>5138</v>
      </c>
      <c r="AD50" s="8" t="s">
        <v>4003</v>
      </c>
      <c r="AE50" s="8" t="s">
        <v>4238</v>
      </c>
      <c r="AF50" s="9">
        <f t="shared" si="8"/>
        <v>189.75</v>
      </c>
      <c r="AG50" s="9">
        <f t="shared" si="9"/>
        <v>59.583333333333329</v>
      </c>
      <c r="AH50" s="9">
        <f t="shared" si="10"/>
        <v>0.25634572182294441</v>
      </c>
      <c r="AI50" s="9">
        <f t="shared" si="11"/>
        <v>6.5713129096926393E-2</v>
      </c>
      <c r="AJ50" s="9">
        <f t="shared" si="12"/>
        <v>0.25904406093060328</v>
      </c>
      <c r="AK50" s="9">
        <f t="shared" si="13"/>
        <v>6.7103825503418105E-2</v>
      </c>
      <c r="AL50" s="9">
        <f t="shared" si="14"/>
        <v>8.5497330149162401E-2</v>
      </c>
      <c r="AM50" s="9">
        <f t="shared" si="15"/>
        <v>7.3097934626348742E-3</v>
      </c>
      <c r="AN50" s="9" t="s">
        <v>5138</v>
      </c>
    </row>
    <row r="51" spans="13:40" ht="23">
      <c r="M51" s="8" t="s">
        <v>370</v>
      </c>
      <c r="N51" s="8" t="s">
        <v>150</v>
      </c>
      <c r="O51" s="8"/>
      <c r="P51" s="8" t="s">
        <v>3692</v>
      </c>
      <c r="Q51" s="8"/>
      <c r="R51" s="8"/>
      <c r="S51" s="8"/>
      <c r="T51" s="8"/>
      <c r="U51" s="8"/>
      <c r="V51" s="8"/>
      <c r="W51" s="8" t="s">
        <v>370</v>
      </c>
      <c r="X51" s="8">
        <v>2.73</v>
      </c>
      <c r="Y51" s="8">
        <v>2.41</v>
      </c>
      <c r="Z51" s="9">
        <v>0.47</v>
      </c>
      <c r="AA51" s="8">
        <v>51.5</v>
      </c>
      <c r="AB51" s="8">
        <v>16248</v>
      </c>
      <c r="AC51" s="21" t="s">
        <v>370</v>
      </c>
      <c r="AD51" s="8" t="s">
        <v>4003</v>
      </c>
      <c r="AE51" s="8" t="s">
        <v>4238</v>
      </c>
      <c r="AF51" s="9">
        <f t="shared" si="8"/>
        <v>124.11500000000001</v>
      </c>
      <c r="AG51" s="9">
        <f t="shared" si="9"/>
        <v>40.341666666666669</v>
      </c>
      <c r="AH51" s="9">
        <f t="shared" si="10"/>
        <v>0.2400328122523934</v>
      </c>
      <c r="AI51" s="9">
        <f t="shared" si="11"/>
        <v>5.7615750957792734E-2</v>
      </c>
      <c r="AJ51" s="9">
        <f t="shared" si="12"/>
        <v>0.16944007179131398</v>
      </c>
      <c r="AK51" s="9">
        <f t="shared" si="13"/>
        <v>2.8709937928645637E-2</v>
      </c>
      <c r="AL51" s="9">
        <f t="shared" si="14"/>
        <v>5.7887073461831508E-2</v>
      </c>
      <c r="AM51" s="9">
        <f t="shared" si="15"/>
        <v>3.3509132739754778E-3</v>
      </c>
      <c r="AN51" s="8" t="s">
        <v>370</v>
      </c>
    </row>
    <row r="52" spans="13:40" ht="23">
      <c r="M52" s="9" t="s">
        <v>4501</v>
      </c>
      <c r="N52" s="8" t="s">
        <v>150</v>
      </c>
      <c r="O52" s="8"/>
      <c r="P52" s="8"/>
      <c r="Q52" s="8"/>
      <c r="R52" s="8"/>
      <c r="S52" s="8"/>
      <c r="T52" s="8"/>
      <c r="U52" s="8"/>
      <c r="V52" s="8"/>
      <c r="W52" s="9" t="s">
        <v>4501</v>
      </c>
      <c r="X52" s="8">
        <v>21.79</v>
      </c>
      <c r="Y52" s="8">
        <v>1.87</v>
      </c>
      <c r="Z52" s="9">
        <v>0.05</v>
      </c>
      <c r="AA52" s="8">
        <v>51.3</v>
      </c>
      <c r="AB52" s="8">
        <v>27144</v>
      </c>
      <c r="AC52" s="22" t="s">
        <v>4501</v>
      </c>
      <c r="AD52" s="8" t="s">
        <v>3995</v>
      </c>
      <c r="AE52" s="8" t="s">
        <v>4238</v>
      </c>
      <c r="AF52" s="9">
        <f t="shared" si="8"/>
        <v>95.930999999999997</v>
      </c>
      <c r="AG52" s="9">
        <f t="shared" si="9"/>
        <v>4.2749999999999995</v>
      </c>
      <c r="AH52" s="9">
        <f t="shared" si="10"/>
        <v>0.23910064599121905</v>
      </c>
      <c r="AI52" s="9">
        <f t="shared" si="11"/>
        <v>5.7169118913418256E-2</v>
      </c>
      <c r="AJ52" s="9">
        <f t="shared" si="12"/>
        <v>0.13096366697830672</v>
      </c>
      <c r="AK52" s="9">
        <f t="shared" si="13"/>
        <v>1.7151482068404826E-2</v>
      </c>
      <c r="AL52" s="9">
        <f t="shared" si="14"/>
        <v>6.1342839673454979E-3</v>
      </c>
      <c r="AM52" s="9">
        <f t="shared" si="15"/>
        <v>3.7629439792032024E-5</v>
      </c>
      <c r="AN52" s="9" t="s">
        <v>4501</v>
      </c>
    </row>
    <row r="53" spans="13:40" ht="23">
      <c r="M53" s="22" t="s">
        <v>5175</v>
      </c>
      <c r="N53" s="8" t="s">
        <v>150</v>
      </c>
      <c r="O53" s="8"/>
      <c r="P53" s="8" t="s">
        <v>4013</v>
      </c>
      <c r="Q53" s="8"/>
      <c r="R53" s="8"/>
      <c r="S53" s="8"/>
      <c r="T53" s="8"/>
      <c r="U53" s="8"/>
      <c r="V53" s="8"/>
      <c r="W53" s="22" t="s">
        <v>5175</v>
      </c>
      <c r="X53" s="8">
        <v>33.840000000000003</v>
      </c>
      <c r="Y53" s="8">
        <v>3.48</v>
      </c>
      <c r="Z53" s="9">
        <v>4.58</v>
      </c>
      <c r="AA53" s="8">
        <v>50.8</v>
      </c>
      <c r="AB53" s="8">
        <v>3798</v>
      </c>
      <c r="AC53" s="22" t="s">
        <v>5175</v>
      </c>
      <c r="AD53" s="8" t="s">
        <v>4003</v>
      </c>
      <c r="AE53" s="8" t="s">
        <v>4238</v>
      </c>
      <c r="AF53" s="9">
        <f t="shared" si="8"/>
        <v>176.78399999999999</v>
      </c>
      <c r="AG53" s="9">
        <f t="shared" si="9"/>
        <v>252.30666666666667</v>
      </c>
      <c r="AH53" s="9">
        <f t="shared" si="10"/>
        <v>0.23677023033828321</v>
      </c>
      <c r="AI53" s="9">
        <f t="shared" si="11"/>
        <v>5.6060141974443686E-2</v>
      </c>
      <c r="AJ53" s="9">
        <f t="shared" si="12"/>
        <v>0.24134305806353501</v>
      </c>
      <c r="AK53" s="9">
        <f t="shared" si="13"/>
        <v>5.8246471675458829E-2</v>
      </c>
      <c r="AL53" s="9">
        <f t="shared" si="14"/>
        <v>0.36203993922519723</v>
      </c>
      <c r="AM53" s="9">
        <f t="shared" si="15"/>
        <v>0.13107291759418449</v>
      </c>
      <c r="AN53" s="22" t="s">
        <v>5175</v>
      </c>
    </row>
    <row r="54" spans="13:40" ht="23">
      <c r="M54" s="9" t="s">
        <v>3663</v>
      </c>
      <c r="N54" s="8" t="s">
        <v>2107</v>
      </c>
      <c r="O54" s="8"/>
      <c r="P54" s="8" t="s">
        <v>4674</v>
      </c>
      <c r="Q54" s="8"/>
      <c r="R54" s="8"/>
      <c r="S54" s="8"/>
      <c r="T54" s="8"/>
      <c r="U54" s="8"/>
      <c r="V54" s="8"/>
      <c r="W54" s="9" t="s">
        <v>3663</v>
      </c>
      <c r="X54" s="8">
        <v>27.29</v>
      </c>
      <c r="Y54" s="8">
        <v>1.9</v>
      </c>
      <c r="Z54" s="9">
        <v>1.06</v>
      </c>
      <c r="AA54" s="8">
        <v>45.6</v>
      </c>
      <c r="AB54" s="8">
        <v>9340</v>
      </c>
      <c r="AC54" s="22" t="s">
        <v>3663</v>
      </c>
      <c r="AD54" s="8" t="s">
        <v>4003</v>
      </c>
      <c r="AE54" s="8" t="s">
        <v>4238</v>
      </c>
      <c r="AF54" s="9">
        <f t="shared" si="8"/>
        <v>86.64</v>
      </c>
      <c r="AG54" s="9">
        <f t="shared" si="9"/>
        <v>50.160000000000004</v>
      </c>
      <c r="AH54" s="9">
        <f t="shared" si="10"/>
        <v>0.21253390754775026</v>
      </c>
      <c r="AI54" s="9">
        <f t="shared" si="11"/>
        <v>4.5170661857515657E-2</v>
      </c>
      <c r="AJ54" s="9">
        <f t="shared" si="12"/>
        <v>0.11827972299882723</v>
      </c>
      <c r="AK54" s="9">
        <f t="shared" si="13"/>
        <v>1.3990092872679299E-2</v>
      </c>
      <c r="AL54" s="9">
        <f t="shared" si="14"/>
        <v>7.1975598550187189E-2</v>
      </c>
      <c r="AM54" s="9">
        <f t="shared" si="15"/>
        <v>5.1804867866577084E-3</v>
      </c>
      <c r="AN54" s="9" t="s">
        <v>3663</v>
      </c>
    </row>
    <row r="55" spans="13:40" ht="23">
      <c r="M55" s="9" t="s">
        <v>1809</v>
      </c>
      <c r="N55" s="8" t="s">
        <v>1717</v>
      </c>
      <c r="O55" s="8"/>
      <c r="P55" s="8" t="s">
        <v>3693</v>
      </c>
      <c r="Q55" s="8"/>
      <c r="R55" s="8"/>
      <c r="S55" s="8"/>
      <c r="T55" s="8"/>
      <c r="U55" s="8"/>
      <c r="V55" s="8"/>
      <c r="W55" s="9" t="s">
        <v>1809</v>
      </c>
      <c r="X55" s="8">
        <v>9.0500000000000007</v>
      </c>
      <c r="Y55" s="8">
        <v>6.3</v>
      </c>
      <c r="Z55" s="9">
        <v>7.58</v>
      </c>
      <c r="AA55" s="8">
        <v>39.9</v>
      </c>
      <c r="AB55" s="8">
        <v>3910</v>
      </c>
      <c r="AC55" s="22" t="s">
        <v>1809</v>
      </c>
      <c r="AD55" s="8" t="s">
        <v>4003</v>
      </c>
      <c r="AE55" s="8" t="s">
        <v>4238</v>
      </c>
      <c r="AF55" s="9">
        <f t="shared" si="8"/>
        <v>251.36999999999998</v>
      </c>
      <c r="AG55" s="9">
        <f t="shared" si="9"/>
        <v>317.87</v>
      </c>
      <c r="AH55" s="9">
        <f t="shared" si="10"/>
        <v>0.18596716910428149</v>
      </c>
      <c r="AI55" s="9">
        <f t="shared" si="11"/>
        <v>3.4583787984660427E-2</v>
      </c>
      <c r="AJ55" s="9">
        <f t="shared" si="12"/>
        <v>0.34316682791107106</v>
      </c>
      <c r="AK55" s="9">
        <f t="shared" si="13"/>
        <v>0.11776347177854665</v>
      </c>
      <c r="AL55" s="9">
        <f t="shared" si="14"/>
        <v>0.45611809232751199</v>
      </c>
      <c r="AM55" s="9">
        <f t="shared" si="15"/>
        <v>0.20804371414848877</v>
      </c>
      <c r="AN55" s="9" t="s">
        <v>1809</v>
      </c>
    </row>
    <row r="56" spans="13:40" ht="23">
      <c r="M56" s="9" t="s">
        <v>2152</v>
      </c>
      <c r="N56" s="8" t="s">
        <v>150</v>
      </c>
      <c r="O56" s="8"/>
      <c r="P56" s="8" t="s">
        <v>4013</v>
      </c>
      <c r="Q56" s="8"/>
      <c r="R56" s="8"/>
      <c r="S56" s="8"/>
      <c r="T56" s="8"/>
      <c r="U56" s="8"/>
      <c r="V56" s="8"/>
      <c r="W56" s="9" t="s">
        <v>2152</v>
      </c>
      <c r="X56" s="8">
        <v>14.43</v>
      </c>
      <c r="Y56" s="8">
        <v>10.029999999999999</v>
      </c>
      <c r="Z56" s="9">
        <v>12.02</v>
      </c>
      <c r="AA56" s="8">
        <v>39.6</v>
      </c>
      <c r="AB56" s="8">
        <v>2093</v>
      </c>
      <c r="AC56" s="22" t="s">
        <v>2152</v>
      </c>
      <c r="AD56" s="8" t="s">
        <v>4003</v>
      </c>
      <c r="AE56" s="8" t="s">
        <v>4238</v>
      </c>
      <c r="AF56" s="9">
        <f t="shared" si="8"/>
        <v>397.18799999999999</v>
      </c>
      <c r="AG56" s="9">
        <f t="shared" si="9"/>
        <v>476.52000000000004</v>
      </c>
      <c r="AH56" s="9">
        <f t="shared" si="10"/>
        <v>0.18456891971251999</v>
      </c>
      <c r="AI56" s="9">
        <f t="shared" si="11"/>
        <v>3.4065686123846646E-2</v>
      </c>
      <c r="AJ56" s="9">
        <f t="shared" si="12"/>
        <v>0.54223553345404185</v>
      </c>
      <c r="AK56" s="9">
        <f t="shared" si="13"/>
        <v>0.29401937374018933</v>
      </c>
      <c r="AL56" s="9">
        <f t="shared" si="14"/>
        <v>0.68376818622677837</v>
      </c>
      <c r="AM56" s="9">
        <f t="shared" si="15"/>
        <v>0.46753893249585826</v>
      </c>
      <c r="AN56" s="9" t="s">
        <v>2152</v>
      </c>
    </row>
    <row r="57" spans="13:40" ht="23">
      <c r="M57" s="22" t="s">
        <v>5165</v>
      </c>
      <c r="N57" s="8" t="s">
        <v>150</v>
      </c>
      <c r="O57" s="8"/>
      <c r="P57" s="8"/>
      <c r="Q57" s="8"/>
      <c r="R57" s="8"/>
      <c r="S57" s="8"/>
      <c r="T57" s="8"/>
      <c r="U57" s="8"/>
      <c r="V57" s="8"/>
      <c r="W57" s="22" t="s">
        <v>5165</v>
      </c>
      <c r="X57" s="8">
        <v>3.4</v>
      </c>
      <c r="Y57" s="8">
        <v>1.45</v>
      </c>
      <c r="Z57" s="9">
        <v>0.17</v>
      </c>
      <c r="AA57" s="8">
        <v>38.700000000000003</v>
      </c>
      <c r="AB57" s="8">
        <v>21054</v>
      </c>
      <c r="AC57" s="22" t="s">
        <v>5165</v>
      </c>
      <c r="AD57" s="8" t="s">
        <v>4003</v>
      </c>
      <c r="AE57" s="8" t="s">
        <v>4238</v>
      </c>
      <c r="AF57" s="9">
        <f t="shared" si="8"/>
        <v>56.115000000000002</v>
      </c>
      <c r="AG57" s="9">
        <f t="shared" si="9"/>
        <v>10.965</v>
      </c>
      <c r="AH57" s="9">
        <f t="shared" si="10"/>
        <v>0.18037417153723545</v>
      </c>
      <c r="AI57" s="9">
        <f t="shared" si="11"/>
        <v>3.2534841757744036E-2</v>
      </c>
      <c r="AJ57" s="9">
        <f t="shared" si="12"/>
        <v>7.6607417544773654E-2</v>
      </c>
      <c r="AK57" s="9">
        <f t="shared" si="13"/>
        <v>5.8686964228792946E-3</v>
      </c>
      <c r="AL57" s="9">
        <f t="shared" si="14"/>
        <v>1.573390028115635E-2</v>
      </c>
      <c r="AM57" s="9">
        <f t="shared" si="15"/>
        <v>2.4755561805737188E-4</v>
      </c>
      <c r="AN57" s="22" t="s">
        <v>5165</v>
      </c>
    </row>
    <row r="58" spans="13:40" ht="23">
      <c r="M58" s="8" t="s">
        <v>2063</v>
      </c>
      <c r="N58" s="8" t="s">
        <v>2041</v>
      </c>
      <c r="O58" s="8"/>
      <c r="P58" s="8"/>
      <c r="Q58" s="8"/>
      <c r="R58" s="8"/>
      <c r="S58" s="8"/>
      <c r="T58" s="8"/>
      <c r="U58" s="8"/>
      <c r="V58" s="8"/>
      <c r="W58" s="8" t="s">
        <v>2063</v>
      </c>
      <c r="X58" s="8">
        <v>14.17</v>
      </c>
      <c r="Y58" s="8">
        <v>3.57</v>
      </c>
      <c r="Z58" s="9">
        <v>1.35</v>
      </c>
      <c r="AA58" s="8">
        <v>37.200000000000003</v>
      </c>
      <c r="AB58" s="8">
        <v>15729</v>
      </c>
      <c r="AC58" s="21" t="s">
        <v>2063</v>
      </c>
      <c r="AD58" s="8" t="s">
        <v>4003</v>
      </c>
      <c r="AE58" s="8" t="s">
        <v>4238</v>
      </c>
      <c r="AF58" s="9">
        <f t="shared" si="8"/>
        <v>132.804</v>
      </c>
      <c r="AG58" s="9">
        <f t="shared" si="9"/>
        <v>58.900000000000013</v>
      </c>
      <c r="AH58" s="9">
        <f t="shared" si="10"/>
        <v>0.17338292457842785</v>
      </c>
      <c r="AI58" s="9">
        <f t="shared" si="11"/>
        <v>3.0061638535368803E-2</v>
      </c>
      <c r="AJ58" s="9">
        <f t="shared" si="12"/>
        <v>0.18130217374349319</v>
      </c>
      <c r="AK58" s="9">
        <f t="shared" si="13"/>
        <v>3.2870478204115795E-2</v>
      </c>
      <c r="AL58" s="9">
        <f t="shared" si="14"/>
        <v>8.451680132787133E-2</v>
      </c>
      <c r="AM58" s="9">
        <f t="shared" si="15"/>
        <v>7.1430897066948728E-3</v>
      </c>
      <c r="AN58" s="8" t="s">
        <v>2063</v>
      </c>
    </row>
    <row r="59" spans="13:40" ht="23">
      <c r="M59" s="9" t="s">
        <v>2523</v>
      </c>
      <c r="N59" s="8" t="s">
        <v>150</v>
      </c>
      <c r="O59" s="8"/>
      <c r="P59" s="8"/>
      <c r="Q59" s="8"/>
      <c r="R59" s="8"/>
      <c r="S59" s="8"/>
      <c r="T59" s="8"/>
      <c r="U59" s="8"/>
      <c r="V59" s="8"/>
      <c r="W59" s="9" t="s">
        <v>2523</v>
      </c>
      <c r="X59" s="8">
        <v>6.4</v>
      </c>
      <c r="Y59" s="8">
        <v>3.22</v>
      </c>
      <c r="Z59" s="9">
        <v>1.1100000000000001</v>
      </c>
      <c r="AA59" s="8">
        <v>24.3</v>
      </c>
      <c r="AB59" s="8">
        <v>12762</v>
      </c>
      <c r="AC59" s="22" t="s">
        <v>2523</v>
      </c>
      <c r="AD59" s="8" t="s">
        <v>4003</v>
      </c>
      <c r="AE59" s="8" t="s">
        <v>4238</v>
      </c>
      <c r="AF59" s="9">
        <f t="shared" si="8"/>
        <v>78.246000000000009</v>
      </c>
      <c r="AG59" s="9">
        <f t="shared" si="9"/>
        <v>28.755000000000003</v>
      </c>
      <c r="AH59" s="9">
        <f t="shared" si="10"/>
        <v>0.11325820073268271</v>
      </c>
      <c r="AI59" s="9">
        <f t="shared" si="11"/>
        <v>1.282742003320465E-2</v>
      </c>
      <c r="AJ59" s="9">
        <f t="shared" si="12"/>
        <v>0.10682035094374694</v>
      </c>
      <c r="AK59" s="9">
        <f t="shared" si="13"/>
        <v>1.1410587375745258E-2</v>
      </c>
      <c r="AL59" s="9">
        <f t="shared" si="14"/>
        <v>4.1261131106671303E-2</v>
      </c>
      <c r="AM59" s="9">
        <f t="shared" si="15"/>
        <v>1.7024809402019182E-3</v>
      </c>
      <c r="AN59" s="9" t="s">
        <v>2523</v>
      </c>
    </row>
    <row r="60" spans="13:40" ht="23">
      <c r="M60" s="8" t="s">
        <v>2108</v>
      </c>
      <c r="N60" s="8" t="s">
        <v>2107</v>
      </c>
      <c r="O60" s="8"/>
      <c r="P60" s="8" t="s">
        <v>3691</v>
      </c>
      <c r="Q60" s="8"/>
      <c r="R60" s="8"/>
      <c r="S60" s="8"/>
      <c r="T60" s="8"/>
      <c r="U60" s="8"/>
      <c r="V60" s="8"/>
      <c r="W60" s="8" t="s">
        <v>2108</v>
      </c>
      <c r="X60" s="8">
        <v>28.7</v>
      </c>
      <c r="Y60" s="8">
        <v>3.8</v>
      </c>
      <c r="Z60" s="9">
        <v>3.19</v>
      </c>
      <c r="AA60" s="8">
        <v>23.7</v>
      </c>
      <c r="AB60" s="8">
        <v>6662</v>
      </c>
      <c r="AC60" s="21" t="s">
        <v>2108</v>
      </c>
      <c r="AD60" s="8" t="s">
        <v>4003</v>
      </c>
      <c r="AE60" s="8" t="s">
        <v>4238</v>
      </c>
      <c r="AF60" s="9">
        <f t="shared" si="8"/>
        <v>90.059999999999988</v>
      </c>
      <c r="AG60" s="9">
        <f t="shared" si="9"/>
        <v>78.60499999999999</v>
      </c>
      <c r="AH60" s="9">
        <f t="shared" si="10"/>
        <v>0.11046170194915968</v>
      </c>
      <c r="AI60" s="9">
        <f t="shared" si="11"/>
        <v>1.2201787597504987E-2</v>
      </c>
      <c r="AJ60" s="9">
        <f t="shared" si="12"/>
        <v>0.12294865943299144</v>
      </c>
      <c r="AK60" s="9">
        <f t="shared" si="13"/>
        <v>1.5116372856369714E-2</v>
      </c>
      <c r="AL60" s="9">
        <f t="shared" si="14"/>
        <v>0.11279190438671179</v>
      </c>
      <c r="AM60" s="9">
        <f t="shared" si="15"/>
        <v>1.2722013695181134E-2</v>
      </c>
      <c r="AN60" s="8" t="s">
        <v>2108</v>
      </c>
    </row>
    <row r="61" spans="13:40" ht="23">
      <c r="M61" s="9" t="s">
        <v>3652</v>
      </c>
      <c r="N61" s="8" t="s">
        <v>2107</v>
      </c>
      <c r="O61" s="8"/>
      <c r="P61" s="8"/>
      <c r="Q61" s="8"/>
      <c r="R61" s="8"/>
      <c r="S61" s="8"/>
      <c r="T61" s="8"/>
      <c r="U61" s="8"/>
      <c r="V61" s="8"/>
      <c r="W61" s="9" t="s">
        <v>3652</v>
      </c>
      <c r="X61" s="8">
        <v>24.38</v>
      </c>
      <c r="Y61" s="8">
        <v>3.52</v>
      </c>
      <c r="Z61" s="9">
        <v>2.14</v>
      </c>
      <c r="AA61" s="8">
        <v>19.100000000000001</v>
      </c>
      <c r="AB61" s="8">
        <v>10661</v>
      </c>
      <c r="AC61" s="22" t="s">
        <v>3652</v>
      </c>
      <c r="AD61" s="8" t="s">
        <v>4003</v>
      </c>
      <c r="AE61" s="8" t="s">
        <v>4238</v>
      </c>
      <c r="AF61" s="9">
        <f t="shared" si="8"/>
        <v>67.231999999999999</v>
      </c>
      <c r="AG61" s="9">
        <f t="shared" si="9"/>
        <v>42.656666666666673</v>
      </c>
      <c r="AH61" s="9">
        <f t="shared" si="10"/>
        <v>8.9021877942149802E-2</v>
      </c>
      <c r="AI61" s="9">
        <f t="shared" si="11"/>
        <v>7.9248947523470181E-3</v>
      </c>
      <c r="AJ61" s="9">
        <f t="shared" si="12"/>
        <v>9.1784191327991135E-2</v>
      </c>
      <c r="AK61" s="9">
        <f t="shared" si="13"/>
        <v>8.4243377777332828E-3</v>
      </c>
      <c r="AL61" s="9">
        <f t="shared" si="14"/>
        <v>6.1208913785668895E-2</v>
      </c>
      <c r="AM61" s="9">
        <f t="shared" si="15"/>
        <v>3.7465311268214479E-3</v>
      </c>
      <c r="AN61" s="9" t="s">
        <v>3652</v>
      </c>
    </row>
    <row r="62" spans="13:40" ht="23">
      <c r="M62" s="8" t="s">
        <v>852</v>
      </c>
      <c r="N62" s="8" t="s">
        <v>150</v>
      </c>
      <c r="O62" s="8"/>
      <c r="P62" s="8"/>
      <c r="Q62" s="8"/>
      <c r="R62" s="8"/>
      <c r="S62" s="8"/>
      <c r="T62" s="8"/>
      <c r="U62" s="8"/>
      <c r="V62" s="8"/>
      <c r="W62" s="8" t="s">
        <v>852</v>
      </c>
      <c r="X62" s="8">
        <v>25.4</v>
      </c>
      <c r="Y62" s="8">
        <v>4.34</v>
      </c>
      <c r="Z62" s="9">
        <v>3.03</v>
      </c>
      <c r="AA62" s="8">
        <v>19</v>
      </c>
      <c r="AB62" s="8">
        <v>5474</v>
      </c>
      <c r="AC62" s="21" t="s">
        <v>852</v>
      </c>
      <c r="AD62" s="8" t="s">
        <v>4003</v>
      </c>
      <c r="AE62" s="8" t="s">
        <v>4238</v>
      </c>
      <c r="AF62" s="9">
        <f t="shared" si="8"/>
        <v>82.46</v>
      </c>
      <c r="AG62" s="9">
        <f t="shared" si="9"/>
        <v>57.949999999999996</v>
      </c>
      <c r="AH62" s="9">
        <f t="shared" si="10"/>
        <v>8.8555794811562616E-2</v>
      </c>
      <c r="AI62" s="9">
        <f t="shared" si="11"/>
        <v>7.8421287947075796E-3</v>
      </c>
      <c r="AJ62" s="9">
        <f t="shared" si="12"/>
        <v>0.11257324513484869</v>
      </c>
      <c r="AK62" s="9">
        <f t="shared" si="13"/>
        <v>1.2672735520190733E-2</v>
      </c>
      <c r="AL62" s="9">
        <f t="shared" si="14"/>
        <v>8.3153627112905637E-2</v>
      </c>
      <c r="AM62" s="9">
        <f t="shared" si="15"/>
        <v>6.9145257020321559E-3</v>
      </c>
      <c r="AN62" s="8" t="s">
        <v>852</v>
      </c>
    </row>
    <row r="63" spans="13:40" ht="23">
      <c r="M63" s="9" t="s">
        <v>4266</v>
      </c>
      <c r="N63" s="8" t="s">
        <v>150</v>
      </c>
      <c r="O63" s="8"/>
      <c r="P63" s="8" t="s">
        <v>3691</v>
      </c>
      <c r="Q63" s="8"/>
      <c r="R63" s="8"/>
      <c r="S63" s="8"/>
      <c r="T63" s="8"/>
      <c r="U63" s="8"/>
      <c r="V63" s="8"/>
      <c r="W63" s="9" t="s">
        <v>4266</v>
      </c>
      <c r="X63" s="8">
        <v>42.27</v>
      </c>
      <c r="Y63" s="8">
        <v>2.0099999999999998</v>
      </c>
      <c r="Z63" s="8">
        <v>1.38</v>
      </c>
      <c r="AA63" s="8">
        <v>18.600000000000001</v>
      </c>
      <c r="AB63" s="8">
        <v>15084</v>
      </c>
      <c r="AC63" s="22" t="s">
        <v>4266</v>
      </c>
      <c r="AD63" s="8" t="s">
        <v>4003</v>
      </c>
      <c r="AE63" s="8" t="s">
        <v>4239</v>
      </c>
      <c r="AF63" s="9">
        <f t="shared" si="8"/>
        <v>37.385999999999996</v>
      </c>
      <c r="AG63" s="9">
        <f t="shared" si="9"/>
        <v>30.380000000000003</v>
      </c>
      <c r="AH63" s="9">
        <f t="shared" si="10"/>
        <v>8.6691462289213927E-2</v>
      </c>
      <c r="AI63" s="9">
        <f t="shared" si="11"/>
        <v>7.5154096338422008E-3</v>
      </c>
      <c r="AJ63" s="9">
        <f t="shared" si="12"/>
        <v>5.1038847230311109E-2</v>
      </c>
      <c r="AK63" s="9">
        <f t="shared" si="13"/>
        <v>2.6049639265990359E-3</v>
      </c>
      <c r="AL63" s="9">
        <f t="shared" si="14"/>
        <v>4.3592876474375736E-2</v>
      </c>
      <c r="AM63" s="9">
        <f t="shared" si="15"/>
        <v>1.9003388793101814E-3</v>
      </c>
      <c r="AN63" s="9" t="s">
        <v>4266</v>
      </c>
    </row>
    <row r="64" spans="13:40" ht="23">
      <c r="M64" s="8" t="s">
        <v>2056</v>
      </c>
      <c r="N64" s="8" t="s">
        <v>2041</v>
      </c>
      <c r="O64" s="8"/>
      <c r="P64" s="8"/>
      <c r="Q64" s="8"/>
      <c r="R64" s="8"/>
      <c r="S64" s="8"/>
      <c r="T64" s="8"/>
      <c r="U64" s="8"/>
      <c r="V64" s="8"/>
      <c r="W64" s="8" t="s">
        <v>2056</v>
      </c>
      <c r="X64" s="8">
        <v>35.380000000000003</v>
      </c>
      <c r="Y64" s="8">
        <v>1.36</v>
      </c>
      <c r="Z64" s="9">
        <v>0.35</v>
      </c>
      <c r="AA64" s="8">
        <v>16.2</v>
      </c>
      <c r="AB64" s="8">
        <v>26579</v>
      </c>
      <c r="AC64" s="21" t="s">
        <v>2056</v>
      </c>
      <c r="AD64" s="8" t="s">
        <v>4003</v>
      </c>
      <c r="AE64" s="8" t="s">
        <v>4238</v>
      </c>
      <c r="AF64" s="9">
        <f t="shared" si="8"/>
        <v>22.032</v>
      </c>
      <c r="AG64" s="9">
        <f t="shared" si="9"/>
        <v>9.4500000000000011</v>
      </c>
      <c r="AH64" s="9">
        <f t="shared" si="10"/>
        <v>7.5505467155121811E-2</v>
      </c>
      <c r="AI64" s="9">
        <f t="shared" si="11"/>
        <v>5.7010755703131785E-3</v>
      </c>
      <c r="AJ64" s="9">
        <f t="shared" si="12"/>
        <v>3.0077779975879057E-2</v>
      </c>
      <c r="AK64" s="9">
        <f t="shared" si="13"/>
        <v>9.0467284827739118E-4</v>
      </c>
      <c r="AL64" s="9">
        <f t="shared" si="14"/>
        <v>1.3559996138342684E-2</v>
      </c>
      <c r="AM64" s="9">
        <f t="shared" si="15"/>
        <v>1.838734952718685E-4</v>
      </c>
      <c r="AN64" s="8" t="s">
        <v>2056</v>
      </c>
    </row>
    <row r="65" spans="13:40" ht="23">
      <c r="M65" s="22" t="s">
        <v>5164</v>
      </c>
      <c r="N65" s="8" t="s">
        <v>150</v>
      </c>
      <c r="O65" s="8"/>
      <c r="P65" s="8"/>
      <c r="Q65" s="8"/>
      <c r="R65" s="8"/>
      <c r="S65" s="8"/>
      <c r="T65" s="8"/>
      <c r="U65" s="8"/>
      <c r="V65" s="8"/>
      <c r="W65" s="22" t="s">
        <v>5164</v>
      </c>
      <c r="X65" s="8">
        <v>10.91</v>
      </c>
      <c r="Y65" s="8">
        <v>5.97</v>
      </c>
      <c r="Z65" s="9">
        <v>2.36</v>
      </c>
      <c r="AA65" s="8">
        <v>15.1</v>
      </c>
      <c r="AB65" s="8">
        <v>7646</v>
      </c>
      <c r="AC65" s="22" t="s">
        <v>5164</v>
      </c>
      <c r="AD65" s="8" t="s">
        <v>4003</v>
      </c>
      <c r="AE65" s="8" t="s">
        <v>4238</v>
      </c>
      <c r="AF65" s="9">
        <f t="shared" si="8"/>
        <v>90.146999999999991</v>
      </c>
      <c r="AG65" s="9">
        <f t="shared" si="9"/>
        <v>39.26</v>
      </c>
      <c r="AH65" s="9">
        <f t="shared" si="10"/>
        <v>7.0378552718662918E-2</v>
      </c>
      <c r="AI65" s="9">
        <f t="shared" si="11"/>
        <v>4.9531406827736154E-3</v>
      </c>
      <c r="AJ65" s="9">
        <f t="shared" si="12"/>
        <v>0.12306743062298334</v>
      </c>
      <c r="AK65" s="9">
        <f t="shared" si="13"/>
        <v>1.5145592480142817E-2</v>
      </c>
      <c r="AL65" s="9">
        <f t="shared" si="14"/>
        <v>5.6334968083739015E-2</v>
      </c>
      <c r="AM65" s="9">
        <f t="shared" si="15"/>
        <v>3.1736286289958935E-3</v>
      </c>
      <c r="AN65" s="22" t="s">
        <v>5164</v>
      </c>
    </row>
    <row r="66" spans="13:40" ht="23">
      <c r="M66" s="8" t="s">
        <v>1280</v>
      </c>
      <c r="N66" s="8" t="s">
        <v>150</v>
      </c>
      <c r="O66" s="8"/>
      <c r="P66" s="8" t="s">
        <v>4156</v>
      </c>
      <c r="Q66" s="8"/>
      <c r="R66" s="8"/>
      <c r="S66" s="8"/>
      <c r="T66" s="8"/>
      <c r="U66" s="8"/>
      <c r="V66" s="8"/>
      <c r="W66" s="8" t="s">
        <v>1280</v>
      </c>
      <c r="X66" s="8">
        <v>12.74</v>
      </c>
      <c r="Y66" s="8">
        <v>6.63</v>
      </c>
      <c r="Z66" s="9">
        <v>9.36</v>
      </c>
      <c r="AA66" s="8">
        <v>10.5</v>
      </c>
      <c r="AB66" s="8">
        <v>8261</v>
      </c>
      <c r="AC66" s="21" t="s">
        <v>1280</v>
      </c>
      <c r="AD66" s="8" t="s">
        <v>4003</v>
      </c>
      <c r="AE66" s="8" t="s">
        <v>4238</v>
      </c>
      <c r="AF66" s="9">
        <f t="shared" ref="AF66:AF100" si="16">(AA66*Y66)</f>
        <v>69.614999999999995</v>
      </c>
      <c r="AG66" s="9">
        <f t="shared" ref="AG66:AG100" si="17">((((RIGHT(Z66,2))/60)+(LEFT(Z66,2)))*AA66)</f>
        <v>100.8</v>
      </c>
      <c r="AH66" s="9">
        <f t="shared" ref="AH66:AH100" si="18">(AA66/$AA$101)*100</f>
        <v>4.8938728711653015E-2</v>
      </c>
      <c r="AI66" s="9">
        <f t="shared" ref="AI66:AI97" si="19">(AH66*AH66)</f>
        <v>2.394999167912771E-3</v>
      </c>
      <c r="AJ66" s="9">
        <f t="shared" ref="AJ66:AJ100" si="20">(AF66/$AF$101)*100</f>
        <v>9.5037429784895613E-2</v>
      </c>
      <c r="AK66" s="9">
        <f t="shared" ref="AK66:AK97" si="21">(AJ66*AJ66)</f>
        <v>9.0321130601189632E-3</v>
      </c>
      <c r="AL66" s="9">
        <f t="shared" ref="AL66:AL100" si="22">(AG66/$AG$101)*100</f>
        <v>0.14463995880898858</v>
      </c>
      <c r="AM66" s="9">
        <f t="shared" ref="AM66:AM97" si="23">(AL66*AL66)</f>
        <v>2.0920717684265913E-2</v>
      </c>
      <c r="AN66" s="8" t="s">
        <v>1280</v>
      </c>
    </row>
    <row r="67" spans="13:40" ht="23">
      <c r="M67" s="9" t="s">
        <v>2966</v>
      </c>
      <c r="N67" s="8" t="s">
        <v>1717</v>
      </c>
      <c r="O67" s="8"/>
      <c r="P67" s="8" t="s">
        <v>3692</v>
      </c>
      <c r="Q67" s="8"/>
      <c r="R67" s="8"/>
      <c r="S67" s="8"/>
      <c r="T67" s="8"/>
      <c r="U67" s="8"/>
      <c r="V67" s="8"/>
      <c r="W67" s="9" t="s">
        <v>2966</v>
      </c>
      <c r="X67" s="8">
        <v>27.6</v>
      </c>
      <c r="Y67" s="8">
        <v>8.0299999999999994</v>
      </c>
      <c r="Z67" s="9">
        <v>8.43</v>
      </c>
      <c r="AA67" s="8">
        <v>10.4</v>
      </c>
      <c r="AB67" s="8">
        <v>6683</v>
      </c>
      <c r="AC67" s="22" t="s">
        <v>2966</v>
      </c>
      <c r="AD67" s="8" t="s">
        <v>4003</v>
      </c>
      <c r="AE67" s="8" t="s">
        <v>4238</v>
      </c>
      <c r="AF67" s="9">
        <f t="shared" si="16"/>
        <v>83.512</v>
      </c>
      <c r="AG67" s="9">
        <f t="shared" si="17"/>
        <v>90.653333333333336</v>
      </c>
      <c r="AH67" s="9">
        <f t="shared" si="18"/>
        <v>4.847264558106585E-2</v>
      </c>
      <c r="AI67" s="9">
        <f t="shared" si="19"/>
        <v>2.3495973696276225E-3</v>
      </c>
      <c r="AJ67" s="9">
        <f t="shared" si="20"/>
        <v>0.11400942090348638</v>
      </c>
      <c r="AK67" s="9">
        <f t="shared" si="21"/>
        <v>1.2998148054748318E-2</v>
      </c>
      <c r="AL67" s="9">
        <f t="shared" si="22"/>
        <v>0.1300803015796711</v>
      </c>
      <c r="AM67" s="9">
        <f t="shared" si="23"/>
        <v>1.6920884859058183E-2</v>
      </c>
      <c r="AN67" s="9" t="s">
        <v>2966</v>
      </c>
    </row>
    <row r="68" spans="13:40" ht="23">
      <c r="M68" s="9" t="s">
        <v>2988</v>
      </c>
      <c r="N68" s="8" t="s">
        <v>1717</v>
      </c>
      <c r="O68" s="8"/>
      <c r="P68" s="8"/>
      <c r="Q68" s="8"/>
      <c r="R68" s="8"/>
      <c r="S68" s="8"/>
      <c r="T68" s="8"/>
      <c r="U68" s="8"/>
      <c r="V68" s="8"/>
      <c r="W68" s="9" t="s">
        <v>2988</v>
      </c>
      <c r="X68" s="8">
        <v>34.31</v>
      </c>
      <c r="Y68" s="8">
        <v>3.18</v>
      </c>
      <c r="Z68" s="9">
        <v>1.1499999999999999</v>
      </c>
      <c r="AA68" s="8">
        <v>9.1999999999999993</v>
      </c>
      <c r="AB68" s="8">
        <v>14770</v>
      </c>
      <c r="AC68" s="22" t="s">
        <v>2988</v>
      </c>
      <c r="AD68" s="8" t="s">
        <v>4003</v>
      </c>
      <c r="AE68" s="8" t="s">
        <v>4238</v>
      </c>
      <c r="AF68" s="9">
        <f t="shared" si="16"/>
        <v>29.256</v>
      </c>
      <c r="AG68" s="9">
        <f t="shared" si="17"/>
        <v>11.5</v>
      </c>
      <c r="AH68" s="9">
        <f t="shared" si="18"/>
        <v>4.2879648014019792E-2</v>
      </c>
      <c r="AI68" s="9">
        <f t="shared" si="19"/>
        <v>1.8386642138062315E-3</v>
      </c>
      <c r="AJ68" s="9">
        <f t="shared" si="20"/>
        <v>3.9939884303482102E-2</v>
      </c>
      <c r="AK68" s="9">
        <f t="shared" si="21"/>
        <v>1.595194358175536E-3</v>
      </c>
      <c r="AL68" s="9">
        <f t="shared" si="22"/>
        <v>1.6501582602215962E-2</v>
      </c>
      <c r="AM68" s="9">
        <f t="shared" si="23"/>
        <v>2.7230222837775652E-4</v>
      </c>
      <c r="AN68" s="9" t="s">
        <v>2988</v>
      </c>
    </row>
    <row r="69" spans="13:40" ht="23">
      <c r="M69" s="9" t="s">
        <v>3090</v>
      </c>
      <c r="N69" s="8" t="s">
        <v>1814</v>
      </c>
      <c r="O69" s="8"/>
      <c r="P69" s="8"/>
      <c r="Q69" s="8"/>
      <c r="R69" s="8"/>
      <c r="S69" s="8"/>
      <c r="T69" s="8"/>
      <c r="U69" s="8"/>
      <c r="V69" s="8"/>
      <c r="W69" s="9" t="s">
        <v>3090</v>
      </c>
      <c r="X69" s="8">
        <v>83.08</v>
      </c>
      <c r="Y69" s="8">
        <v>1.54</v>
      </c>
      <c r="Z69" s="9">
        <v>1.58</v>
      </c>
      <c r="AA69" s="8">
        <v>9</v>
      </c>
      <c r="AB69" s="8">
        <v>31834</v>
      </c>
      <c r="AC69" s="22" t="s">
        <v>3090</v>
      </c>
      <c r="AD69" s="8" t="s">
        <v>4003</v>
      </c>
      <c r="AE69" s="8" t="s">
        <v>4238</v>
      </c>
      <c r="AF69" s="9">
        <f t="shared" si="16"/>
        <v>13.86</v>
      </c>
      <c r="AG69" s="9">
        <f t="shared" si="17"/>
        <v>17.700000000000003</v>
      </c>
      <c r="AH69" s="9">
        <f t="shared" si="18"/>
        <v>4.1947481752845447E-2</v>
      </c>
      <c r="AI69" s="9">
        <f t="shared" si="19"/>
        <v>1.7595912254053019E-3</v>
      </c>
      <c r="AJ69" s="9">
        <f t="shared" si="20"/>
        <v>1.8921479233191887E-2</v>
      </c>
      <c r="AK69" s="9">
        <f t="shared" si="21"/>
        <v>3.5802237637211186E-4</v>
      </c>
      <c r="AL69" s="9">
        <f t="shared" si="22"/>
        <v>2.539808800514979E-2</v>
      </c>
      <c r="AM69" s="9">
        <f t="shared" si="23"/>
        <v>6.4506287431733366E-4</v>
      </c>
      <c r="AN69" s="9" t="s">
        <v>3090</v>
      </c>
    </row>
    <row r="70" spans="13:40" ht="23">
      <c r="M70" s="9" t="s">
        <v>2926</v>
      </c>
      <c r="N70" s="8" t="s">
        <v>1717</v>
      </c>
      <c r="O70" s="8"/>
      <c r="P70" s="8" t="s">
        <v>3691</v>
      </c>
      <c r="Q70" s="8"/>
      <c r="R70" s="8"/>
      <c r="S70" s="8"/>
      <c r="T70" s="8"/>
      <c r="U70" s="8"/>
      <c r="V70" s="8"/>
      <c r="W70" s="9" t="s">
        <v>2926</v>
      </c>
      <c r="X70" s="8">
        <v>72.13</v>
      </c>
      <c r="Y70" s="8">
        <v>2.25</v>
      </c>
      <c r="Z70" s="9">
        <v>3.41</v>
      </c>
      <c r="AA70" s="8">
        <v>7.7</v>
      </c>
      <c r="AB70" s="8">
        <v>19344</v>
      </c>
      <c r="AC70" s="22" t="s">
        <v>2926</v>
      </c>
      <c r="AD70" s="8" t="s">
        <v>4003</v>
      </c>
      <c r="AE70" s="8" t="s">
        <v>4238</v>
      </c>
      <c r="AF70" s="9">
        <f t="shared" si="16"/>
        <v>17.324999999999999</v>
      </c>
      <c r="AG70" s="9">
        <f t="shared" si="17"/>
        <v>28.361666666666668</v>
      </c>
      <c r="AH70" s="9">
        <f t="shared" si="18"/>
        <v>3.5888401055212217E-2</v>
      </c>
      <c r="AI70" s="9">
        <f t="shared" si="19"/>
        <v>1.2879773302997574E-3</v>
      </c>
      <c r="AJ70" s="9">
        <f t="shared" si="20"/>
        <v>2.3651849041489863E-2</v>
      </c>
      <c r="AK70" s="9">
        <f t="shared" si="21"/>
        <v>5.5940996308142491E-4</v>
      </c>
      <c r="AL70" s="9">
        <f t="shared" si="22"/>
        <v>4.069672915100131E-2</v>
      </c>
      <c r="AM70" s="9">
        <f t="shared" si="23"/>
        <v>1.6562237635899598E-3</v>
      </c>
      <c r="AN70" s="9" t="s">
        <v>2926</v>
      </c>
    </row>
    <row r="71" spans="13:40" ht="23">
      <c r="M71" s="9" t="s">
        <v>4049</v>
      </c>
      <c r="N71" s="8"/>
      <c r="O71" s="8"/>
      <c r="P71" s="8" t="s">
        <v>3691</v>
      </c>
      <c r="Q71" s="8"/>
      <c r="R71" s="8"/>
      <c r="S71" s="8"/>
      <c r="T71" s="8"/>
      <c r="U71" s="8"/>
      <c r="V71" s="8"/>
      <c r="W71" s="9" t="s">
        <v>4049</v>
      </c>
      <c r="X71" s="8">
        <v>28.27</v>
      </c>
      <c r="Y71" s="8">
        <v>5.53</v>
      </c>
      <c r="Z71" s="9">
        <v>7.47</v>
      </c>
      <c r="AA71" s="8">
        <v>7.4</v>
      </c>
      <c r="AB71" s="8">
        <v>11801</v>
      </c>
      <c r="AC71" s="22" t="s">
        <v>4049</v>
      </c>
      <c r="AD71" s="8" t="s">
        <v>4003</v>
      </c>
      <c r="AE71" s="8" t="s">
        <v>4238</v>
      </c>
      <c r="AF71" s="9">
        <f t="shared" si="16"/>
        <v>40.922000000000004</v>
      </c>
      <c r="AG71" s="9">
        <f t="shared" si="17"/>
        <v>57.596666666666671</v>
      </c>
      <c r="AH71" s="9">
        <f t="shared" si="18"/>
        <v>3.4490151663450701E-2</v>
      </c>
      <c r="AI71" s="9">
        <f t="shared" si="19"/>
        <v>1.1895705617678311E-3</v>
      </c>
      <c r="AJ71" s="9">
        <f t="shared" si="20"/>
        <v>5.5866145251131205E-2</v>
      </c>
      <c r="AK71" s="9">
        <f t="shared" si="21"/>
        <v>3.1210261852204898E-3</v>
      </c>
      <c r="AL71" s="9">
        <f t="shared" si="22"/>
        <v>8.2646621966286846E-2</v>
      </c>
      <c r="AM71" s="9">
        <f t="shared" si="23"/>
        <v>6.8304641224383273E-3</v>
      </c>
      <c r="AN71" s="9" t="s">
        <v>4049</v>
      </c>
    </row>
    <row r="72" spans="13:40" ht="23">
      <c r="M72" s="9" t="s">
        <v>3009</v>
      </c>
      <c r="N72" s="8" t="s">
        <v>1717</v>
      </c>
      <c r="O72" s="8"/>
      <c r="P72" s="8" t="s">
        <v>3691</v>
      </c>
      <c r="Q72" s="8"/>
      <c r="R72" s="8"/>
      <c r="S72" s="8"/>
      <c r="T72" s="8"/>
      <c r="U72" s="8"/>
      <c r="V72" s="8"/>
      <c r="W72" s="9" t="s">
        <v>3009</v>
      </c>
      <c r="X72" s="8">
        <v>54.02</v>
      </c>
      <c r="Y72" s="8">
        <v>4.12</v>
      </c>
      <c r="Z72" s="9">
        <v>5.07</v>
      </c>
      <c r="AA72" s="8">
        <v>5.3</v>
      </c>
      <c r="AB72" s="8">
        <v>18120</v>
      </c>
      <c r="AC72" s="22" t="s">
        <v>3009</v>
      </c>
      <c r="AD72" s="8" t="s">
        <v>4003</v>
      </c>
      <c r="AE72" s="8" t="s">
        <v>4238</v>
      </c>
      <c r="AF72" s="9">
        <f t="shared" si="16"/>
        <v>21.835999999999999</v>
      </c>
      <c r="AG72" s="9">
        <f t="shared" si="17"/>
        <v>27.118333333333329</v>
      </c>
      <c r="AH72" s="9">
        <f t="shared" si="18"/>
        <v>2.4702405921120097E-2</v>
      </c>
      <c r="AI72" s="9">
        <f t="shared" si="19"/>
        <v>6.102088582917892E-4</v>
      </c>
      <c r="AJ72" s="9">
        <f t="shared" si="20"/>
        <v>2.9810203501874317E-2</v>
      </c>
      <c r="AK72" s="9">
        <f t="shared" si="21"/>
        <v>8.8864823282315975E-4</v>
      </c>
      <c r="AL72" s="9">
        <f t="shared" si="22"/>
        <v>3.8912645002993608E-2</v>
      </c>
      <c r="AM72" s="9">
        <f t="shared" si="23"/>
        <v>1.5141939411290033E-3</v>
      </c>
      <c r="AN72" s="9" t="s">
        <v>3009</v>
      </c>
    </row>
    <row r="73" spans="13:40" ht="23">
      <c r="M73" s="8" t="s">
        <v>892</v>
      </c>
      <c r="N73" s="8" t="s">
        <v>150</v>
      </c>
      <c r="O73" s="8"/>
      <c r="P73" s="8"/>
      <c r="Q73" s="8"/>
      <c r="R73" s="8"/>
      <c r="S73" s="8"/>
      <c r="T73" s="8"/>
      <c r="U73" s="8"/>
      <c r="V73" s="8"/>
      <c r="W73" s="8" t="s">
        <v>892</v>
      </c>
      <c r="X73" s="8">
        <v>11.61</v>
      </c>
      <c r="Y73" s="8">
        <v>4.51</v>
      </c>
      <c r="Z73" s="9">
        <v>3.19</v>
      </c>
      <c r="AA73" s="8">
        <v>4.8</v>
      </c>
      <c r="AB73" s="8">
        <v>19076</v>
      </c>
      <c r="AC73" s="21" t="s">
        <v>892</v>
      </c>
      <c r="AD73" s="8" t="s">
        <v>4003</v>
      </c>
      <c r="AE73" s="8" t="s">
        <v>4238</v>
      </c>
      <c r="AF73" s="9">
        <f t="shared" si="16"/>
        <v>21.648</v>
      </c>
      <c r="AG73" s="9">
        <f t="shared" si="17"/>
        <v>15.919999999999998</v>
      </c>
      <c r="AH73" s="9">
        <f t="shared" si="18"/>
        <v>2.2371990268184237E-2</v>
      </c>
      <c r="AI73" s="9">
        <f t="shared" si="19"/>
        <v>5.0050594855973016E-4</v>
      </c>
      <c r="AJ73" s="9">
        <f t="shared" si="20"/>
        <v>2.9553548516604473E-2</v>
      </c>
      <c r="AK73" s="9">
        <f t="shared" si="21"/>
        <v>8.7341222992329444E-4</v>
      </c>
      <c r="AL73" s="9">
        <f t="shared" si="22"/>
        <v>2.2843930002372007E-2</v>
      </c>
      <c r="AM73" s="9">
        <f t="shared" si="23"/>
        <v>5.2184513795327191E-4</v>
      </c>
      <c r="AN73" s="8" t="s">
        <v>892</v>
      </c>
    </row>
    <row r="74" spans="13:40" ht="23">
      <c r="M74" s="9" t="s">
        <v>3674</v>
      </c>
      <c r="N74" s="8" t="s">
        <v>2107</v>
      </c>
      <c r="O74" s="8"/>
      <c r="P74" s="8" t="s">
        <v>3691</v>
      </c>
      <c r="Q74" s="8"/>
      <c r="R74" s="8"/>
      <c r="S74" s="8"/>
      <c r="T74" s="8"/>
      <c r="U74" s="8"/>
      <c r="V74" s="8"/>
      <c r="W74" s="9" t="s">
        <v>3674</v>
      </c>
      <c r="X74" s="8">
        <v>41.73</v>
      </c>
      <c r="Y74" s="8">
        <v>3.23</v>
      </c>
      <c r="Z74" s="9">
        <v>2.15</v>
      </c>
      <c r="AA74" s="8">
        <v>4.5999999999999996</v>
      </c>
      <c r="AB74" s="8">
        <v>19390</v>
      </c>
      <c r="AC74" s="22" t="s">
        <v>3674</v>
      </c>
      <c r="AD74" s="8" t="s">
        <v>4003</v>
      </c>
      <c r="AE74" s="8" t="s">
        <v>4238</v>
      </c>
      <c r="AF74" s="9">
        <f t="shared" si="16"/>
        <v>14.857999999999999</v>
      </c>
      <c r="AG74" s="9">
        <f t="shared" si="17"/>
        <v>10.35</v>
      </c>
      <c r="AH74" s="9">
        <f t="shared" si="18"/>
        <v>2.1439824007009896E-2</v>
      </c>
      <c r="AI74" s="9">
        <f t="shared" si="19"/>
        <v>4.5966605345155786E-4</v>
      </c>
      <c r="AJ74" s="9">
        <f t="shared" si="20"/>
        <v>2.0283934952869054E-2</v>
      </c>
      <c r="AK74" s="9">
        <f t="shared" si="21"/>
        <v>4.1143801717222293E-4</v>
      </c>
      <c r="AL74" s="9">
        <f t="shared" si="22"/>
        <v>1.4851424341994365E-2</v>
      </c>
      <c r="AM74" s="9">
        <f t="shared" si="23"/>
        <v>2.2056480498598276E-4</v>
      </c>
      <c r="AN74" s="9" t="s">
        <v>3674</v>
      </c>
    </row>
    <row r="75" spans="13:40" ht="23">
      <c r="M75" s="8" t="s">
        <v>1753</v>
      </c>
      <c r="N75" s="8" t="s">
        <v>1717</v>
      </c>
      <c r="O75" s="8"/>
      <c r="P75" s="8" t="s">
        <v>3691</v>
      </c>
      <c r="Q75" s="8"/>
      <c r="R75" s="8"/>
      <c r="S75" s="8"/>
      <c r="T75" s="8"/>
      <c r="U75" s="8"/>
      <c r="V75" s="8"/>
      <c r="W75" s="8" t="s">
        <v>1753</v>
      </c>
      <c r="X75" s="8">
        <v>42.5</v>
      </c>
      <c r="Y75" s="8">
        <v>3.3</v>
      </c>
      <c r="Z75" s="9">
        <v>2.2000000000000002</v>
      </c>
      <c r="AA75" s="8">
        <v>4.4000000000000004</v>
      </c>
      <c r="AB75" s="8">
        <v>22997</v>
      </c>
      <c r="AC75" s="21" t="s">
        <v>1753</v>
      </c>
      <c r="AD75" s="8" t="s">
        <v>4003</v>
      </c>
      <c r="AE75" s="8" t="s">
        <v>4239</v>
      </c>
      <c r="AF75" s="9">
        <f t="shared" si="16"/>
        <v>14.52</v>
      </c>
      <c r="AG75" s="9">
        <f t="shared" si="17"/>
        <v>8.8146666666666675</v>
      </c>
      <c r="AH75" s="9">
        <f t="shared" si="18"/>
        <v>2.0507657745835555E-2</v>
      </c>
      <c r="AI75" s="9">
        <f t="shared" si="19"/>
        <v>4.2056402622032903E-4</v>
      </c>
      <c r="AJ75" s="9">
        <f t="shared" si="20"/>
        <v>1.9822502053820072E-2</v>
      </c>
      <c r="AK75" s="9">
        <f t="shared" si="21"/>
        <v>3.92931587673701E-4</v>
      </c>
      <c r="AL75" s="9">
        <f t="shared" si="22"/>
        <v>1.2648343487913011E-2</v>
      </c>
      <c r="AM75" s="9">
        <f t="shared" si="23"/>
        <v>1.5998059298823149E-4</v>
      </c>
      <c r="AN75" s="8" t="s">
        <v>1753</v>
      </c>
    </row>
    <row r="76" spans="13:40" ht="23">
      <c r="M76" s="9" t="s">
        <v>3678</v>
      </c>
      <c r="N76" s="8" t="s">
        <v>2107</v>
      </c>
      <c r="O76" s="8"/>
      <c r="P76" s="8" t="s">
        <v>3691</v>
      </c>
      <c r="Q76" s="8"/>
      <c r="R76" s="8"/>
      <c r="S76" s="8"/>
      <c r="T76" s="8"/>
      <c r="U76" s="8"/>
      <c r="V76" s="8"/>
      <c r="W76" s="9" t="s">
        <v>3678</v>
      </c>
      <c r="X76" s="8">
        <v>29.62</v>
      </c>
      <c r="Y76" s="8">
        <v>5.49</v>
      </c>
      <c r="Z76" s="9">
        <v>4.1500000000000004</v>
      </c>
      <c r="AA76" s="8">
        <v>4.2</v>
      </c>
      <c r="AB76" s="8">
        <v>35222</v>
      </c>
      <c r="AC76" s="22" t="s">
        <v>3678</v>
      </c>
      <c r="AD76" s="8" t="s">
        <v>4003</v>
      </c>
      <c r="AE76" s="8" t="s">
        <v>4238</v>
      </c>
      <c r="AF76" s="9">
        <f t="shared" si="16"/>
        <v>23.058000000000003</v>
      </c>
      <c r="AG76" s="9">
        <f t="shared" si="17"/>
        <v>17.850000000000001</v>
      </c>
      <c r="AH76" s="9">
        <f t="shared" si="18"/>
        <v>1.9575491484661207E-2</v>
      </c>
      <c r="AI76" s="9">
        <f t="shared" si="19"/>
        <v>3.8319986686604344E-4</v>
      </c>
      <c r="AJ76" s="9">
        <f t="shared" si="20"/>
        <v>3.1478460906128332E-2</v>
      </c>
      <c r="AK76" s="9">
        <f t="shared" si="21"/>
        <v>9.9089350101864981E-4</v>
      </c>
      <c r="AL76" s="9">
        <f t="shared" si="22"/>
        <v>2.5613326039091736E-2</v>
      </c>
      <c r="AM76" s="9">
        <f t="shared" si="23"/>
        <v>6.5604247078481469E-4</v>
      </c>
      <c r="AN76" s="9" t="s">
        <v>3678</v>
      </c>
    </row>
    <row r="77" spans="13:40" ht="23">
      <c r="M77" s="9" t="s">
        <v>357</v>
      </c>
      <c r="N77" s="8" t="s">
        <v>150</v>
      </c>
      <c r="O77" s="8"/>
      <c r="P77" s="8"/>
      <c r="Q77" s="8"/>
      <c r="R77" s="8"/>
      <c r="S77" s="8"/>
      <c r="T77" s="8"/>
      <c r="U77" s="8"/>
      <c r="V77" s="8"/>
      <c r="W77" s="9" t="s">
        <v>357</v>
      </c>
      <c r="X77" s="8">
        <v>40.090000000000003</v>
      </c>
      <c r="Y77" s="8">
        <v>4.17</v>
      </c>
      <c r="Z77" s="9">
        <v>2.35</v>
      </c>
      <c r="AA77" s="8">
        <v>3.5</v>
      </c>
      <c r="AB77" s="8">
        <v>25791</v>
      </c>
      <c r="AC77" s="22" t="s">
        <v>357</v>
      </c>
      <c r="AD77" s="8" t="s">
        <v>4003</v>
      </c>
      <c r="AE77" s="8" t="s">
        <v>4239</v>
      </c>
      <c r="AF77" s="9">
        <f t="shared" si="16"/>
        <v>14.594999999999999</v>
      </c>
      <c r="AG77" s="9">
        <f t="shared" si="17"/>
        <v>9.0416666666666679</v>
      </c>
      <c r="AH77" s="9">
        <f t="shared" si="18"/>
        <v>1.631290957055101E-2</v>
      </c>
      <c r="AI77" s="9">
        <f t="shared" si="19"/>
        <v>2.661110186569747E-4</v>
      </c>
      <c r="AJ77" s="9">
        <f t="shared" si="20"/>
        <v>1.9924891010709638E-2</v>
      </c>
      <c r="AK77" s="9">
        <f t="shared" si="21"/>
        <v>3.9700128178865775E-4</v>
      </c>
      <c r="AL77" s="9">
        <f t="shared" si="22"/>
        <v>1.2974070379278495E-2</v>
      </c>
      <c r="AM77" s="9">
        <f t="shared" si="23"/>
        <v>1.6832650220647161E-4</v>
      </c>
      <c r="AN77" s="9" t="s">
        <v>357</v>
      </c>
    </row>
    <row r="78" spans="13:40" ht="23">
      <c r="M78" s="9" t="s">
        <v>2930</v>
      </c>
      <c r="N78" s="8" t="s">
        <v>1717</v>
      </c>
      <c r="O78" s="8"/>
      <c r="P78" s="8" t="s">
        <v>3692</v>
      </c>
      <c r="Q78" s="8"/>
      <c r="R78" s="8"/>
      <c r="S78" s="8"/>
      <c r="T78" s="8"/>
      <c r="U78" s="8"/>
      <c r="V78" s="8"/>
      <c r="W78" s="9" t="s">
        <v>2930</v>
      </c>
      <c r="X78" s="8">
        <v>28.88</v>
      </c>
      <c r="Y78" s="8">
        <v>10.5</v>
      </c>
      <c r="Z78" s="9">
        <v>28.04</v>
      </c>
      <c r="AA78" s="8">
        <v>3.5</v>
      </c>
      <c r="AB78" s="8">
        <v>19485</v>
      </c>
      <c r="AC78" s="22" t="s">
        <v>2930</v>
      </c>
      <c r="AD78" s="8" t="s">
        <v>4003</v>
      </c>
      <c r="AE78" s="8" t="s">
        <v>4238</v>
      </c>
      <c r="AF78" s="9">
        <f t="shared" si="16"/>
        <v>36.75</v>
      </c>
      <c r="AG78" s="9">
        <f t="shared" si="17"/>
        <v>98.233333333333334</v>
      </c>
      <c r="AH78" s="9">
        <f t="shared" si="18"/>
        <v>1.631290957055101E-2</v>
      </c>
      <c r="AI78" s="9">
        <f t="shared" si="19"/>
        <v>2.661110186569747E-4</v>
      </c>
      <c r="AJ78" s="9">
        <f t="shared" si="20"/>
        <v>5.017058887588758E-2</v>
      </c>
      <c r="AK78" s="9">
        <f t="shared" si="21"/>
        <v>2.5170879881533346E-3</v>
      </c>
      <c r="AL78" s="9">
        <f t="shared" si="22"/>
        <v>0.14095699689487085</v>
      </c>
      <c r="AM78" s="9">
        <f t="shared" si="23"/>
        <v>1.986887497362063E-2</v>
      </c>
      <c r="AN78" s="9" t="s">
        <v>2930</v>
      </c>
    </row>
    <row r="79" spans="13:40" ht="23">
      <c r="M79" s="9" t="s">
        <v>2972</v>
      </c>
      <c r="N79" s="8" t="s">
        <v>1717</v>
      </c>
      <c r="O79" s="8"/>
      <c r="P79" s="8" t="s">
        <v>3693</v>
      </c>
      <c r="Q79" s="8"/>
      <c r="R79" s="8"/>
      <c r="S79" s="8"/>
      <c r="T79" s="8"/>
      <c r="U79" s="8"/>
      <c r="V79" s="8"/>
      <c r="W79" s="9" t="s">
        <v>2972</v>
      </c>
      <c r="X79" s="8">
        <v>49.77</v>
      </c>
      <c r="Y79" s="8">
        <v>2.61</v>
      </c>
      <c r="Z79" s="9">
        <v>4.21</v>
      </c>
      <c r="AA79" s="8">
        <v>3.3</v>
      </c>
      <c r="AB79" s="8">
        <v>28353</v>
      </c>
      <c r="AC79" s="22" t="s">
        <v>2972</v>
      </c>
      <c r="AD79" s="8" t="s">
        <v>4003</v>
      </c>
      <c r="AE79" s="8" t="s">
        <v>4238</v>
      </c>
      <c r="AF79" s="9">
        <f t="shared" si="16"/>
        <v>8.6129999999999995</v>
      </c>
      <c r="AG79" s="9">
        <f t="shared" si="17"/>
        <v>14.354999999999999</v>
      </c>
      <c r="AH79" s="9">
        <f t="shared" si="18"/>
        <v>1.5380743309376664E-2</v>
      </c>
      <c r="AI79" s="9">
        <f t="shared" si="19"/>
        <v>2.3656726474893501E-4</v>
      </c>
      <c r="AJ79" s="9">
        <f t="shared" si="20"/>
        <v>1.1758347809197815E-2</v>
      </c>
      <c r="AK79" s="9">
        <f t="shared" si="21"/>
        <v>1.3825874320206707E-4</v>
      </c>
      <c r="AL79" s="9">
        <f t="shared" si="22"/>
        <v>2.0598279848244357E-2</v>
      </c>
      <c r="AM79" s="9">
        <f t="shared" si="23"/>
        <v>4.2428913270658959E-4</v>
      </c>
      <c r="AN79" s="9" t="s">
        <v>2972</v>
      </c>
    </row>
    <row r="80" spans="13:40" ht="23">
      <c r="M80" s="8" t="s">
        <v>202</v>
      </c>
      <c r="N80" s="8" t="s">
        <v>150</v>
      </c>
      <c r="O80" s="8"/>
      <c r="P80" s="8" t="s">
        <v>3693</v>
      </c>
      <c r="Q80" s="8"/>
      <c r="R80" s="8"/>
      <c r="S80" s="8"/>
      <c r="T80" s="8"/>
      <c r="U80" s="8"/>
      <c r="V80" s="8"/>
      <c r="W80" s="8" t="s">
        <v>202</v>
      </c>
      <c r="X80" s="8">
        <v>24.73</v>
      </c>
      <c r="Y80" s="8">
        <v>2.81</v>
      </c>
      <c r="Z80" s="9">
        <v>3.03</v>
      </c>
      <c r="AA80" s="8">
        <v>3.3</v>
      </c>
      <c r="AB80" s="8">
        <v>29331</v>
      </c>
      <c r="AC80" s="21" t="s">
        <v>202</v>
      </c>
      <c r="AD80" s="8" t="s">
        <v>4003</v>
      </c>
      <c r="AE80" s="8" t="s">
        <v>4238</v>
      </c>
      <c r="AF80" s="9">
        <f t="shared" si="16"/>
        <v>9.2729999999999997</v>
      </c>
      <c r="AG80" s="9">
        <f t="shared" si="17"/>
        <v>10.065</v>
      </c>
      <c r="AH80" s="9">
        <f t="shared" si="18"/>
        <v>1.5380743309376664E-2</v>
      </c>
      <c r="AI80" s="9">
        <f t="shared" si="19"/>
        <v>2.3656726474893501E-4</v>
      </c>
      <c r="AJ80" s="9">
        <f t="shared" si="20"/>
        <v>1.2659370629826002E-2</v>
      </c>
      <c r="AK80" s="9">
        <f t="shared" si="21"/>
        <v>1.6025966474330117E-4</v>
      </c>
      <c r="AL80" s="9">
        <f t="shared" si="22"/>
        <v>1.4442472077504665E-2</v>
      </c>
      <c r="AM80" s="9">
        <f t="shared" si="23"/>
        <v>2.0858499970950192E-4</v>
      </c>
      <c r="AN80" s="8" t="s">
        <v>202</v>
      </c>
    </row>
    <row r="81" spans="13:40" ht="23">
      <c r="M81" s="22" t="s">
        <v>5173</v>
      </c>
      <c r="N81" s="8" t="s">
        <v>150</v>
      </c>
      <c r="O81" s="8"/>
      <c r="P81" s="8"/>
      <c r="Q81" s="8"/>
      <c r="R81" s="8"/>
      <c r="S81" s="8"/>
      <c r="T81" s="8"/>
      <c r="U81" s="8"/>
      <c r="V81" s="8"/>
      <c r="W81" s="22" t="s">
        <v>5173</v>
      </c>
      <c r="X81" s="8">
        <v>14.69</v>
      </c>
      <c r="Y81" s="8">
        <v>4.4800000000000004</v>
      </c>
      <c r="Z81" s="9">
        <v>1.46</v>
      </c>
      <c r="AA81" s="8">
        <v>3.3</v>
      </c>
      <c r="AB81" s="8">
        <v>26652</v>
      </c>
      <c r="AC81" s="22" t="s">
        <v>5173</v>
      </c>
      <c r="AD81" s="8" t="s">
        <v>4003</v>
      </c>
      <c r="AE81" s="8" t="s">
        <v>4238</v>
      </c>
      <c r="AF81" s="9">
        <f t="shared" si="16"/>
        <v>14.784000000000001</v>
      </c>
      <c r="AG81" s="9">
        <f t="shared" si="17"/>
        <v>5.8299999999999992</v>
      </c>
      <c r="AH81" s="9">
        <f t="shared" si="18"/>
        <v>1.5380743309376664E-2</v>
      </c>
      <c r="AI81" s="9">
        <f t="shared" si="19"/>
        <v>2.3656726474893501E-4</v>
      </c>
      <c r="AJ81" s="9">
        <f t="shared" si="20"/>
        <v>2.0182911182071349E-2</v>
      </c>
      <c r="AK81" s="9">
        <f t="shared" si="21"/>
        <v>4.073499037833807E-4</v>
      </c>
      <c r="AL81" s="9">
        <f t="shared" si="22"/>
        <v>8.3655849192103508E-3</v>
      </c>
      <c r="AM81" s="9">
        <f t="shared" si="23"/>
        <v>6.9983011040519651E-5</v>
      </c>
      <c r="AN81" s="22" t="s">
        <v>5173</v>
      </c>
    </row>
    <row r="82" spans="13:40" ht="23">
      <c r="M82" s="8" t="s">
        <v>741</v>
      </c>
      <c r="N82" s="8" t="s">
        <v>150</v>
      </c>
      <c r="O82" s="8"/>
      <c r="P82" s="8"/>
      <c r="Q82" s="8"/>
      <c r="R82" s="8"/>
      <c r="S82" s="8"/>
      <c r="T82" s="8"/>
      <c r="U82" s="8"/>
      <c r="V82" s="8"/>
      <c r="W82" s="8" t="s">
        <v>741</v>
      </c>
      <c r="X82" s="8">
        <v>45.69</v>
      </c>
      <c r="Y82" s="8">
        <v>6.44</v>
      </c>
      <c r="Z82" s="9">
        <v>22.07</v>
      </c>
      <c r="AA82" s="8">
        <v>2.9</v>
      </c>
      <c r="AB82" s="8">
        <v>22493</v>
      </c>
      <c r="AC82" s="21" t="s">
        <v>741</v>
      </c>
      <c r="AD82" s="8" t="s">
        <v>4003</v>
      </c>
      <c r="AE82" s="8" t="s">
        <v>4239</v>
      </c>
      <c r="AF82" s="9">
        <f t="shared" si="16"/>
        <v>18.676000000000002</v>
      </c>
      <c r="AG82" s="9">
        <f t="shared" si="17"/>
        <v>64.138333333333335</v>
      </c>
      <c r="AH82" s="9">
        <f t="shared" si="18"/>
        <v>1.3516410787027977E-2</v>
      </c>
      <c r="AI82" s="9">
        <f t="shared" si="19"/>
        <v>1.8269336056368627E-4</v>
      </c>
      <c r="AJ82" s="9">
        <f t="shared" si="20"/>
        <v>2.5496215451593925E-2</v>
      </c>
      <c r="AK82" s="9">
        <f t="shared" si="21"/>
        <v>6.5005700235409684E-4</v>
      </c>
      <c r="AL82" s="9">
        <f t="shared" si="22"/>
        <v>9.2033391779866205E-2</v>
      </c>
      <c r="AM82" s="9">
        <f t="shared" si="23"/>
        <v>8.4701452025063451E-3</v>
      </c>
      <c r="AN82" s="8" t="s">
        <v>741</v>
      </c>
    </row>
    <row r="83" spans="13:40" ht="23">
      <c r="M83" s="8" t="s">
        <v>1196</v>
      </c>
      <c r="N83" s="8" t="s">
        <v>150</v>
      </c>
      <c r="O83" s="8"/>
      <c r="P83" s="8" t="s">
        <v>3691</v>
      </c>
      <c r="Q83" s="8"/>
      <c r="R83" s="8"/>
      <c r="S83" s="8"/>
      <c r="T83" s="8"/>
      <c r="U83" s="8"/>
      <c r="V83" s="8"/>
      <c r="W83" s="8" t="s">
        <v>1196</v>
      </c>
      <c r="X83" s="8">
        <v>34.590000000000003</v>
      </c>
      <c r="Y83" s="8">
        <v>5.45</v>
      </c>
      <c r="Z83" s="9">
        <v>2.4900000000000002</v>
      </c>
      <c r="AA83" s="8">
        <v>2.9</v>
      </c>
      <c r="AB83" s="8">
        <v>24924</v>
      </c>
      <c r="AC83" s="21" t="s">
        <v>1196</v>
      </c>
      <c r="AD83" s="8" t="s">
        <v>4003</v>
      </c>
      <c r="AE83" s="8" t="s">
        <v>4238</v>
      </c>
      <c r="AF83" s="9">
        <f t="shared" si="16"/>
        <v>15.805</v>
      </c>
      <c r="AG83" s="9">
        <f t="shared" si="17"/>
        <v>8.168333333333333</v>
      </c>
      <c r="AH83" s="9">
        <f t="shared" si="18"/>
        <v>1.3516410787027977E-2</v>
      </c>
      <c r="AI83" s="9">
        <f t="shared" si="19"/>
        <v>1.8269336056368627E-4</v>
      </c>
      <c r="AJ83" s="9">
        <f t="shared" si="20"/>
        <v>2.1576766181861315E-2</v>
      </c>
      <c r="AK83" s="9">
        <f t="shared" si="21"/>
        <v>4.655568388667141E-4</v>
      </c>
      <c r="AL83" s="9">
        <f t="shared" si="22"/>
        <v>1.1720906714994263E-2</v>
      </c>
      <c r="AM83" s="9">
        <f t="shared" si="23"/>
        <v>1.373796542215976E-4</v>
      </c>
      <c r="AN83" s="8" t="s">
        <v>1196</v>
      </c>
    </row>
    <row r="84" spans="13:40" ht="23">
      <c r="M84" s="8" t="s">
        <v>766</v>
      </c>
      <c r="N84" s="8" t="s">
        <v>150</v>
      </c>
      <c r="O84" s="8"/>
      <c r="P84" s="8"/>
      <c r="Q84" s="8"/>
      <c r="R84" s="8"/>
      <c r="S84" s="8"/>
      <c r="T84" s="8"/>
      <c r="U84" s="8"/>
      <c r="V84" s="8"/>
      <c r="W84" s="8" t="s">
        <v>766</v>
      </c>
      <c r="X84" s="8">
        <v>54.12</v>
      </c>
      <c r="Y84" s="8">
        <v>2.79</v>
      </c>
      <c r="Z84" s="9">
        <v>0.43</v>
      </c>
      <c r="AA84" s="8">
        <v>2.8</v>
      </c>
      <c r="AB84" s="8">
        <v>36740</v>
      </c>
      <c r="AC84" s="21" t="s">
        <v>766</v>
      </c>
      <c r="AD84" s="8" t="s">
        <v>4003</v>
      </c>
      <c r="AE84" s="8" t="s">
        <v>4238</v>
      </c>
      <c r="AF84" s="9">
        <f t="shared" si="16"/>
        <v>7.8119999999999994</v>
      </c>
      <c r="AG84" s="9">
        <f t="shared" si="17"/>
        <v>2.0066666666666664</v>
      </c>
      <c r="AH84" s="9">
        <f t="shared" si="18"/>
        <v>1.3050327656440807E-2</v>
      </c>
      <c r="AI84" s="9">
        <f t="shared" si="19"/>
        <v>1.7031105194046379E-4</v>
      </c>
      <c r="AJ84" s="9">
        <f t="shared" si="20"/>
        <v>1.0664833749617245E-2</v>
      </c>
      <c r="AK84" s="9">
        <f t="shared" si="21"/>
        <v>1.1373867890697503E-4</v>
      </c>
      <c r="AL84" s="9">
        <f t="shared" si="22"/>
        <v>2.8794065874011613E-3</v>
      </c>
      <c r="AM84" s="9">
        <f t="shared" si="23"/>
        <v>8.2909822955692008E-6</v>
      </c>
      <c r="AN84" s="8" t="s">
        <v>766</v>
      </c>
    </row>
    <row r="85" spans="13:40" ht="23">
      <c r="M85" s="22" t="s">
        <v>1071</v>
      </c>
      <c r="N85" s="8" t="s">
        <v>150</v>
      </c>
      <c r="O85" s="8"/>
      <c r="P85" s="8"/>
      <c r="Q85" s="8"/>
      <c r="R85" s="8"/>
      <c r="S85" s="8"/>
      <c r="T85" s="8"/>
      <c r="U85" s="8"/>
      <c r="V85" s="8"/>
      <c r="W85" s="22" t="s">
        <v>1071</v>
      </c>
      <c r="X85" s="8">
        <v>9.91</v>
      </c>
      <c r="Y85" s="8">
        <v>6.84</v>
      </c>
      <c r="Z85" s="9">
        <v>4.45</v>
      </c>
      <c r="AA85" s="8">
        <v>2.6</v>
      </c>
      <c r="AB85" s="8">
        <v>22329</v>
      </c>
      <c r="AC85" s="22" t="s">
        <v>1071</v>
      </c>
      <c r="AD85" s="8" t="s">
        <v>4003</v>
      </c>
      <c r="AE85" s="8" t="s">
        <v>4238</v>
      </c>
      <c r="AF85" s="9">
        <f t="shared" si="16"/>
        <v>17.783999999999999</v>
      </c>
      <c r="AG85" s="9">
        <f t="shared" si="17"/>
        <v>12.35</v>
      </c>
      <c r="AH85" s="9">
        <f t="shared" si="18"/>
        <v>1.2118161395266462E-2</v>
      </c>
      <c r="AI85" s="9">
        <f t="shared" si="19"/>
        <v>1.4684983560172641E-4</v>
      </c>
      <c r="AJ85" s="9">
        <f t="shared" si="20"/>
        <v>2.4278469457654005E-2</v>
      </c>
      <c r="AK85" s="9">
        <f t="shared" si="21"/>
        <v>5.8944407920623841E-4</v>
      </c>
      <c r="AL85" s="9">
        <f t="shared" si="22"/>
        <v>1.7721264794553663E-2</v>
      </c>
      <c r="AM85" s="9">
        <f t="shared" si="23"/>
        <v>3.1404322591868709E-4</v>
      </c>
      <c r="AN85" s="22" t="s">
        <v>1071</v>
      </c>
    </row>
    <row r="86" spans="13:40" ht="23">
      <c r="M86" s="9" t="s">
        <v>2903</v>
      </c>
      <c r="N86" s="8" t="s">
        <v>1717</v>
      </c>
      <c r="O86" s="8"/>
      <c r="P86" s="8"/>
      <c r="Q86" s="8"/>
      <c r="R86" s="8"/>
      <c r="S86" s="8"/>
      <c r="T86" s="8"/>
      <c r="U86" s="8"/>
      <c r="V86" s="8"/>
      <c r="W86" s="9" t="s">
        <v>2903</v>
      </c>
      <c r="X86" s="8">
        <v>20.7</v>
      </c>
      <c r="Y86" s="8">
        <v>5.26</v>
      </c>
      <c r="Z86" s="9">
        <v>4.45</v>
      </c>
      <c r="AA86" s="8">
        <v>2.2999999999999998</v>
      </c>
      <c r="AB86" s="8">
        <v>28176</v>
      </c>
      <c r="AC86" s="22" t="s">
        <v>2903</v>
      </c>
      <c r="AD86" s="8" t="s">
        <v>4003</v>
      </c>
      <c r="AE86" s="8" t="s">
        <v>4238</v>
      </c>
      <c r="AF86" s="9">
        <f t="shared" si="16"/>
        <v>12.097999999999999</v>
      </c>
      <c r="AG86" s="9">
        <f t="shared" si="17"/>
        <v>10.924999999999999</v>
      </c>
      <c r="AH86" s="9">
        <f t="shared" si="18"/>
        <v>1.0719912003504948E-2</v>
      </c>
      <c r="AI86" s="9">
        <f t="shared" si="19"/>
        <v>1.1491651336288947E-4</v>
      </c>
      <c r="AJ86" s="9">
        <f t="shared" si="20"/>
        <v>1.6516021339333005E-2</v>
      </c>
      <c r="AK86" s="9">
        <f t="shared" si="21"/>
        <v>2.7277896088130318E-4</v>
      </c>
      <c r="AL86" s="9">
        <f t="shared" si="22"/>
        <v>1.5676503472105162E-2</v>
      </c>
      <c r="AM86" s="9">
        <f t="shared" si="23"/>
        <v>2.4575276111092522E-4</v>
      </c>
      <c r="AN86" s="9" t="s">
        <v>2903</v>
      </c>
    </row>
    <row r="87" spans="13:40" ht="23">
      <c r="M87" s="9" t="s">
        <v>2993</v>
      </c>
      <c r="N87" s="8" t="s">
        <v>1717</v>
      </c>
      <c r="O87" s="8"/>
      <c r="P87" s="8" t="s">
        <v>3691</v>
      </c>
      <c r="Q87" s="8"/>
      <c r="R87" s="8"/>
      <c r="S87" s="8"/>
      <c r="T87" s="8"/>
      <c r="U87" s="8"/>
      <c r="V87" s="8"/>
      <c r="W87" s="9" t="s">
        <v>2993</v>
      </c>
      <c r="X87" s="8">
        <v>59.58</v>
      </c>
      <c r="Y87" s="8">
        <v>8.7200000000000006</v>
      </c>
      <c r="Z87" s="9">
        <v>6.33</v>
      </c>
      <c r="AA87" s="8">
        <v>2.2999999999999998</v>
      </c>
      <c r="AB87" s="8">
        <v>48515</v>
      </c>
      <c r="AC87" s="22" t="s">
        <v>2993</v>
      </c>
      <c r="AD87" s="8" t="s">
        <v>4003</v>
      </c>
      <c r="AE87" s="8" t="s">
        <v>4238</v>
      </c>
      <c r="AF87" s="9">
        <f t="shared" si="16"/>
        <v>20.056000000000001</v>
      </c>
      <c r="AG87" s="9">
        <f t="shared" si="17"/>
        <v>15.064999999999998</v>
      </c>
      <c r="AH87" s="9">
        <f t="shared" si="18"/>
        <v>1.0719912003504948E-2</v>
      </c>
      <c r="AI87" s="9">
        <f t="shared" si="19"/>
        <v>1.1491651336288947E-4</v>
      </c>
      <c r="AJ87" s="9">
        <f t="shared" si="20"/>
        <v>2.7380172258361948E-2</v>
      </c>
      <c r="AK87" s="9">
        <f t="shared" si="21"/>
        <v>7.4967383289757325E-4</v>
      </c>
      <c r="AL87" s="9">
        <f t="shared" si="22"/>
        <v>2.1617073208902906E-2</v>
      </c>
      <c r="AM87" s="9">
        <f t="shared" si="23"/>
        <v>4.6729785411906777E-4</v>
      </c>
      <c r="AN87" s="9" t="s">
        <v>2993</v>
      </c>
    </row>
    <row r="88" spans="13:40" ht="23">
      <c r="M88" s="9" t="s">
        <v>3679</v>
      </c>
      <c r="N88" s="8" t="s">
        <v>2107</v>
      </c>
      <c r="O88" s="8"/>
      <c r="P88" s="8" t="s">
        <v>3715</v>
      </c>
      <c r="Q88" s="8"/>
      <c r="R88" s="8"/>
      <c r="S88" s="8"/>
      <c r="T88" s="8"/>
      <c r="U88" s="8"/>
      <c r="V88" s="8"/>
      <c r="W88" s="9" t="s">
        <v>3679</v>
      </c>
      <c r="X88" s="8">
        <v>39.340000000000003</v>
      </c>
      <c r="Y88" s="8">
        <v>3.12</v>
      </c>
      <c r="Z88" s="9">
        <v>5.04</v>
      </c>
      <c r="AA88" s="8">
        <v>2.1</v>
      </c>
      <c r="AB88" s="8">
        <v>38945</v>
      </c>
      <c r="AC88" s="22" t="s">
        <v>3679</v>
      </c>
      <c r="AD88" s="8" t="s">
        <v>4003</v>
      </c>
      <c r="AE88" s="8" t="s">
        <v>4238</v>
      </c>
      <c r="AF88" s="9">
        <f t="shared" si="16"/>
        <v>6.5520000000000005</v>
      </c>
      <c r="AG88" s="9">
        <f t="shared" si="17"/>
        <v>10.64</v>
      </c>
      <c r="AH88" s="9">
        <f t="shared" si="18"/>
        <v>9.7877457423306037E-3</v>
      </c>
      <c r="AI88" s="9">
        <f t="shared" si="19"/>
        <v>9.579996671651086E-5</v>
      </c>
      <c r="AJ88" s="9">
        <f t="shared" si="20"/>
        <v>8.944699273872531E-3</v>
      </c>
      <c r="AK88" s="9">
        <f t="shared" si="21"/>
        <v>8.0007645100015786E-5</v>
      </c>
      <c r="AL88" s="9">
        <f t="shared" si="22"/>
        <v>1.5267551207615464E-2</v>
      </c>
      <c r="AM88" s="9">
        <f t="shared" si="23"/>
        <v>2.3309811987716041E-4</v>
      </c>
      <c r="AN88" s="9" t="s">
        <v>3679</v>
      </c>
    </row>
    <row r="89" spans="13:40" ht="23">
      <c r="M89" s="28" t="s">
        <v>5171</v>
      </c>
      <c r="N89" s="8" t="s">
        <v>150</v>
      </c>
      <c r="O89" s="8"/>
      <c r="P89" s="8" t="s">
        <v>3691</v>
      </c>
      <c r="Q89" s="8"/>
      <c r="R89" s="8"/>
      <c r="S89" s="8"/>
      <c r="T89" s="8"/>
      <c r="U89" s="8"/>
      <c r="V89" s="8"/>
      <c r="W89" s="28" t="s">
        <v>5171</v>
      </c>
      <c r="X89" s="8">
        <v>30.92</v>
      </c>
      <c r="Y89" s="8">
        <v>3.31</v>
      </c>
      <c r="Z89" s="9">
        <v>2.44</v>
      </c>
      <c r="AA89" s="8">
        <v>2.1</v>
      </c>
      <c r="AB89" s="8">
        <v>33409</v>
      </c>
      <c r="AC89" s="22" t="s">
        <v>5171</v>
      </c>
      <c r="AD89" s="8" t="s">
        <v>4003</v>
      </c>
      <c r="AE89" s="8" t="s">
        <v>4238</v>
      </c>
      <c r="AF89" s="9">
        <f t="shared" si="16"/>
        <v>6.9510000000000005</v>
      </c>
      <c r="AG89" s="9">
        <f t="shared" si="17"/>
        <v>5.74</v>
      </c>
      <c r="AH89" s="9">
        <f t="shared" si="18"/>
        <v>9.7877457423306037E-3</v>
      </c>
      <c r="AI89" s="9">
        <f t="shared" si="19"/>
        <v>9.579996671651086E-5</v>
      </c>
      <c r="AJ89" s="9">
        <f t="shared" si="20"/>
        <v>9.4894085245250236E-3</v>
      </c>
      <c r="AK89" s="9">
        <f t="shared" si="21"/>
        <v>9.0048874145328187E-5</v>
      </c>
      <c r="AL89" s="9">
        <f t="shared" si="22"/>
        <v>8.2364420988451856E-3</v>
      </c>
      <c r="AM89" s="9">
        <f t="shared" si="23"/>
        <v>6.7838978447629284E-5</v>
      </c>
      <c r="AN89" s="28" t="s">
        <v>5171</v>
      </c>
    </row>
    <row r="90" spans="13:40" ht="23">
      <c r="M90" s="9" t="s">
        <v>2471</v>
      </c>
      <c r="N90" s="8" t="s">
        <v>150</v>
      </c>
      <c r="O90" s="8"/>
      <c r="P90" s="8"/>
      <c r="Q90" s="8"/>
      <c r="R90" s="8"/>
      <c r="S90" s="8"/>
      <c r="T90" s="8"/>
      <c r="U90" s="8"/>
      <c r="V90" s="8"/>
      <c r="W90" s="9" t="s">
        <v>2471</v>
      </c>
      <c r="X90" s="8">
        <v>54.38</v>
      </c>
      <c r="Y90" s="8">
        <v>6.51</v>
      </c>
      <c r="Z90" s="9">
        <v>11.11</v>
      </c>
      <c r="AA90" s="8">
        <v>2.1</v>
      </c>
      <c r="AB90" s="8">
        <v>29651</v>
      </c>
      <c r="AC90" s="22" t="s">
        <v>2471</v>
      </c>
      <c r="AD90" s="8" t="s">
        <v>4003</v>
      </c>
      <c r="AE90" s="8" t="s">
        <v>4238</v>
      </c>
      <c r="AF90" s="9">
        <f t="shared" si="16"/>
        <v>13.670999999999999</v>
      </c>
      <c r="AG90" s="9">
        <f t="shared" si="17"/>
        <v>23.485000000000003</v>
      </c>
      <c r="AH90" s="9">
        <f t="shared" si="18"/>
        <v>9.7877457423306037E-3</v>
      </c>
      <c r="AI90" s="9">
        <f t="shared" si="19"/>
        <v>9.579996671651086E-5</v>
      </c>
      <c r="AJ90" s="9">
        <f t="shared" si="20"/>
        <v>1.866345906183018E-2</v>
      </c>
      <c r="AK90" s="9">
        <f t="shared" si="21"/>
        <v>3.4832470415261106E-4</v>
      </c>
      <c r="AL90" s="9">
        <f t="shared" si="22"/>
        <v>3.3699101514177557E-2</v>
      </c>
      <c r="AM90" s="9">
        <f t="shared" si="23"/>
        <v>1.135629442862844E-3</v>
      </c>
      <c r="AN90" s="9" t="s">
        <v>2471</v>
      </c>
    </row>
    <row r="91" spans="13:40" ht="23">
      <c r="M91" s="9" t="s">
        <v>2890</v>
      </c>
      <c r="N91" s="8" t="s">
        <v>1717</v>
      </c>
      <c r="O91" s="8"/>
      <c r="P91" s="8" t="s">
        <v>3692</v>
      </c>
      <c r="Q91" s="8"/>
      <c r="R91" s="8"/>
      <c r="S91" s="8"/>
      <c r="T91" s="8"/>
      <c r="U91" s="8"/>
      <c r="V91" s="8"/>
      <c r="W91" s="9" t="s">
        <v>2890</v>
      </c>
      <c r="X91" s="8">
        <v>67.44</v>
      </c>
      <c r="Y91" s="8">
        <v>3.73</v>
      </c>
      <c r="Z91" s="9">
        <v>4.0599999999999996</v>
      </c>
      <c r="AA91" s="8">
        <v>2</v>
      </c>
      <c r="AB91" s="8">
        <v>40487</v>
      </c>
      <c r="AC91" s="22" t="s">
        <v>2890</v>
      </c>
      <c r="AD91" s="8" t="s">
        <v>4003</v>
      </c>
      <c r="AE91" s="8" t="s">
        <v>4238</v>
      </c>
      <c r="AF91" s="9">
        <f t="shared" si="16"/>
        <v>7.46</v>
      </c>
      <c r="AG91" s="9">
        <f t="shared" si="17"/>
        <v>8.1999999999999993</v>
      </c>
      <c r="AH91" s="9">
        <f t="shared" si="18"/>
        <v>9.3216626117434333E-3</v>
      </c>
      <c r="AI91" s="9">
        <f t="shared" si="19"/>
        <v>8.6893393847175409E-5</v>
      </c>
      <c r="AJ91" s="9">
        <f t="shared" si="20"/>
        <v>1.0184288245282214E-2</v>
      </c>
      <c r="AK91" s="9">
        <f t="shared" si="21"/>
        <v>1.0371972706299348E-4</v>
      </c>
      <c r="AL91" s="9">
        <f t="shared" si="22"/>
        <v>1.176634585549312E-2</v>
      </c>
      <c r="AM91" s="9">
        <f t="shared" si="23"/>
        <v>1.3844689479108012E-4</v>
      </c>
      <c r="AN91" s="9" t="s">
        <v>2890</v>
      </c>
    </row>
    <row r="92" spans="13:40" ht="23">
      <c r="M92" s="8" t="s">
        <v>1586</v>
      </c>
      <c r="N92" s="8" t="s">
        <v>150</v>
      </c>
      <c r="O92" s="8"/>
      <c r="P92" s="8"/>
      <c r="Q92" s="8"/>
      <c r="R92" s="8"/>
      <c r="S92" s="8"/>
      <c r="T92" s="8"/>
      <c r="U92" s="8"/>
      <c r="V92" s="8"/>
      <c r="W92" s="8" t="s">
        <v>1586</v>
      </c>
      <c r="X92" s="8">
        <v>21.94</v>
      </c>
      <c r="Y92" s="8">
        <v>3.2</v>
      </c>
      <c r="Z92" s="9">
        <v>3.3</v>
      </c>
      <c r="AA92" s="8">
        <v>2</v>
      </c>
      <c r="AB92" s="8">
        <v>38383</v>
      </c>
      <c r="AC92" s="21" t="s">
        <v>1586</v>
      </c>
      <c r="AD92" s="8" t="s">
        <v>4003</v>
      </c>
      <c r="AE92" s="8" t="s">
        <v>4238</v>
      </c>
      <c r="AF92" s="9">
        <f t="shared" si="16"/>
        <v>6.4</v>
      </c>
      <c r="AG92" s="9">
        <f t="shared" si="17"/>
        <v>6.01</v>
      </c>
      <c r="AH92" s="9">
        <f t="shared" si="18"/>
        <v>9.3216626117434333E-3</v>
      </c>
      <c r="AI92" s="9">
        <f t="shared" si="19"/>
        <v>8.6893393847175409E-5</v>
      </c>
      <c r="AJ92" s="9">
        <f t="shared" si="20"/>
        <v>8.7371909879096748E-3</v>
      </c>
      <c r="AK92" s="9">
        <f t="shared" si="21"/>
        <v>7.6338506359210041E-5</v>
      </c>
      <c r="AL92" s="9">
        <f t="shared" si="22"/>
        <v>8.6238705599406881E-3</v>
      </c>
      <c r="AM92" s="9">
        <f t="shared" si="23"/>
        <v>7.4371143434611719E-5</v>
      </c>
      <c r="AN92" s="8" t="s">
        <v>1586</v>
      </c>
    </row>
    <row r="93" spans="13:40" ht="23">
      <c r="M93" s="9" t="s">
        <v>3111</v>
      </c>
      <c r="N93" s="8" t="s">
        <v>1814</v>
      </c>
      <c r="O93" s="8"/>
      <c r="P93" s="8"/>
      <c r="Q93" s="8"/>
      <c r="R93" s="8"/>
      <c r="S93" s="8"/>
      <c r="T93" s="8"/>
      <c r="U93" s="8"/>
      <c r="V93" s="8"/>
      <c r="W93" s="9" t="s">
        <v>3111</v>
      </c>
      <c r="X93" s="8">
        <v>38.21</v>
      </c>
      <c r="Y93" s="8">
        <v>3.05</v>
      </c>
      <c r="Z93" s="9">
        <v>3.08</v>
      </c>
      <c r="AA93" s="8">
        <v>2</v>
      </c>
      <c r="AB93" s="8">
        <v>42338</v>
      </c>
      <c r="AC93" s="22" t="s">
        <v>3111</v>
      </c>
      <c r="AD93" s="8" t="s">
        <v>4003</v>
      </c>
      <c r="AE93" s="8" t="s">
        <v>4238</v>
      </c>
      <c r="AF93" s="9">
        <f t="shared" si="16"/>
        <v>6.1</v>
      </c>
      <c r="AG93" s="9">
        <f t="shared" si="17"/>
        <v>6.2666666666666666</v>
      </c>
      <c r="AH93" s="9">
        <f t="shared" si="18"/>
        <v>9.3216626117434333E-3</v>
      </c>
      <c r="AI93" s="9">
        <f t="shared" si="19"/>
        <v>8.6893393847175409E-5</v>
      </c>
      <c r="AJ93" s="9">
        <f t="shared" si="20"/>
        <v>8.3276351603514074E-3</v>
      </c>
      <c r="AK93" s="9">
        <f t="shared" si="21"/>
        <v>6.9349507363921007E-5</v>
      </c>
      <c r="AL93" s="9">
        <f t="shared" si="22"/>
        <v>8.9921667513524657E-3</v>
      </c>
      <c r="AM93" s="9">
        <f t="shared" si="23"/>
        <v>8.0859062884128751E-5</v>
      </c>
      <c r="AN93" s="9" t="s">
        <v>3111</v>
      </c>
    </row>
    <row r="94" spans="13:40" ht="23">
      <c r="M94" s="9" t="s">
        <v>2432</v>
      </c>
      <c r="N94" s="8" t="s">
        <v>150</v>
      </c>
      <c r="O94" s="8"/>
      <c r="P94" s="8" t="s">
        <v>3691</v>
      </c>
      <c r="Q94" s="8"/>
      <c r="R94" s="8"/>
      <c r="S94" s="8"/>
      <c r="T94" s="8"/>
      <c r="U94" s="8"/>
      <c r="V94" s="8"/>
      <c r="W94" s="9" t="s">
        <v>2432</v>
      </c>
      <c r="X94" s="8">
        <v>64.62</v>
      </c>
      <c r="Y94" s="8">
        <v>5.49</v>
      </c>
      <c r="Z94" s="9">
        <v>2.44</v>
      </c>
      <c r="AA94" s="8">
        <v>1.9</v>
      </c>
      <c r="AB94" s="8">
        <v>46719</v>
      </c>
      <c r="AC94" s="22" t="s">
        <v>2432</v>
      </c>
      <c r="AD94" s="8" t="s">
        <v>4003</v>
      </c>
      <c r="AE94" s="8" t="s">
        <v>4238</v>
      </c>
      <c r="AF94" s="9">
        <f t="shared" si="16"/>
        <v>10.430999999999999</v>
      </c>
      <c r="AG94" s="9">
        <f t="shared" si="17"/>
        <v>5.1933333333333334</v>
      </c>
      <c r="AH94" s="9">
        <f t="shared" si="18"/>
        <v>8.8555794811562612E-3</v>
      </c>
      <c r="AI94" s="9">
        <f t="shared" si="19"/>
        <v>7.8421287947075797E-5</v>
      </c>
      <c r="AJ94" s="9">
        <f t="shared" si="20"/>
        <v>1.4240256124200908E-2</v>
      </c>
      <c r="AK94" s="9">
        <f t="shared" si="21"/>
        <v>2.0278489448284146E-4</v>
      </c>
      <c r="AL94" s="9">
        <f t="shared" si="22"/>
        <v>7.4520190418123095E-3</v>
      </c>
      <c r="AM94" s="9">
        <f t="shared" si="23"/>
        <v>5.5532587799533252E-5</v>
      </c>
      <c r="AN94" s="9" t="s">
        <v>2432</v>
      </c>
    </row>
    <row r="95" spans="13:40" ht="23">
      <c r="M95" s="9" t="s">
        <v>2970</v>
      </c>
      <c r="N95" s="8" t="s">
        <v>1717</v>
      </c>
      <c r="O95" s="8"/>
      <c r="P95" s="8" t="s">
        <v>3691</v>
      </c>
      <c r="Q95" s="8"/>
      <c r="R95" s="8"/>
      <c r="S95" s="8"/>
      <c r="T95" s="8"/>
      <c r="U95" s="8"/>
      <c r="V95" s="8"/>
      <c r="W95" s="9" t="s">
        <v>2970</v>
      </c>
      <c r="X95" s="8">
        <v>46.82</v>
      </c>
      <c r="Y95" s="8">
        <v>6.25</v>
      </c>
      <c r="Z95" s="9">
        <v>7.5</v>
      </c>
      <c r="AA95" s="8">
        <v>1.9</v>
      </c>
      <c r="AB95" s="8">
        <v>32972</v>
      </c>
      <c r="AC95" s="22" t="s">
        <v>2970</v>
      </c>
      <c r="AD95" s="8" t="s">
        <v>4003</v>
      </c>
      <c r="AE95" s="8" t="s">
        <v>4238</v>
      </c>
      <c r="AF95" s="9">
        <f t="shared" si="16"/>
        <v>11.875</v>
      </c>
      <c r="AG95" s="9">
        <f t="shared" si="17"/>
        <v>13.315833333333334</v>
      </c>
      <c r="AH95" s="9">
        <f t="shared" si="18"/>
        <v>8.8555794811562612E-3</v>
      </c>
      <c r="AI95" s="9">
        <f t="shared" si="19"/>
        <v>7.8421287947075797E-5</v>
      </c>
      <c r="AJ95" s="9">
        <f t="shared" si="20"/>
        <v>1.6211584840848031E-2</v>
      </c>
      <c r="AK95" s="9">
        <f t="shared" si="21"/>
        <v>2.6281548305201371E-4</v>
      </c>
      <c r="AL95" s="9">
        <f t="shared" si="22"/>
        <v>1.9107158579768756E-2</v>
      </c>
      <c r="AM95" s="9">
        <f t="shared" si="23"/>
        <v>3.6508350899243082E-4</v>
      </c>
      <c r="AN95" s="9" t="s">
        <v>2970</v>
      </c>
    </row>
    <row r="96" spans="13:40" ht="23">
      <c r="M96" s="9" t="s">
        <v>3633</v>
      </c>
      <c r="N96" s="8" t="s">
        <v>2093</v>
      </c>
      <c r="O96" s="8"/>
      <c r="P96" s="8"/>
      <c r="Q96" s="8"/>
      <c r="R96" s="8"/>
      <c r="S96" s="8"/>
      <c r="T96" s="8"/>
      <c r="U96" s="8"/>
      <c r="V96" s="8"/>
      <c r="W96" s="9" t="s">
        <v>3633</v>
      </c>
      <c r="X96" s="8">
        <v>29.61</v>
      </c>
      <c r="Y96" s="8">
        <v>4.67</v>
      </c>
      <c r="Z96" s="9">
        <v>4.5199999999999996</v>
      </c>
      <c r="AA96" s="8">
        <v>1.5</v>
      </c>
      <c r="AB96" s="8">
        <v>37539</v>
      </c>
      <c r="AC96" s="22" t="s">
        <v>3633</v>
      </c>
      <c r="AD96" s="8" t="s">
        <v>4003</v>
      </c>
      <c r="AE96" s="8" t="s">
        <v>4238</v>
      </c>
      <c r="AF96" s="9">
        <f t="shared" si="16"/>
        <v>7.0049999999999999</v>
      </c>
      <c r="AG96" s="9">
        <f t="shared" si="17"/>
        <v>7.3000000000000007</v>
      </c>
      <c r="AH96" s="9">
        <f t="shared" si="18"/>
        <v>6.9912469588075746E-3</v>
      </c>
      <c r="AI96" s="9">
        <f t="shared" si="19"/>
        <v>4.8877534039036158E-5</v>
      </c>
      <c r="AJ96" s="9">
        <f t="shared" si="20"/>
        <v>9.5631285734855114E-3</v>
      </c>
      <c r="AK96" s="9">
        <f t="shared" si="21"/>
        <v>9.145342811301503E-5</v>
      </c>
      <c r="AL96" s="9">
        <f t="shared" si="22"/>
        <v>1.0474917651841437E-2</v>
      </c>
      <c r="AM96" s="9">
        <f t="shared" si="23"/>
        <v>1.0972389981285932E-4</v>
      </c>
      <c r="AN96" s="9" t="s">
        <v>3633</v>
      </c>
    </row>
    <row r="97" spans="13:40" ht="23">
      <c r="M97" s="9" t="s">
        <v>3653</v>
      </c>
      <c r="N97" s="8" t="s">
        <v>2107</v>
      </c>
      <c r="O97" s="8"/>
      <c r="P97" s="8" t="s">
        <v>3691</v>
      </c>
      <c r="Q97" s="8"/>
      <c r="R97" s="8"/>
      <c r="S97" s="8"/>
      <c r="T97" s="8"/>
      <c r="U97" s="8"/>
      <c r="V97" s="8"/>
      <c r="W97" s="9" t="s">
        <v>3653</v>
      </c>
      <c r="X97" s="8">
        <v>54.89</v>
      </c>
      <c r="Y97" s="8">
        <v>6.26</v>
      </c>
      <c r="Z97" s="9">
        <v>11.19</v>
      </c>
      <c r="AA97" s="8">
        <v>1.4</v>
      </c>
      <c r="AB97" s="8">
        <v>38463</v>
      </c>
      <c r="AC97" s="22" t="s">
        <v>3653</v>
      </c>
      <c r="AD97" s="8" t="s">
        <v>4003</v>
      </c>
      <c r="AE97" s="8" t="s">
        <v>4239</v>
      </c>
      <c r="AF97" s="9">
        <f t="shared" si="16"/>
        <v>8.7639999999999993</v>
      </c>
      <c r="AG97" s="9">
        <f t="shared" si="17"/>
        <v>15.843333333333332</v>
      </c>
      <c r="AH97" s="9">
        <f t="shared" si="18"/>
        <v>6.5251638282204033E-3</v>
      </c>
      <c r="AI97" s="9">
        <f t="shared" si="19"/>
        <v>4.2577762985115947E-5</v>
      </c>
      <c r="AJ97" s="9">
        <f t="shared" si="20"/>
        <v>1.1964490909068809E-2</v>
      </c>
      <c r="AK97" s="9">
        <f t="shared" si="21"/>
        <v>1.4314904271319018E-4</v>
      </c>
      <c r="AL97" s="9">
        <f t="shared" si="22"/>
        <v>2.2733919451690569E-2</v>
      </c>
      <c r="AM97" s="9">
        <f t="shared" si="23"/>
        <v>5.1683109363595482E-4</v>
      </c>
      <c r="AN97" s="9" t="s">
        <v>3653</v>
      </c>
    </row>
    <row r="98" spans="13:40" ht="23">
      <c r="M98" s="9" t="s">
        <v>3562</v>
      </c>
      <c r="N98" s="8" t="s">
        <v>2066</v>
      </c>
      <c r="O98" s="8"/>
      <c r="P98" s="8"/>
      <c r="Q98" s="8"/>
      <c r="R98" s="8"/>
      <c r="S98" s="8"/>
      <c r="T98" s="8"/>
      <c r="U98" s="8"/>
      <c r="V98" s="8"/>
      <c r="W98" s="9" t="s">
        <v>3562</v>
      </c>
      <c r="X98" s="8">
        <v>26.5</v>
      </c>
      <c r="Y98" s="8">
        <v>2.27</v>
      </c>
      <c r="Z98" s="9">
        <v>0.3</v>
      </c>
      <c r="AA98" s="8">
        <v>1.2</v>
      </c>
      <c r="AB98" s="8">
        <v>86312</v>
      </c>
      <c r="AC98" s="22" t="s">
        <v>3562</v>
      </c>
      <c r="AD98" s="8" t="s">
        <v>4003</v>
      </c>
      <c r="AE98" s="8" t="s">
        <v>4238</v>
      </c>
      <c r="AF98" s="9">
        <f t="shared" si="16"/>
        <v>2.7239999999999998</v>
      </c>
      <c r="AG98" s="9">
        <f t="shared" si="17"/>
        <v>6.0000000000000001E-3</v>
      </c>
      <c r="AH98" s="9">
        <f t="shared" si="18"/>
        <v>5.5929975670460591E-3</v>
      </c>
      <c r="AI98" s="9">
        <f t="shared" ref="AI98:AI100" si="24">(AH98*AH98)</f>
        <v>3.1281621784983135E-5</v>
      </c>
      <c r="AJ98" s="9">
        <f t="shared" si="20"/>
        <v>3.718766914229055E-3</v>
      </c>
      <c r="AK98" s="9">
        <f t="shared" ref="AK98:AK100" si="25">(AJ98*AJ98)</f>
        <v>1.3829227362364688E-5</v>
      </c>
      <c r="AL98" s="9">
        <f t="shared" si="22"/>
        <v>8.6095213576778921E-6</v>
      </c>
      <c r="AM98" s="9">
        <f t="shared" ref="AM98:AM100" si="26">(AL98*AL98)</f>
        <v>7.4123858008311772E-11</v>
      </c>
      <c r="AN98" s="9" t="s">
        <v>3562</v>
      </c>
    </row>
    <row r="99" spans="13:40" ht="23">
      <c r="M99" s="8" t="s">
        <v>166</v>
      </c>
      <c r="N99" s="8" t="s">
        <v>150</v>
      </c>
      <c r="O99" s="8"/>
      <c r="P99" s="8"/>
      <c r="Q99" s="8"/>
      <c r="R99" s="8"/>
      <c r="S99" s="8"/>
      <c r="T99" s="8"/>
      <c r="U99" s="8"/>
      <c r="V99" s="8"/>
      <c r="W99" s="8" t="s">
        <v>166</v>
      </c>
      <c r="X99" s="8">
        <v>56.37</v>
      </c>
      <c r="Y99" s="8">
        <v>2.52</v>
      </c>
      <c r="Z99" s="9">
        <v>0.53</v>
      </c>
      <c r="AA99" s="8">
        <v>1.1000000000000001</v>
      </c>
      <c r="AB99" s="8">
        <v>77868</v>
      </c>
      <c r="AC99" s="21" t="s">
        <v>166</v>
      </c>
      <c r="AD99" s="8" t="s">
        <v>4003</v>
      </c>
      <c r="AE99" s="8" t="s">
        <v>4238</v>
      </c>
      <c r="AF99" s="9">
        <f t="shared" si="16"/>
        <v>2.7720000000000002</v>
      </c>
      <c r="AG99" s="9">
        <f t="shared" si="17"/>
        <v>0.97166666666666668</v>
      </c>
      <c r="AH99" s="9">
        <f t="shared" si="18"/>
        <v>5.1269144364588888E-3</v>
      </c>
      <c r="AI99" s="9">
        <f t="shared" si="24"/>
        <v>2.6285251638770564E-5</v>
      </c>
      <c r="AJ99" s="9">
        <f t="shared" si="20"/>
        <v>3.7842958466383783E-3</v>
      </c>
      <c r="AK99" s="9">
        <f t="shared" si="25"/>
        <v>1.4320895054884481E-5</v>
      </c>
      <c r="AL99" s="9">
        <f t="shared" si="22"/>
        <v>1.3942641532017255E-3</v>
      </c>
      <c r="AM99" s="9">
        <f t="shared" si="26"/>
        <v>1.9439725289033244E-6</v>
      </c>
      <c r="AN99" s="8" t="s">
        <v>166</v>
      </c>
    </row>
    <row r="100" spans="13:40" ht="23">
      <c r="M100" s="9" t="s">
        <v>4675</v>
      </c>
      <c r="N100" s="8" t="s">
        <v>150</v>
      </c>
      <c r="O100" s="8"/>
      <c r="P100" s="8" t="s">
        <v>3691</v>
      </c>
      <c r="Q100" s="8"/>
      <c r="R100" s="8"/>
      <c r="S100" s="8"/>
      <c r="T100" s="8"/>
      <c r="U100" s="8"/>
      <c r="V100" s="8"/>
      <c r="W100" s="9" t="s">
        <v>4675</v>
      </c>
      <c r="X100" s="8">
        <v>40.35</v>
      </c>
      <c r="Y100" s="8">
        <v>3.72</v>
      </c>
      <c r="Z100" s="9">
        <v>1.1399999999999999</v>
      </c>
      <c r="AA100" s="8">
        <v>1.1000000000000001</v>
      </c>
      <c r="AB100" s="8">
        <v>54365</v>
      </c>
      <c r="AC100" s="22" t="s">
        <v>4675</v>
      </c>
      <c r="AD100" s="8" t="s">
        <v>4003</v>
      </c>
      <c r="AE100" s="8" t="s">
        <v>4239</v>
      </c>
      <c r="AF100" s="9">
        <f t="shared" si="16"/>
        <v>4.0920000000000005</v>
      </c>
      <c r="AG100" s="9">
        <f t="shared" si="17"/>
        <v>1.3566666666666669</v>
      </c>
      <c r="AH100" s="9">
        <f t="shared" si="18"/>
        <v>5.1269144364588888E-3</v>
      </c>
      <c r="AI100" s="9">
        <f t="shared" si="24"/>
        <v>2.6285251638770564E-5</v>
      </c>
      <c r="AJ100" s="9">
        <f t="shared" si="20"/>
        <v>5.5863414878947488E-3</v>
      </c>
      <c r="AK100" s="9">
        <f t="shared" si="25"/>
        <v>3.1207211219374118E-5</v>
      </c>
      <c r="AL100" s="9">
        <f t="shared" si="22"/>
        <v>1.9467084403193904E-3</v>
      </c>
      <c r="AM100" s="9">
        <f t="shared" si="26"/>
        <v>3.7896737516107536E-6</v>
      </c>
      <c r="AN100" s="9" t="s">
        <v>4675</v>
      </c>
    </row>
    <row r="101" spans="13:40" ht="23">
      <c r="M101" s="9"/>
      <c r="N101" s="8"/>
      <c r="O101" s="8"/>
      <c r="P101" s="8"/>
      <c r="Q101" s="8"/>
      <c r="R101" s="8"/>
      <c r="S101" s="8"/>
      <c r="T101" s="8"/>
      <c r="U101" s="8"/>
      <c r="V101" s="8"/>
      <c r="W101" s="9"/>
      <c r="X101" s="8"/>
      <c r="Y101" s="8"/>
      <c r="Z101" s="9"/>
      <c r="AA101" s="8">
        <f>SUBTOTAL(109,Table1362627[ترافیک کل])</f>
        <v>21455.399999999994</v>
      </c>
      <c r="AB101" s="8"/>
      <c r="AC101" s="22"/>
      <c r="AD101" s="8"/>
      <c r="AE101" s="8"/>
      <c r="AF101" s="9">
        <f>SUBTOTAL(109,Table1362627[[مجموع صفحات  مشاهده شده   ]])</f>
        <v>73250.087000000043</v>
      </c>
      <c r="AG101" s="9">
        <f>SUBTOTAL(109,Table1362627[[مجموع زمان حضور در سایت ]])</f>
        <v>69690.285333333362</v>
      </c>
      <c r="AH101" s="9">
        <f>SUBTOTAL(109,Table1362627[سهم سایت از کل ترافیک طبقه بندی])</f>
        <v>100.00000000000001</v>
      </c>
      <c r="AI101" s="9">
        <f>SUBTOTAL(109,Table1362627[شاخص هرفیندال هیرشمن (ترافیک)])</f>
        <v>1054.6176239611475</v>
      </c>
      <c r="AJ101" s="9">
        <f>SUBTOTAL(109,Table1362627[سهم سایت از کل صفحات مشاهده شده در طبقه بندی])</f>
        <v>99.999999999999915</v>
      </c>
      <c r="AK101" s="9">
        <f>SUBTOTAL(109,Table1362627[شاخص هرفیندال -هیرشمن (صفحات مشاهده شده )])</f>
        <v>1010.8796138547249</v>
      </c>
      <c r="AL101" s="9">
        <f>SUBTOTAL(109,Table1362627[سهم سایت از کل زمان حضور در طبقه بندی])</f>
        <v>99.999999999999943</v>
      </c>
      <c r="AM101" s="9">
        <f>SUBTOTAL(109,Table1362627[شاخص هرفیندال هیرشمن (زمان حضور)])</f>
        <v>1314.6873108773211</v>
      </c>
      <c r="AN101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{73BB63EE-D061-4455-B9FA-1E3B942ED959}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{34070745-F904-4BF7-8A37-C1E7A81CD073}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{619AF366-056C-4290-B733-75DCADE0CEC2}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{E09CAF48-A6CF-4CDE-BCB0-AD9D047078FF}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{A70494E5-A3B1-4F39-8E2E-4E8E17EE8C48}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{12DA9611-BD7F-4BB3-8137-827132EBA31A}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BB63EE-D061-4455-B9FA-1E3B942ED95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4070745-F904-4BF7-8A37-C1E7A81CD07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19AF366-056C-4290-B733-75DCADE0CEC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09CAF48-A6CF-4CDE-BCB0-AD9D047078F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70494E5-A3B1-4F39-8E2E-4E8E17EE8C4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12DA9611-BD7F-4BB3-8137-827132EBA31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8"/>
  <sheetViews>
    <sheetView showGridLines="0" rightToLeft="1" topLeftCell="AA1" zoomScale="85" zoomScaleNormal="85" workbookViewId="0">
      <selection activeCell="AA8" sqref="AA8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5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483</v>
      </c>
      <c r="N2" s="8" t="s">
        <v>150</v>
      </c>
      <c r="O2" s="8"/>
      <c r="P2" s="8" t="s">
        <v>3691</v>
      </c>
      <c r="Q2" s="8"/>
      <c r="R2" s="8"/>
      <c r="S2" s="8"/>
      <c r="T2" s="8"/>
      <c r="U2" s="8"/>
      <c r="V2" s="8"/>
      <c r="W2" s="8" t="s">
        <v>483</v>
      </c>
      <c r="X2" s="8">
        <v>20.61</v>
      </c>
      <c r="Y2" s="8">
        <v>6.11</v>
      </c>
      <c r="Z2" s="9">
        <v>5.13</v>
      </c>
      <c r="AA2" s="8">
        <v>1100</v>
      </c>
      <c r="AB2" s="8">
        <v>507</v>
      </c>
      <c r="AC2" s="21" t="s">
        <v>483</v>
      </c>
      <c r="AD2" s="8" t="s">
        <v>4377</v>
      </c>
      <c r="AE2" s="8" t="s">
        <v>4238</v>
      </c>
      <c r="AF2" s="9">
        <f t="shared" ref="AF2:AF7" si="0">(AA2*Y2)</f>
        <v>6721</v>
      </c>
      <c r="AG2" s="9">
        <f t="shared" ref="AG2:AG7" si="1">((((RIGHT(Z2,2))/60)+(LEFT(Z2,2)))*AA2)</f>
        <v>5738.333333333333</v>
      </c>
      <c r="AH2" s="9">
        <f t="shared" ref="AH2:AH7" si="2">(AA2/$AA$8)*100</f>
        <v>31.140301211640807</v>
      </c>
      <c r="AI2" s="9">
        <f t="shared" ref="AI2:AI7" si="3">(AH2*AH2)</f>
        <v>969.71835955171787</v>
      </c>
      <c r="AJ2" s="9">
        <f t="shared" ref="AJ2:AJ7" si="4">(AF2/$AF$8)*100</f>
        <v>31.850918932895166</v>
      </c>
      <c r="AK2" s="9">
        <f t="shared" ref="AK2:AK7" si="5">(AJ2*AJ2)</f>
        <v>1014.4810368698597</v>
      </c>
      <c r="AL2" s="9">
        <f t="shared" ref="AL2:AL7" si="6">(AG2/$AG$8)*100</f>
        <v>37.135591503747698</v>
      </c>
      <c r="AM2" s="9">
        <f t="shared" ref="AM2:AM7" si="7">(AL2*AL2)</f>
        <v>1379.0521563332181</v>
      </c>
      <c r="AN2" s="8" t="s">
        <v>483</v>
      </c>
    </row>
    <row r="3" spans="8:40" ht="23">
      <c r="M3" s="9" t="s">
        <v>2668</v>
      </c>
      <c r="N3" s="8" t="s">
        <v>150</v>
      </c>
      <c r="O3" s="8"/>
      <c r="P3" s="8" t="s">
        <v>4676</v>
      </c>
      <c r="Q3" s="8"/>
      <c r="R3" s="8"/>
      <c r="S3" s="8"/>
      <c r="T3" s="8"/>
      <c r="U3" s="8"/>
      <c r="V3" s="8"/>
      <c r="W3" s="9" t="s">
        <v>2668</v>
      </c>
      <c r="X3" s="8">
        <v>20.83</v>
      </c>
      <c r="Y3" s="8">
        <v>6.51</v>
      </c>
      <c r="Z3" s="9">
        <v>5.22</v>
      </c>
      <c r="AA3" s="8">
        <v>934</v>
      </c>
      <c r="AB3" s="8">
        <v>376</v>
      </c>
      <c r="AC3" s="22" t="s">
        <v>2668</v>
      </c>
      <c r="AD3" s="8" t="s">
        <v>4377</v>
      </c>
      <c r="AE3" s="8" t="s">
        <v>4238</v>
      </c>
      <c r="AF3" s="9">
        <f t="shared" si="0"/>
        <v>6080.34</v>
      </c>
      <c r="AG3" s="9">
        <f t="shared" si="1"/>
        <v>5012.4666666666662</v>
      </c>
      <c r="AH3" s="9">
        <f t="shared" si="2"/>
        <v>26.440946665156833</v>
      </c>
      <c r="AI3" s="9">
        <f t="shared" si="3"/>
        <v>699.12366054966822</v>
      </c>
      <c r="AJ3" s="9">
        <f t="shared" si="4"/>
        <v>28.814821667079276</v>
      </c>
      <c r="AK3" s="9">
        <f t="shared" si="5"/>
        <v>830.29394770558133</v>
      </c>
      <c r="AL3" s="9">
        <f t="shared" si="6"/>
        <v>32.438149502088621</v>
      </c>
      <c r="AM3" s="9">
        <f t="shared" si="7"/>
        <v>1052.2335431198521</v>
      </c>
      <c r="AN3" s="9" t="s">
        <v>2668</v>
      </c>
    </row>
    <row r="4" spans="8:40" ht="23">
      <c r="M4" s="8" t="s">
        <v>681</v>
      </c>
      <c r="N4" s="8" t="s">
        <v>150</v>
      </c>
      <c r="O4" s="8"/>
      <c r="P4" s="8" t="s">
        <v>3691</v>
      </c>
      <c r="Q4" s="8"/>
      <c r="R4" s="8"/>
      <c r="S4" s="8"/>
      <c r="T4" s="8"/>
      <c r="U4" s="8"/>
      <c r="V4" s="8"/>
      <c r="W4" s="8" t="s">
        <v>681</v>
      </c>
      <c r="X4" s="8">
        <v>11.3</v>
      </c>
      <c r="Y4" s="8">
        <v>8.86</v>
      </c>
      <c r="Z4" s="9">
        <v>4.25</v>
      </c>
      <c r="AA4" s="8">
        <v>616.29999999999995</v>
      </c>
      <c r="AB4" s="8">
        <v>1210</v>
      </c>
      <c r="AC4" s="21" t="s">
        <v>681</v>
      </c>
      <c r="AD4" s="8" t="s">
        <v>4377</v>
      </c>
      <c r="AE4" s="8" t="s">
        <v>4238</v>
      </c>
      <c r="AF4" s="9">
        <f t="shared" si="0"/>
        <v>5460.4179999999997</v>
      </c>
      <c r="AG4" s="9">
        <f t="shared" si="1"/>
        <v>2721.9916666666668</v>
      </c>
      <c r="AH4" s="9">
        <f t="shared" si="2"/>
        <v>17.447061487940207</v>
      </c>
      <c r="AI4" s="9">
        <f t="shared" si="3"/>
        <v>304.39995456396633</v>
      </c>
      <c r="AJ4" s="9">
        <f t="shared" si="4"/>
        <v>25.877002091611601</v>
      </c>
      <c r="AK4" s="9">
        <f t="shared" si="5"/>
        <v>669.61923724927112</v>
      </c>
      <c r="AL4" s="9">
        <f t="shared" si="6"/>
        <v>17.615353577102301</v>
      </c>
      <c r="AM4" s="9">
        <f t="shared" si="7"/>
        <v>310.30068164633082</v>
      </c>
      <c r="AN4" s="8" t="s">
        <v>681</v>
      </c>
    </row>
    <row r="5" spans="8:40" ht="23">
      <c r="M5" s="8" t="s">
        <v>1705</v>
      </c>
      <c r="N5" s="8" t="s">
        <v>1614</v>
      </c>
      <c r="O5" s="8"/>
      <c r="P5" s="8" t="s">
        <v>3696</v>
      </c>
      <c r="Q5" s="8"/>
      <c r="R5" s="8"/>
      <c r="S5" s="8"/>
      <c r="T5" s="8"/>
      <c r="U5" s="8"/>
      <c r="V5" s="8"/>
      <c r="W5" s="8" t="s">
        <v>1705</v>
      </c>
      <c r="X5" s="8">
        <v>36.86</v>
      </c>
      <c r="Y5" s="8">
        <v>3.01</v>
      </c>
      <c r="Z5" s="9">
        <v>2.13</v>
      </c>
      <c r="AA5" s="8">
        <v>487.7</v>
      </c>
      <c r="AB5" s="8">
        <v>1904</v>
      </c>
      <c r="AC5" s="21" t="s">
        <v>1705</v>
      </c>
      <c r="AD5" s="8" t="s">
        <v>4377</v>
      </c>
      <c r="AE5" s="8" t="s">
        <v>4238</v>
      </c>
      <c r="AF5" s="9">
        <f t="shared" si="0"/>
        <v>1467.9769999999999</v>
      </c>
      <c r="AG5" s="9">
        <f t="shared" si="1"/>
        <v>1081.0683333333334</v>
      </c>
      <c r="AH5" s="9">
        <f t="shared" si="2"/>
        <v>13.806477182652021</v>
      </c>
      <c r="AI5" s="9">
        <f t="shared" si="3"/>
        <v>190.61881219509087</v>
      </c>
      <c r="AJ5" s="9">
        <f t="shared" si="4"/>
        <v>6.9567648299887885</v>
      </c>
      <c r="AK5" s="9">
        <f t="shared" si="5"/>
        <v>48.396576899768938</v>
      </c>
      <c r="AL5" s="9">
        <f t="shared" si="6"/>
        <v>6.9961275656643656</v>
      </c>
      <c r="AM5" s="9">
        <f t="shared" si="7"/>
        <v>48.9458009150488</v>
      </c>
      <c r="AN5" s="8" t="s">
        <v>1705</v>
      </c>
    </row>
    <row r="6" spans="8:40" ht="23">
      <c r="M6" s="8" t="s">
        <v>770</v>
      </c>
      <c r="N6" s="8" t="s">
        <v>150</v>
      </c>
      <c r="O6" s="8"/>
      <c r="P6" s="8" t="s">
        <v>3691</v>
      </c>
      <c r="Q6" s="8"/>
      <c r="R6" s="8"/>
      <c r="S6" s="8"/>
      <c r="T6" s="8"/>
      <c r="U6" s="8"/>
      <c r="V6" s="8"/>
      <c r="W6" s="8" t="s">
        <v>770</v>
      </c>
      <c r="X6" s="8">
        <v>5.81</v>
      </c>
      <c r="Y6" s="8">
        <v>3.68</v>
      </c>
      <c r="Z6" s="9">
        <v>2.3199999999999998</v>
      </c>
      <c r="AA6" s="8">
        <v>346.1</v>
      </c>
      <c r="AB6" s="8">
        <v>2272</v>
      </c>
      <c r="AC6" s="21" t="s">
        <v>770</v>
      </c>
      <c r="AD6" s="8" t="s">
        <v>4377</v>
      </c>
      <c r="AE6" s="8" t="s">
        <v>4238</v>
      </c>
      <c r="AF6" s="9">
        <f t="shared" si="0"/>
        <v>1273.6480000000001</v>
      </c>
      <c r="AG6" s="9">
        <f t="shared" si="1"/>
        <v>876.78666666666663</v>
      </c>
      <c r="AH6" s="9">
        <f t="shared" si="2"/>
        <v>9.7978711357717128</v>
      </c>
      <c r="AI6" s="9">
        <f t="shared" si="3"/>
        <v>95.998278793188476</v>
      </c>
      <c r="AJ6" s="9">
        <f t="shared" si="4"/>
        <v>6.0358368095587069</v>
      </c>
      <c r="AK6" s="9">
        <f t="shared" si="5"/>
        <v>36.431325991623829</v>
      </c>
      <c r="AL6" s="9">
        <f t="shared" si="6"/>
        <v>5.6741199226138708</v>
      </c>
      <c r="AM6" s="9">
        <f t="shared" si="7"/>
        <v>32.195636896203638</v>
      </c>
      <c r="AN6" s="8" t="s">
        <v>770</v>
      </c>
    </row>
    <row r="7" spans="8:40" ht="23">
      <c r="M7" s="9" t="s">
        <v>3468</v>
      </c>
      <c r="N7" s="8" t="s">
        <v>2017</v>
      </c>
      <c r="O7" s="8"/>
      <c r="P7" s="8" t="s">
        <v>3691</v>
      </c>
      <c r="Q7" s="8"/>
      <c r="R7" s="8"/>
      <c r="S7" s="8"/>
      <c r="T7" s="8"/>
      <c r="U7" s="8"/>
      <c r="V7" s="8"/>
      <c r="W7" s="9" t="s">
        <v>3468</v>
      </c>
      <c r="X7" s="8">
        <v>6.54</v>
      </c>
      <c r="Y7" s="8">
        <v>2.0299999999999998</v>
      </c>
      <c r="Z7" s="9">
        <v>0.27</v>
      </c>
      <c r="AA7" s="8">
        <v>48.3</v>
      </c>
      <c r="AB7" s="8">
        <v>19279</v>
      </c>
      <c r="AC7" s="22" t="s">
        <v>3468</v>
      </c>
      <c r="AD7" s="8" t="s">
        <v>4377</v>
      </c>
      <c r="AE7" s="8" t="s">
        <v>4238</v>
      </c>
      <c r="AF7" s="9">
        <f t="shared" si="0"/>
        <v>98.048999999999978</v>
      </c>
      <c r="AG7" s="9">
        <f t="shared" si="1"/>
        <v>21.734999999999999</v>
      </c>
      <c r="AH7" s="9">
        <f t="shared" si="2"/>
        <v>1.36734231683841</v>
      </c>
      <c r="AI7" s="9">
        <f t="shared" si="3"/>
        <v>1.8696250114170307</v>
      </c>
      <c r="AJ7" s="9">
        <f t="shared" si="4"/>
        <v>0.4646556688664541</v>
      </c>
      <c r="AK7" s="9">
        <f t="shared" si="5"/>
        <v>0.21590489060973184</v>
      </c>
      <c r="AL7" s="9">
        <f t="shared" si="6"/>
        <v>0.14065792878314659</v>
      </c>
      <c r="AM7" s="9">
        <f t="shared" si="7"/>
        <v>1.9784652929564737E-2</v>
      </c>
      <c r="AN7" s="9" t="s">
        <v>3468</v>
      </c>
    </row>
    <row r="8" spans="8:40" ht="23"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9"/>
      <c r="AA8" s="8">
        <f>SUBTOTAL(109,Table13628[ترافیک کل])</f>
        <v>3532.4</v>
      </c>
      <c r="AB8" s="8"/>
      <c r="AC8" s="21"/>
      <c r="AD8" s="8"/>
      <c r="AE8" s="8"/>
      <c r="AF8" s="9">
        <f>SUBTOTAL(109,Table13628[[مجموع صفحات  مشاهده شده   ]])</f>
        <v>21101.432000000001</v>
      </c>
      <c r="AG8" s="9">
        <f>SUBTOTAL(109,Table13628[[مجموع زمان حضور در سایت ]])</f>
        <v>15452.381666666666</v>
      </c>
      <c r="AH8" s="9">
        <f>SUBTOTAL(109,Table13628[سهم سایت از کل ترافیک طبقه بندی])</f>
        <v>99.999999999999986</v>
      </c>
      <c r="AI8" s="9">
        <f>SUBTOTAL(109,Table13628[شاخص هرفیندال هیرشمن (ترافیک)])</f>
        <v>2261.7286906650488</v>
      </c>
      <c r="AJ8" s="9">
        <f>SUBTOTAL(109,Table13628[سهم سایت از کل صفحات مشاهده شده در طبقه بندی])</f>
        <v>99.999999999999986</v>
      </c>
      <c r="AK8" s="9">
        <f>SUBTOTAL(109,Table13628[شاخص هرفیندال -هیرشمن (صفحات مشاهده شده )])</f>
        <v>2599.4380296067147</v>
      </c>
      <c r="AL8" s="9">
        <f>SUBTOTAL(109,Table13628[سهم سایت از کل زمان حضور در طبقه بندی])</f>
        <v>100</v>
      </c>
      <c r="AM8" s="9">
        <f>SUBTOTAL(109,Table13628[شاخص هرفیندال هیرشمن (زمان حضور)])</f>
        <v>2822.7476035635832</v>
      </c>
      <c r="AN8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{3813EB2A-A8C1-4B12-BECD-7EA484C5D867}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{91F5C954-07E2-4236-B930-446F8111D535}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{0CB0AA16-28EB-461F-8BE1-F4968C26F15E}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{8BD6D953-8E04-4D28-B461-969FDB640C2E}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{B1C50BDE-8032-4DE9-B79D-CE199B84D2E8}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{86AE278A-6810-4DE4-AC02-64F5DBDA8036}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13EB2A-A8C1-4B12-BECD-7EA484C5D86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1F5C954-07E2-4236-B930-446F8111D53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CB0AA16-28EB-461F-8BE1-F4968C26F15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BD6D953-8E04-4D28-B461-969FDB640C2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1C50BDE-8032-4DE9-B79D-CE199B84D2E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86AE278A-6810-4DE4-AC02-64F5DBDA803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5"/>
  <sheetViews>
    <sheetView showGridLines="0" rightToLeft="1" topLeftCell="AA1" zoomScale="85" zoomScaleNormal="85" workbookViewId="0">
      <selection activeCell="AA5" sqref="AA5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2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1504</v>
      </c>
      <c r="N2" s="8" t="s">
        <v>150</v>
      </c>
      <c r="O2" s="8"/>
      <c r="P2" s="8" t="s">
        <v>3695</v>
      </c>
      <c r="Q2" s="8"/>
      <c r="R2" s="8"/>
      <c r="S2" s="8"/>
      <c r="T2" s="8"/>
      <c r="U2" s="8"/>
      <c r="V2" s="8"/>
      <c r="W2" s="8" t="s">
        <v>1504</v>
      </c>
      <c r="X2" s="8">
        <v>50.37</v>
      </c>
      <c r="Y2" s="8">
        <v>4.47</v>
      </c>
      <c r="Z2" s="9">
        <v>5.34</v>
      </c>
      <c r="AA2" s="8">
        <v>882.1</v>
      </c>
      <c r="AB2" s="8">
        <v>445</v>
      </c>
      <c r="AC2" s="21" t="s">
        <v>1504</v>
      </c>
      <c r="AD2" s="8" t="s">
        <v>4075</v>
      </c>
      <c r="AE2" s="8" t="s">
        <v>4238</v>
      </c>
      <c r="AF2" s="9">
        <f>(AA2*Y2)</f>
        <v>3942.9870000000001</v>
      </c>
      <c r="AG2" s="9">
        <f>((((RIGHT(Z2,2))/60)+(LEFT(Z2,2)))*AA2)</f>
        <v>4910.3566666666666</v>
      </c>
      <c r="AH2" s="9">
        <f>(AA2/$AA$5)*100</f>
        <v>71.908372055107193</v>
      </c>
      <c r="AI2" s="9">
        <f>(AH2*AH2)</f>
        <v>5170.8139716157211</v>
      </c>
      <c r="AJ2" s="9">
        <f>(AF2/$AF$5)*100</f>
        <v>75.046992552755754</v>
      </c>
      <c r="AK2" s="9">
        <f>(AJ2*AJ2)</f>
        <v>5632.0510912133777</v>
      </c>
      <c r="AL2" s="9">
        <f>(AG2/$AG$5)*100</f>
        <v>76.924647519582251</v>
      </c>
      <c r="AM2" s="9">
        <f>(AL2*AL2)</f>
        <v>5917.4013960119719</v>
      </c>
      <c r="AN2" s="8" t="s">
        <v>1504</v>
      </c>
    </row>
    <row r="3" spans="8:40" ht="23">
      <c r="M3" s="9" t="s">
        <v>2258</v>
      </c>
      <c r="N3" s="8" t="s">
        <v>150</v>
      </c>
      <c r="O3" s="8"/>
      <c r="P3" s="8" t="s">
        <v>4677</v>
      </c>
      <c r="Q3" s="8"/>
      <c r="R3" s="8"/>
      <c r="S3" s="8"/>
      <c r="T3" s="8"/>
      <c r="U3" s="8"/>
      <c r="V3" s="8"/>
      <c r="W3" s="9" t="s">
        <v>2258</v>
      </c>
      <c r="X3" s="8">
        <v>6.17</v>
      </c>
      <c r="Y3" s="8">
        <v>4.62</v>
      </c>
      <c r="Z3" s="9">
        <v>6.01</v>
      </c>
      <c r="AA3" s="8">
        <v>236.1</v>
      </c>
      <c r="AB3" s="8">
        <v>1611</v>
      </c>
      <c r="AC3" s="22" t="s">
        <v>2258</v>
      </c>
      <c r="AD3" s="8" t="s">
        <v>4075</v>
      </c>
      <c r="AE3" s="8" t="s">
        <v>4238</v>
      </c>
      <c r="AF3" s="9">
        <f>(AA3*Y3)</f>
        <v>1090.7819999999999</v>
      </c>
      <c r="AG3" s="9">
        <f>((((RIGHT(Z3,2))/60)+(LEFT(Z3,2)))*AA3)</f>
        <v>1420.5349999999999</v>
      </c>
      <c r="AH3" s="9">
        <f>(AA3/$AA$5)*100</f>
        <v>19.246759598923941</v>
      </c>
      <c r="AI3" s="9">
        <f>(AH3*AH3)</f>
        <v>370.43775505877085</v>
      </c>
      <c r="AJ3" s="9">
        <f>(AF3/$AF$5)*100</f>
        <v>20.760887274211154</v>
      </c>
      <c r="AK3" s="9">
        <f>(AJ3*AJ3)</f>
        <v>431.01444041250261</v>
      </c>
      <c r="AL3" s="9">
        <f>(AG3/$AG$5)*100</f>
        <v>22.253812010443863</v>
      </c>
      <c r="AM3" s="9">
        <f>(AL3*AL3)</f>
        <v>495.23214899617551</v>
      </c>
      <c r="AN3" s="9" t="s">
        <v>2258</v>
      </c>
    </row>
    <row r="4" spans="8:40" ht="23">
      <c r="M4" s="9" t="s">
        <v>4378</v>
      </c>
      <c r="N4" s="8" t="s">
        <v>150</v>
      </c>
      <c r="O4" s="8"/>
      <c r="P4" s="8" t="s">
        <v>3691</v>
      </c>
      <c r="Q4" s="8"/>
      <c r="R4" s="8"/>
      <c r="S4" s="8"/>
      <c r="T4" s="8"/>
      <c r="U4" s="8"/>
      <c r="V4" s="8"/>
      <c r="W4" s="9" t="s">
        <v>4378</v>
      </c>
      <c r="X4" s="8">
        <v>8.59</v>
      </c>
      <c r="Y4" s="8">
        <v>2.0299999999999998</v>
      </c>
      <c r="Z4" s="9">
        <v>0.28999999999999998</v>
      </c>
      <c r="AA4" s="8">
        <v>108.5</v>
      </c>
      <c r="AB4" s="8"/>
      <c r="AC4" s="22" t="s">
        <v>4378</v>
      </c>
      <c r="AD4" s="8" t="s">
        <v>4075</v>
      </c>
      <c r="AE4" s="8" t="s">
        <v>4239</v>
      </c>
      <c r="AF4" s="9">
        <f>(AA4*Y4)</f>
        <v>220.25499999999997</v>
      </c>
      <c r="AG4" s="9">
        <f>((((RIGHT(Z4,2))/60)+(LEFT(Z4,2)))*AA4)</f>
        <v>52.44166666666667</v>
      </c>
      <c r="AH4" s="9">
        <f>(AA4/$AA$5)*100</f>
        <v>8.8448683459688588</v>
      </c>
      <c r="AI4" s="9">
        <f>(AH4*AH4)</f>
        <v>78.231696057521901</v>
      </c>
      <c r="AJ4" s="9">
        <f>(AF4/$AF$5)*100</f>
        <v>4.1921201730330875</v>
      </c>
      <c r="AK4" s="9">
        <f>(AJ4*AJ4)</f>
        <v>17.573871545150965</v>
      </c>
      <c r="AL4" s="9">
        <f>(AG4/$AG$5)*100</f>
        <v>0.82154046997389052</v>
      </c>
      <c r="AM4" s="9">
        <f>(AL4*AL4)</f>
        <v>0.67492874380492096</v>
      </c>
      <c r="AN4" s="9" t="s">
        <v>4378</v>
      </c>
    </row>
    <row r="5" spans="8:40" ht="23"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9"/>
      <c r="AA5" s="8">
        <f>SUBTOTAL(109,Table1362829[ترافیک کل])</f>
        <v>1226.7</v>
      </c>
      <c r="AB5" s="8"/>
      <c r="AC5" s="8"/>
      <c r="AD5" s="8"/>
      <c r="AE5" s="8"/>
      <c r="AF5" s="9">
        <f>SUBTOTAL(109,Table1362829[[مجموع صفحات  مشاهده شده   ]])</f>
        <v>5254.0240000000003</v>
      </c>
      <c r="AG5" s="9">
        <f>SUBTOTAL(109,Table1362829[[مجموع زمان حضور در سایت ]])</f>
        <v>6383.333333333333</v>
      </c>
      <c r="AH5" s="9">
        <f>SUBTOTAL(109,Table1362829[سهم سایت از کل ترافیک طبقه بندی])</f>
        <v>100</v>
      </c>
      <c r="AI5" s="9">
        <f>SUBTOTAL(109,Table1362829[شاخص هرفیندال هیرشمن (ترافیک)])</f>
        <v>5619.4834227320134</v>
      </c>
      <c r="AJ5" s="9">
        <f>SUBTOTAL(109,Table1362829[سهم سایت از کل صفحات مشاهده شده در طبقه بندی])</f>
        <v>100</v>
      </c>
      <c r="AK5" s="9">
        <f>SUBTOTAL(109,Table1362829[شاخص هرفیندال -هیرشمن (صفحات مشاهده شده )])</f>
        <v>6080.6394031710306</v>
      </c>
      <c r="AL5" s="9">
        <f>SUBTOTAL(109,Table1362829[سهم سایت از کل زمان حضور در طبقه بندی])</f>
        <v>100.00000000000001</v>
      </c>
      <c r="AM5" s="9">
        <f>SUBTOTAL(109,Table1362829[شاخص هرفیندال هیرشمن (زمان حضور)])</f>
        <v>6413.308473751953</v>
      </c>
      <c r="AN5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{D680EE3D-0D7A-48A2-A77C-8815EEA1585C}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{DF7DB410-4881-485A-A5B6-19EBF7A44FD3}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{CB046027-6991-48C6-BC5B-49571F8C23F1}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{B4C131B6-592E-4ABC-AD82-DC65C2BFCDA9}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{3DBF7F61-A6A4-44CE-B710-A480F681BDA4}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{C882749E-0CA4-4269-A64F-00A224EF59F7}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80EE3D-0D7A-48A2-A77C-8815EEA1585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DF7DB410-4881-485A-A5B6-19EBF7A44FD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B046027-6991-48C6-BC5B-49571F8C23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4C131B6-592E-4ABC-AD82-DC65C2BFCDA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DBF7F61-A6A4-44CE-B710-A480F681BDA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C882749E-0CA4-4269-A64F-00A224EF59F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80"/>
  <sheetViews>
    <sheetView showGridLines="0" rightToLeft="1" topLeftCell="Z1" zoomScale="85" zoomScaleNormal="85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4" max="14" width="15.832031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2.1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611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611</v>
      </c>
      <c r="X2" s="8">
        <v>89.8</v>
      </c>
      <c r="Y2" s="8">
        <v>1.1399999999999999</v>
      </c>
      <c r="Z2" s="9">
        <v>0.06</v>
      </c>
      <c r="AA2" s="8">
        <v>1471.5</v>
      </c>
      <c r="AB2" s="8">
        <v>3641</v>
      </c>
      <c r="AC2" s="21" t="s">
        <v>611</v>
      </c>
      <c r="AD2" s="8" t="s">
        <v>4009</v>
      </c>
      <c r="AE2" s="8" t="s">
        <v>4239</v>
      </c>
      <c r="AF2" s="9">
        <f t="shared" ref="AF2:AF33" si="0">(AA2*Y2)</f>
        <v>1677.5099999999998</v>
      </c>
      <c r="AG2" s="9">
        <f t="shared" ref="AG2:AG33" si="1">((((RIGHT(Z2,2))/60)+(LEFT(Z2,2)))*AA2)</f>
        <v>147.15</v>
      </c>
      <c r="AH2" s="9">
        <f t="shared" ref="AH2:AH33" si="2">(AA2/$AA$80)*100</f>
        <v>15.477254798843024</v>
      </c>
      <c r="AI2" s="9">
        <f t="shared" ref="AI2:AI33" si="3">(AH2*AH2)</f>
        <v>239.54541610830941</v>
      </c>
      <c r="AJ2" s="9">
        <f t="shared" ref="AJ2:AJ33" si="4">(AF2/$AF$80)*100</f>
        <v>4.47279022616239</v>
      </c>
      <c r="AK2" s="9">
        <f t="shared" ref="AK2:AK33" si="5">(AJ2*AJ2)</f>
        <v>20.005852407253805</v>
      </c>
      <c r="AL2" s="9">
        <f t="shared" ref="AL2:AL33" si="6">(AG2/$AG$80)*100</f>
        <v>0.68770604746919595</v>
      </c>
      <c r="AM2" s="9">
        <f t="shared" ref="AM2:AM33" si="7">(AL2*AL2)</f>
        <v>0.47293960772570398</v>
      </c>
      <c r="AN2" s="8" t="s">
        <v>611</v>
      </c>
    </row>
    <row r="3" spans="8:40" ht="23">
      <c r="M3" s="9" t="s">
        <v>2856</v>
      </c>
      <c r="N3" s="8" t="s">
        <v>1717</v>
      </c>
      <c r="O3" s="8"/>
      <c r="P3" s="8" t="s">
        <v>3692</v>
      </c>
      <c r="Q3" s="8"/>
      <c r="R3" s="8"/>
      <c r="S3" s="8"/>
      <c r="T3" s="8"/>
      <c r="U3" s="8"/>
      <c r="V3" s="8"/>
      <c r="W3" s="9" t="s">
        <v>4448</v>
      </c>
      <c r="X3" s="8">
        <v>43.29</v>
      </c>
      <c r="Y3" s="8">
        <v>11.65</v>
      </c>
      <c r="Z3" s="9">
        <v>7</v>
      </c>
      <c r="AA3" s="8">
        <v>1038.3</v>
      </c>
      <c r="AB3" s="8">
        <v>571</v>
      </c>
      <c r="AC3" s="22" t="s">
        <v>4448</v>
      </c>
      <c r="AD3" s="8" t="s">
        <v>4009</v>
      </c>
      <c r="AE3" s="8" t="s">
        <v>4239</v>
      </c>
      <c r="AF3" s="9">
        <f t="shared" si="0"/>
        <v>12096.195</v>
      </c>
      <c r="AG3" s="9">
        <f t="shared" si="1"/>
        <v>7389.2349999999997</v>
      </c>
      <c r="AH3" s="9">
        <f t="shared" si="2"/>
        <v>10.920851958979757</v>
      </c>
      <c r="AI3" s="9">
        <f t="shared" si="3"/>
        <v>119.26500750995199</v>
      </c>
      <c r="AJ3" s="9">
        <f t="shared" si="4"/>
        <v>32.252411472810522</v>
      </c>
      <c r="AK3" s="9">
        <f t="shared" si="5"/>
        <v>1040.2180458114797</v>
      </c>
      <c r="AL3" s="9">
        <f t="shared" si="6"/>
        <v>34.533616008637743</v>
      </c>
      <c r="AM3" s="9">
        <f t="shared" si="7"/>
        <v>1192.570634632041</v>
      </c>
      <c r="AN3" s="9" t="s">
        <v>2856</v>
      </c>
    </row>
    <row r="4" spans="8:40" ht="23">
      <c r="M4" s="8" t="s">
        <v>1345</v>
      </c>
      <c r="N4" s="8" t="s">
        <v>150</v>
      </c>
      <c r="O4" s="8"/>
      <c r="P4" s="8" t="s">
        <v>3693</v>
      </c>
      <c r="Q4" s="8"/>
      <c r="R4" s="8"/>
      <c r="S4" s="8"/>
      <c r="T4" s="8"/>
      <c r="U4" s="8"/>
      <c r="V4" s="8"/>
      <c r="W4" s="8" t="s">
        <v>1345</v>
      </c>
      <c r="X4" s="8">
        <v>57.9</v>
      </c>
      <c r="Y4" s="8">
        <v>3.28</v>
      </c>
      <c r="Z4" s="9">
        <v>3.47</v>
      </c>
      <c r="AA4" s="8">
        <v>720.9</v>
      </c>
      <c r="AB4" s="8">
        <v>943</v>
      </c>
      <c r="AC4" s="21" t="s">
        <v>1345</v>
      </c>
      <c r="AD4" s="8" t="s">
        <v>4009</v>
      </c>
      <c r="AE4" s="8" t="s">
        <v>4239</v>
      </c>
      <c r="AF4" s="9">
        <f t="shared" si="0"/>
        <v>2364.5519999999997</v>
      </c>
      <c r="AG4" s="9">
        <f t="shared" si="1"/>
        <v>2727.4049999999997</v>
      </c>
      <c r="AH4" s="9">
        <f t="shared" si="2"/>
        <v>7.5824349198001597</v>
      </c>
      <c r="AI4" s="9">
        <f t="shared" si="3"/>
        <v>57.493319313004854</v>
      </c>
      <c r="AJ4" s="9">
        <f t="shared" si="4"/>
        <v>6.3046688692483084</v>
      </c>
      <c r="AK4" s="9">
        <f t="shared" si="5"/>
        <v>39.748849550868741</v>
      </c>
      <c r="AL4" s="9">
        <f t="shared" si="6"/>
        <v>12.746536951394646</v>
      </c>
      <c r="AM4" s="9">
        <f t="shared" si="7"/>
        <v>162.47420425326911</v>
      </c>
      <c r="AN4" s="8" t="s">
        <v>1345</v>
      </c>
    </row>
    <row r="5" spans="8:40" ht="23">
      <c r="M5" s="9" t="s">
        <v>2421</v>
      </c>
      <c r="N5" s="8" t="s">
        <v>150</v>
      </c>
      <c r="O5" s="8"/>
      <c r="P5" s="8" t="s">
        <v>3693</v>
      </c>
      <c r="Q5" s="8"/>
      <c r="R5" s="8"/>
      <c r="S5" s="8"/>
      <c r="T5" s="8"/>
      <c r="U5" s="8"/>
      <c r="V5" s="8"/>
      <c r="W5" s="9" t="s">
        <v>2421</v>
      </c>
      <c r="X5" s="8">
        <v>59.72</v>
      </c>
      <c r="Y5" s="8">
        <v>1.88</v>
      </c>
      <c r="Z5" s="9">
        <v>2.36</v>
      </c>
      <c r="AA5" s="8">
        <v>596.4</v>
      </c>
      <c r="AB5" s="8">
        <v>1240</v>
      </c>
      <c r="AC5" s="22" t="s">
        <v>2421</v>
      </c>
      <c r="AD5" s="8" t="s">
        <v>4009</v>
      </c>
      <c r="AE5" s="8" t="s">
        <v>4239</v>
      </c>
      <c r="AF5" s="9">
        <f t="shared" si="0"/>
        <v>1121.232</v>
      </c>
      <c r="AG5" s="9">
        <f t="shared" si="1"/>
        <v>1550.64</v>
      </c>
      <c r="AH5" s="9">
        <f t="shared" si="2"/>
        <v>6.2729424138837784</v>
      </c>
      <c r="AI5" s="9">
        <f t="shared" si="3"/>
        <v>39.349806527902047</v>
      </c>
      <c r="AJ5" s="9">
        <f t="shared" si="4"/>
        <v>2.9895711684940833</v>
      </c>
      <c r="AK5" s="9">
        <f t="shared" si="5"/>
        <v>8.9375357714910795</v>
      </c>
      <c r="AL5" s="9">
        <f t="shared" si="6"/>
        <v>7.246921545685586</v>
      </c>
      <c r="AM5" s="9">
        <f t="shared" si="7"/>
        <v>52.51787188932196</v>
      </c>
      <c r="AN5" s="9" t="s">
        <v>2421</v>
      </c>
    </row>
    <row r="6" spans="8:40" ht="23">
      <c r="M6" s="9" t="s">
        <v>3676</v>
      </c>
      <c r="N6" s="8" t="s">
        <v>2107</v>
      </c>
      <c r="O6" s="8"/>
      <c r="P6" s="8" t="s">
        <v>4678</v>
      </c>
      <c r="Q6" s="8"/>
      <c r="R6" s="8"/>
      <c r="S6" s="8"/>
      <c r="T6" s="8"/>
      <c r="U6" s="8"/>
      <c r="V6" s="8"/>
      <c r="W6" s="9" t="s">
        <v>3676</v>
      </c>
      <c r="X6" s="8">
        <v>45.12</v>
      </c>
      <c r="Y6" s="8">
        <v>2.3199999999999998</v>
      </c>
      <c r="Z6" s="9">
        <v>2.02</v>
      </c>
      <c r="AA6" s="8">
        <v>580.20000000000005</v>
      </c>
      <c r="AB6" s="8">
        <v>868</v>
      </c>
      <c r="AC6" s="22" t="s">
        <v>3676</v>
      </c>
      <c r="AD6" s="8" t="s">
        <v>4009</v>
      </c>
      <c r="AE6" s="8" t="s">
        <v>4239</v>
      </c>
      <c r="AF6" s="9">
        <f t="shared" si="0"/>
        <v>1346.0640000000001</v>
      </c>
      <c r="AG6" s="9">
        <f t="shared" si="1"/>
        <v>1179.74</v>
      </c>
      <c r="AH6" s="9">
        <f t="shared" si="2"/>
        <v>6.102550617933213</v>
      </c>
      <c r="AI6" s="9">
        <f t="shared" si="3"/>
        <v>37.241124044437036</v>
      </c>
      <c r="AJ6" s="9">
        <f t="shared" si="4"/>
        <v>3.5890468032912191</v>
      </c>
      <c r="AK6" s="9">
        <f t="shared" si="5"/>
        <v>12.881256956214919</v>
      </c>
      <c r="AL6" s="9">
        <f t="shared" si="6"/>
        <v>5.513519078772064</v>
      </c>
      <c r="AM6" s="9">
        <f t="shared" si="7"/>
        <v>30.39889263198355</v>
      </c>
      <c r="AN6" s="9" t="s">
        <v>3676</v>
      </c>
    </row>
    <row r="7" spans="8:40" ht="23">
      <c r="M7" s="8" t="s">
        <v>1736</v>
      </c>
      <c r="N7" s="8" t="s">
        <v>1717</v>
      </c>
      <c r="O7" s="8"/>
      <c r="P7" s="8" t="s">
        <v>3692</v>
      </c>
      <c r="Q7" s="8"/>
      <c r="R7" s="8"/>
      <c r="S7" s="8"/>
      <c r="T7" s="8"/>
      <c r="U7" s="8"/>
      <c r="V7" s="8"/>
      <c r="W7" s="8" t="s">
        <v>1736</v>
      </c>
      <c r="X7" s="8">
        <v>44.98</v>
      </c>
      <c r="Y7" s="8">
        <v>2.46</v>
      </c>
      <c r="Z7" s="9">
        <v>1.54</v>
      </c>
      <c r="AA7" s="8">
        <v>442.7</v>
      </c>
      <c r="AB7" s="8">
        <v>1335</v>
      </c>
      <c r="AC7" s="21" t="s">
        <v>1736</v>
      </c>
      <c r="AD7" s="8" t="s">
        <v>4009</v>
      </c>
      <c r="AE7" s="8" t="s">
        <v>4239</v>
      </c>
      <c r="AF7" s="9">
        <f t="shared" si="0"/>
        <v>1089.0419999999999</v>
      </c>
      <c r="AG7" s="9">
        <f t="shared" si="1"/>
        <v>841.13</v>
      </c>
      <c r="AH7" s="9">
        <f t="shared" si="2"/>
        <v>4.6563239547725495</v>
      </c>
      <c r="AI7" s="9">
        <f t="shared" si="3"/>
        <v>21.681352771788674</v>
      </c>
      <c r="AJ7" s="9">
        <f t="shared" si="4"/>
        <v>2.9037421019727705</v>
      </c>
      <c r="AK7" s="9">
        <f t="shared" si="5"/>
        <v>8.4317181947692443</v>
      </c>
      <c r="AL7" s="9">
        <f t="shared" si="6"/>
        <v>3.9310240415070661</v>
      </c>
      <c r="AM7" s="9">
        <f t="shared" si="7"/>
        <v>15.452950014906548</v>
      </c>
      <c r="AN7" s="8" t="s">
        <v>1736</v>
      </c>
    </row>
    <row r="8" spans="8:40" ht="23">
      <c r="M8" s="8" t="s">
        <v>5178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21" t="s">
        <v>5178</v>
      </c>
      <c r="X8" s="8">
        <v>41.48</v>
      </c>
      <c r="Y8" s="8">
        <v>1.81</v>
      </c>
      <c r="Z8" s="9">
        <v>1.2</v>
      </c>
      <c r="AA8" s="8">
        <v>308.60000000000002</v>
      </c>
      <c r="AB8" s="8">
        <v>2008</v>
      </c>
      <c r="AC8" s="21" t="s">
        <v>5178</v>
      </c>
      <c r="AD8" s="8" t="s">
        <v>4009</v>
      </c>
      <c r="AE8" s="8" t="s">
        <v>4239</v>
      </c>
      <c r="AF8" s="9">
        <f t="shared" si="0"/>
        <v>558.56600000000003</v>
      </c>
      <c r="AG8" s="9">
        <f t="shared" si="1"/>
        <v>309.62866666666673</v>
      </c>
      <c r="AH8" s="9">
        <f t="shared" si="2"/>
        <v>3.245858532737314</v>
      </c>
      <c r="AI8" s="9">
        <f t="shared" si="3"/>
        <v>10.535597614543629</v>
      </c>
      <c r="AJ8" s="9">
        <f t="shared" si="4"/>
        <v>1.4893196138721212</v>
      </c>
      <c r="AK8" s="9">
        <f t="shared" si="5"/>
        <v>2.218072912264204</v>
      </c>
      <c r="AL8" s="9">
        <f t="shared" si="6"/>
        <v>1.4470506730308565</v>
      </c>
      <c r="AM8" s="9">
        <f t="shared" si="7"/>
        <v>2.0939556503190548</v>
      </c>
      <c r="AN8" s="21" t="s">
        <v>5178</v>
      </c>
    </row>
    <row r="9" spans="8:40" ht="23">
      <c r="M9" s="8" t="s">
        <v>1469</v>
      </c>
      <c r="N9" s="8" t="s">
        <v>150</v>
      </c>
      <c r="O9" s="8"/>
      <c r="P9" s="8" t="s">
        <v>3691</v>
      </c>
      <c r="Q9" s="8"/>
      <c r="R9" s="8"/>
      <c r="S9" s="8"/>
      <c r="T9" s="8"/>
      <c r="U9" s="8"/>
      <c r="V9" s="8"/>
      <c r="W9" s="8" t="s">
        <v>1469</v>
      </c>
      <c r="X9" s="8">
        <v>26.93</v>
      </c>
      <c r="Y9" s="8">
        <v>1.82</v>
      </c>
      <c r="Z9" s="9">
        <v>0.45</v>
      </c>
      <c r="AA9" s="8">
        <v>299.3</v>
      </c>
      <c r="AB9" s="8">
        <v>2588</v>
      </c>
      <c r="AC9" s="21" t="s">
        <v>1469</v>
      </c>
      <c r="AD9" s="8" t="s">
        <v>4009</v>
      </c>
      <c r="AE9" s="8" t="s">
        <v>4239</v>
      </c>
      <c r="AF9" s="9">
        <f t="shared" si="0"/>
        <v>544.726</v>
      </c>
      <c r="AG9" s="9">
        <f t="shared" si="1"/>
        <v>224.47500000000002</v>
      </c>
      <c r="AH9" s="9">
        <f t="shared" si="2"/>
        <v>3.1480410202471747</v>
      </c>
      <c r="AI9" s="9">
        <f t="shared" si="3"/>
        <v>9.9101622651588723</v>
      </c>
      <c r="AJ9" s="9">
        <f t="shared" si="4"/>
        <v>1.4524176480238773</v>
      </c>
      <c r="AK9" s="9">
        <f t="shared" si="5"/>
        <v>2.1095170242912116</v>
      </c>
      <c r="AL9" s="9">
        <f t="shared" si="6"/>
        <v>1.0490847095185034</v>
      </c>
      <c r="AM9" s="9">
        <f t="shared" si="7"/>
        <v>1.1005787277455228</v>
      </c>
      <c r="AN9" s="8" t="s">
        <v>1469</v>
      </c>
    </row>
    <row r="10" spans="8:40" ht="23">
      <c r="M10" s="8" t="s">
        <v>1266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8" t="s">
        <v>1266</v>
      </c>
      <c r="X10" s="8">
        <v>33.07</v>
      </c>
      <c r="Y10" s="8">
        <v>1.17</v>
      </c>
      <c r="Z10" s="9">
        <v>1.26</v>
      </c>
      <c r="AA10" s="8">
        <v>282.2</v>
      </c>
      <c r="AB10" s="8">
        <v>5629</v>
      </c>
      <c r="AC10" s="21" t="s">
        <v>1266</v>
      </c>
      <c r="AD10" s="8" t="s">
        <v>4009</v>
      </c>
      <c r="AE10" s="8" t="s">
        <v>4239</v>
      </c>
      <c r="AF10" s="9">
        <f t="shared" si="0"/>
        <v>330.17399999999998</v>
      </c>
      <c r="AG10" s="9">
        <f t="shared" si="1"/>
        <v>404.48666666666668</v>
      </c>
      <c r="AH10" s="9">
        <f t="shared" si="2"/>
        <v>2.9681830134104663</v>
      </c>
      <c r="AI10" s="9">
        <f t="shared" si="3"/>
        <v>8.8101104010984361</v>
      </c>
      <c r="AJ10" s="9">
        <f t="shared" si="4"/>
        <v>0.88035185491170898</v>
      </c>
      <c r="AK10" s="9">
        <f t="shared" si="5"/>
        <v>0.77501938844648666</v>
      </c>
      <c r="AL10" s="9">
        <f t="shared" si="6"/>
        <v>1.8903698728326437</v>
      </c>
      <c r="AM10" s="9">
        <f t="shared" si="7"/>
        <v>3.5734982561133055</v>
      </c>
      <c r="AN10" s="8" t="s">
        <v>1266</v>
      </c>
    </row>
    <row r="11" spans="8:40" ht="23">
      <c r="M11" s="9" t="s">
        <v>2598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9" t="s">
        <v>2598</v>
      </c>
      <c r="X11" s="8">
        <v>41.2</v>
      </c>
      <c r="Y11" s="8">
        <v>1.37</v>
      </c>
      <c r="Z11" s="9">
        <v>0.53</v>
      </c>
      <c r="AA11" s="8">
        <v>250.4</v>
      </c>
      <c r="AB11" s="8">
        <v>4416</v>
      </c>
      <c r="AC11" s="22" t="s">
        <v>2598</v>
      </c>
      <c r="AD11" s="8" t="s">
        <v>4009</v>
      </c>
      <c r="AE11" s="8" t="s">
        <v>4239</v>
      </c>
      <c r="AF11" s="9">
        <f t="shared" si="0"/>
        <v>343.04800000000006</v>
      </c>
      <c r="AG11" s="9">
        <f t="shared" si="1"/>
        <v>221.18666666666667</v>
      </c>
      <c r="AH11" s="9">
        <f t="shared" si="2"/>
        <v>2.633710228766764</v>
      </c>
      <c r="AI11" s="9">
        <f t="shared" si="3"/>
        <v>6.9364295691106799</v>
      </c>
      <c r="AJ11" s="9">
        <f t="shared" si="4"/>
        <v>0.91467814886621002</v>
      </c>
      <c r="AK11" s="9">
        <f t="shared" si="5"/>
        <v>0.83663611601331667</v>
      </c>
      <c r="AL11" s="9">
        <f t="shared" si="6"/>
        <v>1.0337166720096493</v>
      </c>
      <c r="AM11" s="9">
        <f t="shared" si="7"/>
        <v>1.068570157990705</v>
      </c>
      <c r="AN11" s="9" t="s">
        <v>2598</v>
      </c>
    </row>
    <row r="12" spans="8:40" ht="23">
      <c r="M12" s="8" t="s">
        <v>906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906</v>
      </c>
      <c r="X12" s="8">
        <v>20.7</v>
      </c>
      <c r="Y12" s="8">
        <v>4.93</v>
      </c>
      <c r="Z12" s="9">
        <v>1.3</v>
      </c>
      <c r="AA12" s="8">
        <v>231.4</v>
      </c>
      <c r="AB12" s="8">
        <v>3294</v>
      </c>
      <c r="AC12" s="21" t="s">
        <v>906</v>
      </c>
      <c r="AD12" s="8" t="s">
        <v>4009</v>
      </c>
      <c r="AE12" s="8" t="s">
        <v>4239</v>
      </c>
      <c r="AF12" s="9">
        <f t="shared" si="0"/>
        <v>1140.8019999999999</v>
      </c>
      <c r="AG12" s="9">
        <f t="shared" si="1"/>
        <v>232.55699999999999</v>
      </c>
      <c r="AH12" s="9">
        <f t="shared" si="2"/>
        <v>2.4338679989481999</v>
      </c>
      <c r="AI12" s="9">
        <f t="shared" si="3"/>
        <v>5.9237134363041148</v>
      </c>
      <c r="AJ12" s="9">
        <f t="shared" si="4"/>
        <v>3.0417511881219825</v>
      </c>
      <c r="AK12" s="9">
        <f t="shared" si="5"/>
        <v>9.2522502904414932</v>
      </c>
      <c r="AL12" s="9">
        <f t="shared" si="6"/>
        <v>1.0868559652143648</v>
      </c>
      <c r="AM12" s="9">
        <f t="shared" si="7"/>
        <v>1.1812558891220486</v>
      </c>
      <c r="AN12" s="8" t="s">
        <v>906</v>
      </c>
    </row>
    <row r="13" spans="8:40" ht="23">
      <c r="M13" s="8" t="s">
        <v>606</v>
      </c>
      <c r="N13" s="8" t="s">
        <v>150</v>
      </c>
      <c r="O13" s="8"/>
      <c r="P13" s="8" t="s">
        <v>3693</v>
      </c>
      <c r="Q13" s="8"/>
      <c r="R13" s="8"/>
      <c r="S13" s="8"/>
      <c r="T13" s="8"/>
      <c r="U13" s="8"/>
      <c r="V13" s="8"/>
      <c r="W13" s="8" t="s">
        <v>606</v>
      </c>
      <c r="X13" s="8">
        <v>29.68</v>
      </c>
      <c r="Y13" s="8">
        <v>1.98</v>
      </c>
      <c r="Z13" s="9">
        <v>1</v>
      </c>
      <c r="AA13" s="8">
        <v>219.9</v>
      </c>
      <c r="AB13" s="8">
        <v>2547</v>
      </c>
      <c r="AC13" s="21" t="s">
        <v>606</v>
      </c>
      <c r="AD13" s="8" t="s">
        <v>4009</v>
      </c>
      <c r="AE13" s="8" t="s">
        <v>4239</v>
      </c>
      <c r="AF13" s="9">
        <f t="shared" si="0"/>
        <v>435.40199999999999</v>
      </c>
      <c r="AG13" s="9">
        <f t="shared" si="1"/>
        <v>223.565</v>
      </c>
      <c r="AH13" s="9">
        <f t="shared" si="2"/>
        <v>2.3129108598474897</v>
      </c>
      <c r="AI13" s="9">
        <f t="shared" si="3"/>
        <v>5.3495566456004537</v>
      </c>
      <c r="AJ13" s="9">
        <f t="shared" si="4"/>
        <v>1.1609241137468969</v>
      </c>
      <c r="AK13" s="9">
        <f t="shared" si="5"/>
        <v>1.347744797879018</v>
      </c>
      <c r="AL13" s="9">
        <f t="shared" si="6"/>
        <v>1.044831821287467</v>
      </c>
      <c r="AM13" s="9">
        <f t="shared" si="7"/>
        <v>1.0916735347748854</v>
      </c>
      <c r="AN13" s="8" t="s">
        <v>606</v>
      </c>
    </row>
    <row r="14" spans="8:40" ht="23">
      <c r="M14" s="8" t="s">
        <v>925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925</v>
      </c>
      <c r="X14" s="8">
        <v>44.82</v>
      </c>
      <c r="Y14" s="8">
        <v>1.25</v>
      </c>
      <c r="Z14" s="9">
        <v>0.16</v>
      </c>
      <c r="AA14" s="8">
        <v>199.1</v>
      </c>
      <c r="AB14" s="8">
        <v>5792</v>
      </c>
      <c r="AC14" s="21" t="s">
        <v>925</v>
      </c>
      <c r="AD14" s="8" t="s">
        <v>4009</v>
      </c>
      <c r="AE14" s="8" t="s">
        <v>4239</v>
      </c>
      <c r="AF14" s="9">
        <f t="shared" si="0"/>
        <v>248.875</v>
      </c>
      <c r="AG14" s="9">
        <f t="shared" si="1"/>
        <v>53.093333333333334</v>
      </c>
      <c r="AH14" s="9">
        <f t="shared" si="2"/>
        <v>2.0941362082566402</v>
      </c>
      <c r="AI14" s="9">
        <f t="shared" si="3"/>
        <v>4.3854064587314978</v>
      </c>
      <c r="AJ14" s="9">
        <f t="shared" si="4"/>
        <v>0.66358213515041031</v>
      </c>
      <c r="AK14" s="9">
        <f t="shared" si="5"/>
        <v>0.4403412500907774</v>
      </c>
      <c r="AL14" s="9">
        <f t="shared" si="6"/>
        <v>0.24813188184594753</v>
      </c>
      <c r="AM14" s="9">
        <f t="shared" si="7"/>
        <v>6.1569430788411268E-2</v>
      </c>
      <c r="AN14" s="8" t="s">
        <v>925</v>
      </c>
    </row>
    <row r="15" spans="8:40" ht="23">
      <c r="M15" s="8" t="s">
        <v>453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453</v>
      </c>
      <c r="X15" s="8">
        <v>38.42</v>
      </c>
      <c r="Y15" s="8">
        <v>1.59</v>
      </c>
      <c r="Z15" s="9">
        <v>0.3</v>
      </c>
      <c r="AA15" s="8">
        <v>189.9</v>
      </c>
      <c r="AB15" s="8">
        <v>5332</v>
      </c>
      <c r="AC15" s="21" t="s">
        <v>453</v>
      </c>
      <c r="AD15" s="8" t="s">
        <v>4009</v>
      </c>
      <c r="AE15" s="8" t="s">
        <v>4239</v>
      </c>
      <c r="AF15" s="9">
        <f t="shared" si="0"/>
        <v>301.94100000000003</v>
      </c>
      <c r="AG15" s="9">
        <f t="shared" si="1"/>
        <v>0.94950000000000001</v>
      </c>
      <c r="AH15" s="9">
        <f t="shared" si="2"/>
        <v>1.9973704969760724</v>
      </c>
      <c r="AI15" s="9">
        <f t="shared" si="3"/>
        <v>3.9894889021904425</v>
      </c>
      <c r="AJ15" s="9">
        <f t="shared" si="4"/>
        <v>0.80507344437749906</v>
      </c>
      <c r="AK15" s="9">
        <f t="shared" si="5"/>
        <v>0.64814325084185009</v>
      </c>
      <c r="AL15" s="9">
        <f t="shared" si="6"/>
        <v>4.4374916212844145E-3</v>
      </c>
      <c r="AM15" s="9">
        <f t="shared" si="7"/>
        <v>1.9691331888969383E-5</v>
      </c>
      <c r="AN15" s="8" t="s">
        <v>453</v>
      </c>
    </row>
    <row r="16" spans="8:40" ht="23">
      <c r="M16" s="8" t="s">
        <v>1778</v>
      </c>
      <c r="N16" s="8" t="s">
        <v>1717</v>
      </c>
      <c r="O16" s="8"/>
      <c r="P16" s="8"/>
      <c r="Q16" s="8"/>
      <c r="R16" s="8"/>
      <c r="S16" s="8"/>
      <c r="T16" s="8"/>
      <c r="U16" s="8"/>
      <c r="V16" s="8"/>
      <c r="W16" s="8" t="s">
        <v>1778</v>
      </c>
      <c r="X16" s="8">
        <v>11.82</v>
      </c>
      <c r="Y16" s="8">
        <v>2.34</v>
      </c>
      <c r="Z16" s="9">
        <v>1.06</v>
      </c>
      <c r="AA16" s="8">
        <v>170.4</v>
      </c>
      <c r="AB16" s="8">
        <v>8227</v>
      </c>
      <c r="AC16" s="21" t="s">
        <v>1778</v>
      </c>
      <c r="AD16" s="8" t="s">
        <v>4009</v>
      </c>
      <c r="AE16" s="8" t="s">
        <v>4239</v>
      </c>
      <c r="AF16" s="9">
        <f t="shared" si="0"/>
        <v>398.73599999999999</v>
      </c>
      <c r="AG16" s="9">
        <f t="shared" si="1"/>
        <v>187.44000000000003</v>
      </c>
      <c r="AH16" s="9">
        <f t="shared" si="2"/>
        <v>1.7922692611096511</v>
      </c>
      <c r="AI16" s="9">
        <f t="shared" si="3"/>
        <v>3.2122291043185349</v>
      </c>
      <c r="AJ16" s="9">
        <f t="shared" si="4"/>
        <v>1.0631605675191724</v>
      </c>
      <c r="AK16" s="9">
        <f t="shared" si="5"/>
        <v>1.1303103923276887</v>
      </c>
      <c r="AL16" s="9">
        <f t="shared" si="6"/>
        <v>0.87600150552243372</v>
      </c>
      <c r="AM16" s="9">
        <f t="shared" si="7"/>
        <v>0.76737863767757053</v>
      </c>
      <c r="AN16" s="8" t="s">
        <v>1778</v>
      </c>
    </row>
    <row r="17" spans="13:40" ht="23">
      <c r="M17" s="8" t="s">
        <v>630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630</v>
      </c>
      <c r="X17" s="8">
        <v>28.79</v>
      </c>
      <c r="Y17" s="8">
        <v>1.19</v>
      </c>
      <c r="Z17" s="9">
        <v>0.13</v>
      </c>
      <c r="AA17" s="8">
        <v>162.6</v>
      </c>
      <c r="AB17" s="8">
        <v>10217</v>
      </c>
      <c r="AC17" s="21" t="s">
        <v>630</v>
      </c>
      <c r="AD17" s="8" t="s">
        <v>4009</v>
      </c>
      <c r="AE17" s="8" t="s">
        <v>4239</v>
      </c>
      <c r="AF17" s="9">
        <f t="shared" si="0"/>
        <v>193.49399999999997</v>
      </c>
      <c r="AG17" s="9">
        <f t="shared" si="1"/>
        <v>35.229999999999997</v>
      </c>
      <c r="AH17" s="9">
        <f t="shared" si="2"/>
        <v>1.7102287667630822</v>
      </c>
      <c r="AI17" s="9">
        <f t="shared" si="3"/>
        <v>2.924882434663973</v>
      </c>
      <c r="AJ17" s="9">
        <f t="shared" si="4"/>
        <v>0.51591827889017983</v>
      </c>
      <c r="AK17" s="9">
        <f t="shared" si="5"/>
        <v>0.26617167049300539</v>
      </c>
      <c r="AL17" s="9">
        <f t="shared" si="6"/>
        <v>0.16464753008725636</v>
      </c>
      <c r="AM17" s="9">
        <f t="shared" si="7"/>
        <v>2.7108809163833986E-2</v>
      </c>
      <c r="AN17" s="8" t="s">
        <v>630</v>
      </c>
    </row>
    <row r="18" spans="13:40" ht="23">
      <c r="M18" s="8" t="s">
        <v>5264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/>
      <c r="X18" s="8">
        <v>18.899999999999999</v>
      </c>
      <c r="Y18" s="8">
        <v>16.829999999999998</v>
      </c>
      <c r="Z18" s="9">
        <v>8.51</v>
      </c>
      <c r="AA18" s="8">
        <v>157.5</v>
      </c>
      <c r="AB18" s="8">
        <v>1085</v>
      </c>
      <c r="AC18" s="21" t="s">
        <v>5264</v>
      </c>
      <c r="AD18" s="8" t="s">
        <v>4009</v>
      </c>
      <c r="AE18" s="8" t="s">
        <v>4239</v>
      </c>
      <c r="AF18" s="9">
        <f t="shared" si="0"/>
        <v>2650.7249999999999</v>
      </c>
      <c r="AG18" s="9">
        <f t="shared" si="1"/>
        <v>1393.875</v>
      </c>
      <c r="AH18" s="9">
        <f t="shared" si="2"/>
        <v>1.6565869050749416</v>
      </c>
      <c r="AI18" s="9">
        <f t="shared" si="3"/>
        <v>2.7442801740657736</v>
      </c>
      <c r="AJ18" s="9">
        <f t="shared" si="4"/>
        <v>7.0676996692981273</v>
      </c>
      <c r="AK18" s="9">
        <f t="shared" si="5"/>
        <v>49.95237861539686</v>
      </c>
      <c r="AL18" s="9">
        <f t="shared" si="6"/>
        <v>6.514279761577475</v>
      </c>
      <c r="AM18" s="9">
        <f t="shared" si="7"/>
        <v>42.435840812097886</v>
      </c>
      <c r="AN18" s="8"/>
    </row>
    <row r="19" spans="13:40" ht="23">
      <c r="M19" s="8" t="s">
        <v>1318</v>
      </c>
      <c r="N19" s="8" t="s">
        <v>150</v>
      </c>
      <c r="O19" s="8"/>
      <c r="P19" s="8" t="s">
        <v>3693</v>
      </c>
      <c r="Q19" s="8"/>
      <c r="R19" s="8"/>
      <c r="S19" s="8"/>
      <c r="T19" s="8"/>
      <c r="U19" s="8"/>
      <c r="V19" s="8"/>
      <c r="W19" s="8" t="s">
        <v>1318</v>
      </c>
      <c r="X19" s="8">
        <v>44.7</v>
      </c>
      <c r="Y19" s="8">
        <v>1.62</v>
      </c>
      <c r="Z19" s="9">
        <v>0.35</v>
      </c>
      <c r="AA19" s="8">
        <v>155.69999999999999</v>
      </c>
      <c r="AB19" s="8">
        <v>4931</v>
      </c>
      <c r="AC19" s="21" t="s">
        <v>1318</v>
      </c>
      <c r="AD19" s="8" t="s">
        <v>4009</v>
      </c>
      <c r="AE19" s="8" t="s">
        <v>4239</v>
      </c>
      <c r="AF19" s="9">
        <f t="shared" si="0"/>
        <v>252.23400000000001</v>
      </c>
      <c r="AG19" s="9">
        <f t="shared" si="1"/>
        <v>90.825000000000003</v>
      </c>
      <c r="AH19" s="9">
        <f t="shared" si="2"/>
        <v>1.6376544833026565</v>
      </c>
      <c r="AI19" s="9">
        <f t="shared" si="3"/>
        <v>2.6819122066812908</v>
      </c>
      <c r="AJ19" s="9">
        <f t="shared" si="4"/>
        <v>0.67253832758424359</v>
      </c>
      <c r="AK19" s="9">
        <f t="shared" si="5"/>
        <v>0.45230780206981136</v>
      </c>
      <c r="AL19" s="9">
        <f t="shared" si="6"/>
        <v>0.42447095998226109</v>
      </c>
      <c r="AM19" s="9">
        <f t="shared" si="7"/>
        <v>0.18017559586826229</v>
      </c>
      <c r="AN19" s="8" t="s">
        <v>1318</v>
      </c>
    </row>
    <row r="20" spans="13:40" ht="23">
      <c r="M20" s="9" t="s">
        <v>4680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9" t="s">
        <v>4680</v>
      </c>
      <c r="X20" s="8">
        <v>16.18</v>
      </c>
      <c r="Y20" s="8">
        <v>1.92</v>
      </c>
      <c r="Z20" s="9">
        <v>0.28000000000000003</v>
      </c>
      <c r="AA20" s="8">
        <v>144.6</v>
      </c>
      <c r="AB20" s="8">
        <v>6723</v>
      </c>
      <c r="AC20" s="22" t="s">
        <v>4680</v>
      </c>
      <c r="AD20" s="8" t="s">
        <v>4009</v>
      </c>
      <c r="AE20" s="8" t="s">
        <v>4239</v>
      </c>
      <c r="AF20" s="9">
        <f t="shared" si="0"/>
        <v>277.63200000000001</v>
      </c>
      <c r="AG20" s="9">
        <f t="shared" si="1"/>
        <v>67.48</v>
      </c>
      <c r="AH20" s="9">
        <f t="shared" si="2"/>
        <v>1.5209045490402318</v>
      </c>
      <c r="AI20" s="9">
        <f t="shared" si="3"/>
        <v>2.3131506472912706</v>
      </c>
      <c r="AJ20" s="9">
        <f t="shared" si="4"/>
        <v>0.74025770103899047</v>
      </c>
      <c r="AK20" s="9">
        <f t="shared" si="5"/>
        <v>0.54798146394753144</v>
      </c>
      <c r="AL20" s="9">
        <f t="shared" si="6"/>
        <v>0.31536801959375704</v>
      </c>
      <c r="AM20" s="9">
        <f t="shared" si="7"/>
        <v>9.9456987782488321E-2</v>
      </c>
      <c r="AN20" s="9" t="s">
        <v>4680</v>
      </c>
    </row>
    <row r="21" spans="13:40" ht="23">
      <c r="M21" s="8" t="s">
        <v>426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426</v>
      </c>
      <c r="X21" s="8">
        <v>2.73</v>
      </c>
      <c r="Y21" s="8">
        <v>25.5</v>
      </c>
      <c r="Z21" s="9">
        <v>2.13</v>
      </c>
      <c r="AA21" s="8">
        <v>140.69999999999999</v>
      </c>
      <c r="AB21" s="8">
        <v>5023</v>
      </c>
      <c r="AC21" s="21" t="s">
        <v>426</v>
      </c>
      <c r="AD21" s="8" t="s">
        <v>4009</v>
      </c>
      <c r="AE21" s="8" t="s">
        <v>4239</v>
      </c>
      <c r="AF21" s="9">
        <f t="shared" si="0"/>
        <v>3587.85</v>
      </c>
      <c r="AG21" s="9">
        <f t="shared" si="1"/>
        <v>311.88499999999999</v>
      </c>
      <c r="AH21" s="9">
        <f t="shared" si="2"/>
        <v>1.4798843018669476</v>
      </c>
      <c r="AI21" s="9">
        <f t="shared" si="3"/>
        <v>2.190057546912223</v>
      </c>
      <c r="AJ21" s="9">
        <f t="shared" si="4"/>
        <v>9.5663813705651428</v>
      </c>
      <c r="AK21" s="9">
        <f t="shared" si="5"/>
        <v>91.515652527095824</v>
      </c>
      <c r="AL21" s="9">
        <f t="shared" si="6"/>
        <v>1.4575956548755022</v>
      </c>
      <c r="AM21" s="9">
        <f t="shared" si="7"/>
        <v>2.1245850931119441</v>
      </c>
      <c r="AN21" s="8" t="s">
        <v>426</v>
      </c>
    </row>
    <row r="22" spans="13:40" ht="23">
      <c r="M22" s="9" t="s">
        <v>5177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9"/>
      <c r="X22" s="8">
        <v>32.46</v>
      </c>
      <c r="Y22" s="8">
        <v>1.65</v>
      </c>
      <c r="Z22" s="9">
        <v>0.36</v>
      </c>
      <c r="AA22" s="8">
        <v>139.69999999999999</v>
      </c>
      <c r="AB22" s="8">
        <v>4595</v>
      </c>
      <c r="AC22" s="22" t="s">
        <v>5177</v>
      </c>
      <c r="AD22" s="8" t="s">
        <v>4009</v>
      </c>
      <c r="AE22" s="8" t="s">
        <v>4239</v>
      </c>
      <c r="AF22" s="9">
        <f t="shared" si="0"/>
        <v>230.50499999999997</v>
      </c>
      <c r="AG22" s="9">
        <f t="shared" si="1"/>
        <v>83.82</v>
      </c>
      <c r="AH22" s="9">
        <f t="shared" si="2"/>
        <v>1.4693662897712336</v>
      </c>
      <c r="AI22" s="9">
        <f t="shared" si="3"/>
        <v>2.1590372935160809</v>
      </c>
      <c r="AJ22" s="9">
        <f t="shared" si="4"/>
        <v>0.61460170793709823</v>
      </c>
      <c r="AK22" s="9">
        <f t="shared" si="5"/>
        <v>0.37773525939919822</v>
      </c>
      <c r="AL22" s="9">
        <f t="shared" si="6"/>
        <v>0.39173306761038396</v>
      </c>
      <c r="AM22" s="9">
        <f t="shared" si="7"/>
        <v>0.15345479625944164</v>
      </c>
      <c r="AN22" s="9"/>
    </row>
    <row r="23" spans="13:40" ht="23">
      <c r="M23" s="9" t="s">
        <v>3070</v>
      </c>
      <c r="N23" s="8" t="s">
        <v>1814</v>
      </c>
      <c r="O23" s="8"/>
      <c r="P23" s="8"/>
      <c r="Q23" s="8"/>
      <c r="R23" s="8"/>
      <c r="S23" s="8"/>
      <c r="T23" s="8"/>
      <c r="U23" s="8"/>
      <c r="V23" s="8"/>
      <c r="W23" s="9" t="s">
        <v>3070</v>
      </c>
      <c r="X23" s="8">
        <v>0.44</v>
      </c>
      <c r="Y23" s="8">
        <v>3.05</v>
      </c>
      <c r="Z23" s="9">
        <v>0.27</v>
      </c>
      <c r="AA23" s="8">
        <v>136.19999999999999</v>
      </c>
      <c r="AB23" s="8">
        <v>64016</v>
      </c>
      <c r="AC23" s="22" t="s">
        <v>3070</v>
      </c>
      <c r="AD23" s="8" t="s">
        <v>4009</v>
      </c>
      <c r="AE23" s="8" t="s">
        <v>4239</v>
      </c>
      <c r="AF23" s="9">
        <f t="shared" si="0"/>
        <v>415.40999999999997</v>
      </c>
      <c r="AG23" s="9">
        <f t="shared" si="1"/>
        <v>61.29</v>
      </c>
      <c r="AH23" s="9">
        <f t="shared" si="2"/>
        <v>1.432553247436235</v>
      </c>
      <c r="AI23" s="9">
        <f t="shared" si="3"/>
        <v>2.052208806740103</v>
      </c>
      <c r="AJ23" s="9">
        <f t="shared" si="4"/>
        <v>1.1076189041198674</v>
      </c>
      <c r="AK23" s="9">
        <f t="shared" si="5"/>
        <v>1.2268196367636961</v>
      </c>
      <c r="AL23" s="9">
        <f t="shared" si="6"/>
        <v>0.28643903261561005</v>
      </c>
      <c r="AM23" s="9">
        <f t="shared" si="7"/>
        <v>8.2047319405766511E-2</v>
      </c>
      <c r="AN23" s="9" t="s">
        <v>3070</v>
      </c>
    </row>
    <row r="24" spans="13:40" ht="23">
      <c r="M24" s="9" t="s">
        <v>2323</v>
      </c>
      <c r="N24" s="8" t="s">
        <v>150</v>
      </c>
      <c r="O24" s="8"/>
      <c r="P24" s="8" t="s">
        <v>3691</v>
      </c>
      <c r="Q24" s="8"/>
      <c r="R24" s="8"/>
      <c r="S24" s="8"/>
      <c r="T24" s="8"/>
      <c r="U24" s="8"/>
      <c r="V24" s="8"/>
      <c r="W24" s="9" t="s">
        <v>2323</v>
      </c>
      <c r="X24" s="8">
        <v>4.6100000000000003</v>
      </c>
      <c r="Y24" s="8">
        <v>11.75</v>
      </c>
      <c r="Z24" s="9">
        <v>4.0599999999999996</v>
      </c>
      <c r="AA24" s="8">
        <v>122.6</v>
      </c>
      <c r="AB24" s="8">
        <v>1955</v>
      </c>
      <c r="AC24" s="22" t="s">
        <v>2323</v>
      </c>
      <c r="AD24" s="8" t="s">
        <v>4009</v>
      </c>
      <c r="AE24" s="8" t="s">
        <v>4239</v>
      </c>
      <c r="AF24" s="9">
        <f t="shared" si="0"/>
        <v>1440.55</v>
      </c>
      <c r="AG24" s="9">
        <f t="shared" si="1"/>
        <v>502.65999999999991</v>
      </c>
      <c r="AH24" s="9">
        <f t="shared" si="2"/>
        <v>1.2895082829345257</v>
      </c>
      <c r="AI24" s="9">
        <f t="shared" si="3"/>
        <v>1.6628316117567488</v>
      </c>
      <c r="AJ24" s="9">
        <f t="shared" si="4"/>
        <v>3.8409773773618228</v>
      </c>
      <c r="AK24" s="9">
        <f t="shared" si="5"/>
        <v>14.753107213405306</v>
      </c>
      <c r="AL24" s="9">
        <f t="shared" si="6"/>
        <v>2.3491832947391504</v>
      </c>
      <c r="AM24" s="9">
        <f t="shared" si="7"/>
        <v>5.5186621522814905</v>
      </c>
      <c r="AN24" s="9" t="s">
        <v>2323</v>
      </c>
    </row>
    <row r="25" spans="13:40" ht="23">
      <c r="M25" s="8" t="s">
        <v>1599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8" t="s">
        <v>1599</v>
      </c>
      <c r="X25" s="8">
        <v>46.27</v>
      </c>
      <c r="Y25" s="8">
        <v>1.44</v>
      </c>
      <c r="Z25" s="9">
        <v>0.4</v>
      </c>
      <c r="AA25" s="8">
        <v>120.9</v>
      </c>
      <c r="AB25" s="8">
        <v>5806</v>
      </c>
      <c r="AC25" s="21" t="s">
        <v>1599</v>
      </c>
      <c r="AD25" s="8" t="s">
        <v>4009</v>
      </c>
      <c r="AE25" s="8" t="s">
        <v>4239</v>
      </c>
      <c r="AF25" s="9">
        <f t="shared" si="0"/>
        <v>174.096</v>
      </c>
      <c r="AG25" s="9">
        <f t="shared" si="1"/>
        <v>0.80600000000000005</v>
      </c>
      <c r="AH25" s="9">
        <f t="shared" si="2"/>
        <v>1.2716276623718124</v>
      </c>
      <c r="AI25" s="9">
        <f t="shared" si="3"/>
        <v>1.6170369117092001</v>
      </c>
      <c r="AJ25" s="9">
        <f t="shared" si="4"/>
        <v>0.46419686750837108</v>
      </c>
      <c r="AK25" s="9">
        <f t="shared" si="5"/>
        <v>0.21547873180458421</v>
      </c>
      <c r="AL25" s="9">
        <f t="shared" si="6"/>
        <v>3.7668438617748687E-3</v>
      </c>
      <c r="AM25" s="9">
        <f t="shared" si="7"/>
        <v>1.4189112678991006E-5</v>
      </c>
      <c r="AN25" s="8" t="s">
        <v>1599</v>
      </c>
    </row>
    <row r="26" spans="13:40" ht="23">
      <c r="M26" s="9" t="s">
        <v>5176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9"/>
      <c r="X26" s="8">
        <v>25.15</v>
      </c>
      <c r="Y26" s="8">
        <v>2.0299999999999998</v>
      </c>
      <c r="Z26" s="9">
        <v>1.3</v>
      </c>
      <c r="AA26" s="8">
        <v>113</v>
      </c>
      <c r="AB26" s="8">
        <v>2937</v>
      </c>
      <c r="AC26" s="22" t="s">
        <v>5176</v>
      </c>
      <c r="AD26" s="8" t="s">
        <v>4009</v>
      </c>
      <c r="AE26" s="8" t="s">
        <v>4239</v>
      </c>
      <c r="AF26" s="9">
        <f t="shared" si="0"/>
        <v>229.39</v>
      </c>
      <c r="AG26" s="9">
        <f t="shared" si="1"/>
        <v>113.56499999999998</v>
      </c>
      <c r="AH26" s="9">
        <f t="shared" si="2"/>
        <v>1.1885353668156722</v>
      </c>
      <c r="AI26" s="9">
        <f t="shared" si="3"/>
        <v>1.4126163181716644</v>
      </c>
      <c r="AJ26" s="9">
        <f t="shared" si="4"/>
        <v>0.61162875331854405</v>
      </c>
      <c r="AK26" s="9">
        <f t="shared" si="5"/>
        <v>0.37408973188599642</v>
      </c>
      <c r="AL26" s="9">
        <f t="shared" si="6"/>
        <v>0.5307464307226587</v>
      </c>
      <c r="AM26" s="9">
        <f t="shared" si="7"/>
        <v>0.28169177372484194</v>
      </c>
      <c r="AN26" s="9"/>
    </row>
    <row r="27" spans="13:40" ht="23">
      <c r="M27" s="9" t="s">
        <v>2458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9" t="s">
        <v>2458</v>
      </c>
      <c r="X27" s="8">
        <v>27.36</v>
      </c>
      <c r="Y27" s="8">
        <v>1.81</v>
      </c>
      <c r="Z27" s="9">
        <v>0.28999999999999998</v>
      </c>
      <c r="AA27" s="8">
        <v>97.9</v>
      </c>
      <c r="AB27" s="8">
        <v>12297</v>
      </c>
      <c r="AC27" s="22" t="s">
        <v>2458</v>
      </c>
      <c r="AD27" s="8" t="s">
        <v>4009</v>
      </c>
      <c r="AE27" s="8" t="s">
        <v>4239</v>
      </c>
      <c r="AF27" s="9">
        <f t="shared" si="0"/>
        <v>177.19900000000001</v>
      </c>
      <c r="AG27" s="9">
        <f t="shared" si="1"/>
        <v>47.318333333333335</v>
      </c>
      <c r="AH27" s="9">
        <f t="shared" si="2"/>
        <v>1.0297133841703923</v>
      </c>
      <c r="AI27" s="9">
        <f t="shared" si="3"/>
        <v>1.0603096535396419</v>
      </c>
      <c r="AJ27" s="9">
        <f t="shared" si="4"/>
        <v>0.4724704802270922</v>
      </c>
      <c r="AK27" s="9">
        <f t="shared" si="5"/>
        <v>0.22322835468601912</v>
      </c>
      <c r="AL27" s="9">
        <f t="shared" si="6"/>
        <v>0.22114239884129511</v>
      </c>
      <c r="AM27" s="9">
        <f t="shared" si="7"/>
        <v>4.8903960565282442E-2</v>
      </c>
      <c r="AN27" s="9" t="s">
        <v>2458</v>
      </c>
    </row>
    <row r="28" spans="13:40" ht="23">
      <c r="M28" s="8" t="s">
        <v>1803</v>
      </c>
      <c r="N28" s="8" t="s">
        <v>1717</v>
      </c>
      <c r="O28" s="8"/>
      <c r="P28" s="8"/>
      <c r="Q28" s="8"/>
      <c r="R28" s="8"/>
      <c r="S28" s="8"/>
      <c r="T28" s="8"/>
      <c r="U28" s="8"/>
      <c r="V28" s="8"/>
      <c r="W28" s="8" t="s">
        <v>1803</v>
      </c>
      <c r="X28" s="8">
        <v>29.51</v>
      </c>
      <c r="Y28" s="8">
        <v>1.96</v>
      </c>
      <c r="Z28" s="9">
        <v>0.24</v>
      </c>
      <c r="AA28" s="8">
        <v>91.9</v>
      </c>
      <c r="AB28" s="8">
        <v>25317</v>
      </c>
      <c r="AC28" s="21" t="s">
        <v>1803</v>
      </c>
      <c r="AD28" s="8" t="s">
        <v>4009</v>
      </c>
      <c r="AE28" s="8" t="s">
        <v>4239</v>
      </c>
      <c r="AF28" s="9">
        <f t="shared" si="0"/>
        <v>180.124</v>
      </c>
      <c r="AG28" s="9">
        <f t="shared" si="1"/>
        <v>36.760000000000005</v>
      </c>
      <c r="AH28" s="9">
        <f t="shared" si="2"/>
        <v>0.96660531159610874</v>
      </c>
      <c r="AI28" s="9">
        <f t="shared" si="3"/>
        <v>0.93432582840581047</v>
      </c>
      <c r="AJ28" s="9">
        <f t="shared" si="4"/>
        <v>0.48026948673764952</v>
      </c>
      <c r="AK28" s="9">
        <f t="shared" si="5"/>
        <v>0.23065877989124531</v>
      </c>
      <c r="AL28" s="9">
        <f t="shared" si="6"/>
        <v>0.1717979905196578</v>
      </c>
      <c r="AM28" s="9">
        <f t="shared" si="7"/>
        <v>2.9514549546592432E-2</v>
      </c>
      <c r="AN28" s="8" t="s">
        <v>1803</v>
      </c>
    </row>
    <row r="29" spans="13:40" ht="23">
      <c r="M29" s="9" t="s">
        <v>2411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9" t="s">
        <v>2411</v>
      </c>
      <c r="X29" s="8">
        <v>29.42</v>
      </c>
      <c r="Y29" s="8">
        <v>1.33</v>
      </c>
      <c r="Z29" s="9">
        <v>0.09</v>
      </c>
      <c r="AA29" s="8">
        <v>72.3</v>
      </c>
      <c r="AB29" s="8">
        <v>32441</v>
      </c>
      <c r="AC29" s="22" t="s">
        <v>2411</v>
      </c>
      <c r="AD29" s="8" t="s">
        <v>4009</v>
      </c>
      <c r="AE29" s="8" t="s">
        <v>4239</v>
      </c>
      <c r="AF29" s="9">
        <f t="shared" si="0"/>
        <v>96.159000000000006</v>
      </c>
      <c r="AG29" s="9">
        <f t="shared" si="1"/>
        <v>10.844999999999999</v>
      </c>
      <c r="AH29" s="9">
        <f t="shared" si="2"/>
        <v>0.76045227452011588</v>
      </c>
      <c r="AI29" s="9">
        <f t="shared" si="3"/>
        <v>0.57828766182281766</v>
      </c>
      <c r="AJ29" s="9">
        <f t="shared" si="4"/>
        <v>0.25639133916194201</v>
      </c>
      <c r="AK29" s="9">
        <f t="shared" si="5"/>
        <v>6.5736518797253979E-2</v>
      </c>
      <c r="AL29" s="9">
        <f t="shared" si="6"/>
        <v>5.0684146006139505E-2</v>
      </c>
      <c r="AM29" s="9">
        <f t="shared" si="7"/>
        <v>2.5688826563716673E-3</v>
      </c>
      <c r="AN29" s="9" t="s">
        <v>2411</v>
      </c>
    </row>
    <row r="30" spans="13:40" ht="23">
      <c r="M30" s="9" t="s">
        <v>2949</v>
      </c>
      <c r="N30" s="8" t="s">
        <v>1717</v>
      </c>
      <c r="O30" s="8"/>
      <c r="P30" s="8"/>
      <c r="Q30" s="8"/>
      <c r="R30" s="8"/>
      <c r="S30" s="8"/>
      <c r="T30" s="8"/>
      <c r="U30" s="8"/>
      <c r="V30" s="8"/>
      <c r="W30" s="9" t="s">
        <v>2949</v>
      </c>
      <c r="X30" s="8">
        <v>10.39</v>
      </c>
      <c r="Y30" s="8">
        <v>3.9</v>
      </c>
      <c r="Z30" s="9">
        <v>0.48</v>
      </c>
      <c r="AA30" s="8">
        <v>68.400000000000006</v>
      </c>
      <c r="AB30" s="8">
        <v>13983</v>
      </c>
      <c r="AC30" s="22" t="s">
        <v>2949</v>
      </c>
      <c r="AD30" s="8" t="s">
        <v>4009</v>
      </c>
      <c r="AE30" s="8" t="s">
        <v>4239</v>
      </c>
      <c r="AF30" s="9">
        <f t="shared" si="0"/>
        <v>266.76</v>
      </c>
      <c r="AG30" s="9">
        <f t="shared" si="1"/>
        <v>54.720000000000006</v>
      </c>
      <c r="AH30" s="9">
        <f t="shared" si="2"/>
        <v>0.71943202734683176</v>
      </c>
      <c r="AI30" s="9">
        <f t="shared" si="3"/>
        <v>0.51758244197237246</v>
      </c>
      <c r="AJ30" s="9">
        <f t="shared" si="4"/>
        <v>0.71126939376282661</v>
      </c>
      <c r="AK30" s="9">
        <f t="shared" si="5"/>
        <v>0.50590415050373894</v>
      </c>
      <c r="AL30" s="9">
        <f t="shared" si="6"/>
        <v>0.25573411428823922</v>
      </c>
      <c r="AM30" s="9">
        <f t="shared" si="7"/>
        <v>6.5399937210790196E-2</v>
      </c>
      <c r="AN30" s="9" t="s">
        <v>2949</v>
      </c>
    </row>
    <row r="31" spans="13:40" ht="23">
      <c r="M31" s="8" t="s">
        <v>2116</v>
      </c>
      <c r="N31" s="8" t="s">
        <v>2107</v>
      </c>
      <c r="O31" s="8"/>
      <c r="P31" s="8"/>
      <c r="Q31" s="8"/>
      <c r="R31" s="8"/>
      <c r="S31" s="8"/>
      <c r="T31" s="8"/>
      <c r="U31" s="8"/>
      <c r="V31" s="8"/>
      <c r="W31" s="8" t="s">
        <v>2116</v>
      </c>
      <c r="X31" s="8">
        <v>31.11</v>
      </c>
      <c r="Y31" s="8">
        <v>1.9</v>
      </c>
      <c r="Z31" s="9">
        <v>1.37</v>
      </c>
      <c r="AA31" s="8">
        <v>66.3</v>
      </c>
      <c r="AB31" s="8">
        <v>4384</v>
      </c>
      <c r="AC31" s="21" t="s">
        <v>2116</v>
      </c>
      <c r="AD31" s="8" t="s">
        <v>4009</v>
      </c>
      <c r="AE31" s="8" t="s">
        <v>4239</v>
      </c>
      <c r="AF31" s="9">
        <f t="shared" si="0"/>
        <v>125.96999999999998</v>
      </c>
      <c r="AG31" s="9">
        <f t="shared" si="1"/>
        <v>107.185</v>
      </c>
      <c r="AH31" s="9">
        <f t="shared" si="2"/>
        <v>0.69734420194583246</v>
      </c>
      <c r="AI31" s="9">
        <f t="shared" si="3"/>
        <v>0.48628893598746997</v>
      </c>
      <c r="AJ31" s="9">
        <f t="shared" si="4"/>
        <v>0.33587721372133478</v>
      </c>
      <c r="AK31" s="9">
        <f t="shared" si="5"/>
        <v>0.1128135026972072</v>
      </c>
      <c r="AL31" s="9">
        <f t="shared" si="6"/>
        <v>0.50092947806989985</v>
      </c>
      <c r="AM31" s="9">
        <f t="shared" si="7"/>
        <v>0.25093034199938224</v>
      </c>
      <c r="AN31" s="8" t="s">
        <v>2116</v>
      </c>
    </row>
    <row r="32" spans="13:40" ht="23">
      <c r="M32" s="8" t="s">
        <v>865</v>
      </c>
      <c r="N32" s="8" t="s">
        <v>150</v>
      </c>
      <c r="O32" s="8"/>
      <c r="P32" s="8" t="s">
        <v>3691</v>
      </c>
      <c r="Q32" s="8"/>
      <c r="R32" s="8"/>
      <c r="S32" s="8"/>
      <c r="T32" s="8"/>
      <c r="U32" s="8"/>
      <c r="V32" s="8"/>
      <c r="W32" s="8" t="s">
        <v>865</v>
      </c>
      <c r="X32" s="8">
        <v>12.8</v>
      </c>
      <c r="Y32" s="8">
        <v>10.36</v>
      </c>
      <c r="Z32" s="9">
        <v>6.17</v>
      </c>
      <c r="AA32" s="8">
        <v>63.6</v>
      </c>
      <c r="AB32" s="8">
        <v>1765</v>
      </c>
      <c r="AC32" s="21" t="s">
        <v>865</v>
      </c>
      <c r="AD32" s="8" t="s">
        <v>4009</v>
      </c>
      <c r="AE32" s="8" t="s">
        <v>4239</v>
      </c>
      <c r="AF32" s="9">
        <f t="shared" si="0"/>
        <v>658.89599999999996</v>
      </c>
      <c r="AG32" s="9">
        <f t="shared" si="1"/>
        <v>399.62</v>
      </c>
      <c r="AH32" s="9">
        <f t="shared" si="2"/>
        <v>0.6689455692874049</v>
      </c>
      <c r="AI32" s="9">
        <f t="shared" si="3"/>
        <v>0.44748817466925023</v>
      </c>
      <c r="AJ32" s="9">
        <f t="shared" si="4"/>
        <v>1.7568322030017669</v>
      </c>
      <c r="AK32" s="9">
        <f t="shared" si="5"/>
        <v>3.0864593895040415</v>
      </c>
      <c r="AL32" s="9">
        <f t="shared" si="6"/>
        <v>1.867625488886443</v>
      </c>
      <c r="AM32" s="9">
        <f t="shared" si="7"/>
        <v>3.4880249667383252</v>
      </c>
      <c r="AN32" s="8" t="s">
        <v>865</v>
      </c>
    </row>
    <row r="33" spans="13:40" ht="23">
      <c r="M33" s="8" t="s">
        <v>1798</v>
      </c>
      <c r="N33" s="8" t="s">
        <v>1717</v>
      </c>
      <c r="O33" s="8"/>
      <c r="P33" s="8"/>
      <c r="Q33" s="8"/>
      <c r="R33" s="8"/>
      <c r="S33" s="8"/>
      <c r="T33" s="8"/>
      <c r="U33" s="8"/>
      <c r="V33" s="8"/>
      <c r="W33" s="8" t="s">
        <v>1798</v>
      </c>
      <c r="X33" s="8">
        <v>69.760000000000005</v>
      </c>
      <c r="Y33" s="8">
        <v>1.2</v>
      </c>
      <c r="Z33" s="9">
        <v>0.23</v>
      </c>
      <c r="AA33" s="8">
        <v>61.4</v>
      </c>
      <c r="AB33" s="8">
        <v>19887</v>
      </c>
      <c r="AC33" s="21" t="s">
        <v>1798</v>
      </c>
      <c r="AD33" s="8" t="s">
        <v>4009</v>
      </c>
      <c r="AE33" s="8" t="s">
        <v>4239</v>
      </c>
      <c r="AF33" s="9">
        <f t="shared" si="0"/>
        <v>73.679999999999993</v>
      </c>
      <c r="AG33" s="9">
        <f t="shared" si="1"/>
        <v>23.536666666666669</v>
      </c>
      <c r="AH33" s="9">
        <f t="shared" si="2"/>
        <v>0.64580594267683433</v>
      </c>
      <c r="AI33" s="9">
        <f t="shared" si="3"/>
        <v>0.41706531559671461</v>
      </c>
      <c r="AJ33" s="9">
        <f t="shared" si="4"/>
        <v>0.19645497425567951</v>
      </c>
      <c r="AK33" s="9">
        <f t="shared" si="5"/>
        <v>3.8594556909799696E-2</v>
      </c>
      <c r="AL33" s="9">
        <f t="shared" si="6"/>
        <v>0.10999869523570037</v>
      </c>
      <c r="AM33" s="9">
        <f t="shared" si="7"/>
        <v>1.2099712953556491E-2</v>
      </c>
      <c r="AN33" s="8" t="s">
        <v>1798</v>
      </c>
    </row>
    <row r="34" spans="13:40" ht="23">
      <c r="M34" s="8" t="s">
        <v>511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8" t="s">
        <v>511</v>
      </c>
      <c r="X34" s="8">
        <v>27.79</v>
      </c>
      <c r="Y34" s="8">
        <v>1.22</v>
      </c>
      <c r="Z34" s="9">
        <v>0.12</v>
      </c>
      <c r="AA34" s="8">
        <v>48.1</v>
      </c>
      <c r="AB34" s="8">
        <v>33703</v>
      </c>
      <c r="AC34" s="21" t="s">
        <v>511</v>
      </c>
      <c r="AD34" s="8" t="s">
        <v>4009</v>
      </c>
      <c r="AE34" s="8" t="s">
        <v>4239</v>
      </c>
      <c r="AF34" s="9">
        <f t="shared" ref="AF34:AF65" si="8">(AA34*Y34)</f>
        <v>58.682000000000002</v>
      </c>
      <c r="AG34" s="9">
        <f t="shared" ref="AG34:AG65" si="9">((((RIGHT(Z34,2))/60)+(LEFT(Z34,2)))*AA34)</f>
        <v>9.620000000000001</v>
      </c>
      <c r="AH34" s="9">
        <f t="shared" ref="AH34:AH65" si="10">(AA34/$AA$80)*100</f>
        <v>0.50591638180383924</v>
      </c>
      <c r="AI34" s="9">
        <f t="shared" ref="AI34:AI65" si="11">(AH34*AH34)</f>
        <v>0.25595138537748802</v>
      </c>
      <c r="AJ34" s="9">
        <f t="shared" ref="AJ34:AJ65" si="12">(AF34/$AF$80)*100</f>
        <v>0.15646540172735865</v>
      </c>
      <c r="AK34" s="9">
        <f t="shared" ref="AK34:AK65" si="13">(AJ34*AJ34)</f>
        <v>2.4481421937703727E-2</v>
      </c>
      <c r="AL34" s="9">
        <f t="shared" ref="AL34:AL65" si="14">(AG34/$AG$80)*100</f>
        <v>4.4959104156667797E-2</v>
      </c>
      <c r="AM34" s="9">
        <f t="shared" ref="AM34:AM65" si="15">(AL34*AL34)</f>
        <v>2.0213210465701036E-3</v>
      </c>
      <c r="AN34" s="8" t="s">
        <v>511</v>
      </c>
    </row>
    <row r="35" spans="13:40" ht="23">
      <c r="M35" s="9" t="s">
        <v>2908</v>
      </c>
      <c r="N35" s="8" t="s">
        <v>1717</v>
      </c>
      <c r="O35" s="8"/>
      <c r="P35" s="8"/>
      <c r="Q35" s="8"/>
      <c r="R35" s="8"/>
      <c r="S35" s="8"/>
      <c r="T35" s="8"/>
      <c r="U35" s="8"/>
      <c r="V35" s="8"/>
      <c r="W35" s="9" t="s">
        <v>2908</v>
      </c>
      <c r="X35" s="8">
        <v>40.18</v>
      </c>
      <c r="Y35" s="8">
        <v>1.4</v>
      </c>
      <c r="Z35" s="9">
        <v>0.45</v>
      </c>
      <c r="AA35" s="8">
        <v>47.5</v>
      </c>
      <c r="AB35" s="8">
        <v>11922</v>
      </c>
      <c r="AC35" s="22" t="s">
        <v>2908</v>
      </c>
      <c r="AD35" s="8" t="s">
        <v>4009</v>
      </c>
      <c r="AE35" s="8" t="s">
        <v>4239</v>
      </c>
      <c r="AF35" s="9">
        <f t="shared" si="8"/>
        <v>66.5</v>
      </c>
      <c r="AG35" s="9">
        <f t="shared" si="9"/>
        <v>35.625</v>
      </c>
      <c r="AH35" s="9">
        <f t="shared" si="10"/>
        <v>0.49960557454641091</v>
      </c>
      <c r="AI35" s="9">
        <f t="shared" si="11"/>
        <v>0.24960573011784934</v>
      </c>
      <c r="AJ35" s="9">
        <f t="shared" si="12"/>
        <v>0.17731074630839694</v>
      </c>
      <c r="AK35" s="9">
        <f t="shared" si="13"/>
        <v>3.1439100756440699E-2</v>
      </c>
      <c r="AL35" s="9">
        <f t="shared" si="14"/>
        <v>0.16649356398973908</v>
      </c>
      <c r="AM35" s="9">
        <f t="shared" si="15"/>
        <v>2.7720106850005342E-2</v>
      </c>
      <c r="AN35" s="9" t="s">
        <v>2908</v>
      </c>
    </row>
    <row r="36" spans="13:40" ht="23">
      <c r="M36" s="8" t="s">
        <v>1383</v>
      </c>
      <c r="N36" s="8" t="s">
        <v>150</v>
      </c>
      <c r="O36" s="8"/>
      <c r="P36" s="8" t="s">
        <v>3693</v>
      </c>
      <c r="Q36" s="8"/>
      <c r="R36" s="8"/>
      <c r="S36" s="8"/>
      <c r="T36" s="8"/>
      <c r="U36" s="8"/>
      <c r="V36" s="8"/>
      <c r="W36" s="8" t="s">
        <v>1383</v>
      </c>
      <c r="X36" s="8">
        <v>19.72</v>
      </c>
      <c r="Y36" s="8">
        <v>12.46</v>
      </c>
      <c r="Z36" s="9">
        <v>22.58</v>
      </c>
      <c r="AA36" s="8">
        <v>44.7</v>
      </c>
      <c r="AB36" s="8">
        <v>1899</v>
      </c>
      <c r="AC36" s="21" t="s">
        <v>1383</v>
      </c>
      <c r="AD36" s="8" t="s">
        <v>4009</v>
      </c>
      <c r="AE36" s="8" t="s">
        <v>4239</v>
      </c>
      <c r="AF36" s="9">
        <f t="shared" si="8"/>
        <v>556.9620000000001</v>
      </c>
      <c r="AG36" s="9">
        <f t="shared" si="9"/>
        <v>1026.6099999999999</v>
      </c>
      <c r="AH36" s="9">
        <f t="shared" si="10"/>
        <v>0.47015514067841202</v>
      </c>
      <c r="AI36" s="9">
        <f t="shared" si="11"/>
        <v>0.22104585630633738</v>
      </c>
      <c r="AJ36" s="9">
        <f t="shared" si="12"/>
        <v>1.4850428253446226</v>
      </c>
      <c r="AK36" s="9">
        <f t="shared" si="13"/>
        <v>2.2053521931075393</v>
      </c>
      <c r="AL36" s="9">
        <f t="shared" si="14"/>
        <v>4.7978654800703442</v>
      </c>
      <c r="AM36" s="9">
        <f t="shared" si="15"/>
        <v>23.019513164850633</v>
      </c>
      <c r="AN36" s="8" t="s">
        <v>1383</v>
      </c>
    </row>
    <row r="37" spans="13:40" ht="23">
      <c r="M37" s="8" t="s">
        <v>928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8" t="s">
        <v>928</v>
      </c>
      <c r="X37" s="8">
        <v>14.21</v>
      </c>
      <c r="Y37" s="8">
        <v>2.0499999999999998</v>
      </c>
      <c r="Z37" s="9">
        <v>1.01</v>
      </c>
      <c r="AA37" s="8">
        <v>39.1</v>
      </c>
      <c r="AB37" s="8">
        <v>12343</v>
      </c>
      <c r="AC37" s="21" t="s">
        <v>928</v>
      </c>
      <c r="AD37" s="8" t="s">
        <v>4009</v>
      </c>
      <c r="AE37" s="8" t="s">
        <v>4239</v>
      </c>
      <c r="AF37" s="9">
        <f t="shared" si="8"/>
        <v>80.155000000000001</v>
      </c>
      <c r="AG37" s="9">
        <f t="shared" si="9"/>
        <v>39.751666666666665</v>
      </c>
      <c r="AH37" s="9">
        <f t="shared" si="10"/>
        <v>0.41125427294241401</v>
      </c>
      <c r="AI37" s="9">
        <f t="shared" si="11"/>
        <v>0.16913007701339355</v>
      </c>
      <c r="AJ37" s="9">
        <f t="shared" si="12"/>
        <v>0.21371944165939186</v>
      </c>
      <c r="AK37" s="9">
        <f t="shared" si="13"/>
        <v>4.5675999743202196E-2</v>
      </c>
      <c r="AL37" s="9">
        <f t="shared" si="14"/>
        <v>0.18577955530850371</v>
      </c>
      <c r="AM37" s="9">
        <f t="shared" si="15"/>
        <v>3.451404317062539E-2</v>
      </c>
      <c r="AN37" s="8" t="s">
        <v>928</v>
      </c>
    </row>
    <row r="38" spans="13:40" ht="23">
      <c r="M38" s="8" t="s">
        <v>541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8" t="s">
        <v>541</v>
      </c>
      <c r="X38" s="8">
        <v>9.06</v>
      </c>
      <c r="Y38" s="8">
        <v>1.6</v>
      </c>
      <c r="Z38" s="9">
        <v>0.39</v>
      </c>
      <c r="AA38" s="8">
        <v>39</v>
      </c>
      <c r="AB38" s="8">
        <v>11117</v>
      </c>
      <c r="AC38" s="21" t="s">
        <v>541</v>
      </c>
      <c r="AD38" s="8" t="s">
        <v>4009</v>
      </c>
      <c r="AE38" s="8" t="s">
        <v>4239</v>
      </c>
      <c r="AF38" s="9">
        <f t="shared" si="8"/>
        <v>62.400000000000006</v>
      </c>
      <c r="AG38" s="9">
        <f t="shared" si="9"/>
        <v>25.35</v>
      </c>
      <c r="AH38" s="9">
        <f t="shared" si="10"/>
        <v>0.41020247173284269</v>
      </c>
      <c r="AI38" s="9">
        <f t="shared" si="11"/>
        <v>0.16826606781573361</v>
      </c>
      <c r="AJ38" s="9">
        <f t="shared" si="12"/>
        <v>0.16637880555855597</v>
      </c>
      <c r="AK38" s="9">
        <f t="shared" si="13"/>
        <v>2.7681906939091776E-2</v>
      </c>
      <c r="AL38" s="9">
        <f t="shared" si="14"/>
        <v>0.11847331500743538</v>
      </c>
      <c r="AM38" s="9">
        <f t="shared" si="15"/>
        <v>1.4035926368851013E-2</v>
      </c>
      <c r="AN38" s="8" t="s">
        <v>541</v>
      </c>
    </row>
    <row r="39" spans="13:40" ht="23">
      <c r="M39" s="8" t="s">
        <v>1319</v>
      </c>
      <c r="N39" s="8" t="s">
        <v>150</v>
      </c>
      <c r="O39" s="8"/>
      <c r="P39" s="8"/>
      <c r="Q39" s="8"/>
      <c r="R39" s="8"/>
      <c r="S39" s="8"/>
      <c r="T39" s="8"/>
      <c r="U39" s="8"/>
      <c r="V39" s="8"/>
      <c r="W39" s="8" t="s">
        <v>1319</v>
      </c>
      <c r="X39" s="8">
        <v>36.049999999999997</v>
      </c>
      <c r="Y39" s="8">
        <v>1.52</v>
      </c>
      <c r="Z39" s="9">
        <v>0.33</v>
      </c>
      <c r="AA39" s="8">
        <v>32.6</v>
      </c>
      <c r="AB39" s="8">
        <v>9466</v>
      </c>
      <c r="AC39" s="21" t="s">
        <v>1319</v>
      </c>
      <c r="AD39" s="8" t="s">
        <v>4009</v>
      </c>
      <c r="AE39" s="8" t="s">
        <v>4239</v>
      </c>
      <c r="AF39" s="9">
        <f t="shared" si="8"/>
        <v>49.552</v>
      </c>
      <c r="AG39" s="9">
        <f t="shared" si="9"/>
        <v>17.930000000000003</v>
      </c>
      <c r="AH39" s="9">
        <f t="shared" si="10"/>
        <v>0.34288719432027359</v>
      </c>
      <c r="AI39" s="9">
        <f t="shared" si="11"/>
        <v>0.11757162802882906</v>
      </c>
      <c r="AJ39" s="9">
        <f t="shared" si="12"/>
        <v>0.13212183610637121</v>
      </c>
      <c r="AK39" s="9">
        <f t="shared" si="13"/>
        <v>1.7456179576118815E-2</v>
      </c>
      <c r="AL39" s="9">
        <f t="shared" si="14"/>
        <v>8.3795918662063776E-2</v>
      </c>
      <c r="AM39" s="9">
        <f t="shared" si="15"/>
        <v>7.0217559844192078E-3</v>
      </c>
      <c r="AN39" s="8" t="s">
        <v>1319</v>
      </c>
    </row>
    <row r="40" spans="13:40" ht="23">
      <c r="M40" s="8" t="s">
        <v>2112</v>
      </c>
      <c r="N40" s="8" t="s">
        <v>2107</v>
      </c>
      <c r="O40" s="8"/>
      <c r="P40" s="8"/>
      <c r="Q40" s="8"/>
      <c r="R40" s="8"/>
      <c r="S40" s="8"/>
      <c r="T40" s="8"/>
      <c r="U40" s="8"/>
      <c r="V40" s="8"/>
      <c r="W40" s="8" t="s">
        <v>2112</v>
      </c>
      <c r="X40" s="8">
        <v>1.17</v>
      </c>
      <c r="Y40" s="8">
        <v>2.11</v>
      </c>
      <c r="Z40" s="9">
        <v>0.56000000000000005</v>
      </c>
      <c r="AA40" s="8">
        <v>31</v>
      </c>
      <c r="AB40" s="8">
        <v>39720</v>
      </c>
      <c r="AC40" s="21" t="s">
        <v>2112</v>
      </c>
      <c r="AD40" s="8" t="s">
        <v>4009</v>
      </c>
      <c r="AE40" s="8" t="s">
        <v>4239</v>
      </c>
      <c r="AF40" s="9">
        <f t="shared" si="8"/>
        <v>65.41</v>
      </c>
      <c r="AG40" s="9">
        <f t="shared" si="9"/>
        <v>28.933333333333334</v>
      </c>
      <c r="AH40" s="9">
        <f t="shared" si="10"/>
        <v>0.32605837496713136</v>
      </c>
      <c r="AI40" s="9">
        <f t="shared" si="11"/>
        <v>0.10631406388620643</v>
      </c>
      <c r="AJ40" s="9">
        <f t="shared" si="12"/>
        <v>0.17440444986514653</v>
      </c>
      <c r="AK40" s="9">
        <f t="shared" si="13"/>
        <v>3.0416912132764408E-2</v>
      </c>
      <c r="AL40" s="9">
        <f t="shared" si="14"/>
        <v>0.13522003606371324</v>
      </c>
      <c r="AM40" s="9">
        <f t="shared" si="15"/>
        <v>1.8284458153071909E-2</v>
      </c>
      <c r="AN40" s="8" t="s">
        <v>2112</v>
      </c>
    </row>
    <row r="41" spans="13:40" ht="23">
      <c r="M41" s="9" t="s">
        <v>2639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9" t="s">
        <v>2639</v>
      </c>
      <c r="X41" s="8">
        <v>23.31</v>
      </c>
      <c r="Y41" s="8">
        <v>4.03</v>
      </c>
      <c r="Z41" s="9">
        <v>1.53</v>
      </c>
      <c r="AA41" s="8">
        <v>26.6</v>
      </c>
      <c r="AB41" s="8">
        <v>9617</v>
      </c>
      <c r="AC41" s="22" t="s">
        <v>2639</v>
      </c>
      <c r="AD41" s="8" t="s">
        <v>4009</v>
      </c>
      <c r="AE41" s="8" t="s">
        <v>4239</v>
      </c>
      <c r="AF41" s="9">
        <f t="shared" si="8"/>
        <v>107.19800000000001</v>
      </c>
      <c r="AG41" s="9">
        <f t="shared" si="9"/>
        <v>50.096666666666671</v>
      </c>
      <c r="AH41" s="9">
        <f t="shared" si="10"/>
        <v>0.27977912174599012</v>
      </c>
      <c r="AI41" s="9">
        <f t="shared" si="11"/>
        <v>7.8276356964957564E-2</v>
      </c>
      <c r="AJ41" s="9">
        <f t="shared" si="12"/>
        <v>0.28582492304913593</v>
      </c>
      <c r="AK41" s="9">
        <f t="shared" si="13"/>
        <v>8.1695886636044476E-2</v>
      </c>
      <c r="AL41" s="9">
        <f t="shared" si="14"/>
        <v>0.23412694953934865</v>
      </c>
      <c r="AM41" s="9">
        <f t="shared" si="15"/>
        <v>5.4815428500600706E-2</v>
      </c>
      <c r="AN41" s="9" t="s">
        <v>2639</v>
      </c>
    </row>
    <row r="42" spans="13:40" ht="23">
      <c r="M42" s="8" t="s">
        <v>1141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8" t="s">
        <v>1141</v>
      </c>
      <c r="X42" s="8">
        <v>21.74</v>
      </c>
      <c r="Y42" s="8">
        <v>4.45</v>
      </c>
      <c r="Z42" s="9">
        <v>3.5</v>
      </c>
      <c r="AA42" s="8">
        <v>26.4</v>
      </c>
      <c r="AB42" s="8">
        <v>6254</v>
      </c>
      <c r="AC42" s="21" t="s">
        <v>1141</v>
      </c>
      <c r="AD42" s="8" t="s">
        <v>4009</v>
      </c>
      <c r="AE42" s="8" t="s">
        <v>4239</v>
      </c>
      <c r="AF42" s="9">
        <f t="shared" si="8"/>
        <v>117.48</v>
      </c>
      <c r="AG42" s="9">
        <f t="shared" si="9"/>
        <v>79.42</v>
      </c>
      <c r="AH42" s="9">
        <f t="shared" si="10"/>
        <v>0.27767551932684736</v>
      </c>
      <c r="AI42" s="9">
        <f t="shared" si="11"/>
        <v>7.7103694033434381E-2</v>
      </c>
      <c r="AJ42" s="9">
        <f t="shared" si="12"/>
        <v>0.31324009738812741</v>
      </c>
      <c r="AK42" s="9">
        <f t="shared" si="13"/>
        <v>9.8119358611723551E-2</v>
      </c>
      <c r="AL42" s="9">
        <f t="shared" si="14"/>
        <v>0.37116965198779167</v>
      </c>
      <c r="AM42" s="9">
        <f t="shared" si="15"/>
        <v>0.13776691055673837</v>
      </c>
      <c r="AN42" s="8" t="s">
        <v>1141</v>
      </c>
    </row>
    <row r="43" spans="13:40" ht="23">
      <c r="M43" s="8" t="s">
        <v>1573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8" t="s">
        <v>1573</v>
      </c>
      <c r="X43" s="8">
        <v>65.31</v>
      </c>
      <c r="Y43" s="8">
        <v>2.17</v>
      </c>
      <c r="Z43" s="9">
        <v>1.08</v>
      </c>
      <c r="AA43" s="8">
        <v>24.4</v>
      </c>
      <c r="AB43" s="8">
        <v>11667</v>
      </c>
      <c r="AC43" s="21" t="s">
        <v>1573</v>
      </c>
      <c r="AD43" s="8" t="s">
        <v>4009</v>
      </c>
      <c r="AE43" s="8" t="s">
        <v>4239</v>
      </c>
      <c r="AF43" s="9">
        <f t="shared" si="8"/>
        <v>52.947999999999993</v>
      </c>
      <c r="AG43" s="9">
        <f t="shared" si="9"/>
        <v>27.653333333333332</v>
      </c>
      <c r="AH43" s="9">
        <f t="shared" si="10"/>
        <v>0.25663949513541945</v>
      </c>
      <c r="AI43" s="9">
        <f t="shared" si="11"/>
        <v>6.5863830463362985E-2</v>
      </c>
      <c r="AJ43" s="9">
        <f t="shared" si="12"/>
        <v>0.14117668263965416</v>
      </c>
      <c r="AK43" s="9">
        <f t="shared" si="13"/>
        <v>1.993085572113763E-2</v>
      </c>
      <c r="AL43" s="9">
        <f t="shared" si="14"/>
        <v>0.12923795151895912</v>
      </c>
      <c r="AM43" s="9">
        <f t="shared" si="15"/>
        <v>1.6702448112816827E-2</v>
      </c>
      <c r="AN43" s="8" t="s">
        <v>1573</v>
      </c>
    </row>
    <row r="44" spans="13:40" ht="23">
      <c r="M44" s="9" t="s">
        <v>3667</v>
      </c>
      <c r="N44" s="8" t="s">
        <v>2107</v>
      </c>
      <c r="O44" s="8"/>
      <c r="P44" s="8" t="s">
        <v>3694</v>
      </c>
      <c r="Q44" s="8"/>
      <c r="R44" s="8"/>
      <c r="S44" s="8"/>
      <c r="T44" s="8"/>
      <c r="U44" s="8"/>
      <c r="V44" s="8"/>
      <c r="W44" s="9" t="s">
        <v>3667</v>
      </c>
      <c r="X44" s="8">
        <v>8</v>
      </c>
      <c r="Y44" s="8">
        <v>3.15</v>
      </c>
      <c r="Z44" s="9">
        <v>2.0299999999999998</v>
      </c>
      <c r="AA44" s="8">
        <v>21.5</v>
      </c>
      <c r="AB44" s="8">
        <v>10653</v>
      </c>
      <c r="AC44" s="22" t="s">
        <v>3667</v>
      </c>
      <c r="AD44" s="8" t="s">
        <v>4009</v>
      </c>
      <c r="AE44" s="8" t="s">
        <v>4239</v>
      </c>
      <c r="AF44" s="9">
        <f t="shared" si="8"/>
        <v>67.724999999999994</v>
      </c>
      <c r="AG44" s="9">
        <f t="shared" si="9"/>
        <v>44.074999999999996</v>
      </c>
      <c r="AH44" s="9">
        <f t="shared" si="10"/>
        <v>0.22613726005784918</v>
      </c>
      <c r="AI44" s="9">
        <f t="shared" si="11"/>
        <v>5.1138060386471305E-2</v>
      </c>
      <c r="AJ44" s="9">
        <f t="shared" si="12"/>
        <v>0.18057699689828846</v>
      </c>
      <c r="AK44" s="9">
        <f t="shared" si="13"/>
        <v>3.2608051808804481E-2</v>
      </c>
      <c r="AL44" s="9">
        <f t="shared" si="14"/>
        <v>0.20598466899221751</v>
      </c>
      <c r="AM44" s="9">
        <f t="shared" si="15"/>
        <v>4.2429683859833416E-2</v>
      </c>
      <c r="AN44" s="9" t="s">
        <v>3667</v>
      </c>
    </row>
    <row r="45" spans="13:40" ht="23">
      <c r="M45" s="8" t="s">
        <v>428</v>
      </c>
      <c r="N45" s="8" t="s">
        <v>150</v>
      </c>
      <c r="O45" s="8"/>
      <c r="P45" s="8" t="s">
        <v>3693</v>
      </c>
      <c r="Q45" s="8"/>
      <c r="R45" s="8"/>
      <c r="S45" s="8"/>
      <c r="T45" s="8"/>
      <c r="U45" s="8"/>
      <c r="V45" s="8"/>
      <c r="W45" s="8" t="s">
        <v>428</v>
      </c>
      <c r="X45" s="8">
        <v>28.2</v>
      </c>
      <c r="Y45" s="8">
        <v>6.37</v>
      </c>
      <c r="Z45" s="9">
        <v>6.24</v>
      </c>
      <c r="AA45" s="8">
        <v>20</v>
      </c>
      <c r="AB45" s="8">
        <v>4631</v>
      </c>
      <c r="AC45" s="21" t="s">
        <v>428</v>
      </c>
      <c r="AD45" s="8" t="s">
        <v>4009</v>
      </c>
      <c r="AE45" s="8" t="s">
        <v>4239</v>
      </c>
      <c r="AF45" s="9">
        <f t="shared" si="8"/>
        <v>127.4</v>
      </c>
      <c r="AG45" s="9">
        <f t="shared" si="9"/>
        <v>128</v>
      </c>
      <c r="AH45" s="9">
        <f t="shared" si="10"/>
        <v>0.2103602419142783</v>
      </c>
      <c r="AI45" s="9">
        <f t="shared" si="11"/>
        <v>4.4251431378233688E-2</v>
      </c>
      <c r="AJ45" s="9">
        <f t="shared" si="12"/>
        <v>0.33969006134871838</v>
      </c>
      <c r="AK45" s="9">
        <f t="shared" si="13"/>
        <v>0.11538933777909606</v>
      </c>
      <c r="AL45" s="9">
        <f t="shared" si="14"/>
        <v>0.59820845447541338</v>
      </c>
      <c r="AM45" s="9">
        <f t="shared" si="15"/>
        <v>0.35785335500586274</v>
      </c>
      <c r="AN45" s="8" t="s">
        <v>428</v>
      </c>
    </row>
    <row r="46" spans="13:40" ht="23">
      <c r="M46" s="8" t="s">
        <v>2114</v>
      </c>
      <c r="N46" s="8" t="s">
        <v>2107</v>
      </c>
      <c r="O46" s="8"/>
      <c r="P46" s="8" t="s">
        <v>3697</v>
      </c>
      <c r="Q46" s="8"/>
      <c r="R46" s="8"/>
      <c r="S46" s="8"/>
      <c r="T46" s="8"/>
      <c r="U46" s="8"/>
      <c r="V46" s="8"/>
      <c r="W46" s="8" t="s">
        <v>2114</v>
      </c>
      <c r="X46" s="8">
        <v>46.38</v>
      </c>
      <c r="Y46" s="8">
        <v>7.11</v>
      </c>
      <c r="Z46" s="9">
        <v>3.25</v>
      </c>
      <c r="AA46" s="8">
        <v>16.899999999999999</v>
      </c>
      <c r="AB46" s="8">
        <v>5097</v>
      </c>
      <c r="AC46" s="21" t="s">
        <v>2114</v>
      </c>
      <c r="AD46" s="8" t="s">
        <v>4009</v>
      </c>
      <c r="AE46" s="8" t="s">
        <v>4239</v>
      </c>
      <c r="AF46" s="9">
        <f t="shared" si="8"/>
        <v>120.15899999999999</v>
      </c>
      <c r="AG46" s="9">
        <f t="shared" si="9"/>
        <v>57.74166666666666</v>
      </c>
      <c r="AH46" s="9">
        <f t="shared" si="10"/>
        <v>0.17775440441756513</v>
      </c>
      <c r="AI46" s="9">
        <f t="shared" si="11"/>
        <v>3.1596628289843297E-2</v>
      </c>
      <c r="AJ46" s="9">
        <f t="shared" si="12"/>
        <v>0.32038318745369426</v>
      </c>
      <c r="AK46" s="9">
        <f t="shared" si="13"/>
        <v>0.102645386802989</v>
      </c>
      <c r="AL46" s="9">
        <f t="shared" si="14"/>
        <v>0.26985588418360279</v>
      </c>
      <c r="AM46" s="9">
        <f t="shared" si="15"/>
        <v>7.2822198228514046E-2</v>
      </c>
      <c r="AN46" s="8" t="s">
        <v>2114</v>
      </c>
    </row>
    <row r="47" spans="13:40" ht="23">
      <c r="M47" s="9" t="s">
        <v>2119</v>
      </c>
      <c r="N47" s="8" t="s">
        <v>150</v>
      </c>
      <c r="O47" s="8"/>
      <c r="P47" s="8"/>
      <c r="Q47" s="8"/>
      <c r="R47" s="8"/>
      <c r="S47" s="8"/>
      <c r="T47" s="8"/>
      <c r="U47" s="8"/>
      <c r="V47" s="8"/>
      <c r="W47" s="9" t="s">
        <v>2119</v>
      </c>
      <c r="X47" s="8">
        <v>7.05</v>
      </c>
      <c r="Y47" s="8">
        <v>3.13</v>
      </c>
      <c r="Z47" s="9">
        <v>1.26</v>
      </c>
      <c r="AA47" s="8">
        <v>16.399999999999999</v>
      </c>
      <c r="AB47" s="8"/>
      <c r="AC47" s="22" t="s">
        <v>2119</v>
      </c>
      <c r="AD47" s="8" t="s">
        <v>4009</v>
      </c>
      <c r="AE47" s="8" t="s">
        <v>4239</v>
      </c>
      <c r="AF47" s="9">
        <f t="shared" si="8"/>
        <v>51.331999999999994</v>
      </c>
      <c r="AG47" s="9">
        <f t="shared" si="9"/>
        <v>23.506666666666664</v>
      </c>
      <c r="AH47" s="9">
        <f t="shared" si="10"/>
        <v>0.17249539836970817</v>
      </c>
      <c r="AI47" s="9">
        <f t="shared" si="11"/>
        <v>2.975466245872432E-2</v>
      </c>
      <c r="AJ47" s="9">
        <f t="shared" si="12"/>
        <v>0.13686789818800948</v>
      </c>
      <c r="AK47" s="9">
        <f t="shared" si="13"/>
        <v>1.8732821554403329E-2</v>
      </c>
      <c r="AL47" s="9">
        <f t="shared" si="14"/>
        <v>0.10985849012918268</v>
      </c>
      <c r="AM47" s="9">
        <f t="shared" si="15"/>
        <v>1.2068887853463729E-2</v>
      </c>
      <c r="AN47" s="9" t="s">
        <v>2119</v>
      </c>
    </row>
    <row r="48" spans="13:40" ht="23">
      <c r="M48" s="9" t="s">
        <v>2590</v>
      </c>
      <c r="N48" s="8" t="s">
        <v>150</v>
      </c>
      <c r="O48" s="8"/>
      <c r="P48" s="8" t="s">
        <v>3691</v>
      </c>
      <c r="Q48" s="8"/>
      <c r="R48" s="8"/>
      <c r="S48" s="8"/>
      <c r="T48" s="8"/>
      <c r="U48" s="8"/>
      <c r="V48" s="8"/>
      <c r="W48" s="9" t="s">
        <v>2590</v>
      </c>
      <c r="X48" s="8">
        <v>12.02</v>
      </c>
      <c r="Y48" s="8">
        <v>6.18</v>
      </c>
      <c r="Z48" s="9">
        <v>7.24</v>
      </c>
      <c r="AA48" s="8">
        <v>14.8</v>
      </c>
      <c r="AB48" s="8">
        <v>6265</v>
      </c>
      <c r="AC48" s="22" t="s">
        <v>2590</v>
      </c>
      <c r="AD48" s="8" t="s">
        <v>4009</v>
      </c>
      <c r="AE48" s="8" t="s">
        <v>4239</v>
      </c>
      <c r="AF48" s="9">
        <f t="shared" si="8"/>
        <v>91.463999999999999</v>
      </c>
      <c r="AG48" s="9">
        <f t="shared" si="9"/>
        <v>109.52000000000001</v>
      </c>
      <c r="AH48" s="9">
        <f t="shared" si="10"/>
        <v>0.15566657901656594</v>
      </c>
      <c r="AI48" s="9">
        <f t="shared" si="11"/>
        <v>2.4232083822720768E-2</v>
      </c>
      <c r="AJ48" s="9">
        <f t="shared" si="12"/>
        <v>0.24387293383986794</v>
      </c>
      <c r="AK48" s="9">
        <f t="shared" si="13"/>
        <v>5.9474007859664606E-2</v>
      </c>
      <c r="AL48" s="9">
        <f t="shared" si="14"/>
        <v>0.51184210886052561</v>
      </c>
      <c r="AM48" s="9">
        <f t="shared" si="15"/>
        <v>0.26198234440279017</v>
      </c>
      <c r="AN48" s="9" t="s">
        <v>2590</v>
      </c>
    </row>
    <row r="49" spans="13:40" ht="23">
      <c r="M49" s="9" t="s">
        <v>2245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9" t="s">
        <v>2245</v>
      </c>
      <c r="X49" s="8">
        <v>33</v>
      </c>
      <c r="Y49" s="8">
        <v>1.1200000000000001</v>
      </c>
      <c r="Z49" s="9">
        <v>0.13</v>
      </c>
      <c r="AA49" s="8">
        <v>14.7</v>
      </c>
      <c r="AB49" s="8">
        <v>62565</v>
      </c>
      <c r="AC49" s="22" t="s">
        <v>2245</v>
      </c>
      <c r="AD49" s="8" t="s">
        <v>4009</v>
      </c>
      <c r="AE49" s="8" t="s">
        <v>4239</v>
      </c>
      <c r="AF49" s="9">
        <f t="shared" si="8"/>
        <v>16.464000000000002</v>
      </c>
      <c r="AG49" s="9">
        <f t="shared" si="9"/>
        <v>3.1850000000000001</v>
      </c>
      <c r="AH49" s="9">
        <f t="shared" si="10"/>
        <v>0.15461477780699454</v>
      </c>
      <c r="AI49" s="9">
        <f t="shared" si="11"/>
        <v>2.390572951630629E-2</v>
      </c>
      <c r="AJ49" s="9">
        <f t="shared" si="12"/>
        <v>4.3898407928142077E-2</v>
      </c>
      <c r="AK49" s="9">
        <f t="shared" si="13"/>
        <v>1.9270702186255672E-3</v>
      </c>
      <c r="AL49" s="9">
        <f t="shared" si="14"/>
        <v>1.4885108808626498E-2</v>
      </c>
      <c r="AM49" s="9">
        <f t="shared" si="15"/>
        <v>2.2156646424465018E-4</v>
      </c>
      <c r="AN49" s="9" t="s">
        <v>2245</v>
      </c>
    </row>
    <row r="50" spans="13:40" ht="23">
      <c r="M50" s="9" t="s">
        <v>3077</v>
      </c>
      <c r="N50" s="8" t="s">
        <v>1814</v>
      </c>
      <c r="O50" s="8"/>
      <c r="P50" s="8"/>
      <c r="Q50" s="8"/>
      <c r="R50" s="8"/>
      <c r="S50" s="8"/>
      <c r="T50" s="8"/>
      <c r="U50" s="8"/>
      <c r="V50" s="8"/>
      <c r="W50" s="9" t="s">
        <v>3077</v>
      </c>
      <c r="X50" s="8">
        <v>7.25</v>
      </c>
      <c r="Y50" s="8">
        <v>2.31</v>
      </c>
      <c r="Z50" s="9">
        <v>0.56999999999999995</v>
      </c>
      <c r="AA50" s="8">
        <v>11.2</v>
      </c>
      <c r="AB50" s="8">
        <v>46569</v>
      </c>
      <c r="AC50" s="22" t="s">
        <v>3077</v>
      </c>
      <c r="AD50" s="8" t="s">
        <v>4009</v>
      </c>
      <c r="AE50" s="8" t="s">
        <v>4239</v>
      </c>
      <c r="AF50" s="9">
        <f t="shared" si="8"/>
        <v>25.872</v>
      </c>
      <c r="AG50" s="9">
        <f t="shared" si="9"/>
        <v>10.639999999999999</v>
      </c>
      <c r="AH50" s="9">
        <f t="shared" si="10"/>
        <v>0.11780173547199582</v>
      </c>
      <c r="AI50" s="9">
        <f t="shared" si="11"/>
        <v>1.3877248880214079E-2</v>
      </c>
      <c r="AJ50" s="9">
        <f t="shared" si="12"/>
        <v>6.8983212458508955E-2</v>
      </c>
      <c r="AK50" s="9">
        <f t="shared" si="13"/>
        <v>4.7586836010957848E-3</v>
      </c>
      <c r="AL50" s="9">
        <f t="shared" si="14"/>
        <v>4.9726077778268735E-2</v>
      </c>
      <c r="AM50" s="9">
        <f t="shared" si="15"/>
        <v>2.4726828112104316E-3</v>
      </c>
      <c r="AN50" s="9" t="s">
        <v>3077</v>
      </c>
    </row>
    <row r="51" spans="13:40" ht="23">
      <c r="M51" s="8" t="s">
        <v>998</v>
      </c>
      <c r="N51" s="8" t="s">
        <v>150</v>
      </c>
      <c r="O51" s="8"/>
      <c r="P51" s="8"/>
      <c r="Q51" s="8"/>
      <c r="R51" s="8"/>
      <c r="S51" s="8"/>
      <c r="T51" s="8"/>
      <c r="U51" s="8"/>
      <c r="V51" s="8"/>
      <c r="W51" s="8" t="s">
        <v>998</v>
      </c>
      <c r="X51" s="8">
        <v>39.78</v>
      </c>
      <c r="Y51" s="8">
        <v>1.83</v>
      </c>
      <c r="Z51" s="9">
        <v>1.27</v>
      </c>
      <c r="AA51" s="8">
        <v>10.5</v>
      </c>
      <c r="AB51" s="8">
        <v>37903</v>
      </c>
      <c r="AC51" s="21" t="s">
        <v>998</v>
      </c>
      <c r="AD51" s="8" t="s">
        <v>4009</v>
      </c>
      <c r="AE51" s="8" t="s">
        <v>4239</v>
      </c>
      <c r="AF51" s="9">
        <f t="shared" si="8"/>
        <v>19.215</v>
      </c>
      <c r="AG51" s="9">
        <f t="shared" si="9"/>
        <v>15.225</v>
      </c>
      <c r="AH51" s="9">
        <f t="shared" si="10"/>
        <v>0.1104391270049961</v>
      </c>
      <c r="AI51" s="9">
        <f t="shared" si="11"/>
        <v>1.2196800773625659E-2</v>
      </c>
      <c r="AJ51" s="9">
        <f t="shared" si="12"/>
        <v>5.1233473538584179E-2</v>
      </c>
      <c r="AK51" s="9">
        <f t="shared" si="13"/>
        <v>2.6248688108288054E-3</v>
      </c>
      <c r="AL51" s="9">
        <f t="shared" si="14"/>
        <v>7.1154091557720067E-2</v>
      </c>
      <c r="AM51" s="9">
        <f t="shared" si="15"/>
        <v>5.0629047454044101E-3</v>
      </c>
      <c r="AN51" s="8" t="s">
        <v>998</v>
      </c>
    </row>
    <row r="52" spans="13:40" ht="23">
      <c r="M52" s="9" t="s">
        <v>3662</v>
      </c>
      <c r="N52" s="8" t="s">
        <v>2107</v>
      </c>
      <c r="O52" s="8"/>
      <c r="P52" s="8" t="s">
        <v>3691</v>
      </c>
      <c r="Q52" s="8"/>
      <c r="R52" s="8"/>
      <c r="S52" s="8"/>
      <c r="T52" s="8"/>
      <c r="U52" s="8"/>
      <c r="V52" s="8"/>
      <c r="W52" s="9" t="s">
        <v>3662</v>
      </c>
      <c r="X52" s="8">
        <v>15.97</v>
      </c>
      <c r="Y52" s="8">
        <v>3.44</v>
      </c>
      <c r="Z52" s="9">
        <v>2.2000000000000002</v>
      </c>
      <c r="AA52" s="8">
        <v>8.6999999999999993</v>
      </c>
      <c r="AB52" s="8">
        <v>12200</v>
      </c>
      <c r="AC52" s="22" t="s">
        <v>3662</v>
      </c>
      <c r="AD52" s="8" t="s">
        <v>4009</v>
      </c>
      <c r="AE52" s="8" t="s">
        <v>4239</v>
      </c>
      <c r="AF52" s="9">
        <f t="shared" si="8"/>
        <v>29.927999999999997</v>
      </c>
      <c r="AG52" s="9">
        <f t="shared" si="9"/>
        <v>17.428999999999998</v>
      </c>
      <c r="AH52" s="9">
        <f t="shared" si="10"/>
        <v>9.1506705232711039E-2</v>
      </c>
      <c r="AI52" s="9">
        <f t="shared" si="11"/>
        <v>8.3734771025462656E-3</v>
      </c>
      <c r="AJ52" s="9">
        <f t="shared" si="12"/>
        <v>7.9797834819815089E-2</v>
      </c>
      <c r="AK52" s="9">
        <f t="shared" si="13"/>
        <v>6.3676944419304932E-3</v>
      </c>
      <c r="AL52" s="9">
        <f t="shared" si="14"/>
        <v>8.1454493383218585E-2</v>
      </c>
      <c r="AM52" s="9">
        <f t="shared" si="15"/>
        <v>6.6348344923168002E-3</v>
      </c>
      <c r="AN52" s="9" t="s">
        <v>3662</v>
      </c>
    </row>
    <row r="53" spans="13:40" ht="23">
      <c r="M53" s="9" t="s">
        <v>2777</v>
      </c>
      <c r="N53" s="8" t="s">
        <v>1614</v>
      </c>
      <c r="O53" s="8"/>
      <c r="P53" s="8"/>
      <c r="Q53" s="8"/>
      <c r="R53" s="8"/>
      <c r="S53" s="8"/>
      <c r="T53" s="8"/>
      <c r="U53" s="8"/>
      <c r="V53" s="8"/>
      <c r="W53" s="9" t="s">
        <v>2777</v>
      </c>
      <c r="X53" s="8">
        <v>12.51</v>
      </c>
      <c r="Y53" s="8">
        <v>2.15</v>
      </c>
      <c r="Z53" s="9">
        <v>2.13</v>
      </c>
      <c r="AA53" s="8">
        <v>6.8</v>
      </c>
      <c r="AB53" s="8">
        <v>18752</v>
      </c>
      <c r="AC53" s="22" t="s">
        <v>2777</v>
      </c>
      <c r="AD53" s="8" t="s">
        <v>4009</v>
      </c>
      <c r="AE53" s="8" t="s">
        <v>4239</v>
      </c>
      <c r="AF53" s="9">
        <f t="shared" si="8"/>
        <v>14.62</v>
      </c>
      <c r="AG53" s="9">
        <f t="shared" si="9"/>
        <v>15.073333333333334</v>
      </c>
      <c r="AH53" s="9">
        <f t="shared" si="10"/>
        <v>7.1522482250854613E-2</v>
      </c>
      <c r="AI53" s="9">
        <f t="shared" si="11"/>
        <v>5.1154654673238129E-3</v>
      </c>
      <c r="AJ53" s="9">
        <f t="shared" si="12"/>
        <v>3.8981700917725765E-2</v>
      </c>
      <c r="AK53" s="9">
        <f t="shared" si="13"/>
        <v>1.5195730064390218E-3</v>
      </c>
      <c r="AL53" s="9">
        <f t="shared" si="14"/>
        <v>7.0445276852547381E-2</v>
      </c>
      <c r="AM53" s="9">
        <f t="shared" si="15"/>
        <v>4.9625370308320482E-3</v>
      </c>
      <c r="AN53" s="9" t="s">
        <v>2777</v>
      </c>
    </row>
    <row r="54" spans="13:40" ht="23">
      <c r="M54" s="9" t="s">
        <v>3672</v>
      </c>
      <c r="N54" s="8" t="s">
        <v>2107</v>
      </c>
      <c r="O54" s="8"/>
      <c r="P54" s="8" t="s">
        <v>4676</v>
      </c>
      <c r="Q54" s="8"/>
      <c r="R54" s="8"/>
      <c r="S54" s="8"/>
      <c r="T54" s="8"/>
      <c r="U54" s="8"/>
      <c r="V54" s="8"/>
      <c r="W54" s="9" t="s">
        <v>3672</v>
      </c>
      <c r="X54" s="8">
        <v>9.5299999999999994</v>
      </c>
      <c r="Y54" s="8">
        <v>18.18</v>
      </c>
      <c r="Z54" s="9">
        <v>20.45</v>
      </c>
      <c r="AA54" s="8">
        <v>6.6</v>
      </c>
      <c r="AB54" s="8">
        <v>7865</v>
      </c>
      <c r="AC54" s="22" t="s">
        <v>3672</v>
      </c>
      <c r="AD54" s="8" t="s">
        <v>4009</v>
      </c>
      <c r="AE54" s="8" t="s">
        <v>4239</v>
      </c>
      <c r="AF54" s="9">
        <f t="shared" si="8"/>
        <v>119.98799999999999</v>
      </c>
      <c r="AG54" s="9">
        <f t="shared" si="9"/>
        <v>136.94999999999999</v>
      </c>
      <c r="AH54" s="9">
        <f t="shared" si="10"/>
        <v>6.9418879831711841E-2</v>
      </c>
      <c r="AI54" s="9">
        <f t="shared" si="11"/>
        <v>4.8189808770896488E-3</v>
      </c>
      <c r="AJ54" s="9">
        <f t="shared" si="12"/>
        <v>0.31992724553461549</v>
      </c>
      <c r="AK54" s="9">
        <f t="shared" si="13"/>
        <v>0.10235344243536615</v>
      </c>
      <c r="AL54" s="9">
        <f t="shared" si="14"/>
        <v>0.64003631125318639</v>
      </c>
      <c r="AM54" s="9">
        <f t="shared" si="15"/>
        <v>0.40964647972258567</v>
      </c>
      <c r="AN54" s="9" t="s">
        <v>3672</v>
      </c>
    </row>
    <row r="55" spans="13:40" ht="23">
      <c r="M55" s="8" t="s">
        <v>1104</v>
      </c>
      <c r="N55" s="8" t="s">
        <v>150</v>
      </c>
      <c r="O55" s="8"/>
      <c r="P55" s="8"/>
      <c r="Q55" s="8"/>
      <c r="R55" s="8"/>
      <c r="S55" s="8"/>
      <c r="T55" s="8"/>
      <c r="U55" s="8"/>
      <c r="V55" s="8"/>
      <c r="W55" s="8" t="s">
        <v>1104</v>
      </c>
      <c r="X55" s="8">
        <v>23.6</v>
      </c>
      <c r="Y55" s="8">
        <v>2.1</v>
      </c>
      <c r="Z55" s="9">
        <v>1.38</v>
      </c>
      <c r="AA55" s="8">
        <v>6.5</v>
      </c>
      <c r="AB55" s="8">
        <v>21245</v>
      </c>
      <c r="AC55" s="21" t="s">
        <v>1104</v>
      </c>
      <c r="AD55" s="8" t="s">
        <v>4009</v>
      </c>
      <c r="AE55" s="8" t="s">
        <v>4239</v>
      </c>
      <c r="AF55" s="9">
        <f t="shared" si="8"/>
        <v>13.65</v>
      </c>
      <c r="AG55" s="9">
        <f t="shared" si="9"/>
        <v>10.616666666666667</v>
      </c>
      <c r="AH55" s="9">
        <f t="shared" si="10"/>
        <v>6.8367078622140448E-2</v>
      </c>
      <c r="AI55" s="9">
        <f t="shared" si="11"/>
        <v>4.6740574393259338E-3</v>
      </c>
      <c r="AJ55" s="9">
        <f t="shared" si="12"/>
        <v>3.6395363715934111E-2</v>
      </c>
      <c r="AK55" s="9">
        <f t="shared" si="13"/>
        <v>1.3246225000151332E-3</v>
      </c>
      <c r="AL55" s="9">
        <f t="shared" si="14"/>
        <v>4.9617029362088325E-2</v>
      </c>
      <c r="AM55" s="9">
        <f t="shared" si="15"/>
        <v>2.4618496027183348E-3</v>
      </c>
      <c r="AN55" s="8" t="s">
        <v>1104</v>
      </c>
    </row>
    <row r="56" spans="13:40" ht="23">
      <c r="M56" s="8" t="s">
        <v>4679</v>
      </c>
      <c r="N56" s="8" t="s">
        <v>150</v>
      </c>
      <c r="O56" s="8"/>
      <c r="P56" s="8"/>
      <c r="Q56" s="8"/>
      <c r="R56" s="8"/>
      <c r="S56" s="8"/>
      <c r="T56" s="8"/>
      <c r="U56" s="8"/>
      <c r="V56" s="8"/>
      <c r="W56" s="8" t="s">
        <v>4679</v>
      </c>
      <c r="X56" s="8">
        <v>43.58</v>
      </c>
      <c r="Y56" s="8">
        <v>7.51</v>
      </c>
      <c r="Z56" s="9">
        <v>16.46</v>
      </c>
      <c r="AA56" s="8">
        <v>6.3</v>
      </c>
      <c r="AB56" s="8">
        <v>12967</v>
      </c>
      <c r="AC56" s="21" t="s">
        <v>4679</v>
      </c>
      <c r="AD56" s="8" t="s">
        <v>4009</v>
      </c>
      <c r="AE56" s="8" t="s">
        <v>4239</v>
      </c>
      <c r="AF56" s="9">
        <f t="shared" si="8"/>
        <v>47.312999999999995</v>
      </c>
      <c r="AG56" s="9">
        <f t="shared" si="9"/>
        <v>105.63</v>
      </c>
      <c r="AH56" s="9">
        <f t="shared" si="10"/>
        <v>6.6263476202997662E-2</v>
      </c>
      <c r="AI56" s="9">
        <f t="shared" si="11"/>
        <v>4.3908482785052372E-3</v>
      </c>
      <c r="AJ56" s="9">
        <f t="shared" si="12"/>
        <v>0.12615192992615315</v>
      </c>
      <c r="AK56" s="9">
        <f t="shared" si="13"/>
        <v>1.5914309424093054E-2</v>
      </c>
      <c r="AL56" s="9">
        <f t="shared" si="14"/>
        <v>0.49366218004873375</v>
      </c>
      <c r="AM56" s="9">
        <f t="shared" si="15"/>
        <v>0.24370234801046842</v>
      </c>
      <c r="AN56" s="8" t="s">
        <v>4679</v>
      </c>
    </row>
    <row r="57" spans="13:40" ht="23">
      <c r="M57" s="9" t="s">
        <v>3659</v>
      </c>
      <c r="N57" s="8" t="s">
        <v>2107</v>
      </c>
      <c r="O57" s="8"/>
      <c r="P57" s="8" t="s">
        <v>3691</v>
      </c>
      <c r="Q57" s="8"/>
      <c r="R57" s="8"/>
      <c r="S57" s="8"/>
      <c r="T57" s="8"/>
      <c r="U57" s="8"/>
      <c r="V57" s="8"/>
      <c r="W57" s="9" t="s">
        <v>3659</v>
      </c>
      <c r="X57" s="8">
        <v>25.73</v>
      </c>
      <c r="Y57" s="8">
        <v>3.41</v>
      </c>
      <c r="Z57" s="9">
        <v>4.01</v>
      </c>
      <c r="AA57" s="8">
        <v>5.6</v>
      </c>
      <c r="AB57" s="8"/>
      <c r="AC57" s="22" t="s">
        <v>3659</v>
      </c>
      <c r="AD57" s="8" t="s">
        <v>4009</v>
      </c>
      <c r="AE57" s="8" t="s">
        <v>4239</v>
      </c>
      <c r="AF57" s="9">
        <f t="shared" si="8"/>
        <v>19.096</v>
      </c>
      <c r="AG57" s="9">
        <f t="shared" si="9"/>
        <v>22.493333333333332</v>
      </c>
      <c r="AH57" s="9">
        <f t="shared" si="10"/>
        <v>5.8900867735997911E-2</v>
      </c>
      <c r="AI57" s="9">
        <f t="shared" si="11"/>
        <v>3.4693122200535197E-3</v>
      </c>
      <c r="AJ57" s="9">
        <f t="shared" si="12"/>
        <v>5.0916180624137566E-2</v>
      </c>
      <c r="AK57" s="9">
        <f t="shared" si="13"/>
        <v>2.5924574493498016E-3</v>
      </c>
      <c r="AL57" s="9">
        <f t="shared" si="14"/>
        <v>0.10512267319791899</v>
      </c>
      <c r="AM57" s="9">
        <f t="shared" si="15"/>
        <v>1.1050776420276475E-2</v>
      </c>
      <c r="AN57" s="9" t="s">
        <v>3659</v>
      </c>
    </row>
    <row r="58" spans="13:40" ht="23">
      <c r="M58" s="9" t="s">
        <v>2538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9" t="s">
        <v>2538</v>
      </c>
      <c r="X58" s="8">
        <v>31.85</v>
      </c>
      <c r="Y58" s="8">
        <v>3.55</v>
      </c>
      <c r="Z58" s="9">
        <v>2.1800000000000002</v>
      </c>
      <c r="AA58" s="8">
        <v>5.6</v>
      </c>
      <c r="AB58" s="8">
        <v>19018</v>
      </c>
      <c r="AC58" s="22" t="s">
        <v>2538</v>
      </c>
      <c r="AD58" s="8" t="s">
        <v>4009</v>
      </c>
      <c r="AE58" s="8" t="s">
        <v>4239</v>
      </c>
      <c r="AF58" s="9">
        <f t="shared" si="8"/>
        <v>19.88</v>
      </c>
      <c r="AG58" s="9">
        <f t="shared" si="9"/>
        <v>12.879999999999999</v>
      </c>
      <c r="AH58" s="9">
        <f t="shared" si="10"/>
        <v>5.8900867735997911E-2</v>
      </c>
      <c r="AI58" s="9">
        <f t="shared" si="11"/>
        <v>3.4693122200535197E-3</v>
      </c>
      <c r="AJ58" s="9">
        <f t="shared" si="12"/>
        <v>5.3006581001668135E-2</v>
      </c>
      <c r="AK58" s="9">
        <f t="shared" si="13"/>
        <v>2.8096976294864052E-3</v>
      </c>
      <c r="AL58" s="9">
        <f t="shared" si="14"/>
        <v>6.0194725731588468E-2</v>
      </c>
      <c r="AM58" s="9">
        <f t="shared" si="15"/>
        <v>3.623405005901159E-3</v>
      </c>
      <c r="AN58" s="9" t="s">
        <v>2538</v>
      </c>
    </row>
    <row r="59" spans="13:40" ht="23">
      <c r="M59" s="9" t="s">
        <v>2851</v>
      </c>
      <c r="N59" s="8" t="s">
        <v>1614</v>
      </c>
      <c r="O59" s="8"/>
      <c r="P59" s="8"/>
      <c r="Q59" s="8"/>
      <c r="R59" s="8"/>
      <c r="S59" s="8"/>
      <c r="T59" s="8"/>
      <c r="U59" s="8"/>
      <c r="V59" s="8"/>
      <c r="W59" s="9" t="s">
        <v>2851</v>
      </c>
      <c r="X59" s="8">
        <v>15.87</v>
      </c>
      <c r="Y59" s="8">
        <v>4.3099999999999996</v>
      </c>
      <c r="Z59" s="9">
        <v>4.38</v>
      </c>
      <c r="AA59" s="8">
        <v>5.3</v>
      </c>
      <c r="AB59" s="8">
        <v>17714</v>
      </c>
      <c r="AC59" s="22" t="s">
        <v>2851</v>
      </c>
      <c r="AD59" s="8" t="s">
        <v>4009</v>
      </c>
      <c r="AE59" s="8" t="s">
        <v>4239</v>
      </c>
      <c r="AF59" s="9">
        <f t="shared" si="8"/>
        <v>22.842999999999996</v>
      </c>
      <c r="AG59" s="9">
        <f t="shared" si="9"/>
        <v>24.556666666666665</v>
      </c>
      <c r="AH59" s="9">
        <f t="shared" si="10"/>
        <v>5.5745464107283746E-2</v>
      </c>
      <c r="AI59" s="9">
        <f t="shared" si="11"/>
        <v>3.1075567685364602E-3</v>
      </c>
      <c r="AJ59" s="9">
        <f t="shared" si="12"/>
        <v>6.0906907938687388E-2</v>
      </c>
      <c r="AK59" s="9">
        <f t="shared" si="13"/>
        <v>3.7096514346517408E-3</v>
      </c>
      <c r="AL59" s="9">
        <f t="shared" si="14"/>
        <v>0.1147656688573013</v>
      </c>
      <c r="AM59" s="9">
        <f t="shared" si="15"/>
        <v>1.3171158748263738E-2</v>
      </c>
      <c r="AN59" s="9" t="s">
        <v>2851</v>
      </c>
    </row>
    <row r="60" spans="13:40" ht="23">
      <c r="M60" s="9" t="s">
        <v>3363</v>
      </c>
      <c r="N60" s="8" t="s">
        <v>1964</v>
      </c>
      <c r="O60" s="8"/>
      <c r="P60" s="8"/>
      <c r="Q60" s="8"/>
      <c r="R60" s="8"/>
      <c r="S60" s="8"/>
      <c r="T60" s="8"/>
      <c r="U60" s="8"/>
      <c r="V60" s="8"/>
      <c r="W60" s="9" t="s">
        <v>3363</v>
      </c>
      <c r="X60" s="8">
        <v>17.489999999999998</v>
      </c>
      <c r="Y60" s="8">
        <v>3.9</v>
      </c>
      <c r="Z60" s="9">
        <v>3.12</v>
      </c>
      <c r="AA60" s="8">
        <v>4.9000000000000004</v>
      </c>
      <c r="AB60" s="8">
        <v>18946</v>
      </c>
      <c r="AC60" s="22" t="s">
        <v>3363</v>
      </c>
      <c r="AD60" s="8" t="s">
        <v>4009</v>
      </c>
      <c r="AE60" s="8" t="s">
        <v>4239</v>
      </c>
      <c r="AF60" s="9">
        <f t="shared" si="8"/>
        <v>19.11</v>
      </c>
      <c r="AG60" s="9">
        <f t="shared" si="9"/>
        <v>15.680000000000001</v>
      </c>
      <c r="AH60" s="9">
        <f t="shared" si="10"/>
        <v>5.1538259268998181E-2</v>
      </c>
      <c r="AI60" s="9">
        <f t="shared" si="11"/>
        <v>2.6561921684784768E-3</v>
      </c>
      <c r="AJ60" s="9">
        <f t="shared" si="12"/>
        <v>5.0953509202307748E-2</v>
      </c>
      <c r="AK60" s="9">
        <f t="shared" si="13"/>
        <v>2.5962601000296603E-3</v>
      </c>
      <c r="AL60" s="9">
        <f t="shared" si="14"/>
        <v>7.3280535673238154E-2</v>
      </c>
      <c r="AM60" s="9">
        <f t="shared" si="15"/>
        <v>5.3700369085567298E-3</v>
      </c>
      <c r="AN60" s="9" t="s">
        <v>3363</v>
      </c>
    </row>
    <row r="61" spans="13:40" ht="23">
      <c r="M61" s="8" t="s">
        <v>850</v>
      </c>
      <c r="N61" s="8" t="s">
        <v>150</v>
      </c>
      <c r="O61" s="8"/>
      <c r="P61" s="8"/>
      <c r="Q61" s="8"/>
      <c r="R61" s="8"/>
      <c r="S61" s="8"/>
      <c r="T61" s="8"/>
      <c r="U61" s="8"/>
      <c r="V61" s="8"/>
      <c r="W61" s="8" t="s">
        <v>850</v>
      </c>
      <c r="X61" s="8">
        <v>27.73</v>
      </c>
      <c r="Y61" s="8">
        <v>3.45</v>
      </c>
      <c r="Z61" s="9">
        <v>6.45</v>
      </c>
      <c r="AA61" s="8">
        <v>4.5</v>
      </c>
      <c r="AB61" s="8">
        <v>29924</v>
      </c>
      <c r="AC61" s="21" t="s">
        <v>850</v>
      </c>
      <c r="AD61" s="8" t="s">
        <v>4009</v>
      </c>
      <c r="AE61" s="8" t="s">
        <v>4239</v>
      </c>
      <c r="AF61" s="9">
        <f t="shared" si="8"/>
        <v>15.525</v>
      </c>
      <c r="AG61" s="9">
        <f t="shared" si="9"/>
        <v>30.375</v>
      </c>
      <c r="AH61" s="9">
        <f t="shared" si="10"/>
        <v>4.7331054430712616E-2</v>
      </c>
      <c r="AI61" s="9">
        <f t="shared" si="11"/>
        <v>2.2402287135230804E-3</v>
      </c>
      <c r="AJ61" s="9">
        <f t="shared" si="12"/>
        <v>4.1394726863727263E-2</v>
      </c>
      <c r="AK61" s="9">
        <f t="shared" si="13"/>
        <v>1.7135234121225835E-3</v>
      </c>
      <c r="AL61" s="9">
        <f t="shared" si="14"/>
        <v>0.14195767034914597</v>
      </c>
      <c r="AM61" s="9">
        <f t="shared" si="15"/>
        <v>2.0151980170956797E-2</v>
      </c>
      <c r="AN61" s="8" t="s">
        <v>850</v>
      </c>
    </row>
    <row r="62" spans="13:40" ht="23">
      <c r="M62" s="9" t="s">
        <v>2663</v>
      </c>
      <c r="N62" s="8" t="s">
        <v>150</v>
      </c>
      <c r="O62" s="8"/>
      <c r="P62" s="8"/>
      <c r="Q62" s="8"/>
      <c r="R62" s="8"/>
      <c r="S62" s="8"/>
      <c r="T62" s="8"/>
      <c r="U62" s="8"/>
      <c r="V62" s="8"/>
      <c r="W62" s="9" t="s">
        <v>2663</v>
      </c>
      <c r="X62" s="8">
        <v>33.04</v>
      </c>
      <c r="Y62" s="8">
        <v>14.99</v>
      </c>
      <c r="Z62" s="9">
        <v>13.45</v>
      </c>
      <c r="AA62" s="8">
        <v>4.3</v>
      </c>
      <c r="AB62" s="8">
        <v>12189</v>
      </c>
      <c r="AC62" s="22" t="s">
        <v>2663</v>
      </c>
      <c r="AD62" s="8" t="s">
        <v>4009</v>
      </c>
      <c r="AE62" s="8" t="s">
        <v>4239</v>
      </c>
      <c r="AF62" s="9">
        <f t="shared" si="8"/>
        <v>64.456999999999994</v>
      </c>
      <c r="AG62" s="9">
        <f t="shared" si="9"/>
        <v>59.125</v>
      </c>
      <c r="AH62" s="9">
        <f t="shared" si="10"/>
        <v>4.522745201156983E-2</v>
      </c>
      <c r="AI62" s="9">
        <f t="shared" si="11"/>
        <v>2.0455224154588519E-3</v>
      </c>
      <c r="AJ62" s="9">
        <f t="shared" si="12"/>
        <v>0.1718634402225615</v>
      </c>
      <c r="AK62" s="9">
        <f t="shared" si="13"/>
        <v>2.9537042085133972E-2</v>
      </c>
      <c r="AL62" s="9">
        <f t="shared" si="14"/>
        <v>0.27632089742858451</v>
      </c>
      <c r="AM62" s="9">
        <f t="shared" si="15"/>
        <v>7.6353238355738318E-2</v>
      </c>
      <c r="AN62" s="9" t="s">
        <v>2663</v>
      </c>
    </row>
    <row r="63" spans="13:40" ht="23">
      <c r="M63" s="9" t="s">
        <v>2789</v>
      </c>
      <c r="N63" s="8" t="s">
        <v>1614</v>
      </c>
      <c r="O63" s="8"/>
      <c r="P63" s="8"/>
      <c r="Q63" s="8"/>
      <c r="R63" s="8"/>
      <c r="S63" s="8"/>
      <c r="T63" s="8"/>
      <c r="U63" s="8"/>
      <c r="V63" s="8"/>
      <c r="W63" s="9" t="s">
        <v>2789</v>
      </c>
      <c r="X63" s="8">
        <v>18.149999999999999</v>
      </c>
      <c r="Y63" s="8">
        <v>2.81</v>
      </c>
      <c r="Z63" s="9">
        <v>3.22</v>
      </c>
      <c r="AA63" s="8">
        <v>3.8</v>
      </c>
      <c r="AB63" s="8">
        <v>24816</v>
      </c>
      <c r="AC63" s="22" t="s">
        <v>2789</v>
      </c>
      <c r="AD63" s="8" t="s">
        <v>4009</v>
      </c>
      <c r="AE63" s="8" t="s">
        <v>4239</v>
      </c>
      <c r="AF63" s="9">
        <f t="shared" si="8"/>
        <v>10.677999999999999</v>
      </c>
      <c r="AG63" s="9">
        <f t="shared" si="9"/>
        <v>12.793333333333333</v>
      </c>
      <c r="AH63" s="9">
        <f t="shared" si="10"/>
        <v>3.9968445963712872E-2</v>
      </c>
      <c r="AI63" s="9">
        <f t="shared" si="11"/>
        <v>1.5974766727542358E-3</v>
      </c>
      <c r="AJ63" s="9">
        <f t="shared" si="12"/>
        <v>2.8471039835805453E-2</v>
      </c>
      <c r="AK63" s="9">
        <f t="shared" si="13"/>
        <v>8.1060010933202095E-4</v>
      </c>
      <c r="AL63" s="9">
        <f t="shared" si="14"/>
        <v>5.9789688757204085E-2</v>
      </c>
      <c r="AM63" s="9">
        <f t="shared" si="15"/>
        <v>3.5748068816833364E-3</v>
      </c>
      <c r="AN63" s="9" t="s">
        <v>2789</v>
      </c>
    </row>
    <row r="64" spans="13:40" ht="23">
      <c r="M64" s="8" t="s">
        <v>1211</v>
      </c>
      <c r="N64" s="8" t="s">
        <v>150</v>
      </c>
      <c r="O64" s="8"/>
      <c r="P64" s="8"/>
      <c r="Q64" s="8"/>
      <c r="R64" s="8"/>
      <c r="S64" s="8"/>
      <c r="T64" s="8"/>
      <c r="U64" s="8"/>
      <c r="V64" s="8"/>
      <c r="W64" s="8" t="s">
        <v>1211</v>
      </c>
      <c r="X64" s="8">
        <v>39.51</v>
      </c>
      <c r="Y64" s="8">
        <v>2.08</v>
      </c>
      <c r="Z64" s="9">
        <v>2.23</v>
      </c>
      <c r="AA64" s="8">
        <v>3.4</v>
      </c>
      <c r="AB64" s="8">
        <v>28496</v>
      </c>
      <c r="AC64" s="21" t="s">
        <v>1211</v>
      </c>
      <c r="AD64" s="8" t="s">
        <v>4009</v>
      </c>
      <c r="AE64" s="8" t="s">
        <v>4239</v>
      </c>
      <c r="AF64" s="9">
        <f t="shared" si="8"/>
        <v>7.0720000000000001</v>
      </c>
      <c r="AG64" s="9">
        <f t="shared" si="9"/>
        <v>8.1033333333333335</v>
      </c>
      <c r="AH64" s="9">
        <f t="shared" si="10"/>
        <v>3.5761241125427307E-2</v>
      </c>
      <c r="AI64" s="9">
        <f t="shared" si="11"/>
        <v>1.2788663668309532E-3</v>
      </c>
      <c r="AJ64" s="9">
        <f t="shared" si="12"/>
        <v>1.8856264629969675E-2</v>
      </c>
      <c r="AK64" s="9">
        <f t="shared" si="13"/>
        <v>3.5555871579544539E-4</v>
      </c>
      <c r="AL64" s="9">
        <f t="shared" si="14"/>
        <v>3.7870957104940886E-2</v>
      </c>
      <c r="AM64" s="9">
        <f t="shared" si="15"/>
        <v>1.4342093920442726E-3</v>
      </c>
      <c r="AN64" s="8" t="s">
        <v>1211</v>
      </c>
    </row>
    <row r="65" spans="13:40" ht="23">
      <c r="M65" s="8" t="s">
        <v>1856</v>
      </c>
      <c r="N65" s="8" t="s">
        <v>1814</v>
      </c>
      <c r="O65" s="8"/>
      <c r="P65" s="8" t="s">
        <v>3691</v>
      </c>
      <c r="Q65" s="8"/>
      <c r="R65" s="8"/>
      <c r="S65" s="8"/>
      <c r="T65" s="8"/>
      <c r="U65" s="8"/>
      <c r="V65" s="8"/>
      <c r="W65" s="8" t="s">
        <v>1856</v>
      </c>
      <c r="X65" s="8">
        <v>24.89</v>
      </c>
      <c r="Y65" s="8">
        <v>5.41</v>
      </c>
      <c r="Z65" s="9">
        <v>3.55</v>
      </c>
      <c r="AA65" s="8">
        <v>3.2</v>
      </c>
      <c r="AB65" s="8">
        <v>25638</v>
      </c>
      <c r="AC65" s="21" t="s">
        <v>1856</v>
      </c>
      <c r="AD65" s="8" t="s">
        <v>4009</v>
      </c>
      <c r="AE65" s="8" t="s">
        <v>4239</v>
      </c>
      <c r="AF65" s="9">
        <f t="shared" si="8"/>
        <v>17.312000000000001</v>
      </c>
      <c r="AG65" s="9">
        <f t="shared" si="9"/>
        <v>12.533333333333333</v>
      </c>
      <c r="AH65" s="9">
        <f t="shared" si="10"/>
        <v>3.3657638706284528E-2</v>
      </c>
      <c r="AI65" s="9">
        <f t="shared" si="11"/>
        <v>1.1328366432827824E-3</v>
      </c>
      <c r="AJ65" s="9">
        <f t="shared" si="12"/>
        <v>4.6159453234450649E-2</v>
      </c>
      <c r="AK65" s="9">
        <f t="shared" si="13"/>
        <v>2.1306951229034367E-3</v>
      </c>
      <c r="AL65" s="9">
        <f t="shared" si="14"/>
        <v>5.8574577834050894E-2</v>
      </c>
      <c r="AM65" s="9">
        <f t="shared" si="15"/>
        <v>3.4309811684372863E-3</v>
      </c>
      <c r="AN65" s="8" t="s">
        <v>1856</v>
      </c>
    </row>
    <row r="66" spans="13:40" ht="23">
      <c r="M66" s="8" t="s">
        <v>1098</v>
      </c>
      <c r="N66" s="8" t="s">
        <v>150</v>
      </c>
      <c r="O66" s="8"/>
      <c r="P66" s="8" t="s">
        <v>3693</v>
      </c>
      <c r="Q66" s="8"/>
      <c r="R66" s="8"/>
      <c r="S66" s="8"/>
      <c r="T66" s="8"/>
      <c r="U66" s="8"/>
      <c r="V66" s="8"/>
      <c r="W66" s="8" t="s">
        <v>1098</v>
      </c>
      <c r="X66" s="8">
        <v>25.16</v>
      </c>
      <c r="Y66" s="8">
        <v>72.86</v>
      </c>
      <c r="Z66" s="9">
        <v>15.38</v>
      </c>
      <c r="AA66" s="8">
        <v>2.8</v>
      </c>
      <c r="AB66" s="8">
        <v>9168</v>
      </c>
      <c r="AC66" s="21" t="s">
        <v>1098</v>
      </c>
      <c r="AD66" s="8" t="s">
        <v>4009</v>
      </c>
      <c r="AE66" s="8" t="s">
        <v>4239</v>
      </c>
      <c r="AF66" s="9">
        <f t="shared" ref="AF66:AF79" si="16">(AA66*Y66)</f>
        <v>204.00799999999998</v>
      </c>
      <c r="AG66" s="9">
        <f t="shared" ref="AG66:AG79" si="17">((((RIGHT(Z66,2))/60)+(LEFT(Z66,2)))*AA66)</f>
        <v>43.773333333333326</v>
      </c>
      <c r="AH66" s="9">
        <f t="shared" ref="AH66:AH79" si="18">(AA66/$AA$80)*100</f>
        <v>2.9450433867998956E-2</v>
      </c>
      <c r="AI66" s="9">
        <f t="shared" ref="AI66:AI79" si="19">(AH66*AH66)</f>
        <v>8.6732805501337992E-4</v>
      </c>
      <c r="AJ66" s="9">
        <f t="shared" ref="AJ66:AJ79" si="20">(AF66/$AF$80)*100</f>
        <v>0.5439520410959916</v>
      </c>
      <c r="AK66" s="9">
        <f t="shared" ref="AK66:AK79" si="21">(AJ66*AJ66)</f>
        <v>0.29588382301249533</v>
      </c>
      <c r="AL66" s="9">
        <f t="shared" ref="AL66:AL79" si="22">(AG66/$AG$80)*100</f>
        <v>0.20457482875445646</v>
      </c>
      <c r="AM66" s="9">
        <f t="shared" ref="AM66:AM79" si="23">(AL66*AL66)</f>
        <v>4.1850860559915187E-2</v>
      </c>
      <c r="AN66" s="8" t="s">
        <v>1098</v>
      </c>
    </row>
    <row r="67" spans="13:40" ht="23">
      <c r="M67" s="8" t="s">
        <v>1847</v>
      </c>
      <c r="N67" s="8" t="s">
        <v>1814</v>
      </c>
      <c r="O67" s="8"/>
      <c r="P67" s="8"/>
      <c r="Q67" s="8"/>
      <c r="R67" s="8"/>
      <c r="S67" s="8"/>
      <c r="T67" s="8"/>
      <c r="U67" s="8"/>
      <c r="V67" s="8"/>
      <c r="W67" s="8" t="s">
        <v>1847</v>
      </c>
      <c r="X67" s="8">
        <v>25.14</v>
      </c>
      <c r="Y67" s="8">
        <v>2.38</v>
      </c>
      <c r="Z67" s="9">
        <v>2.31</v>
      </c>
      <c r="AA67" s="8">
        <v>2.8</v>
      </c>
      <c r="AB67" s="8">
        <v>32224</v>
      </c>
      <c r="AC67" s="21" t="s">
        <v>1847</v>
      </c>
      <c r="AD67" s="8" t="s">
        <v>4009</v>
      </c>
      <c r="AE67" s="8" t="s">
        <v>4239</v>
      </c>
      <c r="AF67" s="9">
        <f t="shared" si="16"/>
        <v>6.6639999999999997</v>
      </c>
      <c r="AG67" s="9">
        <f t="shared" si="17"/>
        <v>7.046666666666666</v>
      </c>
      <c r="AH67" s="9">
        <f t="shared" si="18"/>
        <v>2.9450433867998956E-2</v>
      </c>
      <c r="AI67" s="9">
        <f t="shared" si="19"/>
        <v>8.6732805501337992E-4</v>
      </c>
      <c r="AJ67" s="9">
        <f t="shared" si="20"/>
        <v>1.7768403209009884E-2</v>
      </c>
      <c r="AK67" s="9">
        <f t="shared" si="21"/>
        <v>3.1571615259795273E-4</v>
      </c>
      <c r="AL67" s="9">
        <f t="shared" si="22"/>
        <v>3.2932621686484996E-2</v>
      </c>
      <c r="AM67" s="9">
        <f t="shared" si="23"/>
        <v>1.0845575711451419E-3</v>
      </c>
      <c r="AN67" s="8" t="s">
        <v>1847</v>
      </c>
    </row>
    <row r="68" spans="13:40" ht="23">
      <c r="M68" s="9" t="s">
        <v>3300</v>
      </c>
      <c r="N68" s="8" t="s">
        <v>1939</v>
      </c>
      <c r="O68" s="8"/>
      <c r="P68" s="8"/>
      <c r="Q68" s="8"/>
      <c r="R68" s="8"/>
      <c r="S68" s="8"/>
      <c r="T68" s="8"/>
      <c r="U68" s="8"/>
      <c r="V68" s="8"/>
      <c r="W68" s="9" t="s">
        <v>3300</v>
      </c>
      <c r="X68" s="8">
        <v>18.02</v>
      </c>
      <c r="Y68" s="8">
        <v>6.63</v>
      </c>
      <c r="Z68" s="9">
        <v>6.23</v>
      </c>
      <c r="AA68" s="8">
        <v>2.7</v>
      </c>
      <c r="AB68" s="8">
        <v>20364</v>
      </c>
      <c r="AC68" s="22" t="s">
        <v>3300</v>
      </c>
      <c r="AD68" s="8" t="s">
        <v>4009</v>
      </c>
      <c r="AE68" s="8" t="s">
        <v>4239</v>
      </c>
      <c r="AF68" s="9">
        <f t="shared" si="16"/>
        <v>17.901</v>
      </c>
      <c r="AG68" s="9">
        <f t="shared" si="17"/>
        <v>17.235000000000003</v>
      </c>
      <c r="AH68" s="9">
        <f t="shared" si="18"/>
        <v>2.8398632658427569E-2</v>
      </c>
      <c r="AI68" s="9">
        <f t="shared" si="19"/>
        <v>8.0648233686830893E-4</v>
      </c>
      <c r="AJ68" s="9">
        <f t="shared" si="20"/>
        <v>4.7729919844610738E-2</v>
      </c>
      <c r="AK68" s="9">
        <f t="shared" si="21"/>
        <v>2.2781452483729659E-3</v>
      </c>
      <c r="AL68" s="9">
        <f t="shared" si="22"/>
        <v>8.0547833694404311E-2</v>
      </c>
      <c r="AM68" s="9">
        <f t="shared" si="23"/>
        <v>6.4879535128614142E-3</v>
      </c>
      <c r="AN68" s="9" t="s">
        <v>3300</v>
      </c>
    </row>
    <row r="69" spans="13:40" ht="23">
      <c r="M69" s="8" t="s">
        <v>647</v>
      </c>
      <c r="N69" s="8" t="s">
        <v>150</v>
      </c>
      <c r="O69" s="8"/>
      <c r="P69" s="8"/>
      <c r="Q69" s="8"/>
      <c r="R69" s="8"/>
      <c r="S69" s="8"/>
      <c r="T69" s="8"/>
      <c r="U69" s="8"/>
      <c r="V69" s="8"/>
      <c r="W69" s="8" t="s">
        <v>647</v>
      </c>
      <c r="X69" s="8">
        <v>31.55</v>
      </c>
      <c r="Y69" s="8">
        <v>5.8</v>
      </c>
      <c r="Z69" s="9">
        <v>5.15</v>
      </c>
      <c r="AA69" s="8">
        <v>2.6</v>
      </c>
      <c r="AB69" s="8">
        <v>23480</v>
      </c>
      <c r="AC69" s="21" t="s">
        <v>647</v>
      </c>
      <c r="AD69" s="8" t="s">
        <v>4009</v>
      </c>
      <c r="AE69" s="8" t="s">
        <v>4239</v>
      </c>
      <c r="AF69" s="9">
        <f t="shared" si="16"/>
        <v>15.08</v>
      </c>
      <c r="AG69" s="9">
        <f t="shared" si="17"/>
        <v>13.65</v>
      </c>
      <c r="AH69" s="9">
        <f t="shared" si="18"/>
        <v>2.734683144885618E-2</v>
      </c>
      <c r="AI69" s="9">
        <f t="shared" si="19"/>
        <v>7.4784919029214942E-4</v>
      </c>
      <c r="AJ69" s="9">
        <f t="shared" si="20"/>
        <v>4.0208211343317687E-2</v>
      </c>
      <c r="AK69" s="9">
        <f t="shared" si="21"/>
        <v>1.6167002594289011E-3</v>
      </c>
      <c r="AL69" s="9">
        <f t="shared" si="22"/>
        <v>6.3793323465542132E-2</v>
      </c>
      <c r="AM69" s="9">
        <f t="shared" si="23"/>
        <v>4.0695881187792883E-3</v>
      </c>
      <c r="AN69" s="8" t="s">
        <v>647</v>
      </c>
    </row>
    <row r="70" spans="13:40" ht="23">
      <c r="M70" s="8" t="s">
        <v>1071</v>
      </c>
      <c r="N70" s="8" t="s">
        <v>150</v>
      </c>
      <c r="O70" s="8"/>
      <c r="P70" s="8" t="s">
        <v>3691</v>
      </c>
      <c r="Q70" s="8"/>
      <c r="R70" s="8"/>
      <c r="S70" s="8"/>
      <c r="T70" s="8"/>
      <c r="U70" s="8"/>
      <c r="V70" s="8"/>
      <c r="W70" s="8" t="s">
        <v>1071</v>
      </c>
      <c r="X70" s="8">
        <v>9.91</v>
      </c>
      <c r="Y70" s="8">
        <v>6.84</v>
      </c>
      <c r="Z70" s="9">
        <v>4.45</v>
      </c>
      <c r="AA70" s="8">
        <v>2.6</v>
      </c>
      <c r="AB70" s="8">
        <v>22329</v>
      </c>
      <c r="AC70" s="21" t="s">
        <v>1071</v>
      </c>
      <c r="AD70" s="8" t="s">
        <v>4009</v>
      </c>
      <c r="AE70" s="8" t="s">
        <v>4239</v>
      </c>
      <c r="AF70" s="9">
        <f t="shared" si="16"/>
        <v>17.783999999999999</v>
      </c>
      <c r="AG70" s="9">
        <f t="shared" si="17"/>
        <v>12.35</v>
      </c>
      <c r="AH70" s="9">
        <f t="shared" si="18"/>
        <v>2.734683144885618E-2</v>
      </c>
      <c r="AI70" s="9">
        <f t="shared" si="19"/>
        <v>7.4784919029214942E-4</v>
      </c>
      <c r="AJ70" s="9">
        <f t="shared" si="20"/>
        <v>4.7417959584188436E-2</v>
      </c>
      <c r="AK70" s="9">
        <f t="shared" si="21"/>
        <v>2.2484628911277281E-3</v>
      </c>
      <c r="AL70" s="9">
        <f t="shared" si="22"/>
        <v>5.7717768849776217E-2</v>
      </c>
      <c r="AM70" s="9">
        <f t="shared" si="23"/>
        <v>3.3313408409961979E-3</v>
      </c>
      <c r="AN70" s="8" t="s">
        <v>1071</v>
      </c>
    </row>
    <row r="71" spans="13:40" ht="23">
      <c r="M71" s="9" t="s">
        <v>5179</v>
      </c>
      <c r="N71" s="8" t="s">
        <v>1939</v>
      </c>
      <c r="O71" s="8"/>
      <c r="P71" s="8"/>
      <c r="Q71" s="8"/>
      <c r="R71" s="8"/>
      <c r="S71" s="8"/>
      <c r="T71" s="8"/>
      <c r="U71" s="8"/>
      <c r="V71" s="8"/>
      <c r="W71" s="22" t="s">
        <v>5179</v>
      </c>
      <c r="X71" s="8">
        <v>60.69</v>
      </c>
      <c r="Y71" s="8">
        <v>1.38</v>
      </c>
      <c r="Z71" s="9">
        <v>0.02</v>
      </c>
      <c r="AA71" s="8">
        <v>2.4</v>
      </c>
      <c r="AB71" s="8">
        <v>51821</v>
      </c>
      <c r="AC71" s="22" t="s">
        <v>5179</v>
      </c>
      <c r="AD71" s="8" t="s">
        <v>4009</v>
      </c>
      <c r="AE71" s="8" t="s">
        <v>4239</v>
      </c>
      <c r="AF71" s="9">
        <f t="shared" si="16"/>
        <v>3.3119999999999998</v>
      </c>
      <c r="AG71" s="9">
        <f t="shared" si="17"/>
        <v>0.08</v>
      </c>
      <c r="AH71" s="9">
        <f t="shared" si="18"/>
        <v>2.524322902971339E-2</v>
      </c>
      <c r="AI71" s="9">
        <f t="shared" si="19"/>
        <v>6.3722061184656481E-4</v>
      </c>
      <c r="AJ71" s="9">
        <f t="shared" si="20"/>
        <v>8.8308750642618148E-3</v>
      </c>
      <c r="AK71" s="9">
        <f t="shared" si="21"/>
        <v>7.7984354400601114E-5</v>
      </c>
      <c r="AL71" s="9">
        <f t="shared" si="22"/>
        <v>3.7388028404713341E-4</v>
      </c>
      <c r="AM71" s="9">
        <f t="shared" si="23"/>
        <v>1.3978646679916516E-7</v>
      </c>
      <c r="AN71" s="22" t="s">
        <v>5179</v>
      </c>
    </row>
    <row r="72" spans="13:40" ht="23">
      <c r="M72" s="13" t="s">
        <v>2475</v>
      </c>
      <c r="N72" s="8" t="s">
        <v>150</v>
      </c>
      <c r="O72" s="8"/>
      <c r="P72" s="8"/>
      <c r="Q72" s="8"/>
      <c r="R72" s="8"/>
      <c r="S72" s="8"/>
      <c r="T72" s="8"/>
      <c r="U72" s="8"/>
      <c r="V72" s="8"/>
      <c r="W72" s="13" t="s">
        <v>2475</v>
      </c>
      <c r="X72" s="8">
        <v>36.159999999999997</v>
      </c>
      <c r="Y72" s="8">
        <v>1.46</v>
      </c>
      <c r="Z72" s="9">
        <v>1.1200000000000001</v>
      </c>
      <c r="AA72" s="8">
        <v>2.2000000000000002</v>
      </c>
      <c r="AB72" s="8">
        <v>54697</v>
      </c>
      <c r="AC72" s="34" t="s">
        <v>2475</v>
      </c>
      <c r="AD72" s="8" t="s">
        <v>4009</v>
      </c>
      <c r="AE72" s="8" t="s">
        <v>4239</v>
      </c>
      <c r="AF72" s="9">
        <f t="shared" si="16"/>
        <v>3.2120000000000002</v>
      </c>
      <c r="AG72" s="9">
        <f t="shared" si="17"/>
        <v>2.64</v>
      </c>
      <c r="AH72" s="9">
        <f t="shared" si="18"/>
        <v>2.3139626610570615E-2</v>
      </c>
      <c r="AI72" s="9">
        <f t="shared" si="19"/>
        <v>5.3544231967662774E-4</v>
      </c>
      <c r="AJ72" s="9">
        <f t="shared" si="20"/>
        <v>8.5642423630461813E-3</v>
      </c>
      <c r="AK72" s="9">
        <f t="shared" si="21"/>
        <v>7.3346247252994838E-5</v>
      </c>
      <c r="AL72" s="9">
        <f t="shared" si="22"/>
        <v>1.2338049373555402E-2</v>
      </c>
      <c r="AM72" s="9">
        <f t="shared" si="23"/>
        <v>1.5222746234429084E-4</v>
      </c>
      <c r="AN72" s="13" t="s">
        <v>2475</v>
      </c>
    </row>
    <row r="73" spans="13:40" ht="23">
      <c r="M73" s="9" t="s">
        <v>3658</v>
      </c>
      <c r="N73" s="8" t="s">
        <v>2107</v>
      </c>
      <c r="O73" s="8"/>
      <c r="P73" s="8"/>
      <c r="Q73" s="8"/>
      <c r="R73" s="8"/>
      <c r="S73" s="8"/>
      <c r="T73" s="8"/>
      <c r="U73" s="8"/>
      <c r="V73" s="8"/>
      <c r="W73" s="9" t="s">
        <v>3658</v>
      </c>
      <c r="X73" s="8">
        <v>19.690000000000001</v>
      </c>
      <c r="Y73" s="8">
        <v>3.15</v>
      </c>
      <c r="Z73" s="9">
        <v>4.54</v>
      </c>
      <c r="AA73" s="8">
        <v>2.1</v>
      </c>
      <c r="AB73" s="8">
        <v>39168</v>
      </c>
      <c r="AC73" s="22" t="s">
        <v>3658</v>
      </c>
      <c r="AD73" s="8" t="s">
        <v>4009</v>
      </c>
      <c r="AE73" s="8" t="s">
        <v>4239</v>
      </c>
      <c r="AF73" s="9">
        <f t="shared" si="16"/>
        <v>6.6150000000000002</v>
      </c>
      <c r="AG73" s="9">
        <f t="shared" si="17"/>
        <v>10.290000000000001</v>
      </c>
      <c r="AH73" s="9">
        <f t="shared" si="18"/>
        <v>2.2087825400999218E-2</v>
      </c>
      <c r="AI73" s="9">
        <f t="shared" si="19"/>
        <v>4.8787203094502631E-4</v>
      </c>
      <c r="AJ73" s="9">
        <f t="shared" si="20"/>
        <v>1.7637753185414225E-2</v>
      </c>
      <c r="AK73" s="9">
        <f t="shared" si="21"/>
        <v>3.1109033742958962E-4</v>
      </c>
      <c r="AL73" s="9">
        <f t="shared" si="22"/>
        <v>4.8090351535562535E-2</v>
      </c>
      <c r="AM73" s="9">
        <f t="shared" si="23"/>
        <v>2.312681910813982E-3</v>
      </c>
      <c r="AN73" s="9" t="s">
        <v>3658</v>
      </c>
    </row>
    <row r="74" spans="13:40" ht="23">
      <c r="M74" s="9" t="s">
        <v>2886</v>
      </c>
      <c r="N74" s="8" t="s">
        <v>1717</v>
      </c>
      <c r="O74" s="8"/>
      <c r="P74" s="8"/>
      <c r="Q74" s="8"/>
      <c r="R74" s="8"/>
      <c r="S74" s="8"/>
      <c r="T74" s="8"/>
      <c r="U74" s="8"/>
      <c r="V74" s="8"/>
      <c r="W74" s="9" t="s">
        <v>2886</v>
      </c>
      <c r="X74" s="8">
        <v>19.41</v>
      </c>
      <c r="Y74" s="8">
        <v>4.22</v>
      </c>
      <c r="Z74" s="9">
        <v>5.25</v>
      </c>
      <c r="AA74" s="8">
        <v>1.9</v>
      </c>
      <c r="AB74" s="8">
        <v>36974</v>
      </c>
      <c r="AC74" s="22" t="s">
        <v>2886</v>
      </c>
      <c r="AD74" s="8" t="s">
        <v>4009</v>
      </c>
      <c r="AE74" s="8" t="s">
        <v>4239</v>
      </c>
      <c r="AF74" s="9">
        <f t="shared" si="16"/>
        <v>8.0179999999999989</v>
      </c>
      <c r="AG74" s="9">
        <f t="shared" si="17"/>
        <v>10.291666666666666</v>
      </c>
      <c r="AH74" s="9">
        <f t="shared" si="18"/>
        <v>1.9984222981856436E-2</v>
      </c>
      <c r="AI74" s="9">
        <f t="shared" si="19"/>
        <v>3.9936916818855895E-4</v>
      </c>
      <c r="AJ74" s="9">
        <f t="shared" si="20"/>
        <v>2.1378609983469573E-2</v>
      </c>
      <c r="AK74" s="9">
        <f t="shared" si="21"/>
        <v>4.5704496482530492E-4</v>
      </c>
      <c r="AL74" s="9">
        <f t="shared" si="22"/>
        <v>4.8098140708146844E-2</v>
      </c>
      <c r="AM74" s="9">
        <f t="shared" si="23"/>
        <v>2.3134311395806928E-3</v>
      </c>
      <c r="AN74" s="9" t="s">
        <v>2886</v>
      </c>
    </row>
    <row r="75" spans="13:40" ht="23">
      <c r="M75" s="9" t="s">
        <v>2292</v>
      </c>
      <c r="N75" s="8" t="s">
        <v>150</v>
      </c>
      <c r="O75" s="8"/>
      <c r="P75" s="8"/>
      <c r="Q75" s="8"/>
      <c r="R75" s="8"/>
      <c r="S75" s="8"/>
      <c r="T75" s="8"/>
      <c r="U75" s="8"/>
      <c r="V75" s="8"/>
      <c r="W75" s="9" t="s">
        <v>2292</v>
      </c>
      <c r="X75" s="8">
        <v>47.75</v>
      </c>
      <c r="Y75" s="8">
        <v>6.25</v>
      </c>
      <c r="Z75" s="9">
        <v>4.51</v>
      </c>
      <c r="AA75" s="8">
        <v>1.9</v>
      </c>
      <c r="AB75" s="8">
        <v>32970</v>
      </c>
      <c r="AC75" s="22" t="s">
        <v>2292</v>
      </c>
      <c r="AD75" s="8" t="s">
        <v>4009</v>
      </c>
      <c r="AE75" s="8" t="s">
        <v>4239</v>
      </c>
      <c r="AF75" s="9">
        <f t="shared" si="16"/>
        <v>11.875</v>
      </c>
      <c r="AG75" s="9">
        <f t="shared" si="17"/>
        <v>9.2149999999999981</v>
      </c>
      <c r="AH75" s="9">
        <f t="shared" si="18"/>
        <v>1.9984222981856436E-2</v>
      </c>
      <c r="AI75" s="9">
        <f t="shared" si="19"/>
        <v>3.9936916818855895E-4</v>
      </c>
      <c r="AJ75" s="9">
        <f t="shared" si="20"/>
        <v>3.1662633269356595E-2</v>
      </c>
      <c r="AK75" s="9">
        <f t="shared" si="21"/>
        <v>1.002522345549767E-3</v>
      </c>
      <c r="AL75" s="9">
        <f t="shared" si="22"/>
        <v>4.3066335218679169E-2</v>
      </c>
      <c r="AM75" s="9">
        <f t="shared" si="23"/>
        <v>1.8547092291676458E-3</v>
      </c>
      <c r="AN75" s="9" t="s">
        <v>2292</v>
      </c>
    </row>
    <row r="76" spans="13:40" ht="23">
      <c r="M76" s="9" t="s">
        <v>2762</v>
      </c>
      <c r="N76" s="8" t="s">
        <v>1614</v>
      </c>
      <c r="O76" s="8"/>
      <c r="P76" s="8"/>
      <c r="Q76" s="8"/>
      <c r="R76" s="8"/>
      <c r="S76" s="8"/>
      <c r="T76" s="8"/>
      <c r="U76" s="8"/>
      <c r="V76" s="8"/>
      <c r="W76" s="9" t="s">
        <v>2762</v>
      </c>
      <c r="X76" s="8">
        <v>29.66</v>
      </c>
      <c r="Y76" s="8">
        <v>3.18</v>
      </c>
      <c r="Z76" s="9">
        <v>2.34</v>
      </c>
      <c r="AA76" s="8">
        <v>1.7</v>
      </c>
      <c r="AB76" s="8">
        <v>49323</v>
      </c>
      <c r="AC76" s="22" t="s">
        <v>2762</v>
      </c>
      <c r="AD76" s="8" t="s">
        <v>4009</v>
      </c>
      <c r="AE76" s="8" t="s">
        <v>4239</v>
      </c>
      <c r="AF76" s="9">
        <f t="shared" si="16"/>
        <v>5.4059999999999997</v>
      </c>
      <c r="AG76" s="9">
        <f t="shared" si="17"/>
        <v>4.3633333333333324</v>
      </c>
      <c r="AH76" s="9">
        <f t="shared" si="18"/>
        <v>1.7880620562713653E-2</v>
      </c>
      <c r="AI76" s="9">
        <f t="shared" si="19"/>
        <v>3.1971659170773831E-4</v>
      </c>
      <c r="AJ76" s="9">
        <f t="shared" si="20"/>
        <v>1.4414163827717201E-2</v>
      </c>
      <c r="AK76" s="9">
        <f t="shared" si="21"/>
        <v>2.0776811885227098E-4</v>
      </c>
      <c r="AL76" s="9">
        <f t="shared" si="22"/>
        <v>2.0392053825737395E-2</v>
      </c>
      <c r="AM76" s="9">
        <f t="shared" si="23"/>
        <v>4.1583585923177116E-4</v>
      </c>
      <c r="AN76" s="9" t="s">
        <v>2762</v>
      </c>
    </row>
    <row r="77" spans="13:40" ht="23">
      <c r="M77" s="9" t="s">
        <v>2837</v>
      </c>
      <c r="N77" s="8" t="s">
        <v>1614</v>
      </c>
      <c r="O77" s="8"/>
      <c r="P77" s="8"/>
      <c r="Q77" s="8"/>
      <c r="R77" s="8"/>
      <c r="S77" s="8"/>
      <c r="T77" s="8"/>
      <c r="U77" s="8"/>
      <c r="V77" s="8"/>
      <c r="W77" s="9" t="s">
        <v>2837</v>
      </c>
      <c r="X77" s="8">
        <v>32.61</v>
      </c>
      <c r="Y77" s="8">
        <v>2.67</v>
      </c>
      <c r="Z77" s="9">
        <v>3.2</v>
      </c>
      <c r="AA77" s="8">
        <v>1.5</v>
      </c>
      <c r="AB77" s="8">
        <v>67773</v>
      </c>
      <c r="AC77" s="22" t="s">
        <v>2837</v>
      </c>
      <c r="AD77" s="8" t="s">
        <v>4009</v>
      </c>
      <c r="AE77" s="8" t="s">
        <v>4239</v>
      </c>
      <c r="AF77" s="9">
        <f t="shared" si="16"/>
        <v>4.0049999999999999</v>
      </c>
      <c r="AG77" s="9">
        <f t="shared" si="17"/>
        <v>4.5049999999999999</v>
      </c>
      <c r="AH77" s="9">
        <f t="shared" si="18"/>
        <v>1.5777018143570871E-2</v>
      </c>
      <c r="AI77" s="9">
        <f t="shared" si="19"/>
        <v>2.4891430150256443E-4</v>
      </c>
      <c r="AJ77" s="9">
        <f t="shared" si="20"/>
        <v>1.0678639683686162E-2</v>
      </c>
      <c r="AK77" s="9">
        <f t="shared" si="21"/>
        <v>1.1403334549399689E-4</v>
      </c>
      <c r="AL77" s="9">
        <f t="shared" si="22"/>
        <v>2.1054133495404196E-2</v>
      </c>
      <c r="AM77" s="9">
        <f t="shared" si="23"/>
        <v>4.4327653724230093E-4</v>
      </c>
      <c r="AN77" s="9" t="s">
        <v>2837</v>
      </c>
    </row>
    <row r="78" spans="13:40" ht="23">
      <c r="M78" s="8" t="s">
        <v>780</v>
      </c>
      <c r="N78" s="8" t="s">
        <v>150</v>
      </c>
      <c r="O78" s="8"/>
      <c r="P78" s="8"/>
      <c r="Q78" s="8"/>
      <c r="R78" s="8"/>
      <c r="S78" s="8"/>
      <c r="T78" s="8"/>
      <c r="U78" s="8"/>
      <c r="V78" s="8"/>
      <c r="W78" s="8" t="s">
        <v>780</v>
      </c>
      <c r="X78" s="8">
        <v>28.83</v>
      </c>
      <c r="Y78" s="8">
        <v>2.54</v>
      </c>
      <c r="Z78" s="9">
        <v>1.03</v>
      </c>
      <c r="AA78" s="8">
        <v>1.5</v>
      </c>
      <c r="AB78" s="8">
        <v>51757</v>
      </c>
      <c r="AC78" s="21" t="s">
        <v>780</v>
      </c>
      <c r="AD78" s="8" t="s">
        <v>4009</v>
      </c>
      <c r="AE78" s="8" t="s">
        <v>4239</v>
      </c>
      <c r="AF78" s="9">
        <f t="shared" si="16"/>
        <v>3.81</v>
      </c>
      <c r="AG78" s="9">
        <f t="shared" si="17"/>
        <v>1.5750000000000002</v>
      </c>
      <c r="AH78" s="9">
        <f t="shared" si="18"/>
        <v>1.5777018143570871E-2</v>
      </c>
      <c r="AI78" s="9">
        <f t="shared" si="19"/>
        <v>2.4891430150256443E-4</v>
      </c>
      <c r="AJ78" s="9">
        <f t="shared" si="20"/>
        <v>1.0158705916315675E-2</v>
      </c>
      <c r="AK78" s="9">
        <f t="shared" si="21"/>
        <v>1.031993058941871E-4</v>
      </c>
      <c r="AL78" s="9">
        <f t="shared" si="22"/>
        <v>7.3607680921779382E-3</v>
      </c>
      <c r="AM78" s="9">
        <f t="shared" si="23"/>
        <v>5.4180906906824845E-5</v>
      </c>
      <c r="AN78" s="8" t="s">
        <v>780</v>
      </c>
    </row>
    <row r="79" spans="13:40" ht="23">
      <c r="M79" s="9" t="s">
        <v>2205</v>
      </c>
      <c r="N79" s="8" t="s">
        <v>150</v>
      </c>
      <c r="O79" s="8"/>
      <c r="P79" s="8" t="s">
        <v>3698</v>
      </c>
      <c r="Q79" s="8"/>
      <c r="R79" s="8"/>
      <c r="S79" s="8"/>
      <c r="T79" s="8"/>
      <c r="U79" s="8"/>
      <c r="V79" s="8"/>
      <c r="W79" s="9" t="s">
        <v>2205</v>
      </c>
      <c r="X79" s="8">
        <v>16.79</v>
      </c>
      <c r="Y79" s="8">
        <v>7.97</v>
      </c>
      <c r="Z79" s="9">
        <v>6.25</v>
      </c>
      <c r="AA79" s="8">
        <v>1.4</v>
      </c>
      <c r="AB79" s="8">
        <v>39141</v>
      </c>
      <c r="AC79" s="22" t="s">
        <v>2205</v>
      </c>
      <c r="AD79" s="8" t="s">
        <v>4009</v>
      </c>
      <c r="AE79" s="8" t="s">
        <v>4239</v>
      </c>
      <c r="AF79" s="9">
        <f t="shared" si="16"/>
        <v>11.157999999999999</v>
      </c>
      <c r="AG79" s="9">
        <f t="shared" si="17"/>
        <v>8.9833333333333325</v>
      </c>
      <c r="AH79" s="9">
        <f t="shared" si="18"/>
        <v>1.4725216933999478E-2</v>
      </c>
      <c r="AI79" s="9">
        <f t="shared" si="19"/>
        <v>2.1683201375334498E-4</v>
      </c>
      <c r="AJ79" s="9">
        <f t="shared" si="20"/>
        <v>2.9750876801640496E-2</v>
      </c>
      <c r="AK79" s="9">
        <f t="shared" si="21"/>
        <v>8.8511467046639063E-4</v>
      </c>
      <c r="AL79" s="9">
        <f t="shared" si="22"/>
        <v>4.1983640229459343E-2</v>
      </c>
      <c r="AM79" s="9">
        <f t="shared" si="23"/>
        <v>1.7626260469166769E-3</v>
      </c>
      <c r="AN79" s="9" t="s">
        <v>2205</v>
      </c>
    </row>
    <row r="80" spans="13:40" ht="18"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9"/>
      <c r="AA80" s="48">
        <f>SUBTOTAL(109,Table136282930[ترافیک کل])</f>
        <v>9507.4999999999964</v>
      </c>
      <c r="AB80" s="48"/>
      <c r="AC80" s="53"/>
      <c r="AD80" s="48"/>
      <c r="AE80" s="48"/>
      <c r="AF80" s="49">
        <f>SUBTOTAL(109,Table136282930[[مجموع صفحات  مشاهده شده   ]])</f>
        <v>37504.776999999995</v>
      </c>
      <c r="AG80" s="49">
        <f>SUBTOTAL(109,Table136282930[[مجموع زمان حضور در سایت ]])</f>
        <v>21397.223500000007</v>
      </c>
      <c r="AH80" s="49">
        <f>SUBTOTAL(109,Table136282930[سهم سایت از کل ترافیک طبقه بندی])</f>
        <v>100.00000000000003</v>
      </c>
      <c r="AI80" s="49">
        <f>SUBTOTAL(109,Table136282930[شاخص هرفیندال هیرشمن (ترافیک)])</f>
        <v>601.62406459215549</v>
      </c>
      <c r="AJ80" s="49">
        <f>SUBTOTAL(109,Table136282930[سهم سایت از کل صفحات مشاهده شده در طبقه بندی])</f>
        <v>100.00000000000001</v>
      </c>
      <c r="AK80" s="49">
        <f>SUBTOTAL(109,Table136282930[شاخص هرفیندال -هیرشمن (صفحات مشاهده شده )])</f>
        <v>1316.3261321426417</v>
      </c>
      <c r="AL80" s="49">
        <f>SUBTOTAL(109,Table136282930[سهم سایت از کل زمان حضور در طبقه بندی])</f>
        <v>99.999999999999986</v>
      </c>
      <c r="AM80" s="49">
        <f>SUBTOTAL(109,Table136282930[شاخص هرفیندال هیرشمن (زمان حضور)])</f>
        <v>1544.5854841239493</v>
      </c>
      <c r="AN80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{79C97D7E-DB8A-452F-817A-28C13551A337}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{6739D701-328B-44FF-B9B7-8F45997912DE}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{E66645B3-67F3-4950-983E-7105927D4A69}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{08FEC8CD-5B8B-4D70-9038-9108DB272FCA}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{686344DC-A6A7-453C-86B5-D8C0363B9173}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{12A6AA38-9283-4115-B9A5-36C1CC780D7C}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9C97D7E-DB8A-452F-817A-28C13551A33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739D701-328B-44FF-B9B7-8F45997912D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66645B3-67F3-4950-983E-7105927D4A6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08FEC8CD-5B8B-4D70-9038-9108DB272FC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86344DC-A6A7-453C-86B5-D8C0363B917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12A6AA38-9283-4115-B9A5-36C1CC780D7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3"/>
  <sheetViews>
    <sheetView showGridLines="0" rightToLeft="1" topLeftCell="AB11" zoomScale="85" zoomScaleNormal="85" workbookViewId="0">
      <selection activeCell="AB23" sqref="AB23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3882</v>
      </c>
      <c r="N2" s="8"/>
      <c r="O2" s="8"/>
      <c r="P2" s="8"/>
      <c r="Q2" s="8"/>
      <c r="R2" s="8"/>
      <c r="S2" s="8"/>
      <c r="T2" s="8"/>
      <c r="U2" s="8"/>
      <c r="V2" s="8"/>
      <c r="W2" s="8" t="s">
        <v>3882</v>
      </c>
      <c r="X2" s="8">
        <v>58.55</v>
      </c>
      <c r="Y2" s="8">
        <v>2.3199999999999998</v>
      </c>
      <c r="Z2" s="9">
        <v>3.13</v>
      </c>
      <c r="AA2" s="8">
        <v>3164.8</v>
      </c>
      <c r="AB2" s="8">
        <v>265</v>
      </c>
      <c r="AC2" s="21" t="s">
        <v>3882</v>
      </c>
      <c r="AD2" s="8" t="s">
        <v>3729</v>
      </c>
      <c r="AE2" s="8" t="s">
        <v>4238</v>
      </c>
      <c r="AF2" s="9">
        <f t="shared" ref="AF2:AF22" si="0">(AA2*Y2)</f>
        <v>7342.3360000000002</v>
      </c>
      <c r="AG2" s="9">
        <f t="shared" ref="AG2:AG22" si="1">((((RIGHT(Z2,2))/60)+(LEFT(Z2,2)))*AA2)</f>
        <v>10180.106666666668</v>
      </c>
      <c r="AH2" s="9">
        <f t="shared" ref="AH2:AH22" si="2">(AA2/$AA$23)*100</f>
        <v>24.198493711052496</v>
      </c>
      <c r="AI2" s="9">
        <f t="shared" ref="AI2:AI22" si="3">(AH2*AH2)</f>
        <v>585.56709788384717</v>
      </c>
      <c r="AJ2" s="9">
        <f t="shared" ref="AJ2:AJ22" si="4">(AF2/$AF$23)*100</f>
        <v>22.586455994079433</v>
      </c>
      <c r="AK2" s="9">
        <f t="shared" ref="AK2:AK22" si="5">(AJ2*AJ2)</f>
        <v>510.14799437248672</v>
      </c>
      <c r="AL2" s="9">
        <f t="shared" ref="AL2:AL22" si="6">(AG2/$AG$23)*100</f>
        <v>23.034326843822925</v>
      </c>
      <c r="AM2" s="9">
        <f t="shared" ref="AM2:AM22" si="7">(AL2*AL2)</f>
        <v>530.58021314806138</v>
      </c>
      <c r="AN2" s="8" t="s">
        <v>3882</v>
      </c>
    </row>
    <row r="3" spans="8:40" ht="23">
      <c r="M3" s="8" t="s">
        <v>3861</v>
      </c>
      <c r="N3" s="8"/>
      <c r="O3" s="8"/>
      <c r="P3" s="8"/>
      <c r="Q3" s="8"/>
      <c r="R3" s="8"/>
      <c r="S3" s="8"/>
      <c r="T3" s="8"/>
      <c r="U3" s="8"/>
      <c r="V3" s="8"/>
      <c r="W3" s="8" t="s">
        <v>3861</v>
      </c>
      <c r="X3" s="8">
        <v>54.82</v>
      </c>
      <c r="Y3" s="8">
        <v>2.95</v>
      </c>
      <c r="Z3" s="9">
        <v>6.24</v>
      </c>
      <c r="AA3" s="8">
        <v>2492.1</v>
      </c>
      <c r="AB3" s="8">
        <v>160</v>
      </c>
      <c r="AC3" s="21" t="s">
        <v>3861</v>
      </c>
      <c r="AD3" s="8" t="s">
        <v>3729</v>
      </c>
      <c r="AE3" s="8" t="s">
        <v>4238</v>
      </c>
      <c r="AF3" s="9">
        <f t="shared" si="0"/>
        <v>7351.6950000000006</v>
      </c>
      <c r="AG3" s="9">
        <f t="shared" si="1"/>
        <v>15949.44</v>
      </c>
      <c r="AH3" s="9">
        <f t="shared" si="2"/>
        <v>19.054937492831751</v>
      </c>
      <c r="AI3" s="9">
        <f t="shared" si="3"/>
        <v>363.09064285572521</v>
      </c>
      <c r="AJ3" s="9">
        <f t="shared" si="4"/>
        <v>22.615246101430635</v>
      </c>
      <c r="AK3" s="9">
        <f t="shared" si="5"/>
        <v>511.44935622827353</v>
      </c>
      <c r="AL3" s="9">
        <f t="shared" si="6"/>
        <v>36.088483742404435</v>
      </c>
      <c r="AM3" s="9">
        <f t="shared" si="7"/>
        <v>1302.3786588257892</v>
      </c>
      <c r="AN3" s="8" t="s">
        <v>3861</v>
      </c>
    </row>
    <row r="4" spans="8:40" ht="23">
      <c r="M4" s="8" t="s">
        <v>3924</v>
      </c>
      <c r="N4" s="8"/>
      <c r="O4" s="8"/>
      <c r="P4" s="8"/>
      <c r="Q4" s="8"/>
      <c r="R4" s="8"/>
      <c r="S4" s="8"/>
      <c r="T4" s="8"/>
      <c r="U4" s="8"/>
      <c r="V4" s="8"/>
      <c r="W4" s="8" t="s">
        <v>3924</v>
      </c>
      <c r="X4" s="8">
        <v>66.599999999999994</v>
      </c>
      <c r="Y4" s="8">
        <v>1.79</v>
      </c>
      <c r="Z4" s="9">
        <v>2.5</v>
      </c>
      <c r="AA4" s="8">
        <v>2366.4</v>
      </c>
      <c r="AB4" s="8">
        <v>323</v>
      </c>
      <c r="AC4" s="21" t="s">
        <v>3924</v>
      </c>
      <c r="AD4" s="8" t="s">
        <v>3729</v>
      </c>
      <c r="AE4" s="8" t="s">
        <v>4239</v>
      </c>
      <c r="AF4" s="9">
        <f t="shared" si="0"/>
        <v>4235.8560000000007</v>
      </c>
      <c r="AG4" s="9">
        <f t="shared" si="1"/>
        <v>4752.5200000000004</v>
      </c>
      <c r="AH4" s="9">
        <f t="shared" si="2"/>
        <v>18.093818098405784</v>
      </c>
      <c r="AI4" s="9">
        <f t="shared" si="3"/>
        <v>327.38625337819667</v>
      </c>
      <c r="AJ4" s="9">
        <f t="shared" si="4"/>
        <v>13.030318299415519</v>
      </c>
      <c r="AK4" s="9">
        <f t="shared" si="5"/>
        <v>169.78919498408294</v>
      </c>
      <c r="AL4" s="9">
        <f t="shared" si="6"/>
        <v>10.753433396749475</v>
      </c>
      <c r="AM4" s="9">
        <f t="shared" si="7"/>
        <v>115.63632981832696</v>
      </c>
      <c r="AN4" s="8" t="s">
        <v>3924</v>
      </c>
    </row>
    <row r="5" spans="8:40" ht="23">
      <c r="M5" s="24" t="s">
        <v>5265</v>
      </c>
      <c r="N5" s="24"/>
      <c r="O5" s="24"/>
      <c r="P5" s="24"/>
      <c r="Q5" s="24"/>
      <c r="R5" s="24"/>
      <c r="S5" s="24"/>
      <c r="T5" s="24"/>
      <c r="U5" s="24"/>
      <c r="V5" s="24"/>
      <c r="W5" s="24" t="s">
        <v>5265</v>
      </c>
      <c r="X5" s="24">
        <v>30.4</v>
      </c>
      <c r="Y5" s="24">
        <v>4.13</v>
      </c>
      <c r="Z5" s="25">
        <v>5.0599999999999996</v>
      </c>
      <c r="AA5" s="24">
        <v>831.4</v>
      </c>
      <c r="AB5" s="24">
        <v>638</v>
      </c>
      <c r="AC5" s="21" t="s">
        <v>5265</v>
      </c>
      <c r="AD5" s="8" t="s">
        <v>3729</v>
      </c>
      <c r="AE5" s="8" t="s">
        <v>4239</v>
      </c>
      <c r="AF5" s="9">
        <f t="shared" si="0"/>
        <v>3433.6819999999998</v>
      </c>
      <c r="AG5" s="9">
        <f t="shared" si="1"/>
        <v>4240.1399999999994</v>
      </c>
      <c r="AH5" s="9">
        <f t="shared" si="2"/>
        <v>6.3569981266964879</v>
      </c>
      <c r="AI5" s="25">
        <f t="shared" si="3"/>
        <v>40.411425182822654</v>
      </c>
      <c r="AJ5" s="9">
        <f t="shared" si="4"/>
        <v>10.562674793235102</v>
      </c>
      <c r="AK5" s="9">
        <f t="shared" si="5"/>
        <v>111.5700987876442</v>
      </c>
      <c r="AL5" s="9">
        <f t="shared" si="6"/>
        <v>9.594081262760243</v>
      </c>
      <c r="AM5" s="9">
        <f t="shared" si="7"/>
        <v>92.046395276447186</v>
      </c>
      <c r="AN5" s="24" t="s">
        <v>5265</v>
      </c>
    </row>
    <row r="6" spans="8:40" ht="23">
      <c r="M6" s="24" t="s">
        <v>5268</v>
      </c>
      <c r="N6" s="24"/>
      <c r="O6" s="24"/>
      <c r="P6" s="24"/>
      <c r="Q6" s="24"/>
      <c r="R6" s="24"/>
      <c r="S6" s="24"/>
      <c r="T6" s="24"/>
      <c r="U6" s="24"/>
      <c r="V6" s="24"/>
      <c r="W6" s="24" t="s">
        <v>5268</v>
      </c>
      <c r="X6" s="24">
        <v>72.95</v>
      </c>
      <c r="Y6" s="24">
        <v>1.1499999999999999</v>
      </c>
      <c r="Z6" s="25">
        <v>0.08</v>
      </c>
      <c r="AA6" s="24">
        <v>824.8</v>
      </c>
      <c r="AB6" s="24">
        <v>6569</v>
      </c>
      <c r="AC6" s="21" t="s">
        <v>5268</v>
      </c>
      <c r="AD6" s="8" t="s">
        <v>3729</v>
      </c>
      <c r="AE6" s="8" t="s">
        <v>4239</v>
      </c>
      <c r="AF6" s="9">
        <f t="shared" si="0"/>
        <v>948.51999999999987</v>
      </c>
      <c r="AG6" s="9">
        <f t="shared" si="1"/>
        <v>109.97333333333333</v>
      </c>
      <c r="AH6" s="9">
        <f t="shared" si="2"/>
        <v>6.3065336238865317</v>
      </c>
      <c r="AI6" s="25">
        <f t="shared" si="3"/>
        <v>39.772366349211389</v>
      </c>
      <c r="AJ6" s="9">
        <f t="shared" si="4"/>
        <v>2.9178323137900826</v>
      </c>
      <c r="AK6" s="9">
        <f t="shared" si="5"/>
        <v>8.5137454113975863</v>
      </c>
      <c r="AL6" s="9">
        <f t="shared" si="6"/>
        <v>0.24883449526115176</v>
      </c>
      <c r="AM6" s="9">
        <f t="shared" si="7"/>
        <v>6.1918606031872159E-2</v>
      </c>
      <c r="AN6" s="24" t="s">
        <v>5268</v>
      </c>
    </row>
    <row r="7" spans="8:40" ht="23">
      <c r="M7" s="24" t="s">
        <v>5263</v>
      </c>
      <c r="N7" s="24"/>
      <c r="O7" s="24"/>
      <c r="P7" s="24"/>
      <c r="Q7" s="24"/>
      <c r="R7" s="24"/>
      <c r="S7" s="24"/>
      <c r="T7" s="24"/>
      <c r="U7" s="24"/>
      <c r="V7" s="24"/>
      <c r="W7" s="24" t="s">
        <v>5263</v>
      </c>
      <c r="X7" s="24">
        <v>20.170000000000002</v>
      </c>
      <c r="Y7" s="24">
        <v>2.4700000000000002</v>
      </c>
      <c r="Z7" s="25">
        <v>2.52</v>
      </c>
      <c r="AA7" s="24">
        <v>645.1</v>
      </c>
      <c r="AB7" s="24">
        <v>793</v>
      </c>
      <c r="AC7" s="21" t="s">
        <v>5263</v>
      </c>
      <c r="AD7" s="8" t="s">
        <v>3729</v>
      </c>
      <c r="AE7" s="8" t="s">
        <v>4239</v>
      </c>
      <c r="AF7" s="9">
        <f t="shared" si="0"/>
        <v>1593.3970000000002</v>
      </c>
      <c r="AG7" s="9">
        <f t="shared" si="1"/>
        <v>1849.2866666666669</v>
      </c>
      <c r="AH7" s="9">
        <f t="shared" si="2"/>
        <v>4.9325228428336594</v>
      </c>
      <c r="AI7" s="25">
        <f t="shared" si="3"/>
        <v>24.329781595075843</v>
      </c>
      <c r="AJ7" s="9">
        <f t="shared" si="4"/>
        <v>4.9015996028509443</v>
      </c>
      <c r="AK7" s="9">
        <f t="shared" si="5"/>
        <v>24.025678666668536</v>
      </c>
      <c r="AL7" s="9">
        <f t="shared" si="6"/>
        <v>4.1843445164874318</v>
      </c>
      <c r="AM7" s="9">
        <f t="shared" si="7"/>
        <v>17.50873903265844</v>
      </c>
      <c r="AN7" s="24" t="s">
        <v>5263</v>
      </c>
    </row>
    <row r="8" spans="8:40" ht="23">
      <c r="M8" s="8" t="s">
        <v>782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782</v>
      </c>
      <c r="X8" s="8">
        <v>52.48</v>
      </c>
      <c r="Y8" s="8">
        <v>2.0099999999999998</v>
      </c>
      <c r="Z8" s="9">
        <v>2.57</v>
      </c>
      <c r="AA8" s="8">
        <v>643.6</v>
      </c>
      <c r="AB8" s="8">
        <v>1160</v>
      </c>
      <c r="AC8" s="21" t="s">
        <v>782</v>
      </c>
      <c r="AD8" s="8" t="s">
        <v>3729</v>
      </c>
      <c r="AE8" s="8" t="s">
        <v>4239</v>
      </c>
      <c r="AF8" s="9">
        <f t="shared" si="0"/>
        <v>1293.636</v>
      </c>
      <c r="AG8" s="9">
        <f t="shared" si="1"/>
        <v>1898.6200000000001</v>
      </c>
      <c r="AH8" s="9">
        <f t="shared" si="2"/>
        <v>4.9210536376495781</v>
      </c>
      <c r="AI8" s="9">
        <f t="shared" si="3"/>
        <v>24.216768904624146</v>
      </c>
      <c r="AJ8" s="9">
        <f t="shared" si="4"/>
        <v>3.9794763664257453</v>
      </c>
      <c r="AK8" s="9">
        <f t="shared" si="5"/>
        <v>15.836232150941052</v>
      </c>
      <c r="AL8" s="9">
        <f t="shared" si="6"/>
        <v>4.2959700781346504</v>
      </c>
      <c r="AM8" s="9">
        <f t="shared" si="7"/>
        <v>18.455358912228235</v>
      </c>
      <c r="AN8" s="8" t="s">
        <v>782</v>
      </c>
    </row>
    <row r="9" spans="8:40" ht="23">
      <c r="M9" s="24" t="s">
        <v>5266</v>
      </c>
      <c r="N9" s="24"/>
      <c r="O9" s="24"/>
      <c r="P9" s="24"/>
      <c r="Q9" s="24"/>
      <c r="R9" s="24"/>
      <c r="S9" s="24"/>
      <c r="T9" s="24"/>
      <c r="U9" s="24"/>
      <c r="V9" s="24"/>
      <c r="W9" s="24" t="s">
        <v>5266</v>
      </c>
      <c r="X9" s="24">
        <v>34.29</v>
      </c>
      <c r="Y9" s="24">
        <v>2.69</v>
      </c>
      <c r="Z9" s="25">
        <v>4</v>
      </c>
      <c r="AA9" s="24">
        <v>457.6</v>
      </c>
      <c r="AB9" s="24">
        <v>1469</v>
      </c>
      <c r="AC9" s="21" t="s">
        <v>5266</v>
      </c>
      <c r="AD9" s="8" t="s">
        <v>3729</v>
      </c>
      <c r="AE9" s="8" t="s">
        <v>4239</v>
      </c>
      <c r="AF9" s="9">
        <f t="shared" si="0"/>
        <v>1230.944</v>
      </c>
      <c r="AG9" s="9">
        <f t="shared" si="1"/>
        <v>1860.9066666666668</v>
      </c>
      <c r="AH9" s="9">
        <f t="shared" si="2"/>
        <v>3.4988721948235666</v>
      </c>
      <c r="AI9" s="25">
        <f t="shared" si="3"/>
        <v>12.242106635709483</v>
      </c>
      <c r="AJ9" s="9">
        <f t="shared" si="4"/>
        <v>3.786623560563847</v>
      </c>
      <c r="AK9" s="9">
        <f t="shared" si="5"/>
        <v>14.338517989417227</v>
      </c>
      <c r="AL9" s="9">
        <f t="shared" si="6"/>
        <v>4.2106368616159591</v>
      </c>
      <c r="AM9" s="9">
        <f t="shared" si="7"/>
        <v>17.729462780399093</v>
      </c>
      <c r="AN9" s="24" t="s">
        <v>5266</v>
      </c>
    </row>
    <row r="10" spans="8:40" ht="23">
      <c r="M10" s="8" t="s">
        <v>5262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5262</v>
      </c>
      <c r="X10" s="8">
        <v>25.45</v>
      </c>
      <c r="Y10" s="8">
        <v>5.5</v>
      </c>
      <c r="Z10" s="9">
        <v>3.59</v>
      </c>
      <c r="AA10" s="8">
        <v>387.9</v>
      </c>
      <c r="AB10" s="8">
        <v>2857</v>
      </c>
      <c r="AC10" s="21" t="s">
        <v>5262</v>
      </c>
      <c r="AD10" s="8" t="s">
        <v>3729</v>
      </c>
      <c r="AE10" s="8" t="s">
        <v>4239</v>
      </c>
      <c r="AF10" s="9">
        <f t="shared" si="0"/>
        <v>2133.4499999999998</v>
      </c>
      <c r="AG10" s="9">
        <f t="shared" si="1"/>
        <v>1545.135</v>
      </c>
      <c r="AH10" s="9">
        <f t="shared" si="2"/>
        <v>2.9659364606032805</v>
      </c>
      <c r="AI10" s="9">
        <f t="shared" si="3"/>
        <v>8.7967790883359154</v>
      </c>
      <c r="AJ10" s="9">
        <f t="shared" si="4"/>
        <v>6.5629078457549159</v>
      </c>
      <c r="AK10" s="9">
        <f t="shared" si="5"/>
        <v>43.071759391871431</v>
      </c>
      <c r="AL10" s="9">
        <f t="shared" si="6"/>
        <v>3.4961465309954503</v>
      </c>
      <c r="AM10" s="9">
        <f t="shared" si="7"/>
        <v>12.223040566191521</v>
      </c>
      <c r="AN10" s="8" t="s">
        <v>5262</v>
      </c>
    </row>
    <row r="11" spans="8:40" ht="23">
      <c r="M11" s="8" t="s">
        <v>4491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4491</v>
      </c>
      <c r="X11" s="8">
        <v>53.93</v>
      </c>
      <c r="Y11" s="8">
        <v>1.51</v>
      </c>
      <c r="Z11" s="9">
        <v>0.38</v>
      </c>
      <c r="AA11" s="8">
        <v>348.6</v>
      </c>
      <c r="AB11" s="8">
        <v>2722</v>
      </c>
      <c r="AC11" s="21" t="s">
        <v>4491</v>
      </c>
      <c r="AD11" s="8" t="s">
        <v>3729</v>
      </c>
      <c r="AE11" s="8" t="s">
        <v>4239</v>
      </c>
      <c r="AF11" s="9">
        <f t="shared" si="0"/>
        <v>526.38600000000008</v>
      </c>
      <c r="AG11" s="9">
        <f t="shared" si="1"/>
        <v>220.78</v>
      </c>
      <c r="AH11" s="9">
        <f t="shared" si="2"/>
        <v>2.6654432847803653</v>
      </c>
      <c r="AI11" s="9">
        <f t="shared" si="3"/>
        <v>7.1045879043807432</v>
      </c>
      <c r="AJ11" s="9">
        <f t="shared" si="4"/>
        <v>1.6192658882540241</v>
      </c>
      <c r="AK11" s="9">
        <f t="shared" si="5"/>
        <v>2.6220220168630934</v>
      </c>
      <c r="AL11" s="9">
        <f t="shared" si="6"/>
        <v>0.49955455744202004</v>
      </c>
      <c r="AM11" s="9">
        <f t="shared" si="7"/>
        <v>0.24955475586109249</v>
      </c>
      <c r="AN11" s="8" t="s">
        <v>4491</v>
      </c>
    </row>
    <row r="12" spans="8:40" ht="23">
      <c r="M12" s="24" t="s">
        <v>5269</v>
      </c>
      <c r="N12" s="24"/>
      <c r="O12" s="24"/>
      <c r="P12" s="24"/>
      <c r="Q12" s="24"/>
      <c r="R12" s="24"/>
      <c r="S12" s="24"/>
      <c r="T12" s="24"/>
      <c r="U12" s="24"/>
      <c r="V12" s="24"/>
      <c r="W12" s="24" t="s">
        <v>5269</v>
      </c>
      <c r="X12" s="24">
        <v>9.7899999999999991</v>
      </c>
      <c r="Y12" s="24">
        <v>3.28</v>
      </c>
      <c r="Z12" s="25">
        <v>1.21</v>
      </c>
      <c r="AA12" s="24">
        <v>254.4</v>
      </c>
      <c r="AB12" s="24">
        <v>3630</v>
      </c>
      <c r="AC12" s="21" t="s">
        <v>5269</v>
      </c>
      <c r="AD12" s="8" t="s">
        <v>3729</v>
      </c>
      <c r="AE12" s="8" t="s">
        <v>4239</v>
      </c>
      <c r="AF12" s="9">
        <f t="shared" si="0"/>
        <v>834.43200000000002</v>
      </c>
      <c r="AG12" s="9">
        <f t="shared" si="1"/>
        <v>343.44000000000005</v>
      </c>
      <c r="AH12" s="9">
        <f t="shared" si="2"/>
        <v>1.9451771992200944</v>
      </c>
      <c r="AI12" s="25">
        <f t="shared" si="3"/>
        <v>3.7837143363657306</v>
      </c>
      <c r="AJ12" s="9">
        <f t="shared" si="4"/>
        <v>2.5668753987902067</v>
      </c>
      <c r="AK12" s="9">
        <f t="shared" si="5"/>
        <v>6.5888493129143821</v>
      </c>
      <c r="AL12" s="9">
        <f t="shared" si="6"/>
        <v>0.77709492348893638</v>
      </c>
      <c r="AM12" s="9">
        <f t="shared" si="7"/>
        <v>0.60387652011227588</v>
      </c>
      <c r="AN12" s="24" t="s">
        <v>5269</v>
      </c>
    </row>
    <row r="13" spans="8:40" ht="23">
      <c r="M13" s="9" t="s">
        <v>5261</v>
      </c>
      <c r="N13" s="8"/>
      <c r="O13" s="8"/>
      <c r="P13" s="8"/>
      <c r="Q13" s="8"/>
      <c r="R13" s="8"/>
      <c r="S13" s="8"/>
      <c r="T13" s="8"/>
      <c r="U13" s="8"/>
      <c r="V13" s="8"/>
      <c r="W13" s="9" t="s">
        <v>5261</v>
      </c>
      <c r="X13" s="8">
        <v>49.21</v>
      </c>
      <c r="Y13" s="8">
        <v>1.96</v>
      </c>
      <c r="Z13" s="9">
        <v>0.38</v>
      </c>
      <c r="AA13" s="8">
        <v>244</v>
      </c>
      <c r="AB13" s="8">
        <v>5354</v>
      </c>
      <c r="AC13" s="22" t="s">
        <v>5261</v>
      </c>
      <c r="AD13" s="8" t="s">
        <v>3729</v>
      </c>
      <c r="AE13" s="8" t="s">
        <v>4239</v>
      </c>
      <c r="AF13" s="9">
        <f t="shared" si="0"/>
        <v>478.24</v>
      </c>
      <c r="AG13" s="9">
        <f t="shared" si="1"/>
        <v>154.53333333333333</v>
      </c>
      <c r="AH13" s="9">
        <f t="shared" si="2"/>
        <v>1.8656573766104678</v>
      </c>
      <c r="AI13" s="9">
        <f t="shared" si="3"/>
        <v>3.4806774469010531</v>
      </c>
      <c r="AJ13" s="9">
        <f t="shared" si="4"/>
        <v>1.4711594122917486</v>
      </c>
      <c r="AK13" s="9">
        <f t="shared" si="5"/>
        <v>2.1643100163746034</v>
      </c>
      <c r="AL13" s="9">
        <f t="shared" si="6"/>
        <v>0.34965952959223429</v>
      </c>
      <c r="AM13" s="9">
        <f t="shared" si="7"/>
        <v>0.12226178663466257</v>
      </c>
      <c r="AN13" s="9" t="s">
        <v>5261</v>
      </c>
    </row>
    <row r="14" spans="8:40" ht="23">
      <c r="M14" s="8" t="s">
        <v>1598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1598</v>
      </c>
      <c r="X14" s="8">
        <v>29.3</v>
      </c>
      <c r="Y14" s="8">
        <v>2.77</v>
      </c>
      <c r="Z14" s="9">
        <v>3.05</v>
      </c>
      <c r="AA14" s="8">
        <v>196.2</v>
      </c>
      <c r="AB14" s="8">
        <v>3493</v>
      </c>
      <c r="AC14" s="21" t="s">
        <v>1598</v>
      </c>
      <c r="AD14" s="8" t="s">
        <v>3729</v>
      </c>
      <c r="AE14" s="8" t="s">
        <v>4239</v>
      </c>
      <c r="AF14" s="9">
        <f t="shared" si="0"/>
        <v>543.47399999999993</v>
      </c>
      <c r="AG14" s="9">
        <f t="shared" si="1"/>
        <v>604.95000000000005</v>
      </c>
      <c r="AH14" s="9">
        <f t="shared" si="2"/>
        <v>1.5001720380777614</v>
      </c>
      <c r="AI14" s="9">
        <f t="shared" si="3"/>
        <v>2.2505161438303847</v>
      </c>
      <c r="AJ14" s="9">
        <f t="shared" si="4"/>
        <v>1.6718319053944581</v>
      </c>
      <c r="AK14" s="9">
        <f t="shared" si="5"/>
        <v>2.7950219198948645</v>
      </c>
      <c r="AL14" s="9">
        <f t="shared" si="6"/>
        <v>1.3688084496990218</v>
      </c>
      <c r="AM14" s="9">
        <f t="shared" si="7"/>
        <v>1.8736365719674395</v>
      </c>
      <c r="AN14" s="8" t="s">
        <v>1598</v>
      </c>
    </row>
    <row r="15" spans="8:40" ht="23">
      <c r="M15" s="9" t="s">
        <v>2636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9" t="s">
        <v>2636</v>
      </c>
      <c r="X15" s="8">
        <v>87.1</v>
      </c>
      <c r="Y15" s="8">
        <v>1.39</v>
      </c>
      <c r="Z15" s="9">
        <v>0.2</v>
      </c>
      <c r="AA15" s="8">
        <v>63.4</v>
      </c>
      <c r="AB15" s="8">
        <v>8492</v>
      </c>
      <c r="AC15" s="22" t="s">
        <v>2636</v>
      </c>
      <c r="AD15" s="8" t="s">
        <v>3729</v>
      </c>
      <c r="AE15" s="8" t="s">
        <v>4239</v>
      </c>
      <c r="AF15" s="9">
        <f t="shared" si="0"/>
        <v>88.125999999999991</v>
      </c>
      <c r="AG15" s="9">
        <f t="shared" si="1"/>
        <v>0.21133333333333335</v>
      </c>
      <c r="AH15" s="9">
        <f t="shared" si="2"/>
        <v>0.48476507244714612</v>
      </c>
      <c r="AI15" s="9">
        <f t="shared" si="3"/>
        <v>0.23499717546468682</v>
      </c>
      <c r="AJ15" s="9">
        <f t="shared" si="4"/>
        <v>0.2710927449975381</v>
      </c>
      <c r="AK15" s="9">
        <f t="shared" si="5"/>
        <v>7.3491276390300217E-2</v>
      </c>
      <c r="AL15" s="9">
        <f t="shared" si="6"/>
        <v>4.7817977084011338E-4</v>
      </c>
      <c r="AM15" s="9">
        <f t="shared" si="7"/>
        <v>2.2865589324070335E-7</v>
      </c>
      <c r="AN15" s="9" t="s">
        <v>2636</v>
      </c>
    </row>
    <row r="16" spans="8:40" ht="23">
      <c r="M16" s="24" t="s">
        <v>5267</v>
      </c>
      <c r="N16" s="24"/>
      <c r="O16" s="24"/>
      <c r="P16" s="24"/>
      <c r="Q16" s="24"/>
      <c r="R16" s="24"/>
      <c r="S16" s="24"/>
      <c r="T16" s="24"/>
      <c r="U16" s="24"/>
      <c r="V16" s="24"/>
      <c r="W16" s="24" t="s">
        <v>5267</v>
      </c>
      <c r="X16" s="24">
        <v>8.0299999999999994</v>
      </c>
      <c r="Y16" s="24">
        <v>4.13</v>
      </c>
      <c r="Z16" s="25">
        <v>4.4400000000000004</v>
      </c>
      <c r="AA16" s="24">
        <v>47.3</v>
      </c>
      <c r="AB16" s="24">
        <v>8867</v>
      </c>
      <c r="AC16" s="21" t="s">
        <v>5267</v>
      </c>
      <c r="AD16" s="8" t="s">
        <v>3729</v>
      </c>
      <c r="AE16" s="8" t="s">
        <v>4239</v>
      </c>
      <c r="AF16" s="9">
        <f t="shared" si="0"/>
        <v>195.34899999999999</v>
      </c>
      <c r="AG16" s="9">
        <f t="shared" si="1"/>
        <v>223.88666666666666</v>
      </c>
      <c r="AH16" s="9">
        <f t="shared" si="2"/>
        <v>0.36166227013801278</v>
      </c>
      <c r="AI16" s="25">
        <f t="shared" si="3"/>
        <v>0.13079959764138094</v>
      </c>
      <c r="AJ16" s="9">
        <f t="shared" si="4"/>
        <v>0.60093158253550671</v>
      </c>
      <c r="AK16" s="9">
        <f t="shared" si="5"/>
        <v>0.36111876688862854</v>
      </c>
      <c r="AL16" s="9">
        <f t="shared" si="6"/>
        <v>0.50658395091872321</v>
      </c>
      <c r="AM16" s="9">
        <f t="shared" si="7"/>
        <v>0.25662729932842337</v>
      </c>
      <c r="AN16" s="24" t="s">
        <v>5267</v>
      </c>
    </row>
    <row r="17" spans="13:40" ht="23">
      <c r="M17" s="8" t="s">
        <v>4681</v>
      </c>
      <c r="N17" s="8" t="s">
        <v>1717</v>
      </c>
      <c r="O17" s="8"/>
      <c r="P17" s="8"/>
      <c r="Q17" s="8"/>
      <c r="R17" s="8"/>
      <c r="S17" s="8"/>
      <c r="T17" s="8"/>
      <c r="U17" s="8"/>
      <c r="V17" s="8"/>
      <c r="W17" s="8" t="s">
        <v>4681</v>
      </c>
      <c r="X17" s="8">
        <v>27.52</v>
      </c>
      <c r="Y17" s="8">
        <v>2.2200000000000002</v>
      </c>
      <c r="Z17" s="9">
        <v>3.15</v>
      </c>
      <c r="AA17" s="8">
        <v>31.1</v>
      </c>
      <c r="AB17" s="8">
        <v>8208</v>
      </c>
      <c r="AC17" s="21" t="s">
        <v>4681</v>
      </c>
      <c r="AD17" s="8" t="s">
        <v>3729</v>
      </c>
      <c r="AE17" s="8" t="s">
        <v>4239</v>
      </c>
      <c r="AF17" s="9">
        <f t="shared" si="0"/>
        <v>69.042000000000016</v>
      </c>
      <c r="AG17" s="9">
        <f t="shared" si="1"/>
        <v>101.075</v>
      </c>
      <c r="AH17" s="9">
        <f t="shared" si="2"/>
        <v>0.23779485414994078</v>
      </c>
      <c r="AI17" s="9">
        <f t="shared" si="3"/>
        <v>5.6546392660191611E-2</v>
      </c>
      <c r="AJ17" s="9">
        <f t="shared" si="4"/>
        <v>0.21238664298981039</v>
      </c>
      <c r="AK17" s="9">
        <f t="shared" si="5"/>
        <v>4.5108086120481172E-2</v>
      </c>
      <c r="AL17" s="9">
        <f t="shared" si="6"/>
        <v>0.22870041169241856</v>
      </c>
      <c r="AM17" s="9">
        <f t="shared" si="7"/>
        <v>5.2303878308281739E-2</v>
      </c>
      <c r="AN17" s="8" t="s">
        <v>4681</v>
      </c>
    </row>
    <row r="18" spans="13:40" ht="23">
      <c r="M18" s="9" t="s">
        <v>3670</v>
      </c>
      <c r="N18" s="8" t="s">
        <v>2107</v>
      </c>
      <c r="O18" s="8"/>
      <c r="P18" s="8"/>
      <c r="Q18" s="8"/>
      <c r="R18" s="8"/>
      <c r="S18" s="8"/>
      <c r="T18" s="8"/>
      <c r="U18" s="8"/>
      <c r="V18" s="8"/>
      <c r="W18" s="9" t="s">
        <v>3670</v>
      </c>
      <c r="X18" s="8">
        <v>24.09</v>
      </c>
      <c r="Y18" s="8">
        <v>3.83</v>
      </c>
      <c r="Z18" s="9">
        <v>2.11</v>
      </c>
      <c r="AA18" s="8">
        <v>25.6</v>
      </c>
      <c r="AB18" s="8">
        <v>8039</v>
      </c>
      <c r="AC18" s="22" t="s">
        <v>3670</v>
      </c>
      <c r="AD18" s="8" t="s">
        <v>3729</v>
      </c>
      <c r="AE18" s="8" t="s">
        <v>4239</v>
      </c>
      <c r="AF18" s="9">
        <f t="shared" si="0"/>
        <v>98.048000000000002</v>
      </c>
      <c r="AG18" s="9">
        <f t="shared" si="1"/>
        <v>55.893333333333331</v>
      </c>
      <c r="AH18" s="9">
        <f t="shared" si="2"/>
        <v>0.19574110180831139</v>
      </c>
      <c r="AI18" s="9">
        <f t="shared" si="3"/>
        <v>3.8314578937131721E-2</v>
      </c>
      <c r="AJ18" s="9">
        <f t="shared" si="4"/>
        <v>0.30161475003425348</v>
      </c>
      <c r="AK18" s="9">
        <f t="shared" si="5"/>
        <v>9.0971457438225212E-2</v>
      </c>
      <c r="AL18" s="9">
        <f t="shared" si="6"/>
        <v>0.12646874443922745</v>
      </c>
      <c r="AM18" s="9">
        <f t="shared" si="7"/>
        <v>1.5994343320034625E-2</v>
      </c>
      <c r="AN18" s="9" t="s">
        <v>3670</v>
      </c>
    </row>
    <row r="19" spans="13:40" ht="23">
      <c r="M19" s="8" t="s">
        <v>499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499</v>
      </c>
      <c r="X19" s="8">
        <v>27.2</v>
      </c>
      <c r="Y19" s="8">
        <v>1.83</v>
      </c>
      <c r="Z19" s="9">
        <v>1.29</v>
      </c>
      <c r="AA19" s="8">
        <v>24</v>
      </c>
      <c r="AB19" s="8">
        <v>9049</v>
      </c>
      <c r="AC19" s="21" t="s">
        <v>499</v>
      </c>
      <c r="AD19" s="8" t="s">
        <v>3729</v>
      </c>
      <c r="AE19" s="8" t="s">
        <v>4239</v>
      </c>
      <c r="AF19" s="9">
        <f t="shared" si="0"/>
        <v>43.92</v>
      </c>
      <c r="AG19" s="9">
        <f t="shared" si="1"/>
        <v>35.6</v>
      </c>
      <c r="AH19" s="9">
        <f t="shared" si="2"/>
        <v>0.18350728294529192</v>
      </c>
      <c r="AI19" s="9">
        <f t="shared" si="3"/>
        <v>3.3674922893963427E-2</v>
      </c>
      <c r="AJ19" s="9">
        <f t="shared" si="4"/>
        <v>0.13510647663903813</v>
      </c>
      <c r="AK19" s="9">
        <f t="shared" si="5"/>
        <v>1.8253760029814957E-2</v>
      </c>
      <c r="AL19" s="9">
        <f t="shared" si="6"/>
        <v>8.055141881029039E-2</v>
      </c>
      <c r="AM19" s="9">
        <f t="shared" si="7"/>
        <v>6.4885310723508047E-3</v>
      </c>
      <c r="AN19" s="8" t="s">
        <v>499</v>
      </c>
    </row>
    <row r="20" spans="13:40" ht="23">
      <c r="M20" s="24" t="s">
        <v>5270</v>
      </c>
      <c r="N20" s="24"/>
      <c r="O20" s="24"/>
      <c r="P20" s="24"/>
      <c r="Q20" s="24"/>
      <c r="R20" s="24"/>
      <c r="S20" s="24"/>
      <c r="T20" s="24"/>
      <c r="U20" s="24"/>
      <c r="V20" s="24"/>
      <c r="W20" s="24" t="s">
        <v>5270</v>
      </c>
      <c r="X20" s="24">
        <v>42.77</v>
      </c>
      <c r="Y20" s="24">
        <v>2.0499999999999998</v>
      </c>
      <c r="Z20" s="25">
        <v>2.11</v>
      </c>
      <c r="AA20" s="24">
        <v>21.8</v>
      </c>
      <c r="AB20" s="24">
        <v>7364</v>
      </c>
      <c r="AC20" s="21" t="s">
        <v>5270</v>
      </c>
      <c r="AD20" s="8" t="s">
        <v>3729</v>
      </c>
      <c r="AE20" s="8" t="s">
        <v>4239</v>
      </c>
      <c r="AF20" s="9">
        <f t="shared" si="0"/>
        <v>44.69</v>
      </c>
      <c r="AG20" s="9">
        <f t="shared" si="1"/>
        <v>47.596666666666664</v>
      </c>
      <c r="AH20" s="9">
        <f t="shared" si="2"/>
        <v>0.16668578200864018</v>
      </c>
      <c r="AI20" s="25">
        <f t="shared" si="3"/>
        <v>2.7784149923831915E-2</v>
      </c>
      <c r="AJ20" s="9">
        <f t="shared" si="4"/>
        <v>0.13747514665297392</v>
      </c>
      <c r="AK20" s="9">
        <f t="shared" si="5"/>
        <v>1.8899415947256686E-2</v>
      </c>
      <c r="AL20" s="9">
        <f t="shared" si="6"/>
        <v>0.10769604018652963</v>
      </c>
      <c r="AM20" s="9">
        <f t="shared" si="7"/>
        <v>1.1598437071858606E-2</v>
      </c>
      <c r="AN20" s="24" t="s">
        <v>5270</v>
      </c>
    </row>
    <row r="21" spans="13:40" ht="23">
      <c r="M21" s="9" t="s">
        <v>2350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9" t="s">
        <v>2350</v>
      </c>
      <c r="X21" s="8">
        <v>39.5</v>
      </c>
      <c r="Y21" s="8">
        <v>2.89</v>
      </c>
      <c r="Z21" s="9">
        <v>2.58</v>
      </c>
      <c r="AA21" s="8">
        <v>6.5</v>
      </c>
      <c r="AB21" s="8">
        <v>15341</v>
      </c>
      <c r="AC21" s="22" t="s">
        <v>2350</v>
      </c>
      <c r="AD21" s="8" t="s">
        <v>3729</v>
      </c>
      <c r="AE21" s="8" t="s">
        <v>4239</v>
      </c>
      <c r="AF21" s="9">
        <f t="shared" si="0"/>
        <v>18.785</v>
      </c>
      <c r="AG21" s="9">
        <f t="shared" si="1"/>
        <v>19.283333333333335</v>
      </c>
      <c r="AH21" s="9">
        <f t="shared" si="2"/>
        <v>4.969988913101657E-2</v>
      </c>
      <c r="AI21" s="9">
        <f t="shared" si="3"/>
        <v>2.4700789796353391E-3</v>
      </c>
      <c r="AJ21" s="9">
        <f t="shared" si="4"/>
        <v>5.7786319755563101E-2</v>
      </c>
      <c r="AK21" s="9">
        <f t="shared" si="5"/>
        <v>3.3392587508921821E-3</v>
      </c>
      <c r="AL21" s="9">
        <f t="shared" si="6"/>
        <v>4.3632018522240634E-2</v>
      </c>
      <c r="AM21" s="9">
        <f t="shared" si="7"/>
        <v>1.9037530403251497E-3</v>
      </c>
      <c r="AN21" s="9" t="s">
        <v>2350</v>
      </c>
    </row>
    <row r="22" spans="13:40" ht="23">
      <c r="M22" s="8" t="s">
        <v>181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8" t="s">
        <v>181</v>
      </c>
      <c r="X22" s="8">
        <v>35.04</v>
      </c>
      <c r="Y22" s="8">
        <v>1.94</v>
      </c>
      <c r="Z22" s="9">
        <v>1.03</v>
      </c>
      <c r="AA22" s="8">
        <v>1.9</v>
      </c>
      <c r="AB22" s="8">
        <v>64764</v>
      </c>
      <c r="AC22" s="21" t="s">
        <v>181</v>
      </c>
      <c r="AD22" s="8" t="s">
        <v>3729</v>
      </c>
      <c r="AE22" s="8" t="s">
        <v>4239</v>
      </c>
      <c r="AF22" s="9">
        <f t="shared" si="0"/>
        <v>3.6859999999999999</v>
      </c>
      <c r="AG22" s="9">
        <f t="shared" si="1"/>
        <v>1.9949999999999999</v>
      </c>
      <c r="AH22" s="9">
        <f t="shared" si="2"/>
        <v>1.4527659899835611E-2</v>
      </c>
      <c r="AI22" s="9">
        <f t="shared" si="3"/>
        <v>2.1105290216529162E-4</v>
      </c>
      <c r="AJ22" s="9">
        <f t="shared" si="4"/>
        <v>1.13388541186588E-2</v>
      </c>
      <c r="AK22" s="9">
        <f t="shared" si="5"/>
        <v>1.2856961272422564E-4</v>
      </c>
      <c r="AL22" s="9">
        <f t="shared" si="6"/>
        <v>4.5140472058013848E-3</v>
      </c>
      <c r="AM22" s="9">
        <f t="shared" si="7"/>
        <v>2.0376622176203291E-5</v>
      </c>
      <c r="AN22" s="8" t="s">
        <v>181</v>
      </c>
    </row>
    <row r="23" spans="13:40" ht="23"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5"/>
      <c r="AA23" s="24">
        <f>SUBTOTAL(109,Table13631[ترافیک کل])</f>
        <v>13078.499999999998</v>
      </c>
      <c r="AB23" s="24"/>
      <c r="AC23" s="21"/>
      <c r="AD23" s="24"/>
      <c r="AE23" s="24"/>
      <c r="AF23" s="25">
        <f>SUBTOTAL(109,Table13631[[مجموع صفحات  مشاهده شده   ]])</f>
        <v>32507.694</v>
      </c>
      <c r="AG23" s="25">
        <f>SUBTOTAL(109,Table13631[[مجموع زمان حضور در سایت ]])</f>
        <v>44195.373</v>
      </c>
      <c r="AH23" s="25">
        <f>SUBTOTAL(109,Table13631[سهم سایت از کل ترافیک طبقه بندی])</f>
        <v>100.00000000000003</v>
      </c>
      <c r="AI23" s="25">
        <f>SUBTOTAL(109,Table13631[شاخص هرفیندال هیرشمن (ترافیک)])</f>
        <v>1442.9575156544288</v>
      </c>
      <c r="AJ23" s="25">
        <f>SUBTOTAL(109,Table13631[سهم سایت از کل صفحات مشاهده شده در طبقه بندی])</f>
        <v>100.00000000000001</v>
      </c>
      <c r="AK23" s="25">
        <f>SUBTOTAL(109,Table13631[شاخص هرفیندال -هیرشمن (صفحات مشاهده شده )])</f>
        <v>1423.5240918400086</v>
      </c>
      <c r="AL23" s="25">
        <f>SUBTOTAL(109,Table13631[سهم سایت از کل زمان حضور در طبقه بندی])</f>
        <v>99.999999999999957</v>
      </c>
      <c r="AM23" s="25">
        <f>SUBTOTAL(109,Table13631[شاخص هرفیندال هیرشمن (زمان حضور)])</f>
        <v>2109.8143834481289</v>
      </c>
      <c r="AN23" s="25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{10C5A1C2-9003-4459-B551-E920C07842DF}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{6B9F1B4C-1EF2-4FCC-A090-F22CF72C5A14}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{272E3E44-8940-4259-86E6-8496208FDA27}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{2E3EFE6E-E5BF-44F1-B4F3-8822B42B9B03}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{0ED9CEF9-8330-4FDC-B609-64D1432D7FBE}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{435465B6-6251-4C38-98DE-B9A829D2D49C}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0C5A1C2-9003-4459-B551-E920C07842D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B9F1B4C-1EF2-4FCC-A090-F22CF72C5A1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72E3E44-8940-4259-86E6-8496208FDA2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E3EFE6E-E5BF-44F1-B4F3-8822B42B9B0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ED9CEF9-8330-4FDC-B609-64D1432D7F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435465B6-6251-4C38-98DE-B9A829D2D4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6"/>
  <sheetViews>
    <sheetView showGridLines="0" rightToLeft="1" topLeftCell="Z1" zoomScale="70" zoomScaleNormal="70" workbookViewId="0">
      <selection activeCell="Z26" sqref="Z26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347</v>
      </c>
      <c r="N2" s="8" t="s">
        <v>150</v>
      </c>
      <c r="O2" s="8"/>
      <c r="P2" s="8" t="s">
        <v>3705</v>
      </c>
      <c r="Q2" s="8"/>
      <c r="R2" s="8"/>
      <c r="S2" s="8"/>
      <c r="T2" s="8"/>
      <c r="U2" s="8"/>
      <c r="V2" s="8"/>
      <c r="W2" s="8" t="s">
        <v>347</v>
      </c>
      <c r="X2" s="8">
        <v>59.64</v>
      </c>
      <c r="Y2" s="8">
        <v>3.04</v>
      </c>
      <c r="Z2" s="9">
        <v>3.55</v>
      </c>
      <c r="AA2" s="8">
        <v>2794.6</v>
      </c>
      <c r="AB2" s="8">
        <v>132</v>
      </c>
      <c r="AC2" s="21" t="s">
        <v>347</v>
      </c>
      <c r="AD2" s="8" t="s">
        <v>3717</v>
      </c>
      <c r="AE2" s="8" t="s">
        <v>3717</v>
      </c>
      <c r="AF2" s="9">
        <f t="shared" ref="AF2:AF25" si="0">(AA2*Y2)</f>
        <v>8495.5839999999989</v>
      </c>
      <c r="AG2" s="9">
        <f t="shared" ref="AG2:AG25" si="1">((((RIGHT(Z2,2))/60)+(LEFT(Z2,2)))*AA2)</f>
        <v>10945.516666666666</v>
      </c>
      <c r="AH2" s="9">
        <f t="shared" ref="AH2:AH25" si="2">(AA2/$AA$26)*100</f>
        <v>32.697617821874857</v>
      </c>
      <c r="AI2" s="9">
        <f t="shared" ref="AI2:AI25" si="3">(AH2*AH2)</f>
        <v>1069.1342112253883</v>
      </c>
      <c r="AJ2" s="9">
        <f t="shared" ref="AJ2:AJ25" si="4">(AF2/$AF$26)*100</f>
        <v>33.826865022208729</v>
      </c>
      <c r="AK2" s="9">
        <f t="shared" ref="AK2:AK25" si="5">(AJ2*AJ2)</f>
        <v>1144.2567972307284</v>
      </c>
      <c r="AL2" s="9">
        <f t="shared" ref="AL2:AL25" si="6">(AG2/$AG$26)*100</f>
        <v>41.683923601538325</v>
      </c>
      <c r="AM2" s="9">
        <f t="shared" ref="AM2:AM25" si="7">(AL2*AL2)</f>
        <v>1737.5494868188839</v>
      </c>
      <c r="AN2" s="8" t="s">
        <v>347</v>
      </c>
    </row>
    <row r="3" spans="8:40" ht="23">
      <c r="M3" s="8" t="s">
        <v>342</v>
      </c>
      <c r="N3" s="8" t="s">
        <v>150</v>
      </c>
      <c r="O3" s="8"/>
      <c r="P3" s="8" t="s">
        <v>3696</v>
      </c>
      <c r="Q3" s="8"/>
      <c r="R3" s="8"/>
      <c r="S3" s="8"/>
      <c r="T3" s="8"/>
      <c r="U3" s="8"/>
      <c r="V3" s="8"/>
      <c r="W3" s="8" t="s">
        <v>342</v>
      </c>
      <c r="X3" s="8">
        <v>53.93</v>
      </c>
      <c r="Y3" s="8">
        <v>3.22</v>
      </c>
      <c r="Z3" s="9">
        <v>3.2</v>
      </c>
      <c r="AA3" s="8">
        <v>1980.3</v>
      </c>
      <c r="AB3" s="8">
        <v>219</v>
      </c>
      <c r="AC3" s="21" t="s">
        <v>342</v>
      </c>
      <c r="AD3" s="8" t="s">
        <v>3717</v>
      </c>
      <c r="AE3" s="8" t="s">
        <v>3717</v>
      </c>
      <c r="AF3" s="9">
        <f t="shared" si="0"/>
        <v>6376.5659999999998</v>
      </c>
      <c r="AG3" s="9">
        <f t="shared" si="1"/>
        <v>5947.5010000000002</v>
      </c>
      <c r="AH3" s="9">
        <f t="shared" si="2"/>
        <v>23.170075349838537</v>
      </c>
      <c r="AI3" s="9">
        <f t="shared" si="3"/>
        <v>536.85239171719547</v>
      </c>
      <c r="AJ3" s="9">
        <f t="shared" si="4"/>
        <v>25.389571498228424</v>
      </c>
      <c r="AK3" s="9">
        <f t="shared" si="5"/>
        <v>644.63034086365315</v>
      </c>
      <c r="AL3" s="9">
        <f t="shared" si="6"/>
        <v>22.649929176853796</v>
      </c>
      <c r="AM3" s="9">
        <f t="shared" si="7"/>
        <v>513.01929171649283</v>
      </c>
      <c r="AN3" s="8" t="s">
        <v>342</v>
      </c>
    </row>
    <row r="4" spans="8:40" ht="23">
      <c r="M4" s="9" t="s">
        <v>2187</v>
      </c>
      <c r="N4" s="8" t="s">
        <v>150</v>
      </c>
      <c r="O4" s="8"/>
      <c r="P4" s="8" t="s">
        <v>3715</v>
      </c>
      <c r="Q4" s="8"/>
      <c r="R4" s="8"/>
      <c r="S4" s="8"/>
      <c r="T4" s="8"/>
      <c r="U4" s="8"/>
      <c r="V4" s="8"/>
      <c r="W4" s="9" t="s">
        <v>2187</v>
      </c>
      <c r="X4" s="8">
        <v>51.82</v>
      </c>
      <c r="Y4" s="8">
        <v>4.08</v>
      </c>
      <c r="Z4" s="9">
        <v>3.59</v>
      </c>
      <c r="AA4" s="8">
        <v>1179.9000000000001</v>
      </c>
      <c r="AB4" s="8">
        <v>431</v>
      </c>
      <c r="AC4" s="22" t="s">
        <v>2187</v>
      </c>
      <c r="AD4" s="8" t="s">
        <v>3717</v>
      </c>
      <c r="AE4" s="8" t="s">
        <v>3717</v>
      </c>
      <c r="AF4" s="9">
        <f t="shared" si="0"/>
        <v>4813.9920000000002</v>
      </c>
      <c r="AG4" s="9">
        <f t="shared" si="1"/>
        <v>4699.9350000000004</v>
      </c>
      <c r="AH4" s="9">
        <f t="shared" si="2"/>
        <v>13.805166846071046</v>
      </c>
      <c r="AI4" s="9">
        <f t="shared" si="3"/>
        <v>190.58263164785919</v>
      </c>
      <c r="AJ4" s="9">
        <f t="shared" si="4"/>
        <v>19.167870931767926</v>
      </c>
      <c r="AK4" s="9">
        <f t="shared" si="5"/>
        <v>367.40727605691382</v>
      </c>
      <c r="AL4" s="9">
        <f t="shared" si="6"/>
        <v>17.898810758639023</v>
      </c>
      <c r="AM4" s="9">
        <f t="shared" si="7"/>
        <v>320.367426573572</v>
      </c>
      <c r="AN4" s="9" t="s">
        <v>2187</v>
      </c>
    </row>
    <row r="5" spans="8:40" ht="23">
      <c r="M5" s="8" t="s">
        <v>417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417</v>
      </c>
      <c r="X5" s="8">
        <v>49.3</v>
      </c>
      <c r="Y5" s="8">
        <v>1.79</v>
      </c>
      <c r="Z5" s="9">
        <v>2.0299999999999998</v>
      </c>
      <c r="AA5" s="8">
        <v>631.5</v>
      </c>
      <c r="AB5" s="8">
        <v>938</v>
      </c>
      <c r="AC5" s="21" t="s">
        <v>417</v>
      </c>
      <c r="AD5" s="8" t="s">
        <v>3717</v>
      </c>
      <c r="AE5" s="8" t="s">
        <v>3717</v>
      </c>
      <c r="AF5" s="9">
        <f t="shared" si="0"/>
        <v>1130.385</v>
      </c>
      <c r="AG5" s="9">
        <f t="shared" si="1"/>
        <v>1294.5749999999998</v>
      </c>
      <c r="AH5" s="9">
        <f t="shared" si="2"/>
        <v>7.3887302850189549</v>
      </c>
      <c r="AI5" s="9">
        <f t="shared" si="3"/>
        <v>54.593335224756288</v>
      </c>
      <c r="AJ5" s="9">
        <f t="shared" si="4"/>
        <v>4.5008537162518101</v>
      </c>
      <c r="AK5" s="9">
        <f t="shared" si="5"/>
        <v>20.257684175097729</v>
      </c>
      <c r="AL5" s="9">
        <f t="shared" si="6"/>
        <v>4.930143275995329</v>
      </c>
      <c r="AM5" s="9">
        <f t="shared" si="7"/>
        <v>24.306312721841955</v>
      </c>
      <c r="AN5" s="8" t="s">
        <v>417</v>
      </c>
    </row>
    <row r="6" spans="8:40" ht="23">
      <c r="M6" s="9" t="s">
        <v>3031</v>
      </c>
      <c r="N6" s="8" t="s">
        <v>1814</v>
      </c>
      <c r="O6" s="8"/>
      <c r="P6" s="8" t="s">
        <v>3696</v>
      </c>
      <c r="Q6" s="8"/>
      <c r="R6" s="8"/>
      <c r="S6" s="8"/>
      <c r="T6" s="8"/>
      <c r="U6" s="8"/>
      <c r="V6" s="8"/>
      <c r="W6" s="9" t="s">
        <v>3031</v>
      </c>
      <c r="X6" s="8">
        <v>39.58</v>
      </c>
      <c r="Y6" s="8">
        <v>3.42</v>
      </c>
      <c r="Z6" s="9">
        <v>4.47</v>
      </c>
      <c r="AA6" s="8">
        <v>523</v>
      </c>
      <c r="AB6" s="8">
        <v>1587</v>
      </c>
      <c r="AC6" s="22" t="s">
        <v>3031</v>
      </c>
      <c r="AD6" s="8" t="s">
        <v>3717</v>
      </c>
      <c r="AE6" s="8" t="s">
        <v>3717</v>
      </c>
      <c r="AF6" s="9">
        <f t="shared" si="0"/>
        <v>1788.6599999999999</v>
      </c>
      <c r="AG6" s="9">
        <f t="shared" si="1"/>
        <v>2501.6833333333334</v>
      </c>
      <c r="AH6" s="9">
        <f t="shared" si="2"/>
        <v>6.1192493096831573</v>
      </c>
      <c r="AI6" s="9">
        <f t="shared" si="3"/>
        <v>37.445212114057796</v>
      </c>
      <c r="AJ6" s="9">
        <f t="shared" si="4"/>
        <v>7.1219071450089686</v>
      </c>
      <c r="AK6" s="9">
        <f t="shared" si="5"/>
        <v>50.721561382129799</v>
      </c>
      <c r="AL6" s="9">
        <f t="shared" si="6"/>
        <v>9.5271863464866193</v>
      </c>
      <c r="AM6" s="9">
        <f t="shared" si="7"/>
        <v>90.767279680681057</v>
      </c>
      <c r="AN6" s="9" t="s">
        <v>3031</v>
      </c>
    </row>
    <row r="7" spans="8:40" ht="23">
      <c r="M7" s="8" t="s">
        <v>1236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1236</v>
      </c>
      <c r="X7" s="8">
        <v>36.46</v>
      </c>
      <c r="Y7" s="8">
        <v>1.18</v>
      </c>
      <c r="Z7" s="9">
        <v>0.11</v>
      </c>
      <c r="AA7" s="8">
        <v>385.7</v>
      </c>
      <c r="AB7" s="8">
        <v>5387</v>
      </c>
      <c r="AC7" s="21" t="s">
        <v>1236</v>
      </c>
      <c r="AD7" s="8" t="s">
        <v>4190</v>
      </c>
      <c r="AE7" s="8" t="s">
        <v>3717</v>
      </c>
      <c r="AF7" s="9">
        <f t="shared" si="0"/>
        <v>455.12599999999998</v>
      </c>
      <c r="AG7" s="9">
        <f t="shared" si="1"/>
        <v>70.711666666666659</v>
      </c>
      <c r="AH7" s="9">
        <f t="shared" si="2"/>
        <v>4.5128001123227408</v>
      </c>
      <c r="AI7" s="9">
        <f t="shared" si="3"/>
        <v>20.365364853780143</v>
      </c>
      <c r="AJ7" s="9">
        <f t="shared" si="4"/>
        <v>1.8121750982743237</v>
      </c>
      <c r="AK7" s="9">
        <f t="shared" si="5"/>
        <v>3.2839785868055547</v>
      </c>
      <c r="AL7" s="9">
        <f t="shared" si="6"/>
        <v>0.26929196682393042</v>
      </c>
      <c r="AM7" s="9">
        <f t="shared" si="7"/>
        <v>7.2518163395900836E-2</v>
      </c>
      <c r="AN7" s="8" t="s">
        <v>1236</v>
      </c>
    </row>
    <row r="8" spans="8:40" ht="23">
      <c r="M8" s="8" t="s">
        <v>5302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5302</v>
      </c>
      <c r="X8" s="8">
        <v>28.47</v>
      </c>
      <c r="Y8" s="8">
        <v>1.53</v>
      </c>
      <c r="Z8" s="9">
        <v>0.59</v>
      </c>
      <c r="AA8" s="8">
        <v>217.7</v>
      </c>
      <c r="AB8" s="8">
        <v>7662</v>
      </c>
      <c r="AC8" s="21" t="s">
        <v>5302</v>
      </c>
      <c r="AD8" s="8" t="s">
        <v>4190</v>
      </c>
      <c r="AE8" s="8" t="s">
        <v>3717</v>
      </c>
      <c r="AF8" s="9">
        <f t="shared" si="0"/>
        <v>333.08099999999996</v>
      </c>
      <c r="AG8" s="9">
        <f t="shared" si="1"/>
        <v>214.07166666666666</v>
      </c>
      <c r="AH8" s="9">
        <f t="shared" si="2"/>
        <v>2.5471521505124728</v>
      </c>
      <c r="AI8" s="9">
        <f t="shared" si="3"/>
        <v>6.4879840778603146</v>
      </c>
      <c r="AJ8" s="9">
        <f t="shared" si="4"/>
        <v>1.3262285474974183</v>
      </c>
      <c r="AK8" s="9">
        <f t="shared" si="5"/>
        <v>1.7588821601971119</v>
      </c>
      <c r="AL8" s="9">
        <f t="shared" si="6"/>
        <v>0.81525132804030676</v>
      </c>
      <c r="AM8" s="9">
        <f t="shared" si="7"/>
        <v>0.66463472787148381</v>
      </c>
      <c r="AN8" s="8" t="s">
        <v>5302</v>
      </c>
    </row>
    <row r="9" spans="8:40" ht="23">
      <c r="M9" s="8" t="s">
        <v>1769</v>
      </c>
      <c r="N9" s="8" t="s">
        <v>1717</v>
      </c>
      <c r="O9" s="8"/>
      <c r="P9" s="8"/>
      <c r="Q9" s="8"/>
      <c r="R9" s="8"/>
      <c r="S9" s="8"/>
      <c r="T9" s="8"/>
      <c r="U9" s="8"/>
      <c r="V9" s="8"/>
      <c r="W9" s="8" t="s">
        <v>1769</v>
      </c>
      <c r="X9" s="8">
        <v>24.23</v>
      </c>
      <c r="Y9" s="8">
        <v>1.63</v>
      </c>
      <c r="Z9" s="9">
        <v>0.12</v>
      </c>
      <c r="AA9" s="8">
        <v>185.7</v>
      </c>
      <c r="AB9" s="8">
        <v>10397</v>
      </c>
      <c r="AC9" s="21" t="s">
        <v>1769</v>
      </c>
      <c r="AD9" s="8" t="s">
        <v>4190</v>
      </c>
      <c r="AE9" s="8" t="s">
        <v>3717</v>
      </c>
      <c r="AF9" s="9">
        <f t="shared" si="0"/>
        <v>302.69099999999997</v>
      </c>
      <c r="AG9" s="9">
        <f t="shared" si="1"/>
        <v>37.14</v>
      </c>
      <c r="AH9" s="9">
        <f t="shared" si="2"/>
        <v>2.1727430149295643</v>
      </c>
      <c r="AI9" s="9">
        <f t="shared" si="3"/>
        <v>4.7208122089252127</v>
      </c>
      <c r="AJ9" s="9">
        <f t="shared" si="4"/>
        <v>1.2052246909026363</v>
      </c>
      <c r="AK9" s="9">
        <f t="shared" si="5"/>
        <v>1.4525665555613552</v>
      </c>
      <c r="AL9" s="9">
        <f t="shared" si="6"/>
        <v>0.14144064366333858</v>
      </c>
      <c r="AM9" s="9">
        <f t="shared" si="7"/>
        <v>2.000545567989952E-2</v>
      </c>
      <c r="AN9" s="8" t="s">
        <v>1769</v>
      </c>
    </row>
    <row r="10" spans="8:40" ht="23">
      <c r="M10" s="8" t="s">
        <v>846</v>
      </c>
      <c r="N10" s="8" t="s">
        <v>150</v>
      </c>
      <c r="O10" s="8"/>
      <c r="P10" s="8" t="s">
        <v>3691</v>
      </c>
      <c r="Q10" s="8"/>
      <c r="R10" s="8"/>
      <c r="S10" s="8"/>
      <c r="T10" s="8"/>
      <c r="U10" s="8"/>
      <c r="V10" s="8"/>
      <c r="W10" s="8" t="s">
        <v>846</v>
      </c>
      <c r="X10" s="8">
        <v>33.380000000000003</v>
      </c>
      <c r="Y10" s="8">
        <v>1.5</v>
      </c>
      <c r="Z10" s="9">
        <v>0.41</v>
      </c>
      <c r="AA10" s="8">
        <v>167.5</v>
      </c>
      <c r="AB10" s="8">
        <v>3635</v>
      </c>
      <c r="AC10" s="21" t="s">
        <v>846</v>
      </c>
      <c r="AD10" s="8" t="s">
        <v>3717</v>
      </c>
      <c r="AE10" s="8" t="s">
        <v>3717</v>
      </c>
      <c r="AF10" s="9">
        <f t="shared" si="0"/>
        <v>251.25</v>
      </c>
      <c r="AG10" s="9">
        <f t="shared" si="1"/>
        <v>114.45833333333334</v>
      </c>
      <c r="AH10" s="9">
        <f t="shared" si="2"/>
        <v>1.9597978190667855</v>
      </c>
      <c r="AI10" s="9">
        <f t="shared" si="3"/>
        <v>3.840807491618929</v>
      </c>
      <c r="AJ10" s="9">
        <f t="shared" si="4"/>
        <v>1.0004020720447169</v>
      </c>
      <c r="AK10" s="9">
        <f t="shared" si="5"/>
        <v>1.0008043057513629</v>
      </c>
      <c r="AL10" s="9">
        <f t="shared" si="6"/>
        <v>0.43589284704630127</v>
      </c>
      <c r="AM10" s="9">
        <f t="shared" si="7"/>
        <v>0.1900025741061302</v>
      </c>
      <c r="AN10" s="8" t="s">
        <v>846</v>
      </c>
    </row>
    <row r="11" spans="8:40" ht="23">
      <c r="M11" s="8" t="s">
        <v>809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809</v>
      </c>
      <c r="X11" s="8">
        <v>7.35</v>
      </c>
      <c r="Y11" s="8">
        <v>1.9</v>
      </c>
      <c r="Z11" s="9">
        <v>0.23</v>
      </c>
      <c r="AA11" s="8">
        <v>129.80000000000001</v>
      </c>
      <c r="AB11" s="8">
        <v>6681</v>
      </c>
      <c r="AC11" s="21" t="s">
        <v>809</v>
      </c>
      <c r="AD11" s="8" t="s">
        <v>3717</v>
      </c>
      <c r="AE11" s="8" t="s">
        <v>3717</v>
      </c>
      <c r="AF11" s="9">
        <f t="shared" si="0"/>
        <v>246.62</v>
      </c>
      <c r="AG11" s="9">
        <f t="shared" si="1"/>
        <v>49.756666666666675</v>
      </c>
      <c r="AH11" s="9">
        <f t="shared" si="2"/>
        <v>1.5186970562081716</v>
      </c>
      <c r="AI11" s="9">
        <f t="shared" si="3"/>
        <v>2.3064407485353664</v>
      </c>
      <c r="AJ11" s="9">
        <f t="shared" si="4"/>
        <v>0.98196680202056952</v>
      </c>
      <c r="AK11" s="9">
        <f t="shared" si="5"/>
        <v>0.96425880027050437</v>
      </c>
      <c r="AL11" s="9">
        <f t="shared" si="6"/>
        <v>0.18948882498318573</v>
      </c>
      <c r="AM11" s="9">
        <f t="shared" si="7"/>
        <v>3.5906014793508391E-2</v>
      </c>
      <c r="AN11" s="8" t="s">
        <v>809</v>
      </c>
    </row>
    <row r="12" spans="8:40" ht="23">
      <c r="M12" s="8" t="s">
        <v>249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249</v>
      </c>
      <c r="X12" s="8">
        <v>24.47</v>
      </c>
      <c r="Y12" s="8">
        <v>1.46</v>
      </c>
      <c r="Z12" s="9">
        <v>0.39</v>
      </c>
      <c r="AA12" s="8">
        <v>114.5</v>
      </c>
      <c r="AB12" s="8">
        <v>6187</v>
      </c>
      <c r="AC12" s="21" t="s">
        <v>249</v>
      </c>
      <c r="AD12" s="8" t="s">
        <v>3717</v>
      </c>
      <c r="AE12" s="8" t="s">
        <v>3717</v>
      </c>
      <c r="AF12" s="9">
        <f t="shared" si="0"/>
        <v>167.17</v>
      </c>
      <c r="AG12" s="9">
        <f t="shared" si="1"/>
        <v>74.424999999999997</v>
      </c>
      <c r="AH12" s="9">
        <f t="shared" si="2"/>
        <v>1.3396826882575936</v>
      </c>
      <c r="AI12" s="9">
        <f t="shared" si="3"/>
        <v>1.7947497052170929</v>
      </c>
      <c r="AJ12" s="9">
        <f t="shared" si="4"/>
        <v>0.66562075376603114</v>
      </c>
      <c r="AK12" s="9">
        <f t="shared" si="5"/>
        <v>0.44305098784405944</v>
      </c>
      <c r="AL12" s="9">
        <f t="shared" si="6"/>
        <v>0.28343349231674675</v>
      </c>
      <c r="AM12" s="9">
        <f t="shared" si="7"/>
        <v>8.0334544566867339E-2</v>
      </c>
      <c r="AN12" s="8" t="s">
        <v>249</v>
      </c>
    </row>
    <row r="13" spans="8:40" ht="23">
      <c r="M13" s="8" t="s">
        <v>1831</v>
      </c>
      <c r="N13" s="8" t="s">
        <v>1814</v>
      </c>
      <c r="O13" s="8"/>
      <c r="P13" s="8" t="s">
        <v>3693</v>
      </c>
      <c r="Q13" s="8"/>
      <c r="R13" s="8"/>
      <c r="S13" s="8"/>
      <c r="T13" s="8"/>
      <c r="U13" s="8"/>
      <c r="V13" s="8"/>
      <c r="W13" s="8" t="s">
        <v>1831</v>
      </c>
      <c r="X13" s="8">
        <v>3.47</v>
      </c>
      <c r="Y13" s="8">
        <v>4.42</v>
      </c>
      <c r="Z13" s="9">
        <v>1.24</v>
      </c>
      <c r="AA13" s="8">
        <v>85.8</v>
      </c>
      <c r="AB13" s="8">
        <v>9308</v>
      </c>
      <c r="AC13" s="21" t="s">
        <v>1831</v>
      </c>
      <c r="AD13" s="8" t="s">
        <v>3717</v>
      </c>
      <c r="AE13" s="8" t="s">
        <v>3717</v>
      </c>
      <c r="AF13" s="9">
        <f t="shared" si="0"/>
        <v>379.23599999999999</v>
      </c>
      <c r="AG13" s="9">
        <f t="shared" si="1"/>
        <v>120.11999999999999</v>
      </c>
      <c r="AH13" s="9">
        <f t="shared" si="2"/>
        <v>1.0038844947816727</v>
      </c>
      <c r="AI13" s="9">
        <f t="shared" si="3"/>
        <v>1.0077840788630543</v>
      </c>
      <c r="AJ13" s="9">
        <f t="shared" si="4"/>
        <v>1.5100039012694537</v>
      </c>
      <c r="AK13" s="9">
        <f t="shared" si="5"/>
        <v>2.2801117818489702</v>
      </c>
      <c r="AL13" s="9">
        <f t="shared" si="6"/>
        <v>0.45745423039419031</v>
      </c>
      <c r="AM13" s="9">
        <f t="shared" si="7"/>
        <v>0.20926437290554095</v>
      </c>
      <c r="AN13" s="8" t="s">
        <v>1831</v>
      </c>
    </row>
    <row r="14" spans="8:40" ht="23">
      <c r="M14" s="8" t="s">
        <v>1202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1202</v>
      </c>
      <c r="X14" s="8">
        <v>26.49</v>
      </c>
      <c r="Y14" s="8">
        <v>1.77</v>
      </c>
      <c r="Z14" s="9">
        <v>0.32</v>
      </c>
      <c r="AA14" s="8">
        <v>46.6</v>
      </c>
      <c r="AB14" s="8">
        <v>17427</v>
      </c>
      <c r="AC14" s="21" t="s">
        <v>1202</v>
      </c>
      <c r="AD14" s="8" t="s">
        <v>3717</v>
      </c>
      <c r="AE14" s="8" t="s">
        <v>3717</v>
      </c>
      <c r="AF14" s="9">
        <f t="shared" si="0"/>
        <v>82.481999999999999</v>
      </c>
      <c r="AG14" s="9">
        <f t="shared" si="1"/>
        <v>24.853333333333335</v>
      </c>
      <c r="AH14" s="9">
        <f t="shared" si="2"/>
        <v>0.54523330369261014</v>
      </c>
      <c r="AI14" s="9">
        <f t="shared" si="3"/>
        <v>0.29727935545555806</v>
      </c>
      <c r="AJ14" s="9">
        <f t="shared" si="4"/>
        <v>0.32841856201549191</v>
      </c>
      <c r="AK14" s="9">
        <f t="shared" si="5"/>
        <v>0.1078587518763235</v>
      </c>
      <c r="AL14" s="9">
        <f t="shared" si="6"/>
        <v>9.4649204734684314E-2</v>
      </c>
      <c r="AM14" s="9">
        <f t="shared" si="7"/>
        <v>8.9584719569081872E-3</v>
      </c>
      <c r="AN14" s="8" t="s">
        <v>1202</v>
      </c>
    </row>
    <row r="15" spans="8:40" ht="23">
      <c r="M15" s="9" t="s">
        <v>2743</v>
      </c>
      <c r="N15" s="8" t="s">
        <v>1614</v>
      </c>
      <c r="O15" s="8"/>
      <c r="P15" s="8" t="s">
        <v>4004</v>
      </c>
      <c r="Q15" s="8"/>
      <c r="R15" s="8"/>
      <c r="S15" s="8"/>
      <c r="T15" s="8"/>
      <c r="U15" s="8"/>
      <c r="V15" s="8"/>
      <c r="W15" s="9" t="s">
        <v>2743</v>
      </c>
      <c r="X15" s="8">
        <v>5.29</v>
      </c>
      <c r="Y15" s="8">
        <v>2.0699999999999998</v>
      </c>
      <c r="Z15" s="9">
        <v>0.14000000000000001</v>
      </c>
      <c r="AA15" s="8">
        <v>28.6</v>
      </c>
      <c r="AB15" s="8">
        <v>27302</v>
      </c>
      <c r="AC15" s="22" t="s">
        <v>2743</v>
      </c>
      <c r="AD15" s="8" t="s">
        <v>3717</v>
      </c>
      <c r="AE15" s="8" t="s">
        <v>3717</v>
      </c>
      <c r="AF15" s="9">
        <f t="shared" si="0"/>
        <v>59.201999999999998</v>
      </c>
      <c r="AG15" s="9">
        <f t="shared" si="1"/>
        <v>6.6733333333333338</v>
      </c>
      <c r="AH15" s="9">
        <f t="shared" si="2"/>
        <v>0.33462816492722425</v>
      </c>
      <c r="AI15" s="9">
        <f t="shared" si="3"/>
        <v>0.11197600876256159</v>
      </c>
      <c r="AJ15" s="9">
        <f t="shared" si="4"/>
        <v>0.23572459092215453</v>
      </c>
      <c r="AK15" s="9">
        <f t="shared" si="5"/>
        <v>5.5566082765417101E-2</v>
      </c>
      <c r="AL15" s="9">
        <f t="shared" si="6"/>
        <v>2.5414123910788355E-2</v>
      </c>
      <c r="AM15" s="9">
        <f t="shared" si="7"/>
        <v>6.4587769415290442E-4</v>
      </c>
      <c r="AN15" s="9" t="s">
        <v>2743</v>
      </c>
    </row>
    <row r="16" spans="8:40" ht="23">
      <c r="M16" s="8" t="s">
        <v>276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8" t="s">
        <v>276</v>
      </c>
      <c r="X16" s="8">
        <v>6.48</v>
      </c>
      <c r="Y16" s="8">
        <v>1.26</v>
      </c>
      <c r="Z16" s="9">
        <v>0.27</v>
      </c>
      <c r="AA16" s="8">
        <v>19.2</v>
      </c>
      <c r="AB16" s="8">
        <v>26312</v>
      </c>
      <c r="AC16" s="21" t="s">
        <v>276</v>
      </c>
      <c r="AD16" s="8" t="s">
        <v>4190</v>
      </c>
      <c r="AE16" s="8" t="s">
        <v>3717</v>
      </c>
      <c r="AF16" s="9">
        <f t="shared" si="0"/>
        <v>24.192</v>
      </c>
      <c r="AG16" s="9">
        <f t="shared" si="1"/>
        <v>8.64</v>
      </c>
      <c r="AH16" s="9">
        <f t="shared" si="2"/>
        <v>0.22464548134974494</v>
      </c>
      <c r="AI16" s="9">
        <f t="shared" si="3"/>
        <v>5.0465592290858598E-2</v>
      </c>
      <c r="AJ16" s="9">
        <f t="shared" si="4"/>
        <v>9.6325281301117574E-2</v>
      </c>
      <c r="AK16" s="9">
        <f t="shared" si="5"/>
        <v>9.2785598177394304E-3</v>
      </c>
      <c r="AL16" s="9">
        <f t="shared" si="6"/>
        <v>3.2903800787594112E-2</v>
      </c>
      <c r="AM16" s="9">
        <f t="shared" si="7"/>
        <v>1.0826601062696789E-3</v>
      </c>
      <c r="AN16" s="8" t="s">
        <v>276</v>
      </c>
    </row>
    <row r="17" spans="13:40" ht="23">
      <c r="M17" s="9" t="s">
        <v>5300</v>
      </c>
      <c r="N17" s="8" t="s">
        <v>150</v>
      </c>
      <c r="O17" s="8"/>
      <c r="P17" s="8" t="s">
        <v>3691</v>
      </c>
      <c r="Q17" s="8"/>
      <c r="R17" s="8"/>
      <c r="S17" s="8"/>
      <c r="T17" s="8"/>
      <c r="U17" s="8"/>
      <c r="V17" s="8"/>
      <c r="W17" s="9" t="s">
        <v>5300</v>
      </c>
      <c r="X17" s="8">
        <v>13.26</v>
      </c>
      <c r="Y17" s="8">
        <v>2.94</v>
      </c>
      <c r="Z17" s="9">
        <v>0.37</v>
      </c>
      <c r="AA17" s="8">
        <v>14.8</v>
      </c>
      <c r="AB17" s="8">
        <v>20499</v>
      </c>
      <c r="AC17" s="22" t="s">
        <v>5300</v>
      </c>
      <c r="AD17" s="8" t="s">
        <v>4190</v>
      </c>
      <c r="AE17" s="8" t="s">
        <v>3717</v>
      </c>
      <c r="AF17" s="9">
        <f t="shared" si="0"/>
        <v>43.512</v>
      </c>
      <c r="AG17" s="9">
        <f t="shared" si="1"/>
        <v>9.1266666666666669</v>
      </c>
      <c r="AH17" s="9">
        <f t="shared" si="2"/>
        <v>0.17316422520709507</v>
      </c>
      <c r="AI17" s="9">
        <f t="shared" si="3"/>
        <v>2.998584889157354E-2</v>
      </c>
      <c r="AJ17" s="9">
        <f t="shared" si="4"/>
        <v>0.17325172122909344</v>
      </c>
      <c r="AK17" s="9">
        <f t="shared" si="5"/>
        <v>3.0016158908843505E-2</v>
      </c>
      <c r="AL17" s="9">
        <f t="shared" si="6"/>
        <v>3.4757178455413845E-2</v>
      </c>
      <c r="AM17" s="9">
        <f t="shared" si="7"/>
        <v>1.2080614541814844E-3</v>
      </c>
      <c r="AN17" s="9" t="s">
        <v>5300</v>
      </c>
    </row>
    <row r="18" spans="13:40" ht="23">
      <c r="M18" s="9" t="s">
        <v>3599</v>
      </c>
      <c r="N18" s="8" t="s">
        <v>2084</v>
      </c>
      <c r="O18" s="8"/>
      <c r="P18" s="8" t="s">
        <v>3705</v>
      </c>
      <c r="Q18" s="8"/>
      <c r="R18" s="8"/>
      <c r="S18" s="8"/>
      <c r="T18" s="8"/>
      <c r="U18" s="8"/>
      <c r="V18" s="8"/>
      <c r="W18" s="9" t="s">
        <v>3599</v>
      </c>
      <c r="X18" s="8">
        <v>24.03</v>
      </c>
      <c r="Y18" s="8">
        <v>4.3499999999999996</v>
      </c>
      <c r="Z18" s="9">
        <v>3.03</v>
      </c>
      <c r="AA18" s="8">
        <v>14.6</v>
      </c>
      <c r="AB18" s="8">
        <v>8919</v>
      </c>
      <c r="AC18" s="22" t="s">
        <v>3599</v>
      </c>
      <c r="AD18" s="8" t="s">
        <v>3717</v>
      </c>
      <c r="AE18" s="8" t="s">
        <v>3717</v>
      </c>
      <c r="AF18" s="9">
        <f t="shared" si="0"/>
        <v>63.509999999999991</v>
      </c>
      <c r="AG18" s="9">
        <f t="shared" si="1"/>
        <v>44.529999999999994</v>
      </c>
      <c r="AH18" s="9">
        <f t="shared" si="2"/>
        <v>0.17082416810970188</v>
      </c>
      <c r="AI18" s="9">
        <f t="shared" si="3"/>
        <v>2.9180896410371689E-2</v>
      </c>
      <c r="AJ18" s="9">
        <f t="shared" si="4"/>
        <v>0.25287775361416898</v>
      </c>
      <c r="AK18" s="9">
        <f t="shared" si="5"/>
        <v>6.3947158272948348E-2</v>
      </c>
      <c r="AL18" s="9">
        <f t="shared" si="6"/>
        <v>0.16958405660550527</v>
      </c>
      <c r="AM18" s="9">
        <f t="shared" si="7"/>
        <v>2.8758752254779214E-2</v>
      </c>
      <c r="AN18" s="9" t="s">
        <v>3599</v>
      </c>
    </row>
    <row r="19" spans="13:40" ht="23">
      <c r="M19" s="9" t="s">
        <v>2872</v>
      </c>
      <c r="N19" s="8" t="s">
        <v>1717</v>
      </c>
      <c r="O19" s="8"/>
      <c r="P19" s="8"/>
      <c r="Q19" s="8"/>
      <c r="R19" s="8"/>
      <c r="S19" s="8"/>
      <c r="T19" s="8"/>
      <c r="U19" s="8"/>
      <c r="V19" s="8"/>
      <c r="W19" s="9" t="s">
        <v>2872</v>
      </c>
      <c r="X19" s="8">
        <v>47.29</v>
      </c>
      <c r="Y19" s="8">
        <v>1.45</v>
      </c>
      <c r="Z19" s="9">
        <v>0.2</v>
      </c>
      <c r="AA19" s="8">
        <v>5.6</v>
      </c>
      <c r="AB19" s="8">
        <v>63621</v>
      </c>
      <c r="AC19" s="22" t="s">
        <v>2872</v>
      </c>
      <c r="AD19" s="8" t="s">
        <v>4190</v>
      </c>
      <c r="AE19" s="8" t="s">
        <v>3717</v>
      </c>
      <c r="AF19" s="9">
        <f t="shared" si="0"/>
        <v>8.1199999999999992</v>
      </c>
      <c r="AG19" s="9">
        <f t="shared" si="1"/>
        <v>1.8666666666666668E-2</v>
      </c>
      <c r="AH19" s="9">
        <f t="shared" si="2"/>
        <v>6.552159872700894E-2</v>
      </c>
      <c r="AI19" s="9">
        <f t="shared" si="3"/>
        <v>4.2930798997431793E-3</v>
      </c>
      <c r="AJ19" s="9">
        <f t="shared" si="4"/>
        <v>3.2331402288569559E-2</v>
      </c>
      <c r="AK19" s="9">
        <f t="shared" si="5"/>
        <v>1.045319573945321E-3</v>
      </c>
      <c r="AL19" s="9">
        <f t="shared" si="6"/>
        <v>7.1088458491715684E-5</v>
      </c>
      <c r="AM19" s="9">
        <f t="shared" si="7"/>
        <v>5.0535689307283842E-9</v>
      </c>
      <c r="AN19" s="9" t="s">
        <v>2872</v>
      </c>
    </row>
    <row r="20" spans="13:40" ht="23">
      <c r="M20" s="9" t="s">
        <v>5301</v>
      </c>
      <c r="N20" s="8" t="s">
        <v>150</v>
      </c>
      <c r="O20" s="8"/>
      <c r="P20" s="8" t="s">
        <v>3693</v>
      </c>
      <c r="Q20" s="8"/>
      <c r="R20" s="8"/>
      <c r="S20" s="8"/>
      <c r="T20" s="8"/>
      <c r="U20" s="8"/>
      <c r="V20" s="8"/>
      <c r="W20" s="9" t="s">
        <v>5301</v>
      </c>
      <c r="X20" s="8">
        <v>41.12</v>
      </c>
      <c r="Y20" s="8">
        <v>8.08</v>
      </c>
      <c r="Z20" s="9">
        <v>9.56</v>
      </c>
      <c r="AA20" s="8">
        <v>5</v>
      </c>
      <c r="AB20" s="8">
        <v>15382</v>
      </c>
      <c r="AC20" s="22" t="s">
        <v>5301</v>
      </c>
      <c r="AD20" s="8" t="s">
        <v>3717</v>
      </c>
      <c r="AE20" s="8" t="s">
        <v>3717</v>
      </c>
      <c r="AF20" s="9">
        <f t="shared" si="0"/>
        <v>40.4</v>
      </c>
      <c r="AG20" s="9">
        <f t="shared" si="1"/>
        <v>49.666666666666671</v>
      </c>
      <c r="AH20" s="9">
        <f t="shared" si="2"/>
        <v>5.850142743482941E-2</v>
      </c>
      <c r="AI20" s="9">
        <f t="shared" si="3"/>
        <v>3.4224170119126112E-3</v>
      </c>
      <c r="AJ20" s="9">
        <f t="shared" si="4"/>
        <v>0.16086067148500124</v>
      </c>
      <c r="AK20" s="9">
        <f t="shared" si="5"/>
        <v>2.5876155630605493E-2</v>
      </c>
      <c r="AL20" s="9">
        <f t="shared" si="6"/>
        <v>0.18914607705831493</v>
      </c>
      <c r="AM20" s="9">
        <f t="shared" si="7"/>
        <v>3.5776238466550009E-2</v>
      </c>
      <c r="AN20" s="9" t="s">
        <v>5301</v>
      </c>
    </row>
    <row r="21" spans="13:40" ht="23">
      <c r="M21" s="9" t="s">
        <v>2912</v>
      </c>
      <c r="N21" s="8" t="s">
        <v>1717</v>
      </c>
      <c r="O21" s="8"/>
      <c r="P21" s="8"/>
      <c r="Q21" s="8"/>
      <c r="R21" s="8"/>
      <c r="S21" s="8"/>
      <c r="T21" s="8"/>
      <c r="U21" s="8"/>
      <c r="V21" s="8"/>
      <c r="W21" s="9" t="s">
        <v>2912</v>
      </c>
      <c r="X21" s="8">
        <v>35.200000000000003</v>
      </c>
      <c r="Y21" s="8">
        <v>3.06</v>
      </c>
      <c r="Z21" s="9">
        <v>2.39</v>
      </c>
      <c r="AA21" s="8">
        <v>4.5</v>
      </c>
      <c r="AB21" s="8">
        <v>23050</v>
      </c>
      <c r="AC21" s="22" t="s">
        <v>2912</v>
      </c>
      <c r="AD21" s="8" t="s">
        <v>4190</v>
      </c>
      <c r="AE21" s="8" t="s">
        <v>3717</v>
      </c>
      <c r="AF21" s="9">
        <f t="shared" si="0"/>
        <v>13.77</v>
      </c>
      <c r="AG21" s="9">
        <f t="shared" si="1"/>
        <v>11.924999999999999</v>
      </c>
      <c r="AH21" s="9">
        <f t="shared" si="2"/>
        <v>5.2651284691346473E-2</v>
      </c>
      <c r="AI21" s="9">
        <f t="shared" si="3"/>
        <v>2.7721577796492153E-3</v>
      </c>
      <c r="AJ21" s="9">
        <f t="shared" si="4"/>
        <v>5.4828006097734333E-2</v>
      </c>
      <c r="AK21" s="9">
        <f t="shared" si="5"/>
        <v>3.0061102526531933E-3</v>
      </c>
      <c r="AL21" s="9">
        <f t="shared" si="6"/>
        <v>4.5414100045377284E-2</v>
      </c>
      <c r="AM21" s="9">
        <f t="shared" si="7"/>
        <v>2.0624404829315372E-3</v>
      </c>
      <c r="AN21" s="9" t="s">
        <v>2912</v>
      </c>
    </row>
    <row r="22" spans="13:40" ht="23">
      <c r="M22" s="9" t="s">
        <v>3100</v>
      </c>
      <c r="N22" s="8" t="s">
        <v>1814</v>
      </c>
      <c r="O22" s="8"/>
      <c r="P22" s="8"/>
      <c r="Q22" s="8"/>
      <c r="R22" s="8"/>
      <c r="S22" s="8"/>
      <c r="T22" s="8"/>
      <c r="U22" s="8"/>
      <c r="V22" s="8"/>
      <c r="W22" s="9" t="s">
        <v>3100</v>
      </c>
      <c r="X22" s="8">
        <v>29.38</v>
      </c>
      <c r="Y22" s="8">
        <v>1.83</v>
      </c>
      <c r="Z22" s="9">
        <v>0.53</v>
      </c>
      <c r="AA22" s="8">
        <v>4.2</v>
      </c>
      <c r="AB22" s="8">
        <v>25953</v>
      </c>
      <c r="AC22" s="22" t="s">
        <v>3100</v>
      </c>
      <c r="AD22" s="8" t="s">
        <v>3717</v>
      </c>
      <c r="AE22" s="8" t="s">
        <v>3717</v>
      </c>
      <c r="AF22" s="9">
        <f t="shared" si="0"/>
        <v>7.6860000000000008</v>
      </c>
      <c r="AG22" s="9">
        <f t="shared" si="1"/>
        <v>3.71</v>
      </c>
      <c r="AH22" s="9">
        <f t="shared" si="2"/>
        <v>4.9141199045256719E-2</v>
      </c>
      <c r="AI22" s="9">
        <f t="shared" si="3"/>
        <v>2.4148574436055397E-3</v>
      </c>
      <c r="AJ22" s="9">
        <f t="shared" si="4"/>
        <v>3.0603344580042571E-2</v>
      </c>
      <c r="AK22" s="9">
        <f t="shared" si="5"/>
        <v>9.3656469948482095E-4</v>
      </c>
      <c r="AL22" s="9">
        <f t="shared" si="6"/>
        <v>1.412883112522849E-2</v>
      </c>
      <c r="AM22" s="9">
        <f t="shared" si="7"/>
        <v>1.9962386896522536E-4</v>
      </c>
      <c r="AN22" s="9" t="s">
        <v>3100</v>
      </c>
    </row>
    <row r="23" spans="13:40" ht="23">
      <c r="M23" s="8" t="s">
        <v>875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875</v>
      </c>
      <c r="X23" s="8">
        <v>46.37</v>
      </c>
      <c r="Y23" s="8">
        <v>3.67</v>
      </c>
      <c r="Z23" s="9">
        <v>3.56</v>
      </c>
      <c r="AA23" s="8">
        <v>3.3</v>
      </c>
      <c r="AB23" s="8">
        <v>38438</v>
      </c>
      <c r="AC23" s="21" t="s">
        <v>875</v>
      </c>
      <c r="AD23" s="8" t="s">
        <v>4190</v>
      </c>
      <c r="AE23" s="8" t="s">
        <v>3717</v>
      </c>
      <c r="AF23" s="9">
        <f t="shared" si="0"/>
        <v>12.110999999999999</v>
      </c>
      <c r="AG23" s="9">
        <f t="shared" si="1"/>
        <v>12.98</v>
      </c>
      <c r="AH23" s="9">
        <f t="shared" si="2"/>
        <v>3.8610942106987407E-2</v>
      </c>
      <c r="AI23" s="9">
        <f t="shared" si="3"/>
        <v>1.4908048503891331E-3</v>
      </c>
      <c r="AJ23" s="9">
        <f t="shared" si="4"/>
        <v>4.8222366147397278E-2</v>
      </c>
      <c r="AK23" s="9">
        <f t="shared" si="5"/>
        <v>2.3253965968536468E-3</v>
      </c>
      <c r="AL23" s="9">
        <f t="shared" si="6"/>
        <v>4.9431867386918009E-2</v>
      </c>
      <c r="AM23" s="9">
        <f t="shared" si="7"/>
        <v>2.4435095133578484E-3</v>
      </c>
      <c r="AN23" s="8" t="s">
        <v>875</v>
      </c>
    </row>
    <row r="24" spans="13:40" ht="23">
      <c r="M24" s="9" t="s">
        <v>2690</v>
      </c>
      <c r="N24" s="8" t="s">
        <v>1614</v>
      </c>
      <c r="O24" s="8"/>
      <c r="P24" s="8" t="s">
        <v>3691</v>
      </c>
      <c r="Q24" s="8"/>
      <c r="R24" s="8"/>
      <c r="S24" s="8"/>
      <c r="T24" s="8"/>
      <c r="U24" s="8"/>
      <c r="V24" s="8"/>
      <c r="W24" s="9" t="s">
        <v>2690</v>
      </c>
      <c r="X24" s="8">
        <v>27.75</v>
      </c>
      <c r="Y24" s="8">
        <v>4.3899999999999997</v>
      </c>
      <c r="Z24" s="9">
        <v>3.24</v>
      </c>
      <c r="AA24" s="8">
        <v>2.8</v>
      </c>
      <c r="AB24" s="8">
        <v>25635</v>
      </c>
      <c r="AC24" s="22" t="s">
        <v>2690</v>
      </c>
      <c r="AD24" s="8" t="s">
        <v>3717</v>
      </c>
      <c r="AE24" s="8" t="s">
        <v>3717</v>
      </c>
      <c r="AF24" s="9">
        <f t="shared" si="0"/>
        <v>12.291999999999998</v>
      </c>
      <c r="AG24" s="9">
        <f t="shared" si="1"/>
        <v>9.52</v>
      </c>
      <c r="AH24" s="9">
        <f t="shared" si="2"/>
        <v>3.276079936350447E-2</v>
      </c>
      <c r="AI24" s="9">
        <f t="shared" si="3"/>
        <v>1.0732699749357948E-3</v>
      </c>
      <c r="AJ24" s="9">
        <f t="shared" si="4"/>
        <v>4.8943053809248391E-2</v>
      </c>
      <c r="AK24" s="9">
        <f t="shared" si="5"/>
        <v>2.3954225161749833E-3</v>
      </c>
      <c r="AL24" s="9">
        <f t="shared" si="6"/>
        <v>3.6255113830774996E-2</v>
      </c>
      <c r="AM24" s="9">
        <f t="shared" si="7"/>
        <v>1.3144332788824523E-3</v>
      </c>
      <c r="AN24" s="9" t="s">
        <v>2690</v>
      </c>
    </row>
    <row r="25" spans="13:40" ht="23">
      <c r="M25" s="8" t="s">
        <v>1149</v>
      </c>
      <c r="N25" s="8" t="s">
        <v>150</v>
      </c>
      <c r="O25" s="8"/>
      <c r="P25" s="8" t="s">
        <v>3691</v>
      </c>
      <c r="Q25" s="8"/>
      <c r="R25" s="8"/>
      <c r="S25" s="8"/>
      <c r="T25" s="8"/>
      <c r="U25" s="8"/>
      <c r="V25" s="8"/>
      <c r="W25" s="8" t="s">
        <v>1149</v>
      </c>
      <c r="X25" s="8">
        <v>34.299999999999997</v>
      </c>
      <c r="Y25" s="8">
        <v>4.54</v>
      </c>
      <c r="Z25" s="9">
        <v>4.16</v>
      </c>
      <c r="AA25" s="8">
        <v>1.6</v>
      </c>
      <c r="AB25" s="8">
        <v>43966</v>
      </c>
      <c r="AC25" s="21" t="s">
        <v>1149</v>
      </c>
      <c r="AD25" s="8" t="s">
        <v>4190</v>
      </c>
      <c r="AE25" s="8" t="s">
        <v>3717</v>
      </c>
      <c r="AF25" s="9">
        <f t="shared" si="0"/>
        <v>7.2640000000000002</v>
      </c>
      <c r="AG25" s="9">
        <f t="shared" si="1"/>
        <v>6.8266666666666671</v>
      </c>
      <c r="AH25" s="9">
        <f t="shared" si="2"/>
        <v>1.8720456779145415E-2</v>
      </c>
      <c r="AI25" s="9">
        <f t="shared" si="3"/>
        <v>3.5045550201985153E-4</v>
      </c>
      <c r="AJ25" s="9">
        <f t="shared" si="4"/>
        <v>2.8923067268986365E-2</v>
      </c>
      <c r="AK25" s="9">
        <f t="shared" si="5"/>
        <v>8.3654382024631036E-4</v>
      </c>
      <c r="AL25" s="9">
        <f t="shared" si="6"/>
        <v>2.599806481982745E-2</v>
      </c>
      <c r="AM25" s="9">
        <f t="shared" si="7"/>
        <v>6.7589937437594972E-4</v>
      </c>
      <c r="AN25" s="8" t="s">
        <v>1149</v>
      </c>
    </row>
    <row r="26" spans="13:40" ht="23"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9"/>
      <c r="AA26" s="8">
        <f>SUBTOTAL(109,Table1361719212223[ترافیک کل])</f>
        <v>8546.7999999999993</v>
      </c>
      <c r="AB26" s="8"/>
      <c r="AC26" s="21"/>
      <c r="AD26" s="8"/>
      <c r="AE26" s="8"/>
      <c r="AF26" s="9">
        <f>SUBTOTAL(109,Table1361719212223[[مجموع صفحات  مشاهده شده   ]])</f>
        <v>25114.901999999995</v>
      </c>
      <c r="AG26" s="9">
        <f>SUBTOTAL(109,Table1361719212223[[مجموع زمان حضور در سایت ]])</f>
        <v>26258.364666666665</v>
      </c>
      <c r="AH26" s="9">
        <f>SUBTOTAL(109,Table1361719212223[سهم سایت از کل ترافیک طبقه بندی])</f>
        <v>99.999999999999986</v>
      </c>
      <c r="AI26" s="9">
        <f>SUBTOTAL(109,Table1361719212223[شاخص هرفیندال هیرشمن (ترافیک)])</f>
        <v>1929.6664298383312</v>
      </c>
      <c r="AJ26" s="9">
        <f>SUBTOTAL(109,Table1361719212223[سهم سایت از کل صفحات مشاهده شده در طبقه بندی])</f>
        <v>100.00000000000003</v>
      </c>
      <c r="AK26" s="9">
        <f>SUBTOTAL(109,Table1361719212223[شاخص هرفیندال -هیرشمن (صفحات مشاهده شده )])</f>
        <v>2238.7604011115332</v>
      </c>
      <c r="AL26" s="9">
        <f>SUBTOTAL(109,Table1361719212223[سهم سایت از کل زمان حضور در طبقه بندی])</f>
        <v>100.00000000000003</v>
      </c>
      <c r="AM26" s="9">
        <f>SUBTOTAL(109,Table1361719212223[شاخص هرفیندال هیرشمن (زمان حضور)])</f>
        <v>2687.3655893382966</v>
      </c>
      <c r="AN26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{F1F88D2A-A093-4A0C-A85D-2EF9C60D1AC3}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{10A9B44B-0F62-406E-A61D-D77708D5624C}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{60D70EB0-2524-4084-968F-526F12EA90C6}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{E4679734-2ACD-4664-9138-C2CC55BEF99D}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{4A7EE6EA-F2B1-4B3E-A002-5E75F3DC6F72}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{E0C36DF9-795F-4D1F-9184-094C397FB3E2}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F88D2A-A093-4A0C-A85D-2EF9C60D1A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0A9B44B-0F62-406E-A61D-D77708D5624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0D70EB0-2524-4084-968F-526F12EA90C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4679734-2ACD-4664-9138-C2CC55BEF99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4A7EE6EA-F2B1-4B3E-A002-5E75F3DC6F7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E0C36DF9-795F-4D1F-9184-094C397FB3E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9"/>
  <sheetViews>
    <sheetView showGridLines="0" rightToLeft="1" topLeftCell="AD1" zoomScale="70" zoomScaleNormal="70" workbookViewId="0">
      <selection activeCell="AF9" sqref="AF9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6.832031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8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964</v>
      </c>
      <c r="N2" s="8" t="s">
        <v>150</v>
      </c>
      <c r="O2" s="8"/>
      <c r="P2" s="8" t="s">
        <v>4155</v>
      </c>
      <c r="Q2" s="8"/>
      <c r="R2" s="8"/>
      <c r="S2" s="8"/>
      <c r="T2" s="8"/>
      <c r="U2" s="8"/>
      <c r="V2" s="8"/>
      <c r="W2" s="8" t="s">
        <v>964</v>
      </c>
      <c r="X2" s="8">
        <v>38.42</v>
      </c>
      <c r="Y2" s="8">
        <v>3.51</v>
      </c>
      <c r="Z2" s="9">
        <v>5.35</v>
      </c>
      <c r="AA2" s="8">
        <v>3129.9</v>
      </c>
      <c r="AB2" s="8">
        <v>213</v>
      </c>
      <c r="AC2" s="21" t="s">
        <v>964</v>
      </c>
      <c r="AD2" s="8" t="s">
        <v>4634</v>
      </c>
      <c r="AE2" s="8" t="s">
        <v>4003</v>
      </c>
      <c r="AF2" s="9">
        <f t="shared" ref="AF2:AF8" si="0">(AA2*Y2)</f>
        <v>10985.949000000001</v>
      </c>
      <c r="AG2" s="9">
        <f t="shared" ref="AG2:AG8" si="1">((((RIGHT(Z2,2))/60)+(LEFT(Z2,2)))*AA2)</f>
        <v>17475.274999999998</v>
      </c>
      <c r="AH2" s="9">
        <f t="shared" ref="AH2:AH8" si="2">(AA2/$AA$9)*100</f>
        <v>83.990339460619893</v>
      </c>
      <c r="AI2" s="9">
        <f t="shared" ref="AI2:AI8" si="3">(AH2*AH2)</f>
        <v>7054.3771227101633</v>
      </c>
      <c r="AJ2" s="9">
        <f t="shared" ref="AJ2:AJ8" si="4">(AF2/$AF$9)*100</f>
        <v>86.89162627695336</v>
      </c>
      <c r="AK2" s="9">
        <f t="shared" ref="AK2:AK8" si="5">(AJ2*AJ2)</f>
        <v>7550.1547170537315</v>
      </c>
      <c r="AL2" s="9">
        <f t="shared" ref="AL2:AL8" si="6">(AG2/$AG$9)*100</f>
        <v>94.208990366682585</v>
      </c>
      <c r="AM2" s="9">
        <f t="shared" ref="AM2:AM8" si="7">(AL2*AL2)</f>
        <v>8875.3338659096917</v>
      </c>
      <c r="AN2" s="8" t="s">
        <v>964</v>
      </c>
    </row>
    <row r="3" spans="8:40" ht="23">
      <c r="M3" s="8" t="s">
        <v>4487</v>
      </c>
      <c r="N3" s="8" t="s">
        <v>150</v>
      </c>
      <c r="O3" s="8"/>
      <c r="P3" s="8" t="s">
        <v>3693</v>
      </c>
      <c r="Q3" s="8"/>
      <c r="R3" s="8"/>
      <c r="S3" s="8"/>
      <c r="T3" s="8"/>
      <c r="U3" s="8"/>
      <c r="V3" s="8"/>
      <c r="W3" s="8" t="s">
        <v>4487</v>
      </c>
      <c r="X3" s="8">
        <v>13.28</v>
      </c>
      <c r="Y3" s="8">
        <v>3.78</v>
      </c>
      <c r="Z3" s="9">
        <v>3.14</v>
      </c>
      <c r="AA3" s="8">
        <v>255.3</v>
      </c>
      <c r="AB3" s="8">
        <v>2364</v>
      </c>
      <c r="AC3" s="21" t="s">
        <v>4487</v>
      </c>
      <c r="AD3" s="8" t="s">
        <v>4634</v>
      </c>
      <c r="AE3" s="8" t="s">
        <v>4003</v>
      </c>
      <c r="AF3" s="9">
        <f t="shared" si="0"/>
        <v>965.03399999999999</v>
      </c>
      <c r="AG3" s="9">
        <f t="shared" si="1"/>
        <v>825.47</v>
      </c>
      <c r="AH3" s="9">
        <f t="shared" si="2"/>
        <v>6.850932510398497</v>
      </c>
      <c r="AI3" s="9">
        <f t="shared" si="3"/>
        <v>46.935276262035053</v>
      </c>
      <c r="AJ3" s="9">
        <f t="shared" si="4"/>
        <v>7.6327838107161625</v>
      </c>
      <c r="AK3" s="9">
        <f t="shared" si="5"/>
        <v>58.259388701130746</v>
      </c>
      <c r="AL3" s="9">
        <f t="shared" si="6"/>
        <v>4.4500985122114232</v>
      </c>
      <c r="AM3" s="9">
        <f t="shared" si="7"/>
        <v>19.803376768386322</v>
      </c>
      <c r="AN3" s="8" t="s">
        <v>4487</v>
      </c>
    </row>
    <row r="4" spans="8:40" ht="23">
      <c r="M4" s="8" t="s">
        <v>5317</v>
      </c>
      <c r="N4" s="8" t="s">
        <v>150</v>
      </c>
      <c r="O4" s="8"/>
      <c r="P4" s="8" t="s">
        <v>3693</v>
      </c>
      <c r="Q4" s="8"/>
      <c r="R4" s="8"/>
      <c r="S4" s="8"/>
      <c r="T4" s="8"/>
      <c r="U4" s="8"/>
      <c r="V4" s="8"/>
      <c r="W4" s="8" t="s">
        <v>5317</v>
      </c>
      <c r="X4" s="8">
        <v>32.409999999999997</v>
      </c>
      <c r="Y4" s="8">
        <v>1.3</v>
      </c>
      <c r="Z4" s="9">
        <v>0.16</v>
      </c>
      <c r="AA4" s="8">
        <v>167.4</v>
      </c>
      <c r="AB4" s="8">
        <v>7015</v>
      </c>
      <c r="AC4" s="21" t="s">
        <v>5317</v>
      </c>
      <c r="AD4" s="8" t="s">
        <v>4634</v>
      </c>
      <c r="AE4" s="8" t="s">
        <v>4003</v>
      </c>
      <c r="AF4" s="9">
        <f t="shared" si="0"/>
        <v>217.62</v>
      </c>
      <c r="AG4" s="9">
        <f t="shared" si="1"/>
        <v>44.64</v>
      </c>
      <c r="AH4" s="9">
        <f t="shared" si="2"/>
        <v>4.4921508117536559</v>
      </c>
      <c r="AI4" s="9">
        <f t="shared" si="3"/>
        <v>20.179418915539031</v>
      </c>
      <c r="AJ4" s="9">
        <f t="shared" si="4"/>
        <v>1.7212309751656947</v>
      </c>
      <c r="AK4" s="9">
        <f t="shared" si="5"/>
        <v>2.9626360698698484</v>
      </c>
      <c r="AL4" s="9">
        <f t="shared" si="6"/>
        <v>0.24065368527640976</v>
      </c>
      <c r="AM4" s="9">
        <f t="shared" si="7"/>
        <v>5.7914196237117278E-2</v>
      </c>
      <c r="AN4" s="8" t="s">
        <v>5317</v>
      </c>
    </row>
    <row r="5" spans="8:40" ht="23">
      <c r="M5" s="8" t="s">
        <v>4488</v>
      </c>
      <c r="N5" s="8" t="s">
        <v>150</v>
      </c>
      <c r="O5" s="8"/>
      <c r="P5" s="8" t="s">
        <v>3692</v>
      </c>
      <c r="Q5" s="8"/>
      <c r="R5" s="8"/>
      <c r="S5" s="8"/>
      <c r="T5" s="8"/>
      <c r="U5" s="8"/>
      <c r="V5" s="8"/>
      <c r="W5" s="8" t="s">
        <v>4488</v>
      </c>
      <c r="X5" s="8">
        <v>21.91</v>
      </c>
      <c r="Y5" s="8">
        <v>2.44</v>
      </c>
      <c r="Z5" s="9">
        <v>1.02</v>
      </c>
      <c r="AA5" s="8">
        <v>136.1</v>
      </c>
      <c r="AB5" s="8">
        <v>3774</v>
      </c>
      <c r="AC5" s="21" t="s">
        <v>4488</v>
      </c>
      <c r="AD5" s="8" t="s">
        <v>4634</v>
      </c>
      <c r="AE5" s="8" t="s">
        <v>4003</v>
      </c>
      <c r="AF5" s="9">
        <f t="shared" si="0"/>
        <v>332.084</v>
      </c>
      <c r="AG5" s="9">
        <f t="shared" si="1"/>
        <v>140.63666666666668</v>
      </c>
      <c r="AH5" s="9">
        <f t="shared" si="2"/>
        <v>3.652220582315846</v>
      </c>
      <c r="AI5" s="9">
        <f t="shared" si="3"/>
        <v>13.338715181891498</v>
      </c>
      <c r="AJ5" s="9">
        <f t="shared" si="4"/>
        <v>2.6265658816143946</v>
      </c>
      <c r="AK5" s="9">
        <f t="shared" si="5"/>
        <v>6.8988483304608019</v>
      </c>
      <c r="AL5" s="9">
        <f t="shared" si="6"/>
        <v>0.75817052236387428</v>
      </c>
      <c r="AM5" s="9">
        <f t="shared" si="7"/>
        <v>0.57482254098150998</v>
      </c>
      <c r="AN5" s="8" t="s">
        <v>4488</v>
      </c>
    </row>
    <row r="6" spans="8:40" ht="23">
      <c r="M6" s="8" t="s">
        <v>1090</v>
      </c>
      <c r="N6" s="8" t="s">
        <v>150</v>
      </c>
      <c r="O6" s="8"/>
      <c r="P6" s="8" t="s">
        <v>3693</v>
      </c>
      <c r="Q6" s="8"/>
      <c r="R6" s="8"/>
      <c r="S6" s="8"/>
      <c r="T6" s="8"/>
      <c r="U6" s="8"/>
      <c r="V6" s="8"/>
      <c r="W6" s="8" t="s">
        <v>1090</v>
      </c>
      <c r="X6" s="8">
        <v>10.46</v>
      </c>
      <c r="Y6" s="8">
        <v>3.88</v>
      </c>
      <c r="Z6" s="9">
        <v>1.35</v>
      </c>
      <c r="AA6" s="8">
        <v>23.6</v>
      </c>
      <c r="AB6" s="8">
        <v>9453</v>
      </c>
      <c r="AC6" s="21" t="s">
        <v>1090</v>
      </c>
      <c r="AD6" s="8" t="s">
        <v>4634</v>
      </c>
      <c r="AE6" s="8" t="s">
        <v>4003</v>
      </c>
      <c r="AF6" s="9">
        <f t="shared" si="0"/>
        <v>91.567999999999998</v>
      </c>
      <c r="AG6" s="9">
        <f t="shared" si="1"/>
        <v>37.366666666666674</v>
      </c>
      <c r="AH6" s="9">
        <f t="shared" si="2"/>
        <v>0.63330202602978669</v>
      </c>
      <c r="AI6" s="9">
        <f t="shared" si="3"/>
        <v>0.40107145617343259</v>
      </c>
      <c r="AJ6" s="9">
        <f t="shared" si="4"/>
        <v>0.72424261526501399</v>
      </c>
      <c r="AK6" s="9">
        <f t="shared" si="5"/>
        <v>0.52452736576590708</v>
      </c>
      <c r="AL6" s="9">
        <f t="shared" si="6"/>
        <v>0.20144323565924088</v>
      </c>
      <c r="AM6" s="9">
        <f t="shared" si="7"/>
        <v>4.057937719286446E-2</v>
      </c>
      <c r="AN6" s="8" t="s">
        <v>1090</v>
      </c>
    </row>
    <row r="7" spans="8:40" ht="23">
      <c r="M7" s="8" t="s">
        <v>1079</v>
      </c>
      <c r="N7" s="8" t="s">
        <v>150</v>
      </c>
      <c r="O7" s="8"/>
      <c r="P7" s="8" t="s">
        <v>4013</v>
      </c>
      <c r="Q7" s="8"/>
      <c r="R7" s="8"/>
      <c r="S7" s="8"/>
      <c r="T7" s="8"/>
      <c r="U7" s="8"/>
      <c r="V7" s="8"/>
      <c r="W7" s="8" t="s">
        <v>1079</v>
      </c>
      <c r="X7" s="8">
        <v>10.68</v>
      </c>
      <c r="Y7" s="8">
        <v>3.73</v>
      </c>
      <c r="Z7" s="9">
        <v>2.4</v>
      </c>
      <c r="AA7" s="8">
        <v>13</v>
      </c>
      <c r="AB7" s="8">
        <v>13459</v>
      </c>
      <c r="AC7" s="21" t="s">
        <v>1079</v>
      </c>
      <c r="AD7" s="8" t="s">
        <v>4634</v>
      </c>
      <c r="AE7" s="8" t="s">
        <v>4003</v>
      </c>
      <c r="AF7" s="9">
        <f t="shared" si="0"/>
        <v>48.49</v>
      </c>
      <c r="AG7" s="9">
        <f t="shared" si="1"/>
        <v>26.08666666666667</v>
      </c>
      <c r="AH7" s="9">
        <f t="shared" si="2"/>
        <v>0.34885281094861131</v>
      </c>
      <c r="AI7" s="9">
        <f t="shared" si="3"/>
        <v>0.12169828370674754</v>
      </c>
      <c r="AJ7" s="9">
        <f t="shared" si="4"/>
        <v>0.38352398670059984</v>
      </c>
      <c r="AK7" s="9">
        <f t="shared" si="5"/>
        <v>0.14709064837472188</v>
      </c>
      <c r="AL7" s="9">
        <f t="shared" si="6"/>
        <v>0.14063289583133085</v>
      </c>
      <c r="AM7" s="9">
        <f t="shared" si="7"/>
        <v>1.9777611389905952E-2</v>
      </c>
      <c r="AN7" s="8" t="s">
        <v>1079</v>
      </c>
    </row>
    <row r="8" spans="8:40" ht="23">
      <c r="M8" s="8" t="s">
        <v>4763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4763</v>
      </c>
      <c r="X8" s="8">
        <v>55.43</v>
      </c>
      <c r="Y8" s="8">
        <v>2.11</v>
      </c>
      <c r="Z8" s="9">
        <v>0.1</v>
      </c>
      <c r="AA8" s="8">
        <v>1.2</v>
      </c>
      <c r="AB8" s="8">
        <v>89330</v>
      </c>
      <c r="AC8" s="21" t="s">
        <v>4763</v>
      </c>
      <c r="AD8" s="8" t="s">
        <v>4634</v>
      </c>
      <c r="AE8" s="8" t="s">
        <v>4003</v>
      </c>
      <c r="AF8" s="9">
        <f t="shared" si="0"/>
        <v>2.5319999999999996</v>
      </c>
      <c r="AG8" s="9">
        <f t="shared" si="1"/>
        <v>2E-3</v>
      </c>
      <c r="AH8" s="9">
        <f t="shared" si="2"/>
        <v>3.2201797933717968E-2</v>
      </c>
      <c r="AI8" s="9">
        <f t="shared" si="3"/>
        <v>1.0369557901640028E-3</v>
      </c>
      <c r="AJ8" s="9">
        <f t="shared" si="4"/>
        <v>2.002645358477869E-2</v>
      </c>
      <c r="AK8" s="9">
        <f t="shared" si="5"/>
        <v>4.0105884318329525E-4</v>
      </c>
      <c r="AL8" s="9">
        <f t="shared" si="6"/>
        <v>1.0781975146792552E-5</v>
      </c>
      <c r="AM8" s="9">
        <f t="shared" si="7"/>
        <v>1.1625098806605229E-10</v>
      </c>
      <c r="AN8" s="8" t="s">
        <v>4763</v>
      </c>
    </row>
    <row r="9" spans="8:40" ht="18"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9"/>
      <c r="AA9" s="48">
        <f>SUBTOTAL(109,Table13677[ترافیک کل])</f>
        <v>3726.5</v>
      </c>
      <c r="AB9" s="48"/>
      <c r="AC9" s="48"/>
      <c r="AD9" s="48"/>
      <c r="AE9" s="48"/>
      <c r="AF9" s="49">
        <f>SUBTOTAL(109,Table13677[[مجموع صفحات  مشاهده شده   ]])</f>
        <v>12643.277</v>
      </c>
      <c r="AG9" s="49">
        <f>SUBTOTAL(109,Table13677[[مجموع زمان حضور در سایت ]])</f>
        <v>18549.476999999995</v>
      </c>
      <c r="AH9" s="49">
        <f>SUBTOTAL(109,Table13677[سهم سایت از کل ترافیک طبقه بندی])</f>
        <v>100.00000000000001</v>
      </c>
      <c r="AI9" s="49">
        <f>SUBTOTAL(109,Table13677[شاخص هرفیندال هیرشمن (ترافیک)])</f>
        <v>7135.3543397652993</v>
      </c>
      <c r="AJ9" s="49">
        <f>SUBTOTAL(109,Table13677[سهم سایت از کل صفحات مشاهده شده در طبقه بندی])</f>
        <v>100</v>
      </c>
      <c r="AK9" s="49">
        <f>SUBTOTAL(109,Table13677[شاخص هرفیندال -هیرشمن (صفحات مشاهده شده )])</f>
        <v>7618.9476092281766</v>
      </c>
      <c r="AL9" s="49">
        <f>SUBTOTAL(109,Table13677[سهم سایت از کل زمان حضور در طبقه بندی])</f>
        <v>100.00000000000001</v>
      </c>
      <c r="AM9" s="49">
        <f>SUBTOTAL(109,Table13677[شاخص هرفیندال هیرشمن (زمان حضور)])</f>
        <v>8895.8303364039948</v>
      </c>
      <c r="AN9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{78F4F82C-F9F8-4FF5-98AF-5E8CE2FB4E72}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{AC334563-BCB9-4B96-A353-0C0B9BC14F11}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{84CD849C-BC03-48D6-8EC1-350F90A11FD8}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{A8E7FE45-2EFE-4914-AB80-AA37B269CE3E}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{F0AF3C66-15AE-426F-9386-9695757413A2}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{7D3FFD9C-F982-4590-A356-DE77535FB2AE}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8F4F82C-F9F8-4FF5-98AF-5E8CE2FB4E7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C334563-BCB9-4B96-A353-0C0B9BC14F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4CD849C-BC03-48D6-8EC1-350F90A11F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8E7FE45-2EFE-4914-AB80-AA37B269CE3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0AF3C66-15AE-426F-9386-9695757413A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7D3FFD9C-F982-4590-A356-DE77535FB2A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7"/>
  <sheetViews>
    <sheetView showGridLines="0" rightToLeft="1" topLeftCell="Z1" zoomScale="70" zoomScaleNormal="70" workbookViewId="0">
      <selection activeCell="AC17" sqref="AC17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374</v>
      </c>
      <c r="N2" s="8" t="s">
        <v>150</v>
      </c>
      <c r="O2" s="8"/>
      <c r="P2" s="8" t="s">
        <v>3696</v>
      </c>
      <c r="Q2" s="8"/>
      <c r="R2" s="8"/>
      <c r="S2" s="8"/>
      <c r="T2" s="8"/>
      <c r="U2" s="8"/>
      <c r="V2" s="8"/>
      <c r="W2" s="8" t="s">
        <v>374</v>
      </c>
      <c r="X2" s="8">
        <v>40.1</v>
      </c>
      <c r="Y2" s="8">
        <v>2.79</v>
      </c>
      <c r="Z2" s="9">
        <v>3.03</v>
      </c>
      <c r="AA2" s="8">
        <v>2226.6</v>
      </c>
      <c r="AB2" s="8">
        <v>364</v>
      </c>
      <c r="AC2" s="21" t="s">
        <v>374</v>
      </c>
      <c r="AD2" s="8" t="s">
        <v>4635</v>
      </c>
      <c r="AE2" s="8" t="s">
        <v>4644</v>
      </c>
      <c r="AF2" s="9">
        <f t="shared" ref="AF2:AF16" si="0">(AA2*Y2)</f>
        <v>6212.2139999999999</v>
      </c>
      <c r="AG2" s="9">
        <f t="shared" ref="AG2:AG16" si="1">((((RIGHT(Z2,2))/60)+(LEFT(Z2,2)))*AA2)</f>
        <v>6791.1299999999992</v>
      </c>
      <c r="AH2" s="9">
        <f t="shared" ref="AH2:AH16" si="2">(AA2/$AA$17)*100</f>
        <v>42.043845238769606</v>
      </c>
      <c r="AI2" s="9">
        <f t="shared" ref="AI2:AI16" si="3">(AH2*AH2)</f>
        <v>1767.6849224616096</v>
      </c>
      <c r="AJ2" s="9">
        <f t="shared" ref="AJ2:AJ16" si="4">(AF2/$AF$17)*100</f>
        <v>32.644671159095509</v>
      </c>
      <c r="AK2" s="9">
        <f t="shared" ref="AK2:AK16" si="5">(AJ2*AJ2)</f>
        <v>1065.6745550854821</v>
      </c>
      <c r="AL2" s="9">
        <f t="shared" ref="AL2:AL16" si="6">(AG2/$AG$17)*100</f>
        <v>44.334683042135353</v>
      </c>
      <c r="AM2" s="9">
        <f t="shared" ref="AM2:AM16" si="7">(AL2*AL2)</f>
        <v>1965.564120446604</v>
      </c>
      <c r="AN2" s="8" t="s">
        <v>374</v>
      </c>
    </row>
    <row r="3" spans="8:40" ht="23">
      <c r="M3" s="8" t="s">
        <v>457</v>
      </c>
      <c r="N3" s="8" t="s">
        <v>150</v>
      </c>
      <c r="O3" s="8"/>
      <c r="P3" s="8" t="s">
        <v>3698</v>
      </c>
      <c r="Q3" s="8"/>
      <c r="R3" s="8"/>
      <c r="S3" s="8"/>
      <c r="T3" s="8"/>
      <c r="U3" s="8"/>
      <c r="V3" s="8"/>
      <c r="W3" s="8" t="s">
        <v>457</v>
      </c>
      <c r="X3" s="8">
        <v>36.049999999999997</v>
      </c>
      <c r="Y3" s="8">
        <v>6.11</v>
      </c>
      <c r="Z3" s="9">
        <v>5.01</v>
      </c>
      <c r="AA3" s="8">
        <v>1047</v>
      </c>
      <c r="AB3" s="8">
        <v>398</v>
      </c>
      <c r="AC3" s="21" t="s">
        <v>457</v>
      </c>
      <c r="AD3" s="8" t="s">
        <v>4635</v>
      </c>
      <c r="AE3" s="8" t="s">
        <v>4644</v>
      </c>
      <c r="AF3" s="9">
        <f t="shared" si="0"/>
        <v>6397.17</v>
      </c>
      <c r="AG3" s="9">
        <f t="shared" si="1"/>
        <v>5252.45</v>
      </c>
      <c r="AH3" s="9">
        <f t="shared" si="2"/>
        <v>19.770010763043107</v>
      </c>
      <c r="AI3" s="9">
        <f t="shared" si="3"/>
        <v>390.8533255708403</v>
      </c>
      <c r="AJ3" s="9">
        <f t="shared" si="4"/>
        <v>33.616599653333104</v>
      </c>
      <c r="AK3" s="9">
        <f t="shared" si="5"/>
        <v>1130.0757722524754</v>
      </c>
      <c r="AL3" s="9">
        <f t="shared" si="6"/>
        <v>34.289684624600596</v>
      </c>
      <c r="AM3" s="9">
        <f t="shared" si="7"/>
        <v>1175.7824716545706</v>
      </c>
      <c r="AN3" s="8" t="s">
        <v>457</v>
      </c>
    </row>
    <row r="4" spans="8:40" ht="23">
      <c r="M4" s="9" t="s">
        <v>3022</v>
      </c>
      <c r="N4" s="8" t="s">
        <v>1814</v>
      </c>
      <c r="O4" s="8"/>
      <c r="P4" s="8" t="s">
        <v>4073</v>
      </c>
      <c r="Q4" s="8"/>
      <c r="R4" s="8"/>
      <c r="S4" s="8"/>
      <c r="T4" s="8"/>
      <c r="U4" s="8"/>
      <c r="V4" s="8"/>
      <c r="W4" s="9" t="s">
        <v>3022</v>
      </c>
      <c r="X4" s="8">
        <v>21.04</v>
      </c>
      <c r="Y4" s="8">
        <v>2.67</v>
      </c>
      <c r="Z4" s="9">
        <v>2.15</v>
      </c>
      <c r="AA4" s="8">
        <v>422.2</v>
      </c>
      <c r="AB4" s="8">
        <v>2050</v>
      </c>
      <c r="AC4" s="22" t="s">
        <v>3022</v>
      </c>
      <c r="AD4" s="8" t="s">
        <v>4635</v>
      </c>
      <c r="AE4" s="8" t="s">
        <v>4644</v>
      </c>
      <c r="AF4" s="9">
        <f t="shared" si="0"/>
        <v>1127.2739999999999</v>
      </c>
      <c r="AG4" s="9">
        <f t="shared" si="1"/>
        <v>949.94999999999993</v>
      </c>
      <c r="AH4" s="9">
        <f t="shared" si="2"/>
        <v>7.9722049132347648</v>
      </c>
      <c r="AI4" s="9">
        <f t="shared" si="3"/>
        <v>63.55605117860452</v>
      </c>
      <c r="AJ4" s="9">
        <f t="shared" si="4"/>
        <v>5.9237317059905257</v>
      </c>
      <c r="AK4" s="9">
        <f t="shared" si="5"/>
        <v>35.090597324557422</v>
      </c>
      <c r="AL4" s="9">
        <f t="shared" si="6"/>
        <v>6.2015794360992178</v>
      </c>
      <c r="AM4" s="9">
        <f t="shared" si="7"/>
        <v>38.459587502248695</v>
      </c>
      <c r="AN4" s="9" t="s">
        <v>3022</v>
      </c>
    </row>
    <row r="5" spans="8:40" ht="23">
      <c r="M5" s="9" t="s">
        <v>3142</v>
      </c>
      <c r="N5" s="8" t="s">
        <v>1869</v>
      </c>
      <c r="O5" s="8"/>
      <c r="P5" s="8" t="s">
        <v>3693</v>
      </c>
      <c r="Q5" s="8"/>
      <c r="R5" s="8"/>
      <c r="S5" s="8"/>
      <c r="T5" s="8"/>
      <c r="U5" s="8"/>
      <c r="V5" s="8"/>
      <c r="W5" s="9" t="s">
        <v>3142</v>
      </c>
      <c r="X5" s="8">
        <v>35.36</v>
      </c>
      <c r="Y5" s="8">
        <v>4.57</v>
      </c>
      <c r="Z5" s="9">
        <v>1.39</v>
      </c>
      <c r="AA5" s="8">
        <v>298.60000000000002</v>
      </c>
      <c r="AB5" s="8">
        <v>4303</v>
      </c>
      <c r="AC5" s="22" t="s">
        <v>3142</v>
      </c>
      <c r="AD5" s="8" t="s">
        <v>4635</v>
      </c>
      <c r="AE5" s="8" t="s">
        <v>4644</v>
      </c>
      <c r="AF5" s="9">
        <f t="shared" si="0"/>
        <v>1364.6020000000001</v>
      </c>
      <c r="AG5" s="9">
        <f t="shared" si="1"/>
        <v>492.69</v>
      </c>
      <c r="AH5" s="9">
        <f t="shared" si="2"/>
        <v>5.6383239864801071</v>
      </c>
      <c r="AI5" s="9">
        <f t="shared" si="3"/>
        <v>31.790697376516928</v>
      </c>
      <c r="AJ5" s="9">
        <f t="shared" si="4"/>
        <v>7.1708707319232818</v>
      </c>
      <c r="AK5" s="9">
        <f t="shared" si="5"/>
        <v>51.421387053953943</v>
      </c>
      <c r="AL5" s="9">
        <f t="shared" si="6"/>
        <v>3.2164389413882035</v>
      </c>
      <c r="AM5" s="9">
        <f t="shared" si="7"/>
        <v>10.345479463678467</v>
      </c>
      <c r="AN5" s="9" t="s">
        <v>3142</v>
      </c>
    </row>
    <row r="6" spans="8:40" ht="23">
      <c r="M6" s="8" t="s">
        <v>1146</v>
      </c>
      <c r="N6" s="8" t="s">
        <v>150</v>
      </c>
      <c r="O6" s="8"/>
      <c r="P6" s="8" t="s">
        <v>3715</v>
      </c>
      <c r="Q6" s="8"/>
      <c r="R6" s="8"/>
      <c r="S6" s="8"/>
      <c r="T6" s="8"/>
      <c r="U6" s="8"/>
      <c r="V6" s="8"/>
      <c r="W6" s="8" t="s">
        <v>1146</v>
      </c>
      <c r="X6" s="8">
        <v>19.53</v>
      </c>
      <c r="Y6" s="8">
        <v>4.2</v>
      </c>
      <c r="Z6" s="9">
        <v>2.57</v>
      </c>
      <c r="AA6" s="8">
        <v>255.8</v>
      </c>
      <c r="AB6" s="8">
        <v>1241</v>
      </c>
      <c r="AC6" s="21" t="s">
        <v>1146</v>
      </c>
      <c r="AD6" s="8" t="s">
        <v>4635</v>
      </c>
      <c r="AE6" s="8" t="s">
        <v>4644</v>
      </c>
      <c r="AF6" s="9">
        <f t="shared" si="0"/>
        <v>1074.3600000000001</v>
      </c>
      <c r="AG6" s="9">
        <f t="shared" si="1"/>
        <v>754.61000000000013</v>
      </c>
      <c r="AH6" s="9">
        <f t="shared" si="2"/>
        <v>4.8301516267301112</v>
      </c>
      <c r="AI6" s="9">
        <f t="shared" si="3"/>
        <v>23.330364737203539</v>
      </c>
      <c r="AJ6" s="9">
        <f t="shared" si="4"/>
        <v>5.645673009089168</v>
      </c>
      <c r="AK6" s="9">
        <f t="shared" si="5"/>
        <v>31.873623725557941</v>
      </c>
      <c r="AL6" s="9">
        <f t="shared" si="6"/>
        <v>4.926337026448584</v>
      </c>
      <c r="AM6" s="9">
        <f t="shared" si="7"/>
        <v>24.268796498158277</v>
      </c>
      <c r="AN6" s="8" t="s">
        <v>1146</v>
      </c>
    </row>
    <row r="7" spans="8:40" ht="23">
      <c r="M7" s="9" t="s">
        <v>2695</v>
      </c>
      <c r="N7" s="8" t="s">
        <v>1614</v>
      </c>
      <c r="O7" s="8"/>
      <c r="P7" s="8" t="s">
        <v>3691</v>
      </c>
      <c r="Q7" s="8"/>
      <c r="R7" s="8"/>
      <c r="S7" s="8"/>
      <c r="T7" s="8"/>
      <c r="U7" s="8"/>
      <c r="V7" s="8"/>
      <c r="W7" s="9" t="s">
        <v>2695</v>
      </c>
      <c r="X7" s="8">
        <v>53.27</v>
      </c>
      <c r="Y7" s="8">
        <v>1.84</v>
      </c>
      <c r="Z7" s="9">
        <v>0.56000000000000005</v>
      </c>
      <c r="AA7" s="8">
        <v>220.8</v>
      </c>
      <c r="AB7" s="8">
        <v>7197</v>
      </c>
      <c r="AC7" s="22" t="s">
        <v>2695</v>
      </c>
      <c r="AD7" s="8" t="s">
        <v>4635</v>
      </c>
      <c r="AE7" s="8" t="s">
        <v>4644</v>
      </c>
      <c r="AF7" s="9">
        <f t="shared" si="0"/>
        <v>406.27200000000005</v>
      </c>
      <c r="AG7" s="9">
        <f t="shared" si="1"/>
        <v>206.08</v>
      </c>
      <c r="AH7" s="9">
        <f t="shared" si="2"/>
        <v>4.169263014785022</v>
      </c>
      <c r="AI7" s="9">
        <f t="shared" si="3"/>
        <v>17.382754086454291</v>
      </c>
      <c r="AJ7" s="9">
        <f t="shared" si="4"/>
        <v>2.1349257834884718</v>
      </c>
      <c r="AK7" s="9">
        <f t="shared" si="5"/>
        <v>4.5579081010038651</v>
      </c>
      <c r="AL7" s="9">
        <f t="shared" si="6"/>
        <v>1.3453565873902067</v>
      </c>
      <c r="AM7" s="9">
        <f t="shared" si="7"/>
        <v>1.809984347234223</v>
      </c>
      <c r="AN7" s="9" t="s">
        <v>2695</v>
      </c>
    </row>
    <row r="8" spans="8:40" ht="23">
      <c r="M8" s="8" t="s">
        <v>4490</v>
      </c>
      <c r="N8" s="8" t="s">
        <v>150</v>
      </c>
      <c r="O8" s="8"/>
      <c r="P8" s="8" t="s">
        <v>3691</v>
      </c>
      <c r="Q8" s="8"/>
      <c r="R8" s="8"/>
      <c r="S8" s="8"/>
      <c r="T8" s="8"/>
      <c r="U8" s="8"/>
      <c r="V8" s="8"/>
      <c r="W8" s="8" t="s">
        <v>4490</v>
      </c>
      <c r="X8" s="8">
        <v>14.49</v>
      </c>
      <c r="Y8" s="8">
        <v>4.38</v>
      </c>
      <c r="Z8" s="9">
        <v>3.16</v>
      </c>
      <c r="AA8" s="8">
        <v>190.3</v>
      </c>
      <c r="AB8" s="8">
        <v>3737</v>
      </c>
      <c r="AC8" s="21" t="s">
        <v>4490</v>
      </c>
      <c r="AD8" s="8" t="s">
        <v>4635</v>
      </c>
      <c r="AE8" s="8" t="s">
        <v>4644</v>
      </c>
      <c r="AF8" s="9">
        <f t="shared" si="0"/>
        <v>833.51400000000001</v>
      </c>
      <c r="AG8" s="9">
        <f t="shared" si="1"/>
        <v>621.64666666666665</v>
      </c>
      <c r="AH8" s="9">
        <f t="shared" si="2"/>
        <v>3.5933457958043014</v>
      </c>
      <c r="AI8" s="9">
        <f t="shared" si="3"/>
        <v>12.912134008224449</v>
      </c>
      <c r="AJ8" s="9">
        <f t="shared" si="4"/>
        <v>4.380047183902926</v>
      </c>
      <c r="AK8" s="9">
        <f t="shared" si="5"/>
        <v>19.184813333215953</v>
      </c>
      <c r="AL8" s="9">
        <f t="shared" si="6"/>
        <v>4.0583095789458659</v>
      </c>
      <c r="AM8" s="9">
        <f t="shared" si="7"/>
        <v>16.469876638563772</v>
      </c>
      <c r="AN8" s="8" t="s">
        <v>4490</v>
      </c>
    </row>
    <row r="9" spans="8:40" ht="23">
      <c r="M9" s="9" t="s">
        <v>3288</v>
      </c>
      <c r="N9" s="8" t="s">
        <v>1939</v>
      </c>
      <c r="O9" s="8"/>
      <c r="P9" s="8" t="s">
        <v>4764</v>
      </c>
      <c r="Q9" s="8"/>
      <c r="R9" s="8"/>
      <c r="S9" s="8"/>
      <c r="T9" s="8"/>
      <c r="U9" s="8"/>
      <c r="V9" s="8"/>
      <c r="W9" s="9" t="s">
        <v>3288</v>
      </c>
      <c r="X9" s="8">
        <v>0.69</v>
      </c>
      <c r="Y9" s="8">
        <v>2.61</v>
      </c>
      <c r="Z9" s="9">
        <v>0.34</v>
      </c>
      <c r="AA9" s="8">
        <v>141.30000000000001</v>
      </c>
      <c r="AB9" s="8">
        <v>14280</v>
      </c>
      <c r="AC9" s="22" t="s">
        <v>3288</v>
      </c>
      <c r="AD9" s="8" t="s">
        <v>4635</v>
      </c>
      <c r="AE9" s="8" t="s">
        <v>4644</v>
      </c>
      <c r="AF9" s="9">
        <f t="shared" si="0"/>
        <v>368.79300000000001</v>
      </c>
      <c r="AG9" s="9">
        <f t="shared" si="1"/>
        <v>80.070000000000007</v>
      </c>
      <c r="AH9" s="9">
        <f t="shared" si="2"/>
        <v>2.6681017390811759</v>
      </c>
      <c r="AI9" s="9">
        <f t="shared" si="3"/>
        <v>7.1187668900879952</v>
      </c>
      <c r="AJ9" s="9">
        <f t="shared" si="4"/>
        <v>1.9379767359553792</v>
      </c>
      <c r="AK9" s="9">
        <f t="shared" si="5"/>
        <v>3.7557538291042656</v>
      </c>
      <c r="AL9" s="9">
        <f t="shared" si="6"/>
        <v>0.52272273851093676</v>
      </c>
      <c r="AM9" s="9">
        <f t="shared" si="7"/>
        <v>0.27323906135637316</v>
      </c>
      <c r="AN9" s="9" t="s">
        <v>3288</v>
      </c>
    </row>
    <row r="10" spans="8:40" ht="23">
      <c r="M10" s="8" t="s">
        <v>282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8" t="s">
        <v>282</v>
      </c>
      <c r="X10" s="8">
        <v>1.99</v>
      </c>
      <c r="Y10" s="8">
        <v>3.22</v>
      </c>
      <c r="Z10" s="9">
        <v>0.05</v>
      </c>
      <c r="AA10" s="8">
        <v>125.1</v>
      </c>
      <c r="AB10" s="8">
        <v>26198</v>
      </c>
      <c r="AC10" s="21" t="s">
        <v>282</v>
      </c>
      <c r="AD10" s="8" t="s">
        <v>4635</v>
      </c>
      <c r="AE10" s="8" t="s">
        <v>4644</v>
      </c>
      <c r="AF10" s="9">
        <f t="shared" si="0"/>
        <v>402.822</v>
      </c>
      <c r="AG10" s="9">
        <f t="shared" si="1"/>
        <v>10.424999999999999</v>
      </c>
      <c r="AH10" s="9">
        <f t="shared" si="2"/>
        <v>2.3622047244094486</v>
      </c>
      <c r="AI10" s="9">
        <f t="shared" si="3"/>
        <v>5.5800111600223188</v>
      </c>
      <c r="AJ10" s="9">
        <f t="shared" si="4"/>
        <v>2.1167963186150978</v>
      </c>
      <c r="AK10" s="9">
        <f t="shared" si="5"/>
        <v>4.4808266545024305</v>
      </c>
      <c r="AL10" s="9">
        <f t="shared" si="6"/>
        <v>6.8057756325421701E-2</v>
      </c>
      <c r="AM10" s="9">
        <f t="shared" si="7"/>
        <v>4.6318581960504779E-3</v>
      </c>
      <c r="AN10" s="8" t="s">
        <v>282</v>
      </c>
    </row>
    <row r="11" spans="8:40" ht="23">
      <c r="M11" s="8" t="s">
        <v>4489</v>
      </c>
      <c r="N11" s="8" t="s">
        <v>1717</v>
      </c>
      <c r="O11" s="8"/>
      <c r="P11" s="8" t="s">
        <v>4004</v>
      </c>
      <c r="Q11" s="8"/>
      <c r="R11" s="8"/>
      <c r="S11" s="8"/>
      <c r="T11" s="8"/>
      <c r="U11" s="8"/>
      <c r="V11" s="8"/>
      <c r="W11" s="8" t="s">
        <v>4489</v>
      </c>
      <c r="X11" s="8">
        <v>23.18</v>
      </c>
      <c r="Y11" s="8">
        <v>3.27</v>
      </c>
      <c r="Z11" s="9">
        <v>0.53</v>
      </c>
      <c r="AA11" s="8">
        <v>108.9</v>
      </c>
      <c r="AB11" s="8">
        <v>15365</v>
      </c>
      <c r="AC11" s="21" t="s">
        <v>4489</v>
      </c>
      <c r="AD11" s="8" t="s">
        <v>4635</v>
      </c>
      <c r="AE11" s="8" t="s">
        <v>4644</v>
      </c>
      <c r="AF11" s="9">
        <f t="shared" si="0"/>
        <v>356.10300000000001</v>
      </c>
      <c r="AG11" s="9">
        <f t="shared" si="1"/>
        <v>96.195000000000007</v>
      </c>
      <c r="AH11" s="9">
        <f t="shared" si="2"/>
        <v>2.0563077097377218</v>
      </c>
      <c r="AI11" s="9">
        <f t="shared" si="3"/>
        <v>4.2284013971267944</v>
      </c>
      <c r="AJ11" s="9">
        <f t="shared" si="4"/>
        <v>1.8712918347254921</v>
      </c>
      <c r="AK11" s="9">
        <f t="shared" si="5"/>
        <v>3.5017331307102983</v>
      </c>
      <c r="AL11" s="9">
        <f t="shared" si="6"/>
        <v>0.62799192994953879</v>
      </c>
      <c r="AM11" s="9">
        <f t="shared" si="7"/>
        <v>0.39437386408174641</v>
      </c>
      <c r="AN11" s="8" t="s">
        <v>4489</v>
      </c>
    </row>
    <row r="12" spans="8:40" ht="23">
      <c r="M12" s="9" t="s">
        <v>3019</v>
      </c>
      <c r="N12" s="8" t="s">
        <v>1814</v>
      </c>
      <c r="O12" s="8"/>
      <c r="P12" s="8" t="s">
        <v>3694</v>
      </c>
      <c r="Q12" s="8"/>
      <c r="R12" s="8"/>
      <c r="S12" s="8"/>
      <c r="T12" s="8"/>
      <c r="U12" s="8"/>
      <c r="V12" s="8"/>
      <c r="W12" s="9" t="s">
        <v>3019</v>
      </c>
      <c r="X12" s="8">
        <v>25.68</v>
      </c>
      <c r="Y12" s="8">
        <v>1.79</v>
      </c>
      <c r="Z12" s="9">
        <v>0.26</v>
      </c>
      <c r="AA12" s="8">
        <v>105.2</v>
      </c>
      <c r="AB12" s="8">
        <v>10839</v>
      </c>
      <c r="AC12" s="22" t="s">
        <v>3019</v>
      </c>
      <c r="AD12" s="8" t="s">
        <v>4635</v>
      </c>
      <c r="AE12" s="8" t="s">
        <v>4644</v>
      </c>
      <c r="AF12" s="9">
        <f t="shared" si="0"/>
        <v>188.30800000000002</v>
      </c>
      <c r="AG12" s="9">
        <f t="shared" si="1"/>
        <v>45.586666666666666</v>
      </c>
      <c r="AH12" s="9">
        <f t="shared" si="2"/>
        <v>1.9864423421892405</v>
      </c>
      <c r="AI12" s="9">
        <f t="shared" si="3"/>
        <v>3.9459531788422759</v>
      </c>
      <c r="AJ12" s="9">
        <f t="shared" si="4"/>
        <v>0.98954297721021178</v>
      </c>
      <c r="AK12" s="9">
        <f t="shared" si="5"/>
        <v>0.97919530374604968</v>
      </c>
      <c r="AL12" s="9">
        <f t="shared" si="6"/>
        <v>0.2976044366127793</v>
      </c>
      <c r="AM12" s="9">
        <f t="shared" si="7"/>
        <v>8.8568400691609775E-2</v>
      </c>
      <c r="AN12" s="9" t="s">
        <v>3019</v>
      </c>
    </row>
    <row r="13" spans="8:40" ht="23">
      <c r="M13" s="9" t="s">
        <v>2802</v>
      </c>
      <c r="N13" s="8" t="s">
        <v>1614</v>
      </c>
      <c r="O13" s="8"/>
      <c r="P13" s="8" t="s">
        <v>4667</v>
      </c>
      <c r="Q13" s="8"/>
      <c r="R13" s="8"/>
      <c r="S13" s="8"/>
      <c r="T13" s="8"/>
      <c r="U13" s="8"/>
      <c r="V13" s="8"/>
      <c r="W13" s="9" t="s">
        <v>2802</v>
      </c>
      <c r="X13" s="8">
        <v>33.11</v>
      </c>
      <c r="Y13" s="8">
        <v>1.79</v>
      </c>
      <c r="Z13" s="9">
        <v>0.4</v>
      </c>
      <c r="AA13" s="8">
        <v>84.3</v>
      </c>
      <c r="AB13" s="8">
        <v>10838</v>
      </c>
      <c r="AC13" s="22" t="s">
        <v>2802</v>
      </c>
      <c r="AD13" s="8" t="s">
        <v>4635</v>
      </c>
      <c r="AE13" s="8" t="s">
        <v>4644</v>
      </c>
      <c r="AF13" s="9">
        <f t="shared" si="0"/>
        <v>150.89699999999999</v>
      </c>
      <c r="AG13" s="9">
        <f t="shared" si="1"/>
        <v>0.56200000000000006</v>
      </c>
      <c r="AH13" s="9">
        <f t="shared" si="2"/>
        <v>1.5917974281991727</v>
      </c>
      <c r="AI13" s="9">
        <f t="shared" si="3"/>
        <v>2.5338190524215003</v>
      </c>
      <c r="AJ13" s="9">
        <f t="shared" si="4"/>
        <v>0.79295126405723226</v>
      </c>
      <c r="AK13" s="9">
        <f t="shared" si="5"/>
        <v>0.62877170716996245</v>
      </c>
      <c r="AL13" s="9">
        <f t="shared" si="6"/>
        <v>3.6689169357205756E-3</v>
      </c>
      <c r="AM13" s="9">
        <f t="shared" si="7"/>
        <v>1.3460951481217259E-5</v>
      </c>
      <c r="AN13" s="9" t="s">
        <v>2802</v>
      </c>
    </row>
    <row r="14" spans="8:40" ht="23">
      <c r="M14" s="24" t="s">
        <v>5193</v>
      </c>
      <c r="N14" s="8" t="s">
        <v>150</v>
      </c>
      <c r="O14" s="24"/>
      <c r="P14" s="24"/>
      <c r="Q14" s="24"/>
      <c r="R14" s="24"/>
      <c r="S14" s="24"/>
      <c r="T14" s="24"/>
      <c r="U14" s="24"/>
      <c r="V14" s="24"/>
      <c r="W14" s="24" t="s">
        <v>5193</v>
      </c>
      <c r="X14" s="24">
        <v>0.81</v>
      </c>
      <c r="Y14" s="24">
        <v>2.06</v>
      </c>
      <c r="Z14" s="25">
        <v>0.04</v>
      </c>
      <c r="AA14" s="24">
        <v>40.5</v>
      </c>
      <c r="AB14" s="24">
        <v>51758</v>
      </c>
      <c r="AC14" s="21" t="s">
        <v>5193</v>
      </c>
      <c r="AD14" s="8" t="s">
        <v>4635</v>
      </c>
      <c r="AE14" s="8" t="s">
        <v>4644</v>
      </c>
      <c r="AF14" s="25">
        <f t="shared" si="0"/>
        <v>83.43</v>
      </c>
      <c r="AG14" s="25">
        <f t="shared" si="1"/>
        <v>2.7</v>
      </c>
      <c r="AH14" s="9">
        <f t="shared" si="2"/>
        <v>0.76474253667931791</v>
      </c>
      <c r="AI14" s="25">
        <f t="shared" si="3"/>
        <v>0.58483114740671793</v>
      </c>
      <c r="AJ14" s="9">
        <f t="shared" si="4"/>
        <v>0.43841775489436435</v>
      </c>
      <c r="AK14" s="25">
        <f t="shared" si="5"/>
        <v>0.19221012780661495</v>
      </c>
      <c r="AL14" s="9">
        <f t="shared" si="6"/>
        <v>1.7626469264137995E-2</v>
      </c>
      <c r="AM14" s="25">
        <f t="shared" si="7"/>
        <v>3.1069241871960142E-4</v>
      </c>
      <c r="AN14" s="24" t="s">
        <v>5193</v>
      </c>
    </row>
    <row r="15" spans="8:40" ht="23">
      <c r="M15" s="9" t="s">
        <v>3527</v>
      </c>
      <c r="N15" s="8" t="s">
        <v>2041</v>
      </c>
      <c r="O15" s="8"/>
      <c r="P15" s="8" t="s">
        <v>3691</v>
      </c>
      <c r="Q15" s="8"/>
      <c r="R15" s="8"/>
      <c r="S15" s="8"/>
      <c r="T15" s="8"/>
      <c r="U15" s="8"/>
      <c r="V15" s="8"/>
      <c r="W15" s="9" t="s">
        <v>3527</v>
      </c>
      <c r="X15" s="8">
        <v>9.91</v>
      </c>
      <c r="Y15" s="8">
        <v>2.2400000000000002</v>
      </c>
      <c r="Z15" s="9">
        <v>0.28999999999999998</v>
      </c>
      <c r="AA15" s="8">
        <v>27.2</v>
      </c>
      <c r="AB15" s="8">
        <v>35088</v>
      </c>
      <c r="AC15" s="22" t="s">
        <v>3527</v>
      </c>
      <c r="AD15" s="8" t="s">
        <v>4635</v>
      </c>
      <c r="AE15" s="8" t="s">
        <v>4644</v>
      </c>
      <c r="AF15" s="9">
        <f t="shared" si="0"/>
        <v>60.928000000000004</v>
      </c>
      <c r="AG15" s="9">
        <f t="shared" si="1"/>
        <v>13.146666666666667</v>
      </c>
      <c r="AH15" s="9">
        <f t="shared" si="2"/>
        <v>0.5136048641401838</v>
      </c>
      <c r="AI15" s="9">
        <f t="shared" si="3"/>
        <v>0.26378995646845665</v>
      </c>
      <c r="AJ15" s="9">
        <f t="shared" si="4"/>
        <v>0.32017160458113186</v>
      </c>
      <c r="AK15" s="9">
        <f t="shared" si="5"/>
        <v>0.10250985638005666</v>
      </c>
      <c r="AL15" s="9">
        <f t="shared" si="6"/>
        <v>8.5825672565136124E-2</v>
      </c>
      <c r="AM15" s="9">
        <f t="shared" si="7"/>
        <v>7.3660460712579598E-3</v>
      </c>
      <c r="AN15" s="9" t="s">
        <v>3527</v>
      </c>
    </row>
    <row r="16" spans="8:40" ht="23">
      <c r="M16" s="9" t="s">
        <v>2811</v>
      </c>
      <c r="N16" s="8" t="s">
        <v>1614</v>
      </c>
      <c r="O16" s="8"/>
      <c r="P16" s="8" t="s">
        <v>3691</v>
      </c>
      <c r="Q16" s="8"/>
      <c r="R16" s="8"/>
      <c r="S16" s="8"/>
      <c r="T16" s="8"/>
      <c r="U16" s="8"/>
      <c r="V16" s="8"/>
      <c r="W16" s="9" t="s">
        <v>2811</v>
      </c>
      <c r="X16" s="8">
        <v>5.8</v>
      </c>
      <c r="Y16" s="8">
        <v>1.48</v>
      </c>
      <c r="Z16" s="9">
        <v>0.18</v>
      </c>
      <c r="AA16" s="8">
        <v>2.1</v>
      </c>
      <c r="AB16" s="8">
        <v>121621</v>
      </c>
      <c r="AC16" s="22" t="s">
        <v>2811</v>
      </c>
      <c r="AD16" s="8" t="s">
        <v>4635</v>
      </c>
      <c r="AE16" s="8" t="s">
        <v>4644</v>
      </c>
      <c r="AF16" s="9">
        <f t="shared" si="0"/>
        <v>3.1080000000000001</v>
      </c>
      <c r="AG16" s="9">
        <f t="shared" si="1"/>
        <v>0.63</v>
      </c>
      <c r="AH16" s="9">
        <f t="shared" si="2"/>
        <v>3.965331671670537E-2</v>
      </c>
      <c r="AI16" s="9">
        <f t="shared" si="3"/>
        <v>1.5723855266353455E-3</v>
      </c>
      <c r="AJ16" s="9">
        <f t="shared" si="4"/>
        <v>1.6332283138100017E-2</v>
      </c>
      <c r="AK16" s="9">
        <f t="shared" si="5"/>
        <v>2.6674347250306614E-4</v>
      </c>
      <c r="AL16" s="9">
        <f t="shared" si="6"/>
        <v>4.1128428282988664E-3</v>
      </c>
      <c r="AM16" s="9">
        <f t="shared" si="7"/>
        <v>1.6915476130289417E-5</v>
      </c>
      <c r="AN16" s="9" t="s">
        <v>2811</v>
      </c>
    </row>
    <row r="17" spans="13:40" ht="23"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9"/>
      <c r="AA17" s="8">
        <f>SUBTOTAL(109,Table1367799[ترافیک کل])</f>
        <v>5295.9000000000005</v>
      </c>
      <c r="AB17" s="8"/>
      <c r="AC17" s="21"/>
      <c r="AD17" s="8"/>
      <c r="AE17" s="8"/>
      <c r="AF17" s="9">
        <f>SUBTOTAL(109,Table1367799[[مجموع صفحات  مشاهده شده   ]])</f>
        <v>19029.795000000002</v>
      </c>
      <c r="AG17" s="9">
        <f>SUBTOTAL(109,Table1367799[[مجموع زمان حضور در سایت ]])</f>
        <v>15317.871999999999</v>
      </c>
      <c r="AH17" s="9">
        <f>SUBTOTAL(109,Table1367799[سهم سایت از کل ترافیک طبقه بندی])</f>
        <v>99.999999999999972</v>
      </c>
      <c r="AI17" s="9">
        <f>SUBTOTAL(109,Table1367799[شاخص هرفیندال هیرشمن (ترافیک)])</f>
        <v>2331.7673945873566</v>
      </c>
      <c r="AJ17" s="9">
        <f>SUBTOTAL(109,Table1367799[سهم سایت از کل صفحات مشاهده شده در طبقه بندی])</f>
        <v>100</v>
      </c>
      <c r="AK17" s="9">
        <f>SUBTOTAL(109,Table1367799[شاخص هرفیندال -هیرشمن (صفحات مشاهده شده )])</f>
        <v>2351.5199242291387</v>
      </c>
      <c r="AL17" s="9">
        <f>SUBTOTAL(109,Table1367799[سهم سایت از کل زمان حضور در طبقه بندی])</f>
        <v>100.00000000000001</v>
      </c>
      <c r="AM17" s="9">
        <f>SUBTOTAL(109,Table1367799[شاخص هرفیندال هیرشمن (زمان حضور)])</f>
        <v>3233.4688368503016</v>
      </c>
      <c r="AN17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{E3BB383C-4522-4E09-A3E2-181E2E46AA91}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{69C3A2B9-9127-44DF-AB26-1802AC6E3A8D}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{2529C17C-A39F-401C-88D0-8D322C27CD24}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{276B4827-997B-4E9C-AF78-ED3D12991C99}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{153E9DA7-4A33-4425-8436-816508088522}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{2F179630-5493-44E6-8320-918A61E3801A}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BB383C-4522-4E09-A3E2-181E2E46AA9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9C3A2B9-9127-44DF-AB26-1802AC6E3A8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529C17C-A39F-401C-88D0-8D322C27CD2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76B4827-997B-4E9C-AF78-ED3D12991C9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53E9DA7-4A33-4425-8436-8165080885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2F179630-5493-44E6-8320-918A61E3801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6"/>
  <sheetViews>
    <sheetView showGridLines="0" rightToLeft="1" topLeftCell="Z1" zoomScale="70" zoomScaleNormal="70" workbookViewId="0">
      <selection activeCell="AD2" sqref="AD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1537</v>
      </c>
      <c r="N2" s="8" t="s">
        <v>150</v>
      </c>
      <c r="O2" s="8"/>
      <c r="P2" s="8" t="s">
        <v>3693</v>
      </c>
      <c r="Q2" s="8"/>
      <c r="R2" s="8"/>
      <c r="S2" s="8"/>
      <c r="T2" s="8"/>
      <c r="U2" s="8"/>
      <c r="V2" s="8"/>
      <c r="W2" s="8" t="s">
        <v>1537</v>
      </c>
      <c r="X2" s="8">
        <v>47.75</v>
      </c>
      <c r="Y2" s="8">
        <v>2.7</v>
      </c>
      <c r="Z2" s="9">
        <v>2.57</v>
      </c>
      <c r="AA2" s="8">
        <v>747.8</v>
      </c>
      <c r="AB2" s="8">
        <v>492</v>
      </c>
      <c r="AC2" s="21" t="s">
        <v>1537</v>
      </c>
      <c r="AD2" s="8" t="s">
        <v>4636</v>
      </c>
      <c r="AE2" s="8" t="s">
        <v>4644</v>
      </c>
      <c r="AF2" s="9">
        <f>(AA2*Y2)</f>
        <v>2019.06</v>
      </c>
      <c r="AG2" s="9">
        <f>((((RIGHT(Z2,2))/60)+(LEFT(Z2,2)))*AA2)</f>
        <v>2206.0100000000002</v>
      </c>
      <c r="AH2" s="9">
        <f>(AA2/$AA$6)*100</f>
        <v>73.711187777230151</v>
      </c>
      <c r="AI2" s="9">
        <f>(AH2*AH2)</f>
        <v>5433.339203530084</v>
      </c>
      <c r="AJ2" s="9">
        <f>(AF2/$AF$6)*100</f>
        <v>79.997464246871417</v>
      </c>
      <c r="AK2" s="9">
        <f>(AJ2*AJ2)</f>
        <v>6399.594285929471</v>
      </c>
      <c r="AL2" s="9">
        <f>(AG2/$AG$6)*100</f>
        <v>79.852626841485787</v>
      </c>
      <c r="AM2" s="9">
        <f>(AL2*AL2)</f>
        <v>6376.4420134855764</v>
      </c>
      <c r="AN2" s="8" t="s">
        <v>1537</v>
      </c>
    </row>
    <row r="3" spans="8:40" ht="23">
      <c r="M3" s="9" t="s">
        <v>5197</v>
      </c>
      <c r="N3" s="8"/>
      <c r="O3" s="8"/>
      <c r="P3" s="8" t="s">
        <v>4229</v>
      </c>
      <c r="Q3" s="8"/>
      <c r="R3" s="8"/>
      <c r="S3" s="8"/>
      <c r="T3" s="8"/>
      <c r="U3" s="8"/>
      <c r="V3" s="8"/>
      <c r="W3" s="9" t="s">
        <v>5197</v>
      </c>
      <c r="X3" s="8">
        <v>31.69</v>
      </c>
      <c r="Y3" s="8">
        <v>2.12</v>
      </c>
      <c r="Z3" s="9">
        <v>3.16</v>
      </c>
      <c r="AA3" s="8">
        <v>155.6</v>
      </c>
      <c r="AB3" s="8">
        <v>8648</v>
      </c>
      <c r="AC3" s="22" t="s">
        <v>5197</v>
      </c>
      <c r="AD3" s="8" t="s">
        <v>4636</v>
      </c>
      <c r="AE3" s="8" t="s">
        <v>4644</v>
      </c>
      <c r="AF3" s="9">
        <f>(AA3*Y3)</f>
        <v>329.87200000000001</v>
      </c>
      <c r="AG3" s="9">
        <f>((((RIGHT(Z3,2))/60)+(LEFT(Z3,2)))*AA3)</f>
        <v>508.29333333333329</v>
      </c>
      <c r="AH3" s="9">
        <f>(AA3/$AA$6)*100</f>
        <v>15.337604731394775</v>
      </c>
      <c r="AI3" s="9">
        <f>(AH3*AH3)</f>
        <v>235.24211889650337</v>
      </c>
      <c r="AJ3" s="9">
        <f>(AF3/$AF$6)*100</f>
        <v>13.069905563006534</v>
      </c>
      <c r="AK3" s="9">
        <f>(AJ3*AJ3)</f>
        <v>170.82243142590914</v>
      </c>
      <c r="AL3" s="9">
        <f>(AG3/$AG$6)*100</f>
        <v>18.399081542097093</v>
      </c>
      <c r="AM3" s="9">
        <f>(AL3*AL3)</f>
        <v>338.52620159273795</v>
      </c>
      <c r="AN3" s="9" t="s">
        <v>5197</v>
      </c>
    </row>
    <row r="4" spans="8:40" ht="23">
      <c r="M4" s="8" t="s">
        <v>1468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1468</v>
      </c>
      <c r="X4" s="8">
        <v>22.74</v>
      </c>
      <c r="Y4" s="8">
        <v>1.43</v>
      </c>
      <c r="Z4" s="9">
        <v>0.13</v>
      </c>
      <c r="AA4" s="8">
        <v>101.9</v>
      </c>
      <c r="AB4" s="8">
        <v>10398</v>
      </c>
      <c r="AC4" s="21" t="s">
        <v>1468</v>
      </c>
      <c r="AD4" s="8" t="s">
        <v>4636</v>
      </c>
      <c r="AE4" s="8" t="s">
        <v>4644</v>
      </c>
      <c r="AF4" s="9">
        <f>(AA4*Y4)</f>
        <v>145.71700000000001</v>
      </c>
      <c r="AG4" s="9">
        <f>((((RIGHT(Z4,2))/60)+(LEFT(Z4,2)))*AA4)</f>
        <v>22.078333333333337</v>
      </c>
      <c r="AH4" s="9">
        <f>(AA4/$AA$6)*100</f>
        <v>10.044356826022671</v>
      </c>
      <c r="AI4" s="9">
        <f>(AH4*AH4)</f>
        <v>100.88910404846823</v>
      </c>
      <c r="AJ4" s="9">
        <f>(AF4/$AF$6)*100</f>
        <v>5.7734740412178756</v>
      </c>
      <c r="AK4" s="9">
        <f>(AJ4*AJ4)</f>
        <v>33.333002504616665</v>
      </c>
      <c r="AL4" s="9">
        <f>(AG4/$AG$6)*100</f>
        <v>0.79918627429096145</v>
      </c>
      <c r="AM4" s="9">
        <f>(AL4*AL4)</f>
        <v>0.63869870101506787</v>
      </c>
      <c r="AN4" s="8" t="s">
        <v>1468</v>
      </c>
    </row>
    <row r="5" spans="8:40" ht="23">
      <c r="M5" s="9" t="s">
        <v>2774</v>
      </c>
      <c r="N5" s="8" t="s">
        <v>1614</v>
      </c>
      <c r="O5" s="8"/>
      <c r="P5" s="8" t="s">
        <v>3694</v>
      </c>
      <c r="Q5" s="8"/>
      <c r="R5" s="8"/>
      <c r="S5" s="8"/>
      <c r="T5" s="8"/>
      <c r="U5" s="8"/>
      <c r="V5" s="8"/>
      <c r="W5" s="9" t="s">
        <v>2774</v>
      </c>
      <c r="X5" s="8">
        <v>36.31</v>
      </c>
      <c r="Y5" s="8">
        <v>3.18</v>
      </c>
      <c r="Z5" s="9">
        <v>2.5099999999999998</v>
      </c>
      <c r="AA5" s="8">
        <v>9.1999999999999993</v>
      </c>
      <c r="AB5" s="8">
        <v>11991</v>
      </c>
      <c r="AC5" s="22" t="s">
        <v>2774</v>
      </c>
      <c r="AD5" s="8" t="s">
        <v>4636</v>
      </c>
      <c r="AE5" s="8" t="s">
        <v>4644</v>
      </c>
      <c r="AF5" s="9">
        <f>(AA5*Y5)</f>
        <v>29.256</v>
      </c>
      <c r="AG5" s="9">
        <f>((((RIGHT(Z5,2))/60)+(LEFT(Z5,2)))*AA5)</f>
        <v>26.22</v>
      </c>
      <c r="AH5" s="9">
        <f>(AA5/$AA$6)*100</f>
        <v>0.90685066535239023</v>
      </c>
      <c r="AI5" s="9">
        <f>(AH5*AH5)</f>
        <v>0.82237812925007281</v>
      </c>
      <c r="AJ5" s="9">
        <f>(AF5/$AF$6)*100</f>
        <v>1.1591561489041784</v>
      </c>
      <c r="AK5" s="9">
        <f>(AJ5*AJ5)</f>
        <v>1.3436429775423657</v>
      </c>
      <c r="AL5" s="9">
        <f>(AG5/$AG$6)*100</f>
        <v>0.94910534212617215</v>
      </c>
      <c r="AM5" s="9">
        <f>(AL5*AL5)</f>
        <v>0.90080095045243824</v>
      </c>
      <c r="AN5" s="9" t="s">
        <v>2774</v>
      </c>
    </row>
    <row r="6" spans="8:40" ht="23"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9"/>
      <c r="AA6" s="8">
        <f>SUBTOTAL(109,Table1367799100[ترافیک کل])</f>
        <v>1014.5</v>
      </c>
      <c r="AB6" s="8"/>
      <c r="AC6" s="8"/>
      <c r="AD6" s="8"/>
      <c r="AE6" s="8"/>
      <c r="AF6" s="9">
        <f>SUBTOTAL(109,Table1367799100[[مجموع صفحات  مشاهده شده   ]])</f>
        <v>2523.9049999999997</v>
      </c>
      <c r="AG6" s="9">
        <f>SUBTOTAL(109,Table1367799100[[مجموع زمان حضور در سایت ]])</f>
        <v>2762.6016666666665</v>
      </c>
      <c r="AH6" s="9">
        <f>SUBTOTAL(109,Table1367799100[سهم سایت از کل ترافیک طبقه بندی])</f>
        <v>99.999999999999986</v>
      </c>
      <c r="AI6" s="9">
        <f>SUBTOTAL(109,Table1367799100[شاخص هرفیندال هیرشمن (ترافیک)])</f>
        <v>5770.2928046043062</v>
      </c>
      <c r="AJ6" s="9">
        <f>SUBTOTAL(109,Table1367799100[سهم سایت از کل صفحات مشاهده شده در طبقه بندی])</f>
        <v>100</v>
      </c>
      <c r="AK6" s="9">
        <f>SUBTOTAL(109,Table1367799100[شاخص هرفیندال -هیرشمن (صفحات مشاهده شده )])</f>
        <v>6605.0933628375387</v>
      </c>
      <c r="AL6" s="9">
        <f>SUBTOTAL(109,Table1367799100[سهم سایت از کل زمان حضور در طبقه بندی])</f>
        <v>100.00000000000001</v>
      </c>
      <c r="AM6" s="9">
        <f>SUBTOTAL(109,Table1367799100[شاخص هرفیندال هیرشمن (زمان حضور)])</f>
        <v>6716.5077147297816</v>
      </c>
      <c r="AN6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{11F75C9F-4C24-4E68-9C91-9A340AC75F3C}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{7B80E74E-28C6-4373-BB6B-30F485EFD413}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{8C638839-507F-4411-9769-3C35E2DC1D50}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{C6FCE161-358B-4AED-8C22-AD6447BE470D}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{D4365D99-2934-431F-A2DA-9ACD615BAB66}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{5ECCCF92-ABEA-44FB-AD48-D39DD45FB4CB}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F75C9F-4C24-4E68-9C91-9A340AC75F3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B80E74E-28C6-4373-BB6B-30F485EFD41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C638839-507F-4411-9769-3C35E2DC1D5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6FCE161-358B-4AED-8C22-AD6447BE47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4365D99-2934-431F-A2DA-9ACD615BAB6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5ECCCF92-ABEA-44FB-AD48-D39DD45FB4C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5"/>
  <sheetViews>
    <sheetView showGridLines="0" rightToLeft="1" topLeftCell="AB11" zoomScale="70" zoomScaleNormal="70" workbookViewId="0">
      <selection activeCell="AB25" sqref="AB25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920</v>
      </c>
      <c r="N2" s="8" t="s">
        <v>150</v>
      </c>
      <c r="O2" s="8"/>
      <c r="P2" s="8" t="s">
        <v>4671</v>
      </c>
      <c r="Q2" s="8"/>
      <c r="R2" s="8"/>
      <c r="S2" s="8"/>
      <c r="T2" s="8"/>
      <c r="U2" s="8"/>
      <c r="V2" s="8"/>
      <c r="W2" s="8" t="s">
        <v>920</v>
      </c>
      <c r="X2" s="8">
        <v>41.52</v>
      </c>
      <c r="Y2" s="8">
        <v>3.78</v>
      </c>
      <c r="Z2" s="9">
        <v>3.38</v>
      </c>
      <c r="AA2" s="8">
        <v>832.9</v>
      </c>
      <c r="AB2" s="8">
        <v>432</v>
      </c>
      <c r="AC2" s="21" t="s">
        <v>920</v>
      </c>
      <c r="AD2" s="8" t="s">
        <v>4006</v>
      </c>
      <c r="AE2" s="8" t="s">
        <v>4006</v>
      </c>
      <c r="AF2" s="9">
        <f t="shared" ref="AF2:AF24" si="0">(AA2*Y2)</f>
        <v>3148.3619999999996</v>
      </c>
      <c r="AG2" s="9">
        <f t="shared" ref="AG2:AG24" si="1">((((RIGHT(Z2,2))/60)+(LEFT(Z2,2)))*AA2)</f>
        <v>3026.2033333333334</v>
      </c>
      <c r="AH2" s="25">
        <f t="shared" ref="AH2:AH24" si="2">(AA2/$AA$25)*100</f>
        <v>25.669553425586344</v>
      </c>
      <c r="AI2" s="9">
        <f t="shared" ref="AI2:AI24" si="3">(AH2*AH2)</f>
        <v>658.92597306903156</v>
      </c>
      <c r="AJ2" s="25">
        <f t="shared" ref="AJ2:AJ24" si="4">(AF2/$AF$25)*100</f>
        <v>28.264872813719272</v>
      </c>
      <c r="AK2" s="9">
        <f t="shared" ref="AK2:AK24" si="5">(AJ2*AJ2)</f>
        <v>798.90303517572681</v>
      </c>
      <c r="AL2" s="25">
        <f t="shared" ref="AL2:AL24" si="6">(AG2/$AG$25)*100</f>
        <v>33.536665102860297</v>
      </c>
      <c r="AM2" s="9">
        <f t="shared" ref="AM2:AM24" si="7">(AL2*AL2)</f>
        <v>1124.7079062214077</v>
      </c>
      <c r="AN2" s="8" t="s">
        <v>920</v>
      </c>
    </row>
    <row r="3" spans="8:40" ht="23">
      <c r="M3" s="8" t="s">
        <v>4813</v>
      </c>
      <c r="N3" s="8" t="s">
        <v>150</v>
      </c>
      <c r="O3" s="8"/>
      <c r="P3" s="8" t="s">
        <v>4671</v>
      </c>
      <c r="Q3" s="8"/>
      <c r="R3" s="8"/>
      <c r="S3" s="8"/>
      <c r="T3" s="8"/>
      <c r="U3" s="8"/>
      <c r="V3" s="8"/>
      <c r="W3" s="8" t="s">
        <v>4813</v>
      </c>
      <c r="X3" s="8">
        <v>31.12</v>
      </c>
      <c r="Y3" s="8">
        <v>2.69</v>
      </c>
      <c r="Z3" s="9">
        <v>2.5299999999999998</v>
      </c>
      <c r="AA3" s="8">
        <v>704.9</v>
      </c>
      <c r="AB3" s="8">
        <v>1410</v>
      </c>
      <c r="AC3" s="21" t="s">
        <v>4813</v>
      </c>
      <c r="AD3" s="8" t="s">
        <v>4006</v>
      </c>
      <c r="AE3" s="8" t="s">
        <v>4006</v>
      </c>
      <c r="AF3" s="9">
        <f t="shared" si="0"/>
        <v>1896.1809999999998</v>
      </c>
      <c r="AG3" s="9">
        <f t="shared" si="1"/>
        <v>2032.4616666666666</v>
      </c>
      <c r="AH3" s="25">
        <f t="shared" si="2"/>
        <v>21.724658674145534</v>
      </c>
      <c r="AI3" s="9">
        <f t="shared" si="3"/>
        <v>471.96079450812681</v>
      </c>
      <c r="AJ3" s="25">
        <f t="shared" si="4"/>
        <v>17.023237733396293</v>
      </c>
      <c r="AK3" s="9">
        <f t="shared" si="5"/>
        <v>289.79062292772738</v>
      </c>
      <c r="AL3" s="25">
        <f t="shared" si="6"/>
        <v>22.523928084608087</v>
      </c>
      <c r="AM3" s="9">
        <f t="shared" si="7"/>
        <v>507.32733636059692</v>
      </c>
      <c r="AN3" s="8" t="s">
        <v>4813</v>
      </c>
    </row>
    <row r="4" spans="8:40" ht="23">
      <c r="M4" s="8" t="s">
        <v>4814</v>
      </c>
      <c r="N4" s="8" t="s">
        <v>150</v>
      </c>
      <c r="O4" s="8"/>
      <c r="P4" s="8" t="s">
        <v>3693</v>
      </c>
      <c r="Q4" s="8"/>
      <c r="R4" s="8"/>
      <c r="S4" s="8"/>
      <c r="T4" s="8"/>
      <c r="U4" s="8"/>
      <c r="V4" s="8"/>
      <c r="W4" s="8" t="s">
        <v>4814</v>
      </c>
      <c r="X4" s="8">
        <v>67.83</v>
      </c>
      <c r="Y4" s="8">
        <v>1.46</v>
      </c>
      <c r="Z4" s="9">
        <v>0.48</v>
      </c>
      <c r="AA4" s="8">
        <v>679.4</v>
      </c>
      <c r="AB4" s="8">
        <v>1337</v>
      </c>
      <c r="AC4" s="21" t="s">
        <v>4814</v>
      </c>
      <c r="AD4" s="8" t="s">
        <v>4006</v>
      </c>
      <c r="AE4" s="8" t="s">
        <v>4006</v>
      </c>
      <c r="AF4" s="9">
        <f t="shared" si="0"/>
        <v>991.92399999999998</v>
      </c>
      <c r="AG4" s="9">
        <f t="shared" si="1"/>
        <v>543.52</v>
      </c>
      <c r="AH4" s="25">
        <f t="shared" si="2"/>
        <v>20.938761672881935</v>
      </c>
      <c r="AI4" s="9">
        <f t="shared" si="3"/>
        <v>438.43174039374946</v>
      </c>
      <c r="AJ4" s="25">
        <f t="shared" si="4"/>
        <v>8.9051404193277897</v>
      </c>
      <c r="AK4" s="9">
        <f t="shared" si="5"/>
        <v>79.301525887945516</v>
      </c>
      <c r="AL4" s="25">
        <f t="shared" si="6"/>
        <v>6.0233388866929944</v>
      </c>
      <c r="AM4" s="9">
        <f t="shared" si="7"/>
        <v>36.280611343948003</v>
      </c>
      <c r="AN4" s="8" t="s">
        <v>4814</v>
      </c>
    </row>
    <row r="5" spans="8:40" ht="23">
      <c r="M5" s="8" t="s">
        <v>339</v>
      </c>
      <c r="N5" s="8" t="s">
        <v>150</v>
      </c>
      <c r="O5" s="8"/>
      <c r="P5" s="8" t="s">
        <v>3715</v>
      </c>
      <c r="Q5" s="8"/>
      <c r="R5" s="8"/>
      <c r="S5" s="8"/>
      <c r="T5" s="8"/>
      <c r="U5" s="8"/>
      <c r="V5" s="8"/>
      <c r="W5" s="8" t="s">
        <v>339</v>
      </c>
      <c r="X5" s="8">
        <v>42.47</v>
      </c>
      <c r="Y5" s="8">
        <v>3.84</v>
      </c>
      <c r="Z5" s="9">
        <v>2.54</v>
      </c>
      <c r="AA5" s="8">
        <v>330.7</v>
      </c>
      <c r="AB5" s="8">
        <v>1507</v>
      </c>
      <c r="AC5" s="21" t="s">
        <v>339</v>
      </c>
      <c r="AD5" s="8" t="s">
        <v>4006</v>
      </c>
      <c r="AE5" s="8" t="s">
        <v>4006</v>
      </c>
      <c r="AF5" s="9">
        <f t="shared" si="0"/>
        <v>1269.8879999999999</v>
      </c>
      <c r="AG5" s="9">
        <f t="shared" si="1"/>
        <v>959.03</v>
      </c>
      <c r="AH5" s="25">
        <f t="shared" si="2"/>
        <v>10.192005424230285</v>
      </c>
      <c r="AI5" s="9">
        <f t="shared" si="3"/>
        <v>103.87697456753955</v>
      </c>
      <c r="AJ5" s="25">
        <f t="shared" si="4"/>
        <v>11.40060222035088</v>
      </c>
      <c r="AK5" s="9">
        <f t="shared" si="5"/>
        <v>129.97373098666941</v>
      </c>
      <c r="AL5" s="25">
        <f t="shared" si="6"/>
        <v>10.628059119269176</v>
      </c>
      <c r="AM5" s="9">
        <f t="shared" si="7"/>
        <v>112.95564064268069</v>
      </c>
      <c r="AN5" s="8" t="s">
        <v>339</v>
      </c>
    </row>
    <row r="6" spans="8:40" ht="23">
      <c r="M6" s="8" t="s">
        <v>1421</v>
      </c>
      <c r="N6" s="8" t="s">
        <v>150</v>
      </c>
      <c r="O6" s="8"/>
      <c r="P6" s="8" t="s">
        <v>3693</v>
      </c>
      <c r="Q6" s="8"/>
      <c r="R6" s="8"/>
      <c r="S6" s="8"/>
      <c r="T6" s="8"/>
      <c r="U6" s="8"/>
      <c r="V6" s="8"/>
      <c r="W6" s="8" t="s">
        <v>1421</v>
      </c>
      <c r="X6" s="8">
        <v>24.35</v>
      </c>
      <c r="Y6" s="8">
        <v>5.82</v>
      </c>
      <c r="Z6" s="9">
        <v>5.35</v>
      </c>
      <c r="AA6" s="8">
        <v>253</v>
      </c>
      <c r="AB6" s="8">
        <v>738</v>
      </c>
      <c r="AC6" s="21" t="s">
        <v>1421</v>
      </c>
      <c r="AD6" s="8" t="s">
        <v>4006</v>
      </c>
      <c r="AE6" s="8" t="s">
        <v>4006</v>
      </c>
      <c r="AF6" s="9">
        <f t="shared" si="0"/>
        <v>1472.46</v>
      </c>
      <c r="AG6" s="9">
        <f t="shared" si="1"/>
        <v>1412.5833333333333</v>
      </c>
      <c r="AH6" s="25">
        <f t="shared" si="2"/>
        <v>7.7973310321447302</v>
      </c>
      <c r="AI6" s="9">
        <f t="shared" si="3"/>
        <v>60.798371224847202</v>
      </c>
      <c r="AJ6" s="25">
        <f t="shared" si="4"/>
        <v>13.219221494634063</v>
      </c>
      <c r="AK6" s="9">
        <f t="shared" si="5"/>
        <v>174.74781692419523</v>
      </c>
      <c r="AL6" s="25">
        <f t="shared" si="6"/>
        <v>15.654379088830364</v>
      </c>
      <c r="AM6" s="9">
        <f t="shared" si="7"/>
        <v>245.05958465680936</v>
      </c>
      <c r="AN6" s="8" t="s">
        <v>1421</v>
      </c>
    </row>
    <row r="7" spans="8:40" ht="23">
      <c r="M7" s="8" t="s">
        <v>1443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1443</v>
      </c>
      <c r="X7" s="8">
        <v>2.69</v>
      </c>
      <c r="Y7" s="8">
        <v>9.85</v>
      </c>
      <c r="Z7" s="9">
        <v>2.06</v>
      </c>
      <c r="AA7" s="8">
        <v>140.30000000000001</v>
      </c>
      <c r="AB7" s="8">
        <v>5364</v>
      </c>
      <c r="AC7" s="21" t="s">
        <v>1443</v>
      </c>
      <c r="AD7" s="8" t="s">
        <v>4006</v>
      </c>
      <c r="AE7" s="8" t="s">
        <v>4006</v>
      </c>
      <c r="AF7" s="9">
        <f t="shared" si="0"/>
        <v>1381.9550000000002</v>
      </c>
      <c r="AG7" s="9">
        <f t="shared" si="1"/>
        <v>294.63000000000005</v>
      </c>
      <c r="AH7" s="25">
        <f t="shared" si="2"/>
        <v>4.323974481462078</v>
      </c>
      <c r="AI7" s="9">
        <f t="shared" si="3"/>
        <v>18.696755316335246</v>
      </c>
      <c r="AJ7" s="25">
        <f t="shared" si="4"/>
        <v>12.406699836068222</v>
      </c>
      <c r="AK7" s="9">
        <f t="shared" si="5"/>
        <v>153.92620082229524</v>
      </c>
      <c r="AL7" s="25">
        <f t="shared" si="6"/>
        <v>3.2651168976051617</v>
      </c>
      <c r="AM7" s="9">
        <f t="shared" si="7"/>
        <v>10.660988355026756</v>
      </c>
      <c r="AN7" s="8" t="s">
        <v>1443</v>
      </c>
    </row>
    <row r="8" spans="8:40" ht="23">
      <c r="M8" s="8" t="s">
        <v>1431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1431</v>
      </c>
      <c r="X8" s="8">
        <v>41.18</v>
      </c>
      <c r="Y8" s="8">
        <v>1.44</v>
      </c>
      <c r="Z8" s="9">
        <v>0.12</v>
      </c>
      <c r="AA8" s="8">
        <v>83</v>
      </c>
      <c r="AB8" s="8">
        <v>7716</v>
      </c>
      <c r="AC8" s="21" t="s">
        <v>1431</v>
      </c>
      <c r="AD8" s="8" t="s">
        <v>4006</v>
      </c>
      <c r="AE8" s="8" t="s">
        <v>4006</v>
      </c>
      <c r="AF8" s="9">
        <f t="shared" si="0"/>
        <v>119.52</v>
      </c>
      <c r="AG8" s="9">
        <f t="shared" si="1"/>
        <v>16.600000000000001</v>
      </c>
      <c r="AH8" s="25">
        <f t="shared" si="2"/>
        <v>2.5580176903874015</v>
      </c>
      <c r="AI8" s="9">
        <f t="shared" si="3"/>
        <v>6.5434545043348953</v>
      </c>
      <c r="AJ8" s="25">
        <f t="shared" si="4"/>
        <v>1.0730079954896317</v>
      </c>
      <c r="AK8" s="9">
        <f t="shared" si="5"/>
        <v>1.1513461583846774</v>
      </c>
      <c r="AL8" s="25">
        <f t="shared" si="6"/>
        <v>0.18396273461713225</v>
      </c>
      <c r="AM8" s="9">
        <f t="shared" si="7"/>
        <v>3.3842287727813426E-2</v>
      </c>
      <c r="AN8" s="8" t="s">
        <v>1431</v>
      </c>
    </row>
    <row r="9" spans="8:40" ht="23">
      <c r="M9" s="8" t="s">
        <v>5311</v>
      </c>
      <c r="N9" s="8" t="s">
        <v>1814</v>
      </c>
      <c r="O9" s="8"/>
      <c r="P9" s="8"/>
      <c r="Q9" s="8"/>
      <c r="R9" s="8"/>
      <c r="S9" s="8"/>
      <c r="T9" s="8"/>
      <c r="U9" s="8"/>
      <c r="V9" s="8"/>
      <c r="W9" s="21" t="s">
        <v>5311</v>
      </c>
      <c r="X9" s="8">
        <v>27.63</v>
      </c>
      <c r="Y9" s="8">
        <v>1.07</v>
      </c>
      <c r="Z9" s="9">
        <v>0.04</v>
      </c>
      <c r="AA9" s="8">
        <v>60.8</v>
      </c>
      <c r="AB9" s="8">
        <v>66554</v>
      </c>
      <c r="AC9" s="21" t="s">
        <v>5311</v>
      </c>
      <c r="AD9" s="8" t="s">
        <v>4006</v>
      </c>
      <c r="AE9" s="8" t="s">
        <v>4006</v>
      </c>
      <c r="AF9" s="9">
        <f t="shared" si="0"/>
        <v>65.055999999999997</v>
      </c>
      <c r="AG9" s="9">
        <f t="shared" si="1"/>
        <v>4.0533333333333328</v>
      </c>
      <c r="AH9" s="25">
        <f t="shared" si="2"/>
        <v>1.8738250069343856</v>
      </c>
      <c r="AI9" s="9">
        <f t="shared" si="3"/>
        <v>3.5112201566126502</v>
      </c>
      <c r="AJ9" s="25">
        <f t="shared" si="4"/>
        <v>0.58404959968685977</v>
      </c>
      <c r="AK9" s="9">
        <f t="shared" si="5"/>
        <v>0.34111393489438113</v>
      </c>
      <c r="AL9" s="25">
        <f t="shared" si="6"/>
        <v>4.491941471775758E-2</v>
      </c>
      <c r="AM9" s="9">
        <f t="shared" si="7"/>
        <v>2.0177538185858963E-3</v>
      </c>
      <c r="AN9" s="21" t="s">
        <v>5311</v>
      </c>
    </row>
    <row r="10" spans="8:40" ht="23">
      <c r="M10" s="8" t="s">
        <v>4812</v>
      </c>
      <c r="N10" s="8" t="s">
        <v>150</v>
      </c>
      <c r="O10" s="8"/>
      <c r="P10" s="8" t="s">
        <v>3693</v>
      </c>
      <c r="Q10" s="8"/>
      <c r="R10" s="8"/>
      <c r="S10" s="8"/>
      <c r="T10" s="8"/>
      <c r="U10" s="8"/>
      <c r="V10" s="8"/>
      <c r="W10" s="8" t="s">
        <v>4812</v>
      </c>
      <c r="X10" s="8">
        <v>22.85</v>
      </c>
      <c r="Y10" s="8">
        <v>7.11</v>
      </c>
      <c r="Z10" s="9">
        <v>7.51</v>
      </c>
      <c r="AA10" s="8">
        <v>32.299999999999997</v>
      </c>
      <c r="AB10" s="8">
        <v>2983</v>
      </c>
      <c r="AC10" s="21" t="s">
        <v>4812</v>
      </c>
      <c r="AD10" s="8" t="s">
        <v>4006</v>
      </c>
      <c r="AE10" s="8" t="s">
        <v>4006</v>
      </c>
      <c r="AF10" s="9">
        <f t="shared" si="0"/>
        <v>229.65299999999999</v>
      </c>
      <c r="AG10" s="9">
        <f t="shared" si="1"/>
        <v>253.55499999999998</v>
      </c>
      <c r="AH10" s="25">
        <f t="shared" si="2"/>
        <v>0.99546953493389234</v>
      </c>
      <c r="AI10" s="9">
        <f t="shared" si="3"/>
        <v>0.99095959498149988</v>
      </c>
      <c r="AJ10" s="25">
        <f t="shared" si="4"/>
        <v>2.06174284796001</v>
      </c>
      <c r="AK10" s="9">
        <f t="shared" si="5"/>
        <v>4.250783571114253</v>
      </c>
      <c r="AL10" s="25">
        <f t="shared" si="6"/>
        <v>2.8099199503522265</v>
      </c>
      <c r="AM10" s="9">
        <f t="shared" si="7"/>
        <v>7.8956501273874595</v>
      </c>
      <c r="AN10" s="8" t="s">
        <v>4812</v>
      </c>
    </row>
    <row r="11" spans="8:40" ht="23">
      <c r="M11" s="8" t="s">
        <v>1542</v>
      </c>
      <c r="N11" s="8" t="s">
        <v>150</v>
      </c>
      <c r="O11" s="8"/>
      <c r="P11" s="8" t="s">
        <v>3693</v>
      </c>
      <c r="Q11" s="8"/>
      <c r="R11" s="8"/>
      <c r="S11" s="8"/>
      <c r="T11" s="8"/>
      <c r="U11" s="8"/>
      <c r="V11" s="8"/>
      <c r="W11" s="8" t="s">
        <v>1542</v>
      </c>
      <c r="X11" s="8">
        <v>22.85</v>
      </c>
      <c r="Y11" s="8">
        <v>7.11</v>
      </c>
      <c r="Z11" s="9">
        <v>7.51</v>
      </c>
      <c r="AA11" s="8">
        <v>32.299999999999997</v>
      </c>
      <c r="AB11" s="8">
        <v>2983</v>
      </c>
      <c r="AC11" s="21" t="s">
        <v>1542</v>
      </c>
      <c r="AD11" s="8" t="s">
        <v>4006</v>
      </c>
      <c r="AE11" s="8" t="s">
        <v>4006</v>
      </c>
      <c r="AF11" s="9">
        <f t="shared" si="0"/>
        <v>229.65299999999999</v>
      </c>
      <c r="AG11" s="9">
        <f t="shared" si="1"/>
        <v>253.55499999999998</v>
      </c>
      <c r="AH11" s="25">
        <f t="shared" si="2"/>
        <v>0.99546953493389234</v>
      </c>
      <c r="AI11" s="9">
        <f t="shared" si="3"/>
        <v>0.99095959498149988</v>
      </c>
      <c r="AJ11" s="25">
        <f t="shared" si="4"/>
        <v>2.06174284796001</v>
      </c>
      <c r="AK11" s="9">
        <f t="shared" si="5"/>
        <v>4.250783571114253</v>
      </c>
      <c r="AL11" s="25">
        <f t="shared" si="6"/>
        <v>2.8099199503522265</v>
      </c>
      <c r="AM11" s="9">
        <f t="shared" si="7"/>
        <v>7.8956501273874595</v>
      </c>
      <c r="AN11" s="8" t="s">
        <v>1542</v>
      </c>
    </row>
    <row r="12" spans="8:40" ht="23">
      <c r="M12" s="24" t="s">
        <v>5274</v>
      </c>
      <c r="N12" s="8" t="s">
        <v>150</v>
      </c>
      <c r="O12" s="24"/>
      <c r="P12" s="24"/>
      <c r="Q12" s="24"/>
      <c r="R12" s="24"/>
      <c r="S12" s="24"/>
      <c r="T12" s="24"/>
      <c r="U12" s="24"/>
      <c r="V12" s="24"/>
      <c r="W12" s="24" t="s">
        <v>5274</v>
      </c>
      <c r="X12" s="24">
        <v>7.7</v>
      </c>
      <c r="Y12" s="24">
        <v>2.12</v>
      </c>
      <c r="Z12" s="25">
        <v>0.21</v>
      </c>
      <c r="AA12" s="24">
        <v>25.5</v>
      </c>
      <c r="AB12" s="24">
        <v>23995</v>
      </c>
      <c r="AC12" s="21" t="s">
        <v>5274</v>
      </c>
      <c r="AD12" s="8" t="s">
        <v>4006</v>
      </c>
      <c r="AE12" s="8" t="s">
        <v>4006</v>
      </c>
      <c r="AF12" s="25">
        <f t="shared" si="0"/>
        <v>54.06</v>
      </c>
      <c r="AG12" s="25">
        <f t="shared" si="1"/>
        <v>8.9249999999999989</v>
      </c>
      <c r="AH12" s="25">
        <f t="shared" si="2"/>
        <v>0.78589700126359929</v>
      </c>
      <c r="AI12" s="25">
        <f t="shared" si="3"/>
        <v>0.61763409659511781</v>
      </c>
      <c r="AJ12" s="25">
        <f t="shared" si="4"/>
        <v>0.48533142767879422</v>
      </c>
      <c r="AK12" s="25">
        <f t="shared" si="5"/>
        <v>0.23554659469273667</v>
      </c>
      <c r="AL12" s="25">
        <f t="shared" si="6"/>
        <v>9.8907675087825608E-2</v>
      </c>
      <c r="AM12" s="25">
        <f t="shared" si="7"/>
        <v>9.7827281912788791E-3</v>
      </c>
      <c r="AN12" s="24" t="s">
        <v>5274</v>
      </c>
    </row>
    <row r="13" spans="8:40" ht="23">
      <c r="M13" s="8" t="s">
        <v>4815</v>
      </c>
      <c r="N13" s="8" t="s">
        <v>1862</v>
      </c>
      <c r="O13" s="8"/>
      <c r="P13" s="8" t="s">
        <v>3691</v>
      </c>
      <c r="Q13" s="8"/>
      <c r="R13" s="8"/>
      <c r="S13" s="8"/>
      <c r="T13" s="8"/>
      <c r="U13" s="8"/>
      <c r="V13" s="8"/>
      <c r="W13" s="8" t="s">
        <v>4815</v>
      </c>
      <c r="X13" s="8">
        <v>6.51</v>
      </c>
      <c r="Y13" s="8">
        <v>2.1800000000000002</v>
      </c>
      <c r="Z13" s="9">
        <v>1.25</v>
      </c>
      <c r="AA13" s="8">
        <v>18.2</v>
      </c>
      <c r="AB13" s="8">
        <v>15851</v>
      </c>
      <c r="AC13" s="21" t="s">
        <v>4815</v>
      </c>
      <c r="AD13" s="8" t="s">
        <v>4006</v>
      </c>
      <c r="AE13" s="8" t="s">
        <v>4006</v>
      </c>
      <c r="AF13" s="9">
        <f t="shared" si="0"/>
        <v>39.676000000000002</v>
      </c>
      <c r="AG13" s="9">
        <f t="shared" si="1"/>
        <v>25.783333333333335</v>
      </c>
      <c r="AH13" s="25">
        <f t="shared" si="2"/>
        <v>0.56091472247049046</v>
      </c>
      <c r="AI13" s="9">
        <f t="shared" si="3"/>
        <v>0.31462532588414732</v>
      </c>
      <c r="AJ13" s="25">
        <f t="shared" si="4"/>
        <v>0.35619699823499523</v>
      </c>
      <c r="AK13" s="9">
        <f t="shared" si="5"/>
        <v>0.12687630155162119</v>
      </c>
      <c r="AL13" s="25">
        <f t="shared" si="6"/>
        <v>0.2857332835870518</v>
      </c>
      <c r="AM13" s="9">
        <f t="shared" si="7"/>
        <v>8.1643509349438564E-2</v>
      </c>
      <c r="AN13" s="8" t="s">
        <v>4815</v>
      </c>
    </row>
    <row r="14" spans="8:40" ht="23">
      <c r="M14" s="8" t="s">
        <v>2081</v>
      </c>
      <c r="N14" s="8" t="s">
        <v>2074</v>
      </c>
      <c r="O14" s="8"/>
      <c r="P14" s="8" t="s">
        <v>4188</v>
      </c>
      <c r="Q14" s="8"/>
      <c r="R14" s="8"/>
      <c r="S14" s="8"/>
      <c r="T14" s="8"/>
      <c r="U14" s="8"/>
      <c r="V14" s="8"/>
      <c r="W14" s="8" t="s">
        <v>2081</v>
      </c>
      <c r="X14" s="8">
        <v>33.43</v>
      </c>
      <c r="Y14" s="8">
        <v>2.97</v>
      </c>
      <c r="Z14" s="9">
        <v>2.06</v>
      </c>
      <c r="AA14" s="8">
        <v>11.1</v>
      </c>
      <c r="AB14" s="8">
        <v>15644</v>
      </c>
      <c r="AC14" s="21" t="s">
        <v>2081</v>
      </c>
      <c r="AD14" s="8" t="s">
        <v>4006</v>
      </c>
      <c r="AE14" s="8" t="s">
        <v>4006</v>
      </c>
      <c r="AF14" s="9">
        <f t="shared" si="0"/>
        <v>32.966999999999999</v>
      </c>
      <c r="AG14" s="9">
        <f t="shared" si="1"/>
        <v>23.31</v>
      </c>
      <c r="AH14" s="25">
        <f t="shared" si="2"/>
        <v>0.34209634172650788</v>
      </c>
      <c r="AI14" s="9">
        <f t="shared" si="3"/>
        <v>0.11702990702265965</v>
      </c>
      <c r="AJ14" s="25">
        <f t="shared" si="4"/>
        <v>0.29596598550290065</v>
      </c>
      <c r="AK14" s="9">
        <f t="shared" si="5"/>
        <v>8.7595864574703197E-2</v>
      </c>
      <c r="AL14" s="25">
        <f t="shared" si="6"/>
        <v>0.2583235749352622</v>
      </c>
      <c r="AM14" s="9">
        <f t="shared" si="7"/>
        <v>6.6731069367334028E-2</v>
      </c>
      <c r="AN14" s="8" t="s">
        <v>2081</v>
      </c>
    </row>
    <row r="15" spans="8:40" ht="23">
      <c r="M15" s="9" t="s">
        <v>3318</v>
      </c>
      <c r="N15" s="8" t="s">
        <v>1939</v>
      </c>
      <c r="O15" s="8"/>
      <c r="P15" s="8" t="s">
        <v>3693</v>
      </c>
      <c r="Q15" s="8"/>
      <c r="R15" s="8"/>
      <c r="S15" s="8"/>
      <c r="T15" s="8"/>
      <c r="U15" s="8"/>
      <c r="V15" s="8"/>
      <c r="W15" s="9" t="s">
        <v>3318</v>
      </c>
      <c r="X15" s="8">
        <v>50.3</v>
      </c>
      <c r="Y15" s="8">
        <v>4.8099999999999996</v>
      </c>
      <c r="Z15" s="9">
        <v>3.57</v>
      </c>
      <c r="AA15" s="8">
        <v>9.1999999999999993</v>
      </c>
      <c r="AB15" s="8">
        <v>10332</v>
      </c>
      <c r="AC15" s="22" t="s">
        <v>3318</v>
      </c>
      <c r="AD15" s="8" t="s">
        <v>4006</v>
      </c>
      <c r="AE15" s="8" t="s">
        <v>4006</v>
      </c>
      <c r="AF15" s="9">
        <f t="shared" si="0"/>
        <v>44.251999999999995</v>
      </c>
      <c r="AG15" s="9">
        <f t="shared" si="1"/>
        <v>36.339999999999996</v>
      </c>
      <c r="AH15" s="25">
        <f t="shared" si="2"/>
        <v>0.28353931025980833</v>
      </c>
      <c r="AI15" s="9">
        <f t="shared" si="3"/>
        <v>8.0394540462607855E-2</v>
      </c>
      <c r="AJ15" s="25">
        <f t="shared" si="4"/>
        <v>0.39727869658975218</v>
      </c>
      <c r="AK15" s="9">
        <f t="shared" si="5"/>
        <v>0.15783036276405238</v>
      </c>
      <c r="AL15" s="25">
        <f t="shared" si="6"/>
        <v>0.40272323951726413</v>
      </c>
      <c r="AM15" s="9">
        <f t="shared" si="7"/>
        <v>0.1621860076472797</v>
      </c>
      <c r="AN15" s="9" t="s">
        <v>3318</v>
      </c>
    </row>
    <row r="16" spans="8:40" ht="23">
      <c r="M16" s="8" t="s">
        <v>139</v>
      </c>
      <c r="N16" s="8" t="s">
        <v>150</v>
      </c>
      <c r="O16" s="8"/>
      <c r="P16" s="8" t="s">
        <v>3698</v>
      </c>
      <c r="Q16" s="8"/>
      <c r="R16" s="8"/>
      <c r="S16" s="8"/>
      <c r="T16" s="8"/>
      <c r="U16" s="8"/>
      <c r="V16" s="8"/>
      <c r="W16" s="8" t="s">
        <v>139</v>
      </c>
      <c r="X16" s="8">
        <v>28.78</v>
      </c>
      <c r="Y16" s="8">
        <v>5.03</v>
      </c>
      <c r="Z16" s="9">
        <v>5.16</v>
      </c>
      <c r="AA16" s="8">
        <v>8</v>
      </c>
      <c r="AB16" s="8">
        <v>13583</v>
      </c>
      <c r="AC16" s="21" t="s">
        <v>139</v>
      </c>
      <c r="AD16" s="8" t="s">
        <v>4006</v>
      </c>
      <c r="AE16" s="8" t="s">
        <v>4006</v>
      </c>
      <c r="AF16" s="9">
        <f t="shared" si="0"/>
        <v>40.24</v>
      </c>
      <c r="AG16" s="9">
        <f t="shared" si="1"/>
        <v>42.133333333333333</v>
      </c>
      <c r="AH16" s="25">
        <f t="shared" si="2"/>
        <v>0.24655592196505074</v>
      </c>
      <c r="AI16" s="9">
        <f t="shared" si="3"/>
        <v>6.0789822656036191E-2</v>
      </c>
      <c r="AJ16" s="25">
        <f t="shared" si="4"/>
        <v>0.36126038937836996</v>
      </c>
      <c r="AK16" s="9">
        <f t="shared" si="5"/>
        <v>0.13050906893381148</v>
      </c>
      <c r="AL16" s="25">
        <f t="shared" si="6"/>
        <v>0.46692549509248016</v>
      </c>
      <c r="AM16" s="9">
        <f t="shared" si="7"/>
        <v>0.21801941796735771</v>
      </c>
      <c r="AN16" s="8" t="s">
        <v>139</v>
      </c>
    </row>
    <row r="17" spans="13:40" ht="23">
      <c r="M17" s="8" t="s">
        <v>4549</v>
      </c>
      <c r="N17" s="8" t="s">
        <v>150</v>
      </c>
      <c r="O17" s="8"/>
      <c r="P17" s="8" t="s">
        <v>3693</v>
      </c>
      <c r="Q17" s="8"/>
      <c r="R17" s="8"/>
      <c r="S17" s="8"/>
      <c r="T17" s="8"/>
      <c r="U17" s="8"/>
      <c r="V17" s="8"/>
      <c r="W17" s="8" t="s">
        <v>4549</v>
      </c>
      <c r="X17" s="8">
        <v>46.03</v>
      </c>
      <c r="Y17" s="8">
        <v>6.57</v>
      </c>
      <c r="Z17" s="9">
        <v>4.33</v>
      </c>
      <c r="AA17" s="8">
        <v>6</v>
      </c>
      <c r="AB17" s="8">
        <v>17247</v>
      </c>
      <c r="AC17" s="21" t="s">
        <v>4549</v>
      </c>
      <c r="AD17" s="8" t="s">
        <v>4006</v>
      </c>
      <c r="AE17" s="8" t="s">
        <v>4006</v>
      </c>
      <c r="AF17" s="9">
        <f t="shared" si="0"/>
        <v>39.42</v>
      </c>
      <c r="AG17" s="9">
        <f t="shared" si="1"/>
        <v>27.299999999999997</v>
      </c>
      <c r="AH17" s="25">
        <f t="shared" si="2"/>
        <v>0.18491694147378807</v>
      </c>
      <c r="AI17" s="9">
        <f t="shared" si="3"/>
        <v>3.4194275244020363E-2</v>
      </c>
      <c r="AJ17" s="25">
        <f t="shared" si="4"/>
        <v>0.35389872140395984</v>
      </c>
      <c r="AK17" s="9">
        <f t="shared" si="5"/>
        <v>0.12524430501135758</v>
      </c>
      <c r="AL17" s="25">
        <f t="shared" si="6"/>
        <v>0.30254112379805481</v>
      </c>
      <c r="AM17" s="9">
        <f t="shared" si="7"/>
        <v>9.1531131588989928E-2</v>
      </c>
      <c r="AN17" s="8" t="s">
        <v>4549</v>
      </c>
    </row>
    <row r="18" spans="13:40" ht="23">
      <c r="M18" s="9" t="s">
        <v>3628</v>
      </c>
      <c r="N18" s="8" t="s">
        <v>2093</v>
      </c>
      <c r="O18" s="8"/>
      <c r="P18" s="8"/>
      <c r="Q18" s="8"/>
      <c r="R18" s="8"/>
      <c r="S18" s="8"/>
      <c r="T18" s="8"/>
      <c r="U18" s="8"/>
      <c r="V18" s="8"/>
      <c r="W18" s="9" t="s">
        <v>3628</v>
      </c>
      <c r="X18" s="8">
        <v>19.7</v>
      </c>
      <c r="Y18" s="8">
        <v>6.45</v>
      </c>
      <c r="Z18" s="9">
        <v>3.58</v>
      </c>
      <c r="AA18" s="8">
        <v>4</v>
      </c>
      <c r="AB18" s="8">
        <v>18598</v>
      </c>
      <c r="AC18" s="22" t="s">
        <v>3628</v>
      </c>
      <c r="AD18" s="8" t="s">
        <v>4006</v>
      </c>
      <c r="AE18" s="8" t="s">
        <v>4006</v>
      </c>
      <c r="AF18" s="9">
        <f t="shared" si="0"/>
        <v>25.8</v>
      </c>
      <c r="AG18" s="9">
        <f t="shared" si="1"/>
        <v>15.866666666666667</v>
      </c>
      <c r="AH18" s="25">
        <f t="shared" si="2"/>
        <v>0.12327796098252537</v>
      </c>
      <c r="AI18" s="9">
        <f t="shared" si="3"/>
        <v>1.5197455664009048E-2</v>
      </c>
      <c r="AJ18" s="25">
        <f t="shared" si="4"/>
        <v>0.23162321187778193</v>
      </c>
      <c r="AK18" s="9">
        <f t="shared" si="5"/>
        <v>5.3649312280579856E-2</v>
      </c>
      <c r="AL18" s="25">
        <f t="shared" si="6"/>
        <v>0.17583586682280108</v>
      </c>
      <c r="AM18" s="9">
        <f t="shared" si="7"/>
        <v>3.091825206132584E-2</v>
      </c>
      <c r="AN18" s="9" t="s">
        <v>3628</v>
      </c>
    </row>
    <row r="19" spans="13:40" ht="23">
      <c r="M19" t="s">
        <v>5275</v>
      </c>
      <c r="N19" s="8" t="s">
        <v>150</v>
      </c>
      <c r="O19" s="24"/>
      <c r="P19" s="24"/>
      <c r="Q19" s="24"/>
      <c r="R19" s="24"/>
      <c r="S19" s="24"/>
      <c r="T19" s="24"/>
      <c r="U19" s="24"/>
      <c r="V19" s="24"/>
      <c r="W19" t="s">
        <v>5275</v>
      </c>
      <c r="X19" s="24">
        <v>25.85</v>
      </c>
      <c r="Y19" s="24">
        <v>3.02</v>
      </c>
      <c r="Z19" s="25">
        <v>3.12</v>
      </c>
      <c r="AA19" s="24">
        <v>3.7</v>
      </c>
      <c r="AB19" s="24">
        <v>27193</v>
      </c>
      <c r="AC19" s="39" t="s">
        <v>5275</v>
      </c>
      <c r="AD19" s="8" t="s">
        <v>4006</v>
      </c>
      <c r="AE19" s="8" t="s">
        <v>4006</v>
      </c>
      <c r="AF19" s="25">
        <f t="shared" si="0"/>
        <v>11.174000000000001</v>
      </c>
      <c r="AG19" s="25">
        <f t="shared" si="1"/>
        <v>11.840000000000002</v>
      </c>
      <c r="AH19" s="25">
        <f t="shared" si="2"/>
        <v>0.11403211390883597</v>
      </c>
      <c r="AI19" s="25">
        <f t="shared" si="3"/>
        <v>1.3003323002517742E-2</v>
      </c>
      <c r="AJ19" s="25">
        <f t="shared" si="4"/>
        <v>0.10031619261714479</v>
      </c>
      <c r="AK19" s="25">
        <f t="shared" si="5"/>
        <v>1.0063338501200095E-2</v>
      </c>
      <c r="AL19" s="25">
        <f t="shared" si="6"/>
        <v>0.13121197457029191</v>
      </c>
      <c r="AM19" s="25">
        <f t="shared" si="7"/>
        <v>1.7216582270634929E-2</v>
      </c>
      <c r="AN19" t="s">
        <v>5275</v>
      </c>
    </row>
    <row r="20" spans="13:40" ht="23">
      <c r="M20" s="9" t="s">
        <v>2974</v>
      </c>
      <c r="N20" s="8" t="s">
        <v>1717</v>
      </c>
      <c r="O20" s="8"/>
      <c r="P20" s="8" t="s">
        <v>3693</v>
      </c>
      <c r="Q20" s="8"/>
      <c r="R20" s="8"/>
      <c r="S20" s="8"/>
      <c r="T20" s="8"/>
      <c r="U20" s="8"/>
      <c r="V20" s="8"/>
      <c r="W20" s="9" t="s">
        <v>2974</v>
      </c>
      <c r="X20" s="8">
        <v>28.63</v>
      </c>
      <c r="Y20" s="8">
        <v>4.17</v>
      </c>
      <c r="Z20" s="9">
        <v>3.44</v>
      </c>
      <c r="AA20" s="8">
        <v>3.1</v>
      </c>
      <c r="AB20" s="8">
        <v>24258</v>
      </c>
      <c r="AC20" s="22" t="s">
        <v>2974</v>
      </c>
      <c r="AD20" s="8" t="s">
        <v>4006</v>
      </c>
      <c r="AE20" s="8" t="s">
        <v>4006</v>
      </c>
      <c r="AF20" s="9">
        <f t="shared" si="0"/>
        <v>12.927</v>
      </c>
      <c r="AG20" s="9">
        <f t="shared" si="1"/>
        <v>11.573333333333334</v>
      </c>
      <c r="AH20" s="25">
        <f t="shared" si="2"/>
        <v>9.5540419761457177E-2</v>
      </c>
      <c r="AI20" s="9">
        <f t="shared" si="3"/>
        <v>9.1279718081954363E-3</v>
      </c>
      <c r="AJ20" s="25">
        <f t="shared" si="4"/>
        <v>0.11605400232341423</v>
      </c>
      <c r="AK20" s="9">
        <f t="shared" si="5"/>
        <v>1.3468531455283036E-2</v>
      </c>
      <c r="AL20" s="25">
        <f t="shared" si="6"/>
        <v>0.12825674991780786</v>
      </c>
      <c r="AM20" s="9">
        <f t="shared" si="7"/>
        <v>1.6449793899479107E-2</v>
      </c>
      <c r="AN20" s="9" t="s">
        <v>2974</v>
      </c>
    </row>
    <row r="21" spans="13:40" ht="23">
      <c r="M21" s="9" t="s">
        <v>3637</v>
      </c>
      <c r="N21" s="8" t="s">
        <v>2100</v>
      </c>
      <c r="O21" s="8"/>
      <c r="P21" s="8" t="s">
        <v>3691</v>
      </c>
      <c r="Q21" s="8"/>
      <c r="R21" s="8"/>
      <c r="S21" s="8"/>
      <c r="T21" s="8"/>
      <c r="U21" s="8"/>
      <c r="V21" s="8"/>
      <c r="W21" s="9" t="s">
        <v>3637</v>
      </c>
      <c r="X21" s="8">
        <v>16.75</v>
      </c>
      <c r="Y21" s="8">
        <v>6.5</v>
      </c>
      <c r="Z21" s="9">
        <v>5.01</v>
      </c>
      <c r="AA21" s="8">
        <v>1.8</v>
      </c>
      <c r="AB21" s="8">
        <v>36885</v>
      </c>
      <c r="AC21" s="22" t="s">
        <v>3637</v>
      </c>
      <c r="AD21" s="8" t="s">
        <v>4006</v>
      </c>
      <c r="AE21" s="8" t="s">
        <v>4006</v>
      </c>
      <c r="AF21" s="9">
        <f t="shared" si="0"/>
        <v>11.700000000000001</v>
      </c>
      <c r="AG21" s="9">
        <f t="shared" si="1"/>
        <v>9.0299999999999994</v>
      </c>
      <c r="AH21" s="25">
        <f t="shared" si="2"/>
        <v>5.547508244213642E-2</v>
      </c>
      <c r="AI21" s="9">
        <f t="shared" si="3"/>
        <v>3.0774847719618327E-3</v>
      </c>
      <c r="AJ21" s="25">
        <f t="shared" si="4"/>
        <v>0.10503843329341274</v>
      </c>
      <c r="AK21" s="9">
        <f t="shared" si="5"/>
        <v>1.1033072468734717E-2</v>
      </c>
      <c r="AL21" s="25">
        <f t="shared" si="6"/>
        <v>0.10007129479474119</v>
      </c>
      <c r="AM21" s="9">
        <f t="shared" si="7"/>
        <v>1.0014264041895996E-2</v>
      </c>
      <c r="AN21" s="9" t="s">
        <v>3637</v>
      </c>
    </row>
    <row r="22" spans="13:40" ht="23">
      <c r="M22" s="24" t="s">
        <v>5273</v>
      </c>
      <c r="N22" s="8" t="s">
        <v>1814</v>
      </c>
      <c r="O22" s="24"/>
      <c r="P22" s="24"/>
      <c r="Q22" s="24"/>
      <c r="R22" s="24"/>
      <c r="S22" s="24"/>
      <c r="T22" s="24"/>
      <c r="U22" s="24"/>
      <c r="V22" s="24"/>
      <c r="W22" s="24" t="s">
        <v>5273</v>
      </c>
      <c r="X22" s="24">
        <v>22.88</v>
      </c>
      <c r="Y22" s="24">
        <v>7.85</v>
      </c>
      <c r="Z22" s="25">
        <v>5.23</v>
      </c>
      <c r="AA22" s="24">
        <v>1.7</v>
      </c>
      <c r="AB22" s="24">
        <v>40520</v>
      </c>
      <c r="AC22" s="21" t="s">
        <v>5273</v>
      </c>
      <c r="AD22" s="8" t="s">
        <v>4006</v>
      </c>
      <c r="AE22" s="8" t="s">
        <v>4006</v>
      </c>
      <c r="AF22" s="25">
        <f t="shared" si="0"/>
        <v>13.344999999999999</v>
      </c>
      <c r="AG22" s="25">
        <f t="shared" si="1"/>
        <v>9.1516666666666673</v>
      </c>
      <c r="AH22" s="25">
        <f t="shared" si="2"/>
        <v>5.2393133417573283E-2</v>
      </c>
      <c r="AI22" s="25">
        <f t="shared" si="3"/>
        <v>2.7450404293116342E-3</v>
      </c>
      <c r="AJ22" s="25">
        <f t="shared" si="4"/>
        <v>0.11980665746158914</v>
      </c>
      <c r="AK22" s="25">
        <f t="shared" si="5"/>
        <v>1.4353635172118552E-2</v>
      </c>
      <c r="AL22" s="25">
        <f t="shared" si="6"/>
        <v>0.10141961604243706</v>
      </c>
      <c r="AM22" s="25">
        <f t="shared" si="7"/>
        <v>1.0285938518195356E-2</v>
      </c>
      <c r="AN22" s="24" t="s">
        <v>5273</v>
      </c>
    </row>
    <row r="23" spans="13:40" ht="23">
      <c r="M23" s="8" t="s">
        <v>1569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1569</v>
      </c>
      <c r="X23" s="8">
        <v>24.61</v>
      </c>
      <c r="Y23" s="8">
        <v>4.1399999999999997</v>
      </c>
      <c r="Z23" s="9">
        <v>3.05</v>
      </c>
      <c r="AA23" s="8">
        <v>1.7</v>
      </c>
      <c r="AB23" s="8">
        <v>47434</v>
      </c>
      <c r="AC23" s="21" t="s">
        <v>1569</v>
      </c>
      <c r="AD23" s="8" t="s">
        <v>4006</v>
      </c>
      <c r="AE23" s="8" t="s">
        <v>4006</v>
      </c>
      <c r="AF23" s="9">
        <f t="shared" si="0"/>
        <v>7.0379999999999994</v>
      </c>
      <c r="AG23" s="9">
        <f t="shared" si="1"/>
        <v>5.2416666666666671</v>
      </c>
      <c r="AH23" s="25">
        <f t="shared" si="2"/>
        <v>5.2393133417573283E-2</v>
      </c>
      <c r="AI23" s="9">
        <f t="shared" si="3"/>
        <v>2.7450404293116342E-3</v>
      </c>
      <c r="AJ23" s="25">
        <f t="shared" si="4"/>
        <v>6.3184657565729815E-2</v>
      </c>
      <c r="AK23" s="9">
        <f t="shared" si="5"/>
        <v>3.9923009516985384E-3</v>
      </c>
      <c r="AL23" s="25">
        <f t="shared" si="6"/>
        <v>5.8088634575389653E-2</v>
      </c>
      <c r="AM23" s="9">
        <f t="shared" si="7"/>
        <v>3.3742894668331541E-3</v>
      </c>
      <c r="AN23" s="8" t="s">
        <v>1569</v>
      </c>
    </row>
    <row r="24" spans="13:40" ht="23">
      <c r="M24" s="8" t="s">
        <v>1175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1175</v>
      </c>
      <c r="X24" s="8">
        <v>54.68</v>
      </c>
      <c r="Y24" s="8">
        <v>1.39</v>
      </c>
      <c r="Z24" s="9">
        <v>0.48</v>
      </c>
      <c r="AA24" s="8">
        <v>1.1000000000000001</v>
      </c>
      <c r="AB24" s="8"/>
      <c r="AC24" s="21" t="s">
        <v>1175</v>
      </c>
      <c r="AD24" s="8" t="s">
        <v>4006</v>
      </c>
      <c r="AE24" s="8" t="s">
        <v>4006</v>
      </c>
      <c r="AF24" s="9">
        <f t="shared" si="0"/>
        <v>1.5289999999999999</v>
      </c>
      <c r="AG24" s="9">
        <f t="shared" si="1"/>
        <v>0.88000000000000012</v>
      </c>
      <c r="AH24" s="25">
        <f t="shared" si="2"/>
        <v>3.3901439270194483E-2</v>
      </c>
      <c r="AI24" s="9">
        <f t="shared" si="3"/>
        <v>1.1493075845906847E-3</v>
      </c>
      <c r="AJ24" s="25">
        <f t="shared" si="4"/>
        <v>1.3726817479113512E-2</v>
      </c>
      <c r="AK24" s="9">
        <f t="shared" si="5"/>
        <v>1.8842551810489621E-4</v>
      </c>
      <c r="AL24" s="25">
        <f t="shared" si="6"/>
        <v>9.7522413531973724E-3</v>
      </c>
      <c r="AM24" s="9">
        <f t="shared" si="7"/>
        <v>9.5106211411012916E-5</v>
      </c>
      <c r="AN24" s="8" t="s">
        <v>1175</v>
      </c>
    </row>
    <row r="25" spans="13:40" ht="23"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9"/>
      <c r="AA25" s="8">
        <f>SUBTOTAL(109,Table136171921[ترافیک کل])</f>
        <v>3244.6999999999994</v>
      </c>
      <c r="AB25" s="8"/>
      <c r="AC25" s="21"/>
      <c r="AD25" s="8"/>
      <c r="AE25" s="8"/>
      <c r="AF25" s="9">
        <f>SUBTOTAL(109,Table136171921[[مجموع صفحات  مشاهده شده   ]])</f>
        <v>11138.78</v>
      </c>
      <c r="AG25" s="9">
        <f>SUBTOTAL(109,Table136171921[[مجموع زمان حضور در سایت ]])</f>
        <v>9023.5666666666639</v>
      </c>
      <c r="AH25" s="9">
        <f>SUBTOTAL(109,Table136171921[سهم سایت از کل ترافیک طبقه بندی])</f>
        <v>100</v>
      </c>
      <c r="AI25" s="9" t="s">
        <v>5341</v>
      </c>
      <c r="AJ25" s="9">
        <f>SUBTOTAL(109,Table136171921[سهم سایت از کل صفحات مشاهده شده در طبقه بندی])</f>
        <v>100.00000000000001</v>
      </c>
      <c r="AK25" s="9" t="s">
        <v>5342</v>
      </c>
      <c r="AL25" s="9">
        <f>SUBTOTAL(109,Table136171921[سهم سایت از کل زمان حضور در طبقه بندی])</f>
        <v>100.00000000000001</v>
      </c>
      <c r="AM25" s="9" t="s">
        <v>5343</v>
      </c>
      <c r="AN25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{6B265302-C175-4320-B615-E24AA7E5446E}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{037752AA-26C6-44FD-BFD3-748A4A34CEA1}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{EFF8FE09-742E-4458-B4FD-1ACAB78B7186}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{B1A2B3E9-E862-442A-A46E-808A521E24FB}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{0EDFF731-34A8-41D6-AFD3-221804487D2A}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{3EB1E10F-E9B5-46E3-A7FC-A941CDACB10D}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265302-C175-4320-B615-E24AA7E544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037752AA-26C6-44FD-BFD3-748A4A34CEA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FF8FE09-742E-4458-B4FD-1ACAB78B71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1A2B3E9-E862-442A-A46E-808A521E24F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EDFF731-34A8-41D6-AFD3-221804487D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3EB1E10F-E9B5-46E3-A7FC-A941CDACB1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6"/>
  <sheetViews>
    <sheetView showGridLines="0" rightToLeft="1" topLeftCell="Z1" zoomScale="70" zoomScaleNormal="70" workbookViewId="0">
      <selection activeCell="Z26" sqref="Z26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43</v>
      </c>
      <c r="N2" s="8" t="s">
        <v>19</v>
      </c>
      <c r="O2" s="8"/>
      <c r="P2" s="8"/>
      <c r="Q2" s="8"/>
      <c r="R2" s="8"/>
      <c r="S2" s="8"/>
      <c r="T2" s="8"/>
      <c r="U2" s="8"/>
      <c r="V2" s="8"/>
      <c r="W2" s="8" t="s">
        <v>43</v>
      </c>
      <c r="X2" s="8">
        <v>52.3</v>
      </c>
      <c r="Y2" s="8">
        <v>2.5099999999999998</v>
      </c>
      <c r="Z2" s="9">
        <v>2.0099999999999998</v>
      </c>
      <c r="AA2" s="8">
        <v>1595.5</v>
      </c>
      <c r="AB2" s="8">
        <v>863</v>
      </c>
      <c r="AC2" s="21" t="s">
        <v>43</v>
      </c>
      <c r="AD2" s="8" t="s">
        <v>4554</v>
      </c>
      <c r="AE2" s="8" t="s">
        <v>4131</v>
      </c>
      <c r="AF2" s="9">
        <f t="shared" ref="AF2:AF25" si="0">(AA2*Y2)</f>
        <v>4004.7049999999995</v>
      </c>
      <c r="AG2" s="9">
        <f t="shared" ref="AG2:AG25" si="1">((((RIGHT(Z2,2))/60)+(LEFT(Z2,2)))*AA2)</f>
        <v>3217.5916666666667</v>
      </c>
      <c r="AH2" s="9">
        <f t="shared" ref="AH2:AH25" si="2">(AA2/$AA$26)*100</f>
        <v>37.95917396269509</v>
      </c>
      <c r="AI2" s="9">
        <f t="shared" ref="AI2:AI25" si="3">(AH2*AH2)</f>
        <v>1440.8988879301489</v>
      </c>
      <c r="AJ2" s="9">
        <f t="shared" ref="AJ2:AJ25" si="4">(AF2/$AF$26)*100</f>
        <v>44.392513263586672</v>
      </c>
      <c r="AK2" s="9">
        <f t="shared" ref="AK2:AK25" si="5">(AJ2*AJ2)</f>
        <v>1970.6952338577187</v>
      </c>
      <c r="AL2" s="9">
        <f t="shared" ref="AL2:AL25" si="6">(AG2/$AG$26)*100</f>
        <v>55.211591215358247</v>
      </c>
      <c r="AM2" s="9">
        <f t="shared" ref="AM2:AM25" si="7">(AL2*AL2)</f>
        <v>3048.319804531824</v>
      </c>
      <c r="AN2" s="8" t="s">
        <v>43</v>
      </c>
    </row>
    <row r="3" spans="8:40" ht="23">
      <c r="M3" s="8" t="s">
        <v>392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392</v>
      </c>
      <c r="X3" s="8">
        <v>69.37</v>
      </c>
      <c r="Y3" s="8">
        <v>1.41</v>
      </c>
      <c r="Z3" s="9">
        <v>1.02</v>
      </c>
      <c r="AA3" s="8">
        <v>430.5</v>
      </c>
      <c r="AB3" s="8">
        <v>4257</v>
      </c>
      <c r="AC3" s="21" t="s">
        <v>392</v>
      </c>
      <c r="AD3" s="8" t="s">
        <v>4554</v>
      </c>
      <c r="AE3" s="8" t="s">
        <v>4131</v>
      </c>
      <c r="AF3" s="9">
        <f t="shared" si="0"/>
        <v>607.005</v>
      </c>
      <c r="AG3" s="9">
        <f t="shared" si="1"/>
        <v>444.85</v>
      </c>
      <c r="AH3" s="9">
        <f t="shared" si="2"/>
        <v>10.242196421773887</v>
      </c>
      <c r="AI3" s="9">
        <f t="shared" si="3"/>
        <v>104.90258754219781</v>
      </c>
      <c r="AJ3" s="9">
        <f t="shared" si="4"/>
        <v>6.728704739441091</v>
      </c>
      <c r="AK3" s="9">
        <f t="shared" si="5"/>
        <v>45.275467470576999</v>
      </c>
      <c r="AL3" s="9">
        <f t="shared" si="6"/>
        <v>7.6333105305423938</v>
      </c>
      <c r="AM3" s="9">
        <f t="shared" si="7"/>
        <v>58.267429655689405</v>
      </c>
      <c r="AN3" s="8" t="s">
        <v>392</v>
      </c>
    </row>
    <row r="4" spans="8:40" ht="23">
      <c r="M4" s="8" t="s">
        <v>468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468</v>
      </c>
      <c r="X4" s="8">
        <v>45.63</v>
      </c>
      <c r="Y4" s="8">
        <v>2.66</v>
      </c>
      <c r="Z4" s="9">
        <v>1.32</v>
      </c>
      <c r="AA4" s="8">
        <v>326.2</v>
      </c>
      <c r="AB4" s="8">
        <v>4657</v>
      </c>
      <c r="AC4" s="21" t="s">
        <v>468</v>
      </c>
      <c r="AD4" s="8" t="s">
        <v>4554</v>
      </c>
      <c r="AE4" s="8" t="s">
        <v>4131</v>
      </c>
      <c r="AF4" s="9">
        <f t="shared" si="0"/>
        <v>867.69200000000001</v>
      </c>
      <c r="AG4" s="9">
        <f t="shared" si="1"/>
        <v>500.17333333333329</v>
      </c>
      <c r="AH4" s="9">
        <f t="shared" si="2"/>
        <v>7.7607537114579364</v>
      </c>
      <c r="AI4" s="9">
        <f t="shared" si="3"/>
        <v>60.229298169908134</v>
      </c>
      <c r="AJ4" s="9">
        <f t="shared" si="4"/>
        <v>9.6184434605565325</v>
      </c>
      <c r="AK4" s="9">
        <f t="shared" si="5"/>
        <v>92.514454603922729</v>
      </c>
      <c r="AL4" s="9">
        <f t="shared" si="6"/>
        <v>8.5826196974931399</v>
      </c>
      <c r="AM4" s="9">
        <f t="shared" si="7"/>
        <v>73.661360871797243</v>
      </c>
      <c r="AN4" s="8" t="s">
        <v>468</v>
      </c>
    </row>
    <row r="5" spans="8:40" ht="23">
      <c r="M5" s="9" t="s">
        <v>4922</v>
      </c>
      <c r="N5" s="8" t="s">
        <v>150</v>
      </c>
      <c r="O5" s="8"/>
      <c r="P5" s="8" t="s">
        <v>3691</v>
      </c>
      <c r="Q5" s="8"/>
      <c r="R5" s="8"/>
      <c r="S5" s="8"/>
      <c r="T5" s="8"/>
      <c r="U5" s="8"/>
      <c r="V5" s="8"/>
      <c r="W5" s="22" t="s">
        <v>4922</v>
      </c>
      <c r="X5" s="8">
        <v>6.42</v>
      </c>
      <c r="Y5" s="8">
        <v>2.08</v>
      </c>
      <c r="Z5" s="9">
        <v>0.32</v>
      </c>
      <c r="AA5" s="8">
        <v>253.1</v>
      </c>
      <c r="AB5" s="8">
        <v>7732</v>
      </c>
      <c r="AC5" s="22" t="s">
        <v>4922</v>
      </c>
      <c r="AD5" s="8" t="s">
        <v>4554</v>
      </c>
      <c r="AE5" s="8" t="s">
        <v>4131</v>
      </c>
      <c r="AF5" s="9">
        <f t="shared" si="0"/>
        <v>526.44799999999998</v>
      </c>
      <c r="AG5" s="9">
        <f t="shared" si="1"/>
        <v>134.98666666666665</v>
      </c>
      <c r="AH5" s="9">
        <f t="shared" si="2"/>
        <v>6.0216025885039972</v>
      </c>
      <c r="AI5" s="9">
        <f t="shared" si="3"/>
        <v>36.259697733878042</v>
      </c>
      <c r="AJ5" s="9">
        <f t="shared" si="4"/>
        <v>5.8357231862493437</v>
      </c>
      <c r="AK5" s="9">
        <f t="shared" si="5"/>
        <v>34.055665106528195</v>
      </c>
      <c r="AL5" s="9">
        <f t="shared" si="6"/>
        <v>2.316275472967253</v>
      </c>
      <c r="AM5" s="9">
        <f t="shared" si="7"/>
        <v>5.3651320666696716</v>
      </c>
      <c r="AN5" s="9" t="s">
        <v>3660</v>
      </c>
    </row>
    <row r="6" spans="8:40" ht="23">
      <c r="M6" s="8" t="s">
        <v>836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836</v>
      </c>
      <c r="X6" s="8">
        <v>45.96</v>
      </c>
      <c r="Y6" s="8">
        <v>1.02</v>
      </c>
      <c r="Z6" s="9">
        <v>0.02</v>
      </c>
      <c r="AA6" s="8">
        <v>244.3</v>
      </c>
      <c r="AB6" s="8">
        <v>16102</v>
      </c>
      <c r="AC6" s="21" t="s">
        <v>836</v>
      </c>
      <c r="AD6" s="8" t="s">
        <v>4554</v>
      </c>
      <c r="AE6" s="8" t="s">
        <v>4131</v>
      </c>
      <c r="AF6" s="9">
        <f t="shared" si="0"/>
        <v>249.18600000000001</v>
      </c>
      <c r="AG6" s="9">
        <f t="shared" si="1"/>
        <v>8.1433333333333344</v>
      </c>
      <c r="AH6" s="9">
        <f t="shared" si="2"/>
        <v>5.8122382946326612</v>
      </c>
      <c r="AI6" s="9">
        <f t="shared" si="3"/>
        <v>33.782113993594386</v>
      </c>
      <c r="AJ6" s="9">
        <f t="shared" si="4"/>
        <v>2.7622491070129036</v>
      </c>
      <c r="AK6" s="9">
        <f t="shared" si="5"/>
        <v>7.630020129193583</v>
      </c>
      <c r="AL6" s="9">
        <f t="shared" si="6"/>
        <v>0.1397338250804771</v>
      </c>
      <c r="AM6" s="9">
        <f t="shared" si="7"/>
        <v>1.9525541871621373E-2</v>
      </c>
      <c r="AN6" s="8" t="s">
        <v>836</v>
      </c>
    </row>
    <row r="7" spans="8:40" ht="23">
      <c r="M7" s="8" t="s">
        <v>4561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4561</v>
      </c>
      <c r="X7" s="8">
        <v>46.15</v>
      </c>
      <c r="Y7" s="8">
        <v>1.18</v>
      </c>
      <c r="Z7" s="9">
        <v>0.09</v>
      </c>
      <c r="AA7" s="8">
        <v>237.6</v>
      </c>
      <c r="AB7" s="8">
        <v>10650</v>
      </c>
      <c r="AC7" s="21" t="s">
        <v>4561</v>
      </c>
      <c r="AD7" s="8" t="s">
        <v>4554</v>
      </c>
      <c r="AE7" s="8" t="s">
        <v>4131</v>
      </c>
      <c r="AF7" s="9">
        <f t="shared" si="0"/>
        <v>280.36799999999999</v>
      </c>
      <c r="AG7" s="9">
        <f t="shared" si="1"/>
        <v>35.64</v>
      </c>
      <c r="AH7" s="9">
        <f t="shared" si="2"/>
        <v>5.6528359345260757</v>
      </c>
      <c r="AI7" s="9">
        <f t="shared" si="3"/>
        <v>31.954554102669292</v>
      </c>
      <c r="AJ7" s="9">
        <f t="shared" si="4"/>
        <v>3.107904367159446</v>
      </c>
      <c r="AK7" s="9">
        <f t="shared" si="5"/>
        <v>9.659069555408756</v>
      </c>
      <c r="AL7" s="9">
        <f t="shared" si="6"/>
        <v>0.6115571255671145</v>
      </c>
      <c r="AM7" s="9">
        <f t="shared" si="7"/>
        <v>0.37400211783191145</v>
      </c>
      <c r="AN7" s="8" t="s">
        <v>4561</v>
      </c>
    </row>
    <row r="8" spans="8:40" ht="23">
      <c r="M8" s="9" t="s">
        <v>3163</v>
      </c>
      <c r="N8" s="8" t="s">
        <v>1869</v>
      </c>
      <c r="O8" s="8"/>
      <c r="P8" s="8" t="s">
        <v>3691</v>
      </c>
      <c r="Q8" s="8"/>
      <c r="R8" s="8"/>
      <c r="S8" s="8"/>
      <c r="T8" s="8"/>
      <c r="U8" s="8"/>
      <c r="V8" s="8"/>
      <c r="W8" s="9" t="s">
        <v>3163</v>
      </c>
      <c r="X8" s="8">
        <v>2.88</v>
      </c>
      <c r="Y8" s="8">
        <v>2.19</v>
      </c>
      <c r="Z8" s="9">
        <v>3.37</v>
      </c>
      <c r="AA8" s="8">
        <v>191</v>
      </c>
      <c r="AB8" s="8">
        <v>5870</v>
      </c>
      <c r="AC8" s="22" t="s">
        <v>3163</v>
      </c>
      <c r="AD8" s="8" t="s">
        <v>4554</v>
      </c>
      <c r="AE8" s="8" t="s">
        <v>4131</v>
      </c>
      <c r="AF8" s="9">
        <f t="shared" si="0"/>
        <v>418.28999999999996</v>
      </c>
      <c r="AG8" s="9">
        <f t="shared" si="1"/>
        <v>690.7833333333333</v>
      </c>
      <c r="AH8" s="9">
        <f t="shared" si="2"/>
        <v>4.5441568328892279</v>
      </c>
      <c r="AI8" s="9">
        <f t="shared" si="3"/>
        <v>20.64936132189386</v>
      </c>
      <c r="AJ8" s="9">
        <f t="shared" si="4"/>
        <v>4.6367820783367737</v>
      </c>
      <c r="AK8" s="9">
        <f t="shared" si="5"/>
        <v>21.499748041985089</v>
      </c>
      <c r="AL8" s="9">
        <f t="shared" si="6"/>
        <v>11.853352124663392</v>
      </c>
      <c r="AM8" s="9">
        <f t="shared" si="7"/>
        <v>140.50195659126214</v>
      </c>
      <c r="AN8" s="9" t="s">
        <v>3163</v>
      </c>
    </row>
    <row r="9" spans="8:40" ht="23">
      <c r="M9" s="43" t="s">
        <v>5330</v>
      </c>
      <c r="N9" s="8" t="s">
        <v>150</v>
      </c>
      <c r="O9" s="24"/>
      <c r="P9" s="24"/>
      <c r="Q9" s="24"/>
      <c r="R9" s="24"/>
      <c r="S9" s="24"/>
      <c r="T9" s="24"/>
      <c r="U9" s="24"/>
      <c r="V9" s="24"/>
      <c r="W9" s="43" t="s">
        <v>5330</v>
      </c>
      <c r="X9" s="24">
        <v>24.12</v>
      </c>
      <c r="Y9" s="24">
        <v>3.43</v>
      </c>
      <c r="Z9" s="25">
        <v>0.22</v>
      </c>
      <c r="AA9" s="24">
        <v>183.5</v>
      </c>
      <c r="AB9" s="24">
        <v>10254</v>
      </c>
      <c r="AC9" s="43" t="s">
        <v>5330</v>
      </c>
      <c r="AD9" s="8" t="s">
        <v>4554</v>
      </c>
      <c r="AE9" s="8" t="s">
        <v>4131</v>
      </c>
      <c r="AF9" s="9">
        <f t="shared" si="0"/>
        <v>629.40499999999997</v>
      </c>
      <c r="AG9" s="9">
        <f t="shared" si="1"/>
        <v>67.283333333333331</v>
      </c>
      <c r="AH9" s="9">
        <f t="shared" si="2"/>
        <v>4.3657213551579748</v>
      </c>
      <c r="AI9" s="9">
        <f t="shared" si="3"/>
        <v>19.059522950882382</v>
      </c>
      <c r="AJ9" s="9">
        <f t="shared" si="4"/>
        <v>6.977010743779573</v>
      </c>
      <c r="AK9" s="9">
        <f t="shared" si="5"/>
        <v>48.678678918815592</v>
      </c>
      <c r="AL9" s="9">
        <f t="shared" si="6"/>
        <v>1.1545342854070526</v>
      </c>
      <c r="AM9" s="9">
        <f t="shared" si="7"/>
        <v>1.3329494161803737</v>
      </c>
      <c r="AN9" s="43" t="s">
        <v>5330</v>
      </c>
    </row>
    <row r="10" spans="8:40" ht="23">
      <c r="M10" s="9" t="s">
        <v>3042</v>
      </c>
      <c r="N10" s="8" t="s">
        <v>1814</v>
      </c>
      <c r="O10" s="8"/>
      <c r="P10" s="8"/>
      <c r="Q10" s="8"/>
      <c r="R10" s="8"/>
      <c r="S10" s="8"/>
      <c r="T10" s="8"/>
      <c r="U10" s="8"/>
      <c r="V10" s="8"/>
      <c r="W10" s="9" t="s">
        <v>3042</v>
      </c>
      <c r="X10" s="8">
        <v>19.79</v>
      </c>
      <c r="Y10" s="8">
        <v>2.4</v>
      </c>
      <c r="Z10" s="9">
        <v>1.1599999999999999</v>
      </c>
      <c r="AA10" s="8">
        <v>163.69999999999999</v>
      </c>
      <c r="AB10" s="8">
        <v>5545</v>
      </c>
      <c r="AC10" s="22" t="s">
        <v>3042</v>
      </c>
      <c r="AD10" s="8" t="s">
        <v>4554</v>
      </c>
      <c r="AE10" s="8" t="s">
        <v>4131</v>
      </c>
      <c r="AF10" s="9">
        <f t="shared" si="0"/>
        <v>392.87999999999994</v>
      </c>
      <c r="AG10" s="9">
        <f t="shared" si="1"/>
        <v>207.3533333333333</v>
      </c>
      <c r="AH10" s="9">
        <f t="shared" si="2"/>
        <v>3.8946516939474685</v>
      </c>
      <c r="AI10" s="9">
        <f t="shared" si="3"/>
        <v>15.168311817167886</v>
      </c>
      <c r="AJ10" s="9">
        <f t="shared" si="4"/>
        <v>4.3551099546653083</v>
      </c>
      <c r="AK10" s="9">
        <f t="shared" si="5"/>
        <v>18.966982717224862</v>
      </c>
      <c r="AL10" s="9">
        <f t="shared" si="6"/>
        <v>3.5580361534818481</v>
      </c>
      <c r="AM10" s="9">
        <f t="shared" si="7"/>
        <v>12.659621269483905</v>
      </c>
      <c r="AN10" s="9" t="s">
        <v>3042</v>
      </c>
    </row>
    <row r="11" spans="8:40" ht="23">
      <c r="M11" s="8" t="s">
        <v>1754</v>
      </c>
      <c r="N11" s="8" t="s">
        <v>1717</v>
      </c>
      <c r="O11" s="8"/>
      <c r="P11" s="8"/>
      <c r="Q11" s="8"/>
      <c r="R11" s="8"/>
      <c r="S11" s="8"/>
      <c r="T11" s="8"/>
      <c r="U11" s="8"/>
      <c r="V11" s="8"/>
      <c r="W11" s="8" t="s">
        <v>1754</v>
      </c>
      <c r="X11" s="8">
        <v>23.51</v>
      </c>
      <c r="Y11" s="8">
        <v>1.7</v>
      </c>
      <c r="Z11" s="9">
        <v>2.14</v>
      </c>
      <c r="AA11" s="8">
        <v>134.5</v>
      </c>
      <c r="AB11" s="8">
        <v>10499</v>
      </c>
      <c r="AC11" s="21" t="s">
        <v>1754</v>
      </c>
      <c r="AD11" s="8" t="s">
        <v>4554</v>
      </c>
      <c r="AE11" s="8" t="s">
        <v>4131</v>
      </c>
      <c r="AF11" s="9">
        <f t="shared" si="0"/>
        <v>228.65</v>
      </c>
      <c r="AG11" s="9">
        <f t="shared" si="1"/>
        <v>300.38333333333333</v>
      </c>
      <c r="AH11" s="9">
        <f t="shared" si="2"/>
        <v>3.1999429006471263</v>
      </c>
      <c r="AI11" s="9">
        <f t="shared" si="3"/>
        <v>10.239634567401945</v>
      </c>
      <c r="AJ11" s="9">
        <f t="shared" si="4"/>
        <v>2.5346057094640164</v>
      </c>
      <c r="AK11" s="9">
        <f t="shared" si="5"/>
        <v>6.42422610244759</v>
      </c>
      <c r="AL11" s="9">
        <f t="shared" si="6"/>
        <v>5.1543649804040896</v>
      </c>
      <c r="AM11" s="9">
        <f t="shared" si="7"/>
        <v>26.567478351216053</v>
      </c>
      <c r="AN11" s="8" t="s">
        <v>1754</v>
      </c>
    </row>
    <row r="12" spans="8:40" ht="23">
      <c r="M12" s="8" t="s">
        <v>1496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1496</v>
      </c>
      <c r="X12" s="8">
        <v>29.25</v>
      </c>
      <c r="Y12" s="8">
        <v>1.36</v>
      </c>
      <c r="Z12" s="9">
        <v>0.21</v>
      </c>
      <c r="AA12" s="8">
        <v>90.3</v>
      </c>
      <c r="AB12" s="8">
        <v>8500</v>
      </c>
      <c r="AC12" s="21" t="s">
        <v>1496</v>
      </c>
      <c r="AD12" s="8" t="s">
        <v>4554</v>
      </c>
      <c r="AE12" s="8" t="s">
        <v>4131</v>
      </c>
      <c r="AF12" s="9">
        <f t="shared" si="0"/>
        <v>122.80800000000001</v>
      </c>
      <c r="AG12" s="9">
        <f t="shared" si="1"/>
        <v>31.604999999999997</v>
      </c>
      <c r="AH12" s="9">
        <f t="shared" si="2"/>
        <v>2.1483631518842787</v>
      </c>
      <c r="AI12" s="9">
        <f t="shared" si="3"/>
        <v>4.6154642323741522</v>
      </c>
      <c r="AJ12" s="9">
        <f t="shared" si="4"/>
        <v>1.361337668785729</v>
      </c>
      <c r="AK12" s="9">
        <f t="shared" si="5"/>
        <v>1.8532402484549633</v>
      </c>
      <c r="AL12" s="9">
        <f t="shared" si="6"/>
        <v>0.54231938702437299</v>
      </c>
      <c r="AM12" s="9">
        <f t="shared" si="7"/>
        <v>0.29411031754249167</v>
      </c>
      <c r="AN12" s="8" t="s">
        <v>1496</v>
      </c>
    </row>
    <row r="13" spans="8:40" ht="23">
      <c r="M13" s="8" t="s">
        <v>1010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1010</v>
      </c>
      <c r="X13" s="8">
        <v>20.260000000000002</v>
      </c>
      <c r="Y13" s="8">
        <v>1.61</v>
      </c>
      <c r="Z13" s="9">
        <v>0.02</v>
      </c>
      <c r="AA13" s="8">
        <v>88.9</v>
      </c>
      <c r="AB13" s="8">
        <v>49970</v>
      </c>
      <c r="AC13" s="21" t="s">
        <v>1010</v>
      </c>
      <c r="AD13" s="8" t="s">
        <v>4554</v>
      </c>
      <c r="AE13" s="8" t="s">
        <v>4131</v>
      </c>
      <c r="AF13" s="9">
        <f t="shared" si="0"/>
        <v>143.12900000000002</v>
      </c>
      <c r="AG13" s="9">
        <f t="shared" si="1"/>
        <v>2.9633333333333334</v>
      </c>
      <c r="AH13" s="9">
        <f t="shared" si="2"/>
        <v>2.1150551960411117</v>
      </c>
      <c r="AI13" s="9">
        <f t="shared" si="3"/>
        <v>4.4734584823005052</v>
      </c>
      <c r="AJ13" s="9">
        <f t="shared" si="4"/>
        <v>1.5865977720965461</v>
      </c>
      <c r="AK13" s="9">
        <f t="shared" si="5"/>
        <v>2.5172924904217235</v>
      </c>
      <c r="AL13" s="9">
        <f t="shared" si="6"/>
        <v>5.0848698524987357E-2</v>
      </c>
      <c r="AM13" s="9">
        <f t="shared" si="7"/>
        <v>2.5855901416850513E-3</v>
      </c>
      <c r="AN13" s="8" t="s">
        <v>1010</v>
      </c>
    </row>
    <row r="14" spans="8:40" ht="23">
      <c r="M14" s="8" t="s">
        <v>4553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4553</v>
      </c>
      <c r="X14" s="8">
        <v>18.41</v>
      </c>
      <c r="Y14" s="8">
        <v>1.46</v>
      </c>
      <c r="Z14" s="9">
        <v>0.27</v>
      </c>
      <c r="AA14" s="8">
        <v>83.9</v>
      </c>
      <c r="AB14" s="8">
        <v>29939</v>
      </c>
      <c r="AC14" s="21" t="s">
        <v>4553</v>
      </c>
      <c r="AD14" s="8" t="s">
        <v>4554</v>
      </c>
      <c r="AE14" s="8" t="s">
        <v>4131</v>
      </c>
      <c r="AF14" s="9">
        <f t="shared" si="0"/>
        <v>122.494</v>
      </c>
      <c r="AG14" s="9">
        <f t="shared" si="1"/>
        <v>37.755000000000003</v>
      </c>
      <c r="AH14" s="9">
        <f t="shared" si="2"/>
        <v>1.9960982108869436</v>
      </c>
      <c r="AI14" s="9">
        <f t="shared" si="3"/>
        <v>3.9844080675060574</v>
      </c>
      <c r="AJ14" s="9">
        <f t="shared" si="4"/>
        <v>1.3578569506891984</v>
      </c>
      <c r="AK14" s="9">
        <f t="shared" si="5"/>
        <v>1.8437754985349684</v>
      </c>
      <c r="AL14" s="9">
        <f t="shared" si="6"/>
        <v>0.6478490256954661</v>
      </c>
      <c r="AM14" s="9">
        <f t="shared" si="7"/>
        <v>0.41970836009456469</v>
      </c>
      <c r="AN14" s="8" t="s">
        <v>4553</v>
      </c>
    </row>
    <row r="15" spans="8:40" ht="23">
      <c r="M15" s="9" t="s">
        <v>4406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9" t="s">
        <v>4406</v>
      </c>
      <c r="X15" s="8">
        <v>14.4</v>
      </c>
      <c r="Y15" s="8">
        <v>2.37</v>
      </c>
      <c r="Z15" s="9">
        <v>0.18</v>
      </c>
      <c r="AA15" s="8">
        <v>64.900000000000006</v>
      </c>
      <c r="AB15" s="8">
        <v>11631</v>
      </c>
      <c r="AC15" s="22" t="s">
        <v>4406</v>
      </c>
      <c r="AD15" s="8" t="s">
        <v>4554</v>
      </c>
      <c r="AE15" s="8" t="s">
        <v>4131</v>
      </c>
      <c r="AF15" s="9">
        <f t="shared" si="0"/>
        <v>153.81300000000002</v>
      </c>
      <c r="AG15" s="9">
        <f t="shared" si="1"/>
        <v>19.470000000000002</v>
      </c>
      <c r="AH15" s="9">
        <f t="shared" si="2"/>
        <v>1.5440616673011043</v>
      </c>
      <c r="AI15" s="9">
        <f t="shared" si="3"/>
        <v>2.384126432428666</v>
      </c>
      <c r="AJ15" s="9">
        <f t="shared" si="4"/>
        <v>1.7050308680944186</v>
      </c>
      <c r="AK15" s="9">
        <f t="shared" si="5"/>
        <v>2.9071302611548067</v>
      </c>
      <c r="AL15" s="9">
        <f t="shared" si="6"/>
        <v>0.33409139267092369</v>
      </c>
      <c r="AM15" s="9">
        <f t="shared" si="7"/>
        <v>0.11161705865679733</v>
      </c>
      <c r="AN15" s="9" t="s">
        <v>4406</v>
      </c>
    </row>
    <row r="16" spans="8:40" ht="23">
      <c r="M16" s="9" t="s">
        <v>2340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9" t="s">
        <v>2340</v>
      </c>
      <c r="X16" s="8">
        <v>39.92</v>
      </c>
      <c r="Y16" s="8">
        <v>1.51</v>
      </c>
      <c r="Z16" s="9">
        <v>0.16</v>
      </c>
      <c r="AA16" s="8">
        <v>44</v>
      </c>
      <c r="AB16" s="8">
        <v>19143</v>
      </c>
      <c r="AC16" s="22" t="s">
        <v>2340</v>
      </c>
      <c r="AD16" s="8" t="s">
        <v>4554</v>
      </c>
      <c r="AE16" s="8" t="s">
        <v>4131</v>
      </c>
      <c r="AF16" s="9">
        <f t="shared" si="0"/>
        <v>66.44</v>
      </c>
      <c r="AG16" s="9">
        <f t="shared" si="1"/>
        <v>11.733333333333333</v>
      </c>
      <c r="AH16" s="9">
        <f t="shared" si="2"/>
        <v>1.0468214693566806</v>
      </c>
      <c r="AI16" s="9">
        <f t="shared" si="3"/>
        <v>1.0958351887060798</v>
      </c>
      <c r="AJ16" s="9">
        <f t="shared" si="4"/>
        <v>0.73649334501110542</v>
      </c>
      <c r="AK16" s="9">
        <f t="shared" si="5"/>
        <v>0.54242244724564714</v>
      </c>
      <c r="AL16" s="9">
        <f t="shared" si="6"/>
        <v>0.20133567919905004</v>
      </c>
      <c r="AM16" s="9">
        <f t="shared" si="7"/>
        <v>4.0536055718542789E-2</v>
      </c>
      <c r="AN16" s="9" t="s">
        <v>2340</v>
      </c>
    </row>
    <row r="17" spans="13:40" ht="23">
      <c r="M17" s="9" t="s">
        <v>3107</v>
      </c>
      <c r="N17" s="8" t="s">
        <v>1814</v>
      </c>
      <c r="O17" s="8"/>
      <c r="P17" s="8" t="s">
        <v>3691</v>
      </c>
      <c r="Q17" s="8"/>
      <c r="R17" s="8"/>
      <c r="S17" s="8"/>
      <c r="T17" s="8"/>
      <c r="U17" s="8"/>
      <c r="V17" s="8"/>
      <c r="W17" s="9" t="s">
        <v>3107</v>
      </c>
      <c r="X17" s="8">
        <v>31.83</v>
      </c>
      <c r="Y17" s="8">
        <v>4.68</v>
      </c>
      <c r="Z17" s="9">
        <v>2.14</v>
      </c>
      <c r="AA17" s="8">
        <v>21.9</v>
      </c>
      <c r="AB17" s="8">
        <v>13775</v>
      </c>
      <c r="AC17" s="22" t="s">
        <v>3107</v>
      </c>
      <c r="AD17" s="8" t="s">
        <v>4554</v>
      </c>
      <c r="AE17" s="8" t="s">
        <v>4131</v>
      </c>
      <c r="AF17" s="9">
        <f t="shared" si="0"/>
        <v>102.49199999999999</v>
      </c>
      <c r="AG17" s="9">
        <f t="shared" si="1"/>
        <v>48.91</v>
      </c>
      <c r="AH17" s="9">
        <f t="shared" si="2"/>
        <v>0.52103159497525697</v>
      </c>
      <c r="AI17" s="9">
        <f t="shared" si="3"/>
        <v>0.2714739229624602</v>
      </c>
      <c r="AJ17" s="9">
        <f t="shared" si="4"/>
        <v>1.136132990922309</v>
      </c>
      <c r="AK17" s="9">
        <f t="shared" si="5"/>
        <v>1.2907981730620715</v>
      </c>
      <c r="AL17" s="9">
        <f t="shared" si="6"/>
        <v>0.83926091502490374</v>
      </c>
      <c r="AM17" s="9">
        <f t="shared" si="7"/>
        <v>0.70435888348843867</v>
      </c>
      <c r="AN17" s="9" t="s">
        <v>3107</v>
      </c>
    </row>
    <row r="18" spans="13:40" ht="23">
      <c r="M18" s="9" t="s">
        <v>2192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9" t="s">
        <v>2192</v>
      </c>
      <c r="X18" s="8">
        <v>14.12</v>
      </c>
      <c r="Y18" s="8">
        <v>1.47</v>
      </c>
      <c r="Z18" s="9">
        <v>1.05</v>
      </c>
      <c r="AA18" s="8">
        <v>20</v>
      </c>
      <c r="AB18" s="8">
        <v>15645</v>
      </c>
      <c r="AC18" s="22" t="s">
        <v>2192</v>
      </c>
      <c r="AD18" s="8" t="s">
        <v>4554</v>
      </c>
      <c r="AE18" s="8" t="s">
        <v>4131</v>
      </c>
      <c r="AF18" s="9">
        <f t="shared" si="0"/>
        <v>29.4</v>
      </c>
      <c r="AG18" s="9">
        <f t="shared" si="1"/>
        <v>21.666666666666664</v>
      </c>
      <c r="AH18" s="9">
        <f t="shared" si="2"/>
        <v>0.47582794061667305</v>
      </c>
      <c r="AI18" s="9">
        <f t="shared" si="3"/>
        <v>0.22641222907150413</v>
      </c>
      <c r="AJ18" s="9">
        <f t="shared" si="4"/>
        <v>0.32590163069425793</v>
      </c>
      <c r="AK18" s="9">
        <f t="shared" si="5"/>
        <v>0.10621187288917648</v>
      </c>
      <c r="AL18" s="9">
        <f t="shared" si="6"/>
        <v>0.37178463488460944</v>
      </c>
      <c r="AM18" s="9">
        <f t="shared" si="7"/>
        <v>0.13822381473628234</v>
      </c>
      <c r="AN18" s="9" t="s">
        <v>2192</v>
      </c>
    </row>
    <row r="19" spans="13:40" ht="23">
      <c r="M19" s="21" t="s">
        <v>4923</v>
      </c>
      <c r="N19" s="8" t="s">
        <v>150</v>
      </c>
      <c r="O19" s="24"/>
      <c r="P19" s="24"/>
      <c r="Q19" s="24"/>
      <c r="R19" s="24"/>
      <c r="S19" s="24"/>
      <c r="T19" s="24"/>
      <c r="U19" s="24"/>
      <c r="V19" s="24"/>
      <c r="W19" s="21" t="s">
        <v>4923</v>
      </c>
      <c r="X19" s="24">
        <v>82.28</v>
      </c>
      <c r="Y19" s="24">
        <v>1.59</v>
      </c>
      <c r="Z19" s="25">
        <v>0.48</v>
      </c>
      <c r="AA19" s="24">
        <v>11.8</v>
      </c>
      <c r="AB19" s="24">
        <v>63802</v>
      </c>
      <c r="AC19" s="21" t="s">
        <v>4923</v>
      </c>
      <c r="AD19" s="8" t="s">
        <v>4554</v>
      </c>
      <c r="AE19" s="8" t="s">
        <v>4131</v>
      </c>
      <c r="AF19" s="25">
        <f t="shared" si="0"/>
        <v>18.762</v>
      </c>
      <c r="AG19" s="9">
        <f t="shared" si="1"/>
        <v>9.4400000000000013</v>
      </c>
      <c r="AH19" s="9">
        <f t="shared" si="2"/>
        <v>0.28073848496383708</v>
      </c>
      <c r="AI19" s="25">
        <f t="shared" si="3"/>
        <v>7.8814096939790579E-2</v>
      </c>
      <c r="AJ19" s="9">
        <f t="shared" si="4"/>
        <v>0.20797844881243768</v>
      </c>
      <c r="AK19" s="25">
        <f t="shared" si="5"/>
        <v>4.3255035170427759E-2</v>
      </c>
      <c r="AL19" s="9">
        <f t="shared" si="6"/>
        <v>0.16198370553741756</v>
      </c>
      <c r="AM19" s="25">
        <f t="shared" si="7"/>
        <v>2.6238720859632799E-2</v>
      </c>
      <c r="AN19" s="21" t="s">
        <v>4923</v>
      </c>
    </row>
    <row r="20" spans="13:40" ht="23">
      <c r="M20" s="21" t="s">
        <v>5324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21" t="s">
        <v>5324</v>
      </c>
      <c r="X20" s="8">
        <v>36.42</v>
      </c>
      <c r="Y20" s="8">
        <v>1.1299999999999999</v>
      </c>
      <c r="Z20" s="9">
        <v>0.04</v>
      </c>
      <c r="AA20" s="8">
        <v>4.5999999999999996</v>
      </c>
      <c r="AB20" s="8">
        <v>97766</v>
      </c>
      <c r="AC20" s="21" t="s">
        <v>5324</v>
      </c>
      <c r="AD20" s="8" t="s">
        <v>4554</v>
      </c>
      <c r="AE20" s="8" t="s">
        <v>4131</v>
      </c>
      <c r="AF20" s="9">
        <f t="shared" si="0"/>
        <v>5.1979999999999995</v>
      </c>
      <c r="AG20" s="9">
        <f t="shared" si="1"/>
        <v>0.30666666666666664</v>
      </c>
      <c r="AH20" s="9">
        <f t="shared" si="2"/>
        <v>0.10944042634183479</v>
      </c>
      <c r="AI20" s="9">
        <f t="shared" si="3"/>
        <v>1.1977206917882566E-2</v>
      </c>
      <c r="AJ20" s="9">
        <f t="shared" si="4"/>
        <v>5.7620295113903153E-2</v>
      </c>
      <c r="AK20" s="9">
        <f t="shared" si="5"/>
        <v>3.3200984090132916E-3</v>
      </c>
      <c r="AL20" s="9">
        <f t="shared" si="6"/>
        <v>5.2621825245206264E-3</v>
      </c>
      <c r="AM20" s="9">
        <f t="shared" si="7"/>
        <v>2.7690564921370273E-5</v>
      </c>
      <c r="AN20" s="21" t="s">
        <v>5324</v>
      </c>
    </row>
    <row r="21" spans="13:40" ht="23">
      <c r="M21" s="9" t="s">
        <v>3609</v>
      </c>
      <c r="N21" s="8" t="s">
        <v>2084</v>
      </c>
      <c r="O21" s="8"/>
      <c r="P21" s="8"/>
      <c r="Q21" s="8"/>
      <c r="R21" s="8"/>
      <c r="S21" s="8"/>
      <c r="T21" s="8"/>
      <c r="U21" s="8"/>
      <c r="V21" s="8"/>
      <c r="W21" s="9" t="s">
        <v>3609</v>
      </c>
      <c r="X21" s="8">
        <v>32.6</v>
      </c>
      <c r="Y21" s="8">
        <v>5.32</v>
      </c>
      <c r="Z21" s="9">
        <v>4.28</v>
      </c>
      <c r="AA21" s="8">
        <v>4.3</v>
      </c>
      <c r="AB21" s="8">
        <v>18585</v>
      </c>
      <c r="AC21" s="22" t="s">
        <v>3609</v>
      </c>
      <c r="AD21" s="8" t="s">
        <v>4554</v>
      </c>
      <c r="AE21" s="8" t="s">
        <v>4131</v>
      </c>
      <c r="AF21" s="9">
        <f t="shared" si="0"/>
        <v>22.876000000000001</v>
      </c>
      <c r="AG21" s="9">
        <f t="shared" si="1"/>
        <v>19.206666666666667</v>
      </c>
      <c r="AH21" s="9">
        <f t="shared" si="2"/>
        <v>0.1023030072325847</v>
      </c>
      <c r="AI21" s="9">
        <f t="shared" si="3"/>
        <v>1.0465905288830278E-2</v>
      </c>
      <c r="AJ21" s="9">
        <f t="shared" si="4"/>
        <v>0.25358250693067502</v>
      </c>
      <c r="AK21" s="9">
        <f t="shared" si="5"/>
        <v>6.4304087821245845E-2</v>
      </c>
      <c r="AL21" s="9">
        <f t="shared" si="6"/>
        <v>0.3295727794161723</v>
      </c>
      <c r="AM21" s="9">
        <f t="shared" si="7"/>
        <v>0.10861821693210097</v>
      </c>
      <c r="AN21" s="9" t="s">
        <v>3609</v>
      </c>
    </row>
    <row r="22" spans="13:40" ht="23">
      <c r="M22" s="13" t="s">
        <v>2473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13" t="s">
        <v>2473</v>
      </c>
      <c r="X22" s="8">
        <v>51.84</v>
      </c>
      <c r="Y22" s="8">
        <v>2.35</v>
      </c>
      <c r="Z22" s="9">
        <v>1.1000000000000001</v>
      </c>
      <c r="AA22" s="8">
        <v>3</v>
      </c>
      <c r="AB22" s="8">
        <v>46344</v>
      </c>
      <c r="AC22" s="34" t="s">
        <v>2473</v>
      </c>
      <c r="AD22" s="8" t="s">
        <v>4554</v>
      </c>
      <c r="AE22" s="8" t="s">
        <v>4131</v>
      </c>
      <c r="AF22" s="9">
        <f t="shared" si="0"/>
        <v>7.0500000000000007</v>
      </c>
      <c r="AG22" s="9">
        <f t="shared" si="1"/>
        <v>3.0049999999999999</v>
      </c>
      <c r="AH22" s="9">
        <f t="shared" si="2"/>
        <v>7.1374191092500955E-2</v>
      </c>
      <c r="AI22" s="9">
        <f t="shared" si="3"/>
        <v>5.0942751541088425E-3</v>
      </c>
      <c r="AJ22" s="9">
        <f t="shared" si="4"/>
        <v>7.8149880829745541E-2</v>
      </c>
      <c r="AK22" s="9">
        <f t="shared" si="5"/>
        <v>6.1074038737034299E-3</v>
      </c>
      <c r="AL22" s="9">
        <f t="shared" si="6"/>
        <v>5.1563668976688529E-2</v>
      </c>
      <c r="AM22" s="9">
        <f t="shared" si="7"/>
        <v>2.658811958337511E-3</v>
      </c>
      <c r="AN22" s="13" t="s">
        <v>2473</v>
      </c>
    </row>
    <row r="23" spans="13:40" ht="23">
      <c r="M23" s="8" t="s">
        <v>4555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4555</v>
      </c>
      <c r="X23" s="8">
        <v>70.760000000000005</v>
      </c>
      <c r="Y23" s="8">
        <v>1.68</v>
      </c>
      <c r="Z23" s="9">
        <v>1.02</v>
      </c>
      <c r="AA23" s="8">
        <v>2.9</v>
      </c>
      <c r="AB23" s="8">
        <v>43077</v>
      </c>
      <c r="AC23" s="21" t="s">
        <v>4555</v>
      </c>
      <c r="AD23" s="8" t="s">
        <v>4554</v>
      </c>
      <c r="AE23" s="8" t="s">
        <v>4131</v>
      </c>
      <c r="AF23" s="9">
        <f t="shared" si="0"/>
        <v>4.8719999999999999</v>
      </c>
      <c r="AG23" s="9">
        <f t="shared" si="1"/>
        <v>2.996666666666667</v>
      </c>
      <c r="AH23" s="9">
        <f t="shared" si="2"/>
        <v>6.8995051389417583E-2</v>
      </c>
      <c r="AI23" s="9">
        <f t="shared" si="3"/>
        <v>4.7603171162283733E-3</v>
      </c>
      <c r="AJ23" s="9">
        <f t="shared" si="4"/>
        <v>5.4006555943619888E-2</v>
      </c>
      <c r="AK23" s="9">
        <f t="shared" si="5"/>
        <v>2.9167080848913449E-3</v>
      </c>
      <c r="AL23" s="9">
        <f t="shared" si="6"/>
        <v>5.1420674886348293E-2</v>
      </c>
      <c r="AM23" s="9">
        <f t="shared" si="7"/>
        <v>2.64408580576753E-3</v>
      </c>
      <c r="AN23" s="8" t="s">
        <v>4555</v>
      </c>
    </row>
    <row r="24" spans="13:40" ht="23">
      <c r="M24" s="8" t="s">
        <v>241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241</v>
      </c>
      <c r="X24" s="8">
        <v>52.37</v>
      </c>
      <c r="Y24" s="8">
        <v>6.1</v>
      </c>
      <c r="Z24" s="9">
        <v>6.12</v>
      </c>
      <c r="AA24" s="8">
        <v>1.6</v>
      </c>
      <c r="AB24" s="8">
        <v>67481</v>
      </c>
      <c r="AC24" s="21" t="s">
        <v>241</v>
      </c>
      <c r="AD24" s="8" t="s">
        <v>4554</v>
      </c>
      <c r="AE24" s="8" t="s">
        <v>4131</v>
      </c>
      <c r="AF24" s="9">
        <f t="shared" si="0"/>
        <v>9.76</v>
      </c>
      <c r="AG24" s="9">
        <f t="shared" si="1"/>
        <v>9.9200000000000017</v>
      </c>
      <c r="AH24" s="9">
        <f t="shared" si="2"/>
        <v>3.8066235249333842E-2</v>
      </c>
      <c r="AI24" s="9">
        <f t="shared" si="3"/>
        <v>1.4490382660576264E-3</v>
      </c>
      <c r="AJ24" s="9">
        <f t="shared" si="4"/>
        <v>0.10819047331891013</v>
      </c>
      <c r="AK24" s="9">
        <f t="shared" si="5"/>
        <v>1.1705178516969804E-2</v>
      </c>
      <c r="AL24" s="9">
        <f t="shared" si="6"/>
        <v>0.1702201651410151</v>
      </c>
      <c r="AM24" s="9">
        <f t="shared" si="7"/>
        <v>2.8974904620634449E-2</v>
      </c>
      <c r="AN24" s="8" t="s">
        <v>241</v>
      </c>
    </row>
    <row r="25" spans="13:40" ht="23">
      <c r="M25" s="21" t="s">
        <v>5325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21" t="s">
        <v>5325</v>
      </c>
      <c r="X25" s="8">
        <v>28.24</v>
      </c>
      <c r="Y25" s="8">
        <v>6.17</v>
      </c>
      <c r="Z25" s="9">
        <v>1.19</v>
      </c>
      <c r="AA25" s="8">
        <v>1.2</v>
      </c>
      <c r="AB25" s="8">
        <v>42316</v>
      </c>
      <c r="AC25" s="21" t="s">
        <v>5325</v>
      </c>
      <c r="AD25" s="8" t="s">
        <v>4554</v>
      </c>
      <c r="AE25" s="8" t="s">
        <v>4131</v>
      </c>
      <c r="AF25" s="9">
        <f t="shared" si="0"/>
        <v>7.4039999999999999</v>
      </c>
      <c r="AG25" s="9">
        <f t="shared" si="1"/>
        <v>1.5799999999999998</v>
      </c>
      <c r="AH25" s="9">
        <f t="shared" si="2"/>
        <v>2.854967643700038E-2</v>
      </c>
      <c r="AI25" s="9">
        <f t="shared" si="3"/>
        <v>8.1508402465741466E-4</v>
      </c>
      <c r="AJ25" s="9">
        <f t="shared" si="4"/>
        <v>8.207400250545191E-2</v>
      </c>
      <c r="AK25" s="9">
        <f t="shared" si="5"/>
        <v>6.7361418872649266E-3</v>
      </c>
      <c r="AL25" s="9">
        <f t="shared" si="6"/>
        <v>2.7111679528508445E-2</v>
      </c>
      <c r="AM25" s="9">
        <f t="shared" si="7"/>
        <v>7.3504316685654388E-4</v>
      </c>
      <c r="AN25" s="21" t="s">
        <v>5325</v>
      </c>
    </row>
    <row r="26" spans="13:40" ht="18">
      <c r="M26" s="49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9"/>
      <c r="AA26" s="48">
        <f>SUBTOTAL(109,Table13614[ترافیک کل])</f>
        <v>4203.2</v>
      </c>
      <c r="AB26" s="48"/>
      <c r="AC26" s="53"/>
      <c r="AD26" s="48"/>
      <c r="AE26" s="48"/>
      <c r="AF26" s="49">
        <f>SUBTOTAL(109,Table13614[[مجموع صفحات  مشاهده شده   ]])</f>
        <v>9021.1270000000022</v>
      </c>
      <c r="AG26" s="49">
        <f>SUBTOTAL(109,Table13614[[مجموع زمان حضور در سایت ]])</f>
        <v>5827.7466666666669</v>
      </c>
      <c r="AH26" s="49">
        <f>SUBTOTAL(109,Table13614[سهم سایت از کل ترافیک طبقه بندی])</f>
        <v>100</v>
      </c>
      <c r="AI26" s="49">
        <f>SUBTOTAL(109,Table13614[شاخص هرفیندال هیرشمن (ترافیک)])</f>
        <v>1790.3085246087996</v>
      </c>
      <c r="AJ26" s="49">
        <f>SUBTOTAL(109,Table13614[سهم سایت از کل صفحات مشاهده شده در طبقه بندی])</f>
        <v>99.999999999999972</v>
      </c>
      <c r="AK26" s="49">
        <f>SUBTOTAL(109,Table13614[شاخص هرفیندال -هیرشمن (صفحات مشاهده شده )])</f>
        <v>2266.5987621493477</v>
      </c>
      <c r="AL26" s="49">
        <f>SUBTOTAL(109,Table13614[سهم سایت از کل زمان حضور در طبقه بندی])</f>
        <v>99.999999999999986</v>
      </c>
      <c r="AM26" s="49">
        <f>SUBTOTAL(109,Table13614[شاخص هرفیندال هیرشمن (زمان حضور)])</f>
        <v>3368.9502979681133</v>
      </c>
      <c r="AN26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{F8CC2B0F-3ECB-48A4-85C2-0DD6737CEFA1}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{D287F42C-68DE-4E02-850F-A4DDDA0BE575}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{7E26EAFC-0F86-4435-AA72-E9C8E88E3F4B}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{B80B8CEC-0773-4768-9C35-B4D991A0BBB3}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{49BECFE8-BBD1-4367-80F3-41189FB07C82}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{21CEEBCB-A161-4C80-B797-BDFE02B2815F}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8CC2B0F-3ECB-48A4-85C2-0DD6737CEFA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D287F42C-68DE-4E02-850F-A4DDDA0BE5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E26EAFC-0F86-4435-AA72-E9C8E88E3F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80B8CEC-0773-4768-9C35-B4D991A0BBB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49BECFE8-BBD1-4367-80F3-41189FB07C8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21CEEBCB-A161-4C80-B797-BDFE02B2815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92"/>
  <sheetViews>
    <sheetView showGridLines="0" rightToLeft="1" topLeftCell="AA1" zoomScale="85" zoomScaleNormal="85" workbookViewId="0">
      <selection activeCell="AC92" sqref="AC9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3783</v>
      </c>
      <c r="N2" s="8" t="s">
        <v>150</v>
      </c>
      <c r="O2" s="8"/>
      <c r="P2" s="8" t="s">
        <v>3691</v>
      </c>
      <c r="Q2" s="8"/>
      <c r="R2" s="8"/>
      <c r="S2" s="8"/>
      <c r="T2" s="8"/>
      <c r="U2" s="8"/>
      <c r="V2" s="8"/>
      <c r="W2" s="8" t="s">
        <v>3783</v>
      </c>
      <c r="X2" s="8">
        <v>41.67</v>
      </c>
      <c r="Y2" s="8">
        <v>4.9400000000000004</v>
      </c>
      <c r="Z2" s="9">
        <v>3.57</v>
      </c>
      <c r="AA2" s="8">
        <v>2800.7</v>
      </c>
      <c r="AB2" s="8">
        <v>85</v>
      </c>
      <c r="AC2" s="21" t="s">
        <v>3783</v>
      </c>
      <c r="AD2" s="8" t="s">
        <v>4036</v>
      </c>
      <c r="AE2" s="8" t="s">
        <v>3681</v>
      </c>
      <c r="AF2" s="9">
        <f t="shared" ref="AF2:AF33" si="0">(AA2*Y2)</f>
        <v>13835.458000000001</v>
      </c>
      <c r="AG2" s="9">
        <f t="shared" ref="AG2:AG33" si="1">((((RIGHT(Z2,2))/60)+(LEFT(Z2,2)))*AA2)</f>
        <v>11062.764999999999</v>
      </c>
      <c r="AH2" s="9">
        <f t="shared" ref="AH2:AH33" si="2">(AA2/$AA$92)*100</f>
        <v>8.2989851100081449</v>
      </c>
      <c r="AI2" s="9">
        <f t="shared" ref="AI2:AI33" si="3">(AH2*AH2)</f>
        <v>68.873153856136895</v>
      </c>
      <c r="AJ2" s="9">
        <f t="shared" ref="AJ2:AJ33" si="4">(AF2/$AF$92)*100</f>
        <v>8.7790213830084145</v>
      </c>
      <c r="AK2" s="9">
        <f t="shared" ref="AK2:AK33" si="5">(AJ2*AJ2)</f>
        <v>77.071216443318974</v>
      </c>
      <c r="AL2" s="9">
        <f t="shared" ref="AL2:AL33" si="6">(AG2/$AG$92)*100</f>
        <v>9.6665090149604094</v>
      </c>
      <c r="AM2" s="9">
        <f t="shared" ref="AM2:AM33" si="7">(AL2*AL2)</f>
        <v>93.441396536310862</v>
      </c>
      <c r="AN2" s="8" t="s">
        <v>3783</v>
      </c>
    </row>
    <row r="3" spans="8:40" ht="23">
      <c r="M3" s="8" t="s">
        <v>3878</v>
      </c>
      <c r="N3" s="8" t="s">
        <v>150</v>
      </c>
      <c r="O3" s="8"/>
      <c r="P3" s="8" t="s">
        <v>3704</v>
      </c>
      <c r="Q3" s="8"/>
      <c r="R3" s="8"/>
      <c r="S3" s="8"/>
      <c r="T3" s="8"/>
      <c r="U3" s="8"/>
      <c r="V3" s="8"/>
      <c r="W3" s="8" t="s">
        <v>3878</v>
      </c>
      <c r="X3" s="8">
        <v>21.42</v>
      </c>
      <c r="Y3" s="8">
        <v>5.73</v>
      </c>
      <c r="Z3" s="9">
        <v>3.44</v>
      </c>
      <c r="AA3" s="8">
        <v>2544.4</v>
      </c>
      <c r="AB3" s="8">
        <v>209</v>
      </c>
      <c r="AC3" s="21" t="s">
        <v>3878</v>
      </c>
      <c r="AD3" s="8" t="s">
        <v>4036</v>
      </c>
      <c r="AE3" s="8" t="s">
        <v>3681</v>
      </c>
      <c r="AF3" s="9">
        <f t="shared" si="0"/>
        <v>14579.412000000002</v>
      </c>
      <c r="AG3" s="9">
        <f t="shared" si="1"/>
        <v>9499.0933333333342</v>
      </c>
      <c r="AH3" s="9">
        <f t="shared" si="2"/>
        <v>7.539521446033036</v>
      </c>
      <c r="AI3" s="9">
        <f t="shared" si="3"/>
        <v>56.844383635192081</v>
      </c>
      <c r="AJ3" s="9">
        <f t="shared" si="4"/>
        <v>9.2510829565374344</v>
      </c>
      <c r="AK3" s="9">
        <f t="shared" si="5"/>
        <v>85.582535868737395</v>
      </c>
      <c r="AL3" s="9">
        <f t="shared" si="6"/>
        <v>8.300191800207001</v>
      </c>
      <c r="AM3" s="9">
        <f t="shared" si="7"/>
        <v>68.893183920223535</v>
      </c>
      <c r="AN3" s="8" t="s">
        <v>3878</v>
      </c>
    </row>
    <row r="4" spans="8:40" ht="23">
      <c r="M4" s="8" t="s">
        <v>4562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4562</v>
      </c>
      <c r="X4" s="8">
        <v>34.880000000000003</v>
      </c>
      <c r="Y4" s="8">
        <v>5.66</v>
      </c>
      <c r="Z4" s="9">
        <v>5.03</v>
      </c>
      <c r="AA4" s="8">
        <v>1993.5</v>
      </c>
      <c r="AB4" s="8">
        <v>231</v>
      </c>
      <c r="AC4" s="21" t="s">
        <v>4562</v>
      </c>
      <c r="AD4" s="8" t="s">
        <v>4036</v>
      </c>
      <c r="AE4" s="8" t="s">
        <v>3681</v>
      </c>
      <c r="AF4" s="9">
        <f t="shared" si="0"/>
        <v>11283.210000000001</v>
      </c>
      <c r="AG4" s="9">
        <f t="shared" si="1"/>
        <v>10067.174999999999</v>
      </c>
      <c r="AH4" s="9">
        <f t="shared" si="2"/>
        <v>5.9071042299429566</v>
      </c>
      <c r="AI4" s="9">
        <f t="shared" si="3"/>
        <v>34.893880383409972</v>
      </c>
      <c r="AJ4" s="9">
        <f t="shared" si="4"/>
        <v>7.1595419435319299</v>
      </c>
      <c r="AK4" s="9">
        <f t="shared" si="5"/>
        <v>51.259040841192963</v>
      </c>
      <c r="AL4" s="9">
        <f t="shared" si="6"/>
        <v>8.7965746260255973</v>
      </c>
      <c r="AM4" s="9">
        <f t="shared" si="7"/>
        <v>77.37972515123738</v>
      </c>
      <c r="AN4" s="8" t="s">
        <v>4562</v>
      </c>
    </row>
    <row r="5" spans="8:40" ht="23">
      <c r="M5" s="9" t="s">
        <v>2882</v>
      </c>
      <c r="N5" s="8" t="s">
        <v>1717</v>
      </c>
      <c r="O5" s="8"/>
      <c r="P5" s="8" t="s">
        <v>4667</v>
      </c>
      <c r="Q5" s="8"/>
      <c r="R5" s="8"/>
      <c r="S5" s="8"/>
      <c r="T5" s="8"/>
      <c r="U5" s="8"/>
      <c r="V5" s="8"/>
      <c r="W5" s="9" t="s">
        <v>2882</v>
      </c>
      <c r="X5" s="8">
        <v>43.38</v>
      </c>
      <c r="Y5" s="8">
        <v>4.7300000000000004</v>
      </c>
      <c r="Z5" s="9">
        <v>4.21</v>
      </c>
      <c r="AA5" s="8">
        <v>1834.9</v>
      </c>
      <c r="AB5" s="8">
        <v>144</v>
      </c>
      <c r="AC5" s="22" t="s">
        <v>2882</v>
      </c>
      <c r="AD5" s="8" t="s">
        <v>4036</v>
      </c>
      <c r="AE5" s="8" t="s">
        <v>3681</v>
      </c>
      <c r="AF5" s="9">
        <f t="shared" si="0"/>
        <v>8679.0770000000011</v>
      </c>
      <c r="AG5" s="9">
        <f t="shared" si="1"/>
        <v>7981.8149999999996</v>
      </c>
      <c r="AH5" s="9">
        <f t="shared" si="2"/>
        <v>5.4371434921105246</v>
      </c>
      <c r="AI5" s="9">
        <f t="shared" si="3"/>
        <v>29.562529353799832</v>
      </c>
      <c r="AJ5" s="9">
        <f t="shared" si="4"/>
        <v>5.5071398841857295</v>
      </c>
      <c r="AK5" s="9">
        <f t="shared" si="5"/>
        <v>30.328589703989209</v>
      </c>
      <c r="AL5" s="9">
        <f t="shared" si="6"/>
        <v>6.974412513801588</v>
      </c>
      <c r="AM5" s="9">
        <f t="shared" si="7"/>
        <v>48.642429912672185</v>
      </c>
      <c r="AN5" s="9" t="s">
        <v>2882</v>
      </c>
    </row>
    <row r="6" spans="8:40" ht="21.5" customHeight="1">
      <c r="M6" s="8" t="s">
        <v>1262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1262</v>
      </c>
      <c r="X6" s="8">
        <v>40.950000000000003</v>
      </c>
      <c r="Y6" s="8">
        <v>6.47</v>
      </c>
      <c r="Z6" s="9">
        <v>5</v>
      </c>
      <c r="AA6" s="8">
        <v>1587.1</v>
      </c>
      <c r="AB6" s="8">
        <v>182</v>
      </c>
      <c r="AC6" s="21" t="s">
        <v>1262</v>
      </c>
      <c r="AD6" s="8" t="s">
        <v>4036</v>
      </c>
      <c r="AE6" s="8" t="s">
        <v>3681</v>
      </c>
      <c r="AF6" s="9">
        <f t="shared" si="0"/>
        <v>10268.536999999998</v>
      </c>
      <c r="AG6" s="9">
        <f t="shared" si="1"/>
        <v>8067.7583333333323</v>
      </c>
      <c r="AH6" s="9">
        <f t="shared" si="2"/>
        <v>4.7028668790280737</v>
      </c>
      <c r="AI6" s="9">
        <f t="shared" si="3"/>
        <v>22.116956881859252</v>
      </c>
      <c r="AJ6" s="9">
        <f t="shared" si="4"/>
        <v>6.5157008821256994</v>
      </c>
      <c r="AK6" s="9">
        <f t="shared" si="5"/>
        <v>42.454357985333615</v>
      </c>
      <c r="AL6" s="9">
        <f t="shared" si="6"/>
        <v>7.0495087493667841</v>
      </c>
      <c r="AM6" s="9">
        <f t="shared" si="7"/>
        <v>49.695573607398842</v>
      </c>
      <c r="AN6" s="8" t="s">
        <v>1262</v>
      </c>
    </row>
    <row r="7" spans="8:40" ht="23" customHeight="1">
      <c r="M7" s="8" t="s">
        <v>4564</v>
      </c>
      <c r="N7" s="8" t="s">
        <v>1717</v>
      </c>
      <c r="O7" s="8"/>
      <c r="P7" s="8" t="s">
        <v>3693</v>
      </c>
      <c r="Q7" s="8"/>
      <c r="R7" s="8"/>
      <c r="S7" s="8"/>
      <c r="T7" s="8"/>
      <c r="U7" s="8"/>
      <c r="V7" s="8"/>
      <c r="W7" s="8" t="s">
        <v>4564</v>
      </c>
      <c r="X7" s="8">
        <v>49.88</v>
      </c>
      <c r="Y7" s="8">
        <v>3.46</v>
      </c>
      <c r="Z7" s="9">
        <v>2.4300000000000002</v>
      </c>
      <c r="AA7" s="8">
        <v>1484.5</v>
      </c>
      <c r="AB7" s="8">
        <v>413</v>
      </c>
      <c r="AC7" s="21" t="s">
        <v>4564</v>
      </c>
      <c r="AD7" s="8" t="s">
        <v>4036</v>
      </c>
      <c r="AE7" s="8" t="s">
        <v>3681</v>
      </c>
      <c r="AF7" s="9">
        <f t="shared" si="0"/>
        <v>5136.37</v>
      </c>
      <c r="AG7" s="9">
        <f t="shared" si="1"/>
        <v>4032.8916666666669</v>
      </c>
      <c r="AH7" s="9">
        <f t="shared" si="2"/>
        <v>4.3988443588413935</v>
      </c>
      <c r="AI7" s="9">
        <f t="shared" si="3"/>
        <v>19.349831693310751</v>
      </c>
      <c r="AJ7" s="9">
        <f t="shared" si="4"/>
        <v>3.2591839071061419</v>
      </c>
      <c r="AK7" s="9">
        <f t="shared" si="5"/>
        <v>10.622279740339657</v>
      </c>
      <c r="AL7" s="9">
        <f t="shared" si="6"/>
        <v>3.5238915092377039</v>
      </c>
      <c r="AM7" s="9">
        <f t="shared" si="7"/>
        <v>12.417811368877583</v>
      </c>
      <c r="AN7" s="8" t="s">
        <v>4564</v>
      </c>
    </row>
    <row r="8" spans="8:40" ht="25.5" customHeight="1">
      <c r="M8" s="8" t="s">
        <v>4565</v>
      </c>
      <c r="N8" s="8" t="s">
        <v>1814</v>
      </c>
      <c r="O8" s="8"/>
      <c r="P8" s="8" t="s">
        <v>3691</v>
      </c>
      <c r="Q8" s="8"/>
      <c r="R8" s="8"/>
      <c r="S8" s="8"/>
      <c r="T8" s="8"/>
      <c r="U8" s="8"/>
      <c r="V8" s="8"/>
      <c r="W8" s="8" t="s">
        <v>4565</v>
      </c>
      <c r="X8" s="8">
        <v>52.53</v>
      </c>
      <c r="Y8" s="8">
        <v>3.08</v>
      </c>
      <c r="Z8" s="9">
        <v>2.42</v>
      </c>
      <c r="AA8" s="8">
        <v>1015.2</v>
      </c>
      <c r="AB8" s="8">
        <v>530</v>
      </c>
      <c r="AC8" s="21" t="s">
        <v>4565</v>
      </c>
      <c r="AD8" s="8" t="s">
        <v>4036</v>
      </c>
      <c r="AE8" s="8" t="s">
        <v>3681</v>
      </c>
      <c r="AF8" s="9">
        <f t="shared" si="0"/>
        <v>3126.8160000000003</v>
      </c>
      <c r="AG8" s="9">
        <f t="shared" si="1"/>
        <v>2741.0400000000004</v>
      </c>
      <c r="AH8" s="9">
        <f t="shared" si="2"/>
        <v>3.0082228313208375</v>
      </c>
      <c r="AI8" s="9">
        <f t="shared" si="3"/>
        <v>9.0494046028799549</v>
      </c>
      <c r="AJ8" s="9">
        <f t="shared" si="4"/>
        <v>1.9840604138101421</v>
      </c>
      <c r="AK8" s="9">
        <f t="shared" si="5"/>
        <v>3.9364957256484723</v>
      </c>
      <c r="AL8" s="9">
        <f t="shared" si="6"/>
        <v>2.3950872924053872</v>
      </c>
      <c r="AM8" s="9">
        <f t="shared" si="7"/>
        <v>5.7364431382417687</v>
      </c>
      <c r="AN8" s="8" t="s">
        <v>4565</v>
      </c>
    </row>
    <row r="9" spans="8:40" ht="23" customHeight="1">
      <c r="M9" s="8" t="s">
        <v>3904</v>
      </c>
      <c r="N9" s="8" t="s">
        <v>150</v>
      </c>
      <c r="O9" s="8"/>
      <c r="P9" s="8" t="s">
        <v>3693</v>
      </c>
      <c r="Q9" s="8"/>
      <c r="R9" s="8"/>
      <c r="S9" s="8"/>
      <c r="T9" s="8"/>
      <c r="U9" s="8"/>
      <c r="V9" s="8"/>
      <c r="W9" s="8" t="s">
        <v>3904</v>
      </c>
      <c r="X9" s="8">
        <v>38.54</v>
      </c>
      <c r="Y9" s="8">
        <v>4.3</v>
      </c>
      <c r="Z9" s="9">
        <v>2.5</v>
      </c>
      <c r="AA9" s="8">
        <v>963.4</v>
      </c>
      <c r="AB9" s="8">
        <v>281</v>
      </c>
      <c r="AC9" s="21" t="s">
        <v>3904</v>
      </c>
      <c r="AD9" s="8" t="s">
        <v>4036</v>
      </c>
      <c r="AE9" s="8" t="s">
        <v>3681</v>
      </c>
      <c r="AF9" s="9">
        <f t="shared" si="0"/>
        <v>4142.62</v>
      </c>
      <c r="AG9" s="9">
        <f t="shared" si="1"/>
        <v>1934.8283333333331</v>
      </c>
      <c r="AH9" s="9">
        <f t="shared" si="2"/>
        <v>2.8547299799985169</v>
      </c>
      <c r="AI9" s="9">
        <f t="shared" si="3"/>
        <v>8.1494832587023325</v>
      </c>
      <c r="AJ9" s="9">
        <f t="shared" si="4"/>
        <v>2.6286191293181851</v>
      </c>
      <c r="AK9" s="9">
        <f t="shared" si="5"/>
        <v>6.9096385270174938</v>
      </c>
      <c r="AL9" s="9">
        <f t="shared" si="6"/>
        <v>1.6906293794153169</v>
      </c>
      <c r="AM9" s="9">
        <f t="shared" si="7"/>
        <v>2.8582276985422195</v>
      </c>
      <c r="AN9" s="8" t="s">
        <v>3904</v>
      </c>
    </row>
    <row r="10" spans="8:40" ht="19" customHeight="1">
      <c r="M10" s="8" t="s">
        <v>4576</v>
      </c>
      <c r="N10" s="8" t="s">
        <v>150</v>
      </c>
      <c r="O10" s="8"/>
      <c r="P10" s="8" t="s">
        <v>4035</v>
      </c>
      <c r="Q10" s="8"/>
      <c r="R10" s="8"/>
      <c r="S10" s="8"/>
      <c r="T10" s="8"/>
      <c r="U10" s="8"/>
      <c r="V10" s="8"/>
      <c r="W10" s="8" t="s">
        <v>4576</v>
      </c>
      <c r="X10" s="8">
        <v>21.1</v>
      </c>
      <c r="Y10" s="8">
        <v>4.5599999999999996</v>
      </c>
      <c r="Z10" s="9">
        <v>2.56</v>
      </c>
      <c r="AA10" s="8">
        <v>879.5</v>
      </c>
      <c r="AB10" s="8">
        <v>480</v>
      </c>
      <c r="AC10" s="21" t="s">
        <v>4576</v>
      </c>
      <c r="AD10" s="8" t="s">
        <v>4036</v>
      </c>
      <c r="AE10" s="8" t="s">
        <v>3681</v>
      </c>
      <c r="AF10" s="9">
        <f t="shared" si="0"/>
        <v>4010.5199999999995</v>
      </c>
      <c r="AG10" s="9">
        <f t="shared" si="1"/>
        <v>2579.8666666666668</v>
      </c>
      <c r="AH10" s="9">
        <f t="shared" si="2"/>
        <v>2.6061189717756861</v>
      </c>
      <c r="AI10" s="9">
        <f t="shared" si="3"/>
        <v>6.7918560950491589</v>
      </c>
      <c r="AJ10" s="9">
        <f t="shared" si="4"/>
        <v>2.5447976378507242</v>
      </c>
      <c r="AK10" s="9">
        <f t="shared" si="5"/>
        <v>6.475995017610626</v>
      </c>
      <c r="AL10" s="9">
        <f t="shared" si="6"/>
        <v>2.2542560011650972</v>
      </c>
      <c r="AM10" s="9">
        <f t="shared" si="7"/>
        <v>5.0816701187888542</v>
      </c>
      <c r="AN10" s="8" t="s">
        <v>4576</v>
      </c>
    </row>
    <row r="11" spans="8:40" ht="23">
      <c r="M11" s="8" t="s">
        <v>4603</v>
      </c>
      <c r="N11" s="8" t="s">
        <v>1869</v>
      </c>
      <c r="O11" s="8"/>
      <c r="P11" s="8" t="s">
        <v>3704</v>
      </c>
      <c r="Q11" s="8"/>
      <c r="R11" s="8"/>
      <c r="S11" s="8"/>
      <c r="T11" s="8"/>
      <c r="U11" s="8"/>
      <c r="V11" s="8"/>
      <c r="W11" s="8" t="s">
        <v>4603</v>
      </c>
      <c r="X11" s="8">
        <v>45.55</v>
      </c>
      <c r="Y11" s="8">
        <v>6.26</v>
      </c>
      <c r="Z11" s="9">
        <v>5</v>
      </c>
      <c r="AA11" s="8">
        <v>832.6</v>
      </c>
      <c r="AB11" s="8">
        <v>659</v>
      </c>
      <c r="AC11" s="21" t="s">
        <v>4603</v>
      </c>
      <c r="AD11" s="8" t="s">
        <v>4036</v>
      </c>
      <c r="AE11" s="8" t="s">
        <v>3681</v>
      </c>
      <c r="AF11" s="9">
        <f t="shared" si="0"/>
        <v>5212.076</v>
      </c>
      <c r="AG11" s="9">
        <f t="shared" si="1"/>
        <v>4232.3833333333332</v>
      </c>
      <c r="AH11" s="9">
        <f t="shared" si="2"/>
        <v>2.4671457144973692</v>
      </c>
      <c r="AI11" s="9">
        <f t="shared" si="3"/>
        <v>6.0868079765627341</v>
      </c>
      <c r="AJ11" s="9">
        <f t="shared" si="4"/>
        <v>3.3072216802555414</v>
      </c>
      <c r="AK11" s="9">
        <f t="shared" si="5"/>
        <v>10.937715242352287</v>
      </c>
      <c r="AL11" s="9">
        <f t="shared" si="6"/>
        <v>3.6982048923966886</v>
      </c>
      <c r="AM11" s="9">
        <f t="shared" si="7"/>
        <v>13.676719426146803</v>
      </c>
      <c r="AN11" s="8" t="s">
        <v>4603</v>
      </c>
    </row>
    <row r="12" spans="8:40" ht="23">
      <c r="M12" s="8" t="s">
        <v>4583</v>
      </c>
      <c r="N12" s="8" t="s">
        <v>150</v>
      </c>
      <c r="O12" s="8"/>
      <c r="P12" s="8" t="s">
        <v>3703</v>
      </c>
      <c r="Q12" s="8"/>
      <c r="R12" s="8"/>
      <c r="S12" s="8"/>
      <c r="T12" s="8"/>
      <c r="U12" s="8"/>
      <c r="V12" s="8"/>
      <c r="W12" s="8" t="s">
        <v>4583</v>
      </c>
      <c r="X12" s="8">
        <v>22.77</v>
      </c>
      <c r="Y12" s="8">
        <v>4.22</v>
      </c>
      <c r="Z12" s="9">
        <v>3.13</v>
      </c>
      <c r="AA12" s="8">
        <v>794.2</v>
      </c>
      <c r="AB12" s="8">
        <v>607</v>
      </c>
      <c r="AC12" s="21" t="s">
        <v>4583</v>
      </c>
      <c r="AD12" s="8" t="s">
        <v>4036</v>
      </c>
      <c r="AE12" s="8" t="s">
        <v>3681</v>
      </c>
      <c r="AF12" s="9">
        <f t="shared" si="0"/>
        <v>3351.5239999999999</v>
      </c>
      <c r="AG12" s="9">
        <f t="shared" si="1"/>
        <v>2554.6766666666667</v>
      </c>
      <c r="AH12" s="9">
        <f t="shared" si="2"/>
        <v>2.3533595081117111</v>
      </c>
      <c r="AI12" s="9">
        <f t="shared" si="3"/>
        <v>5.5383009744197951</v>
      </c>
      <c r="AJ12" s="9">
        <f t="shared" si="4"/>
        <v>2.1266445145267974</v>
      </c>
      <c r="AK12" s="9">
        <f t="shared" si="5"/>
        <v>4.5226168911669173</v>
      </c>
      <c r="AL12" s="9">
        <f t="shared" si="6"/>
        <v>2.2322452866568478</v>
      </c>
      <c r="AM12" s="9">
        <f t="shared" si="7"/>
        <v>4.982919019801713</v>
      </c>
      <c r="AN12" s="8" t="s">
        <v>4583</v>
      </c>
    </row>
    <row r="13" spans="8:40" ht="22" customHeight="1">
      <c r="M13" s="8" t="s">
        <v>3987</v>
      </c>
      <c r="N13" s="8" t="s">
        <v>150</v>
      </c>
      <c r="O13" s="8"/>
      <c r="P13" s="8" t="s">
        <v>4767</v>
      </c>
      <c r="Q13" s="8"/>
      <c r="R13" s="8"/>
      <c r="S13" s="8"/>
      <c r="T13" s="8"/>
      <c r="U13" s="8"/>
      <c r="V13" s="8"/>
      <c r="W13" s="8" t="s">
        <v>3987</v>
      </c>
      <c r="X13" s="8">
        <v>31.25</v>
      </c>
      <c r="Y13" s="8">
        <v>4.88</v>
      </c>
      <c r="Z13" s="9">
        <v>2.48</v>
      </c>
      <c r="AA13" s="8">
        <v>765.2</v>
      </c>
      <c r="AB13" s="8">
        <v>312</v>
      </c>
      <c r="AC13" s="21" t="s">
        <v>3987</v>
      </c>
      <c r="AD13" s="8" t="s">
        <v>4036</v>
      </c>
      <c r="AE13" s="8" t="s">
        <v>3681</v>
      </c>
      <c r="AF13" s="9">
        <f t="shared" si="0"/>
        <v>3734.1759999999999</v>
      </c>
      <c r="AG13" s="9">
        <f t="shared" si="1"/>
        <v>2142.56</v>
      </c>
      <c r="AH13" s="9">
        <f t="shared" si="2"/>
        <v>2.2674272168308756</v>
      </c>
      <c r="AI13" s="9">
        <f t="shared" si="3"/>
        <v>5.1412261836254105</v>
      </c>
      <c r="AJ13" s="9">
        <f t="shared" si="4"/>
        <v>2.3694489153822613</v>
      </c>
      <c r="AK13" s="9">
        <f t="shared" si="5"/>
        <v>5.6142881626061749</v>
      </c>
      <c r="AL13" s="9">
        <f t="shared" si="6"/>
        <v>1.8721427739894663</v>
      </c>
      <c r="AM13" s="9">
        <f t="shared" si="7"/>
        <v>3.5049185662009736</v>
      </c>
      <c r="AN13" s="8" t="s">
        <v>3987</v>
      </c>
    </row>
    <row r="14" spans="8:40" ht="23">
      <c r="M14" s="8" t="s">
        <v>3906</v>
      </c>
      <c r="N14" s="8"/>
      <c r="O14" s="8"/>
      <c r="P14" s="8" t="s">
        <v>3691</v>
      </c>
      <c r="Q14" s="8"/>
      <c r="R14" s="8"/>
      <c r="S14" s="8"/>
      <c r="T14" s="8"/>
      <c r="U14" s="8"/>
      <c r="V14" s="8"/>
      <c r="W14" s="8" t="s">
        <v>3906</v>
      </c>
      <c r="X14" s="8">
        <v>26.99</v>
      </c>
      <c r="Y14" s="8">
        <v>3.88</v>
      </c>
      <c r="Z14" s="9">
        <v>3.22</v>
      </c>
      <c r="AA14" s="8">
        <v>753.9</v>
      </c>
      <c r="AB14" s="8">
        <v>467</v>
      </c>
      <c r="AC14" s="21" t="s">
        <v>3906</v>
      </c>
      <c r="AD14" s="8" t="s">
        <v>4036</v>
      </c>
      <c r="AE14" s="8" t="s">
        <v>3681</v>
      </c>
      <c r="AF14" s="9">
        <f t="shared" si="0"/>
        <v>2925.1319999999996</v>
      </c>
      <c r="AG14" s="9">
        <f t="shared" si="1"/>
        <v>2538.13</v>
      </c>
      <c r="AH14" s="9">
        <f t="shared" si="2"/>
        <v>2.2339432550559293</v>
      </c>
      <c r="AI14" s="9">
        <f t="shared" si="3"/>
        <v>4.9905024668098807</v>
      </c>
      <c r="AJ14" s="9">
        <f t="shared" si="4"/>
        <v>1.856085745489753</v>
      </c>
      <c r="AK14" s="9">
        <f t="shared" si="5"/>
        <v>3.445054294610252</v>
      </c>
      <c r="AL14" s="9">
        <f t="shared" si="6"/>
        <v>2.2177870113069802</v>
      </c>
      <c r="AM14" s="9">
        <f t="shared" si="7"/>
        <v>4.9185792275219473</v>
      </c>
      <c r="AN14" s="8" t="s">
        <v>3906</v>
      </c>
    </row>
    <row r="15" spans="8:40" ht="19" customHeight="1">
      <c r="M15" s="8" t="s">
        <v>3930</v>
      </c>
      <c r="N15" s="8"/>
      <c r="O15" s="8"/>
      <c r="P15" s="8" t="s">
        <v>4667</v>
      </c>
      <c r="Q15" s="8"/>
      <c r="R15" s="8"/>
      <c r="S15" s="8"/>
      <c r="T15" s="8"/>
      <c r="U15" s="8"/>
      <c r="V15" s="8"/>
      <c r="W15" s="8" t="s">
        <v>3930</v>
      </c>
      <c r="X15" s="8">
        <v>40.08</v>
      </c>
      <c r="Y15" s="8">
        <v>4.04</v>
      </c>
      <c r="Z15" s="9">
        <v>3.35</v>
      </c>
      <c r="AA15" s="8">
        <v>740.5</v>
      </c>
      <c r="AB15" s="8">
        <v>342</v>
      </c>
      <c r="AC15" s="21" t="s">
        <v>3930</v>
      </c>
      <c r="AD15" s="8" t="s">
        <v>4036</v>
      </c>
      <c r="AE15" s="8" t="s">
        <v>3681</v>
      </c>
      <c r="AF15" s="9">
        <f t="shared" si="0"/>
        <v>2991.62</v>
      </c>
      <c r="AG15" s="9">
        <f t="shared" si="1"/>
        <v>2653.4583333333335</v>
      </c>
      <c r="AH15" s="9">
        <f t="shared" si="2"/>
        <v>2.1942366101192672</v>
      </c>
      <c r="AI15" s="9">
        <f t="shared" si="3"/>
        <v>4.8146743011876927</v>
      </c>
      <c r="AJ15" s="9">
        <f t="shared" si="4"/>
        <v>1.8982744156236557</v>
      </c>
      <c r="AK15" s="9">
        <f t="shared" si="5"/>
        <v>3.6034457570113316</v>
      </c>
      <c r="AL15" s="9">
        <f t="shared" si="6"/>
        <v>2.3185595011724911</v>
      </c>
      <c r="AM15" s="9">
        <f t="shared" si="7"/>
        <v>5.3757181604772306</v>
      </c>
      <c r="AN15" s="8" t="s">
        <v>3930</v>
      </c>
    </row>
    <row r="16" spans="8:40" ht="21.5" customHeight="1">
      <c r="M16" s="8" t="s">
        <v>4566</v>
      </c>
      <c r="N16" s="8" t="s">
        <v>1869</v>
      </c>
      <c r="O16" s="8"/>
      <c r="P16" s="8" t="s">
        <v>4667</v>
      </c>
      <c r="Q16" s="8"/>
      <c r="R16" s="8"/>
      <c r="S16" s="8"/>
      <c r="T16" s="8"/>
      <c r="U16" s="8"/>
      <c r="V16" s="8"/>
      <c r="W16" s="8" t="s">
        <v>4566</v>
      </c>
      <c r="X16" s="8">
        <v>16.920000000000002</v>
      </c>
      <c r="Y16" s="8">
        <v>7.32</v>
      </c>
      <c r="Z16" s="9">
        <v>6.54</v>
      </c>
      <c r="AA16" s="8">
        <v>718.3</v>
      </c>
      <c r="AB16" s="8">
        <v>344</v>
      </c>
      <c r="AC16" s="21" t="s">
        <v>4566</v>
      </c>
      <c r="AD16" s="8" t="s">
        <v>4036</v>
      </c>
      <c r="AE16" s="8" t="s">
        <v>3681</v>
      </c>
      <c r="AF16" s="9">
        <f t="shared" si="0"/>
        <v>5257.9560000000001</v>
      </c>
      <c r="AG16" s="9">
        <f t="shared" si="1"/>
        <v>4956.2699999999995</v>
      </c>
      <c r="AH16" s="9">
        <f t="shared" si="2"/>
        <v>2.1284539595525587</v>
      </c>
      <c r="AI16" s="9">
        <f t="shared" si="3"/>
        <v>4.530316257934965</v>
      </c>
      <c r="AJ16" s="9">
        <f t="shared" si="4"/>
        <v>3.3363339439082824</v>
      </c>
      <c r="AK16" s="9">
        <f t="shared" si="5"/>
        <v>11.131124185274594</v>
      </c>
      <c r="AL16" s="9">
        <f t="shared" si="6"/>
        <v>4.3307282253196036</v>
      </c>
      <c r="AM16" s="9">
        <f t="shared" si="7"/>
        <v>18.755206961579884</v>
      </c>
      <c r="AN16" s="8" t="s">
        <v>4566</v>
      </c>
    </row>
    <row r="17" spans="13:40" ht="23">
      <c r="M17" s="8" t="s">
        <v>1685</v>
      </c>
      <c r="N17" s="8" t="s">
        <v>1614</v>
      </c>
      <c r="O17" s="8"/>
      <c r="P17" s="8" t="s">
        <v>3704</v>
      </c>
      <c r="Q17" s="8"/>
      <c r="R17" s="8"/>
      <c r="S17" s="8"/>
      <c r="T17" s="8"/>
      <c r="U17" s="8"/>
      <c r="V17" s="8"/>
      <c r="W17" s="8" t="s">
        <v>1685</v>
      </c>
      <c r="X17" s="8">
        <v>38.83</v>
      </c>
      <c r="Y17" s="8">
        <v>3.9</v>
      </c>
      <c r="Z17" s="9">
        <v>3.02</v>
      </c>
      <c r="AA17" s="8">
        <v>680.2</v>
      </c>
      <c r="AB17" s="8">
        <v>427</v>
      </c>
      <c r="AC17" s="21" t="s">
        <v>1685</v>
      </c>
      <c r="AD17" s="8" t="s">
        <v>4036</v>
      </c>
      <c r="AE17" s="8" t="s">
        <v>3681</v>
      </c>
      <c r="AF17" s="9">
        <f t="shared" si="0"/>
        <v>2652.78</v>
      </c>
      <c r="AG17" s="9">
        <f t="shared" si="1"/>
        <v>2063.2733333333335</v>
      </c>
      <c r="AH17" s="9">
        <f t="shared" si="2"/>
        <v>2.0155567079042886</v>
      </c>
      <c r="AI17" s="9">
        <f t="shared" si="3"/>
        <v>4.0624688427779736</v>
      </c>
      <c r="AJ17" s="9">
        <f t="shared" si="4"/>
        <v>1.6832700691525402</v>
      </c>
      <c r="AK17" s="9">
        <f t="shared" si="5"/>
        <v>2.8333981257047975</v>
      </c>
      <c r="AL17" s="9">
        <f t="shared" si="6"/>
        <v>1.8028630525003544</v>
      </c>
      <c r="AM17" s="9">
        <f t="shared" si="7"/>
        <v>3.2503151860708956</v>
      </c>
      <c r="AN17" s="8" t="s">
        <v>1685</v>
      </c>
    </row>
    <row r="18" spans="13:40" ht="23">
      <c r="M18" s="8" t="s">
        <v>4568</v>
      </c>
      <c r="N18" s="8" t="s">
        <v>1964</v>
      </c>
      <c r="O18" s="8"/>
      <c r="P18" s="8" t="s">
        <v>4767</v>
      </c>
      <c r="Q18" s="8"/>
      <c r="R18" s="8"/>
      <c r="S18" s="8"/>
      <c r="T18" s="8"/>
      <c r="U18" s="8"/>
      <c r="V18" s="8"/>
      <c r="W18" s="8" t="s">
        <v>4568</v>
      </c>
      <c r="X18" s="8">
        <v>15.34</v>
      </c>
      <c r="Y18" s="8">
        <v>7.39</v>
      </c>
      <c r="Z18" s="9">
        <v>4.45</v>
      </c>
      <c r="AA18" s="8">
        <v>620.79999999999995</v>
      </c>
      <c r="AB18" s="8">
        <v>871</v>
      </c>
      <c r="AC18" s="21" t="s">
        <v>4568</v>
      </c>
      <c r="AD18" s="8" t="s">
        <v>4036</v>
      </c>
      <c r="AE18" s="8" t="s">
        <v>3681</v>
      </c>
      <c r="AF18" s="9">
        <f t="shared" si="0"/>
        <v>4587.7119999999995</v>
      </c>
      <c r="AG18" s="9">
        <f t="shared" si="1"/>
        <v>2948.7999999999997</v>
      </c>
      <c r="AH18" s="9">
        <f t="shared" si="2"/>
        <v>1.8395436699014733</v>
      </c>
      <c r="AI18" s="9">
        <f t="shared" si="3"/>
        <v>3.3839209134745807</v>
      </c>
      <c r="AJ18" s="9">
        <f t="shared" si="4"/>
        <v>2.9110436204630377</v>
      </c>
      <c r="AK18" s="9">
        <f t="shared" si="5"/>
        <v>8.4741749602385497</v>
      </c>
      <c r="AL18" s="9">
        <f t="shared" si="6"/>
        <v>2.5766254443003405</v>
      </c>
      <c r="AM18" s="9">
        <f t="shared" si="7"/>
        <v>6.6389986802159271</v>
      </c>
      <c r="AN18" s="8" t="s">
        <v>4568</v>
      </c>
    </row>
    <row r="19" spans="13:40" ht="23">
      <c r="M19" s="8" t="s">
        <v>3839</v>
      </c>
      <c r="N19" s="8" t="s">
        <v>150</v>
      </c>
      <c r="O19" s="8"/>
      <c r="P19" s="8" t="s">
        <v>3693</v>
      </c>
      <c r="Q19" s="8"/>
      <c r="R19" s="8"/>
      <c r="S19" s="8"/>
      <c r="T19" s="8"/>
      <c r="U19" s="8"/>
      <c r="V19" s="8"/>
      <c r="W19" s="8" t="s">
        <v>3839</v>
      </c>
      <c r="X19" s="8">
        <v>26.99</v>
      </c>
      <c r="Y19" s="8">
        <v>3.7</v>
      </c>
      <c r="Z19" s="9">
        <v>2.46</v>
      </c>
      <c r="AA19" s="8">
        <v>610.1</v>
      </c>
      <c r="AB19" s="8">
        <v>606</v>
      </c>
      <c r="AC19" s="21" t="s">
        <v>3839</v>
      </c>
      <c r="AD19" s="8" t="s">
        <v>4036</v>
      </c>
      <c r="AE19" s="8" t="s">
        <v>3681</v>
      </c>
      <c r="AF19" s="9">
        <f t="shared" si="0"/>
        <v>2257.3700000000003</v>
      </c>
      <c r="AG19" s="9">
        <f t="shared" si="1"/>
        <v>1687.9433333333334</v>
      </c>
      <c r="AH19" s="9">
        <f t="shared" si="2"/>
        <v>1.8078376176013031</v>
      </c>
      <c r="AI19" s="9">
        <f t="shared" si="3"/>
        <v>3.2682768516143557</v>
      </c>
      <c r="AJ19" s="9">
        <f t="shared" si="4"/>
        <v>1.4323703269788184</v>
      </c>
      <c r="AK19" s="9">
        <f t="shared" si="5"/>
        <v>2.0516847536094072</v>
      </c>
      <c r="AL19" s="9">
        <f t="shared" si="6"/>
        <v>1.4749042801152326</v>
      </c>
      <c r="AM19" s="9">
        <f t="shared" si="7"/>
        <v>2.1753426355022323</v>
      </c>
      <c r="AN19" s="8" t="s">
        <v>3839</v>
      </c>
    </row>
    <row r="20" spans="13:40" ht="23">
      <c r="M20" s="9" t="s">
        <v>2887</v>
      </c>
      <c r="N20" s="8" t="s">
        <v>1717</v>
      </c>
      <c r="O20" s="8"/>
      <c r="P20" s="8" t="s">
        <v>3704</v>
      </c>
      <c r="Q20" s="8"/>
      <c r="R20" s="8"/>
      <c r="S20" s="8"/>
      <c r="T20" s="8"/>
      <c r="U20" s="8"/>
      <c r="V20" s="8"/>
      <c r="W20" s="9" t="s">
        <v>2887</v>
      </c>
      <c r="X20" s="8">
        <v>41.74</v>
      </c>
      <c r="Y20" s="8">
        <v>3.22</v>
      </c>
      <c r="Z20" s="9">
        <v>1.37</v>
      </c>
      <c r="AA20" s="8">
        <v>604.5</v>
      </c>
      <c r="AB20" s="8">
        <v>1562</v>
      </c>
      <c r="AC20" s="22" t="s">
        <v>2887</v>
      </c>
      <c r="AD20" s="8" t="s">
        <v>4036</v>
      </c>
      <c r="AE20" s="8" t="s">
        <v>3681</v>
      </c>
      <c r="AF20" s="9">
        <f t="shared" si="0"/>
        <v>1946.49</v>
      </c>
      <c r="AG20" s="9">
        <f t="shared" si="1"/>
        <v>977.27499999999998</v>
      </c>
      <c r="AH20" s="9">
        <f t="shared" si="2"/>
        <v>1.7912437958367278</v>
      </c>
      <c r="AI20" s="9">
        <f t="shared" si="3"/>
        <v>3.2085543361235689</v>
      </c>
      <c r="AJ20" s="9">
        <f t="shared" si="4"/>
        <v>1.2351074559159552</v>
      </c>
      <c r="AK20" s="9">
        <f t="shared" si="5"/>
        <v>1.5254904276591832</v>
      </c>
      <c r="AL20" s="9">
        <f t="shared" si="6"/>
        <v>0.85393096550414238</v>
      </c>
      <c r="AM20" s="9">
        <f t="shared" si="7"/>
        <v>0.72919809384683676</v>
      </c>
      <c r="AN20" s="9" t="s">
        <v>2887</v>
      </c>
    </row>
    <row r="21" spans="13:40" ht="23">
      <c r="M21" s="8" t="s">
        <v>3919</v>
      </c>
      <c r="N21" s="8" t="s">
        <v>150</v>
      </c>
      <c r="O21" s="8"/>
      <c r="P21" s="8" t="s">
        <v>4661</v>
      </c>
      <c r="Q21" s="8"/>
      <c r="R21" s="8"/>
      <c r="S21" s="8"/>
      <c r="T21" s="8"/>
      <c r="U21" s="8"/>
      <c r="V21" s="8"/>
      <c r="W21" s="8" t="s">
        <v>3919</v>
      </c>
      <c r="X21" s="8">
        <v>36.630000000000003</v>
      </c>
      <c r="Y21" s="8">
        <v>3.07</v>
      </c>
      <c r="Z21" s="9">
        <v>2.2200000000000002</v>
      </c>
      <c r="AA21" s="8">
        <v>538.70000000000005</v>
      </c>
      <c r="AB21" s="8">
        <v>518</v>
      </c>
      <c r="AC21" s="21" t="s">
        <v>3919</v>
      </c>
      <c r="AD21" s="8" t="s">
        <v>4036</v>
      </c>
      <c r="AE21" s="8" t="s">
        <v>3681</v>
      </c>
      <c r="AF21" s="9">
        <f t="shared" si="0"/>
        <v>1653.809</v>
      </c>
      <c r="AG21" s="9">
        <f t="shared" si="1"/>
        <v>1274.9233333333334</v>
      </c>
      <c r="AH21" s="9">
        <f t="shared" si="2"/>
        <v>1.5962663901029701</v>
      </c>
      <c r="AI21" s="9">
        <f t="shared" si="3"/>
        <v>2.5480663881723675</v>
      </c>
      <c r="AJ21" s="9">
        <f t="shared" si="4"/>
        <v>1.0493924071333067</v>
      </c>
      <c r="AK21" s="9">
        <f t="shared" si="5"/>
        <v>1.1012244241490359</v>
      </c>
      <c r="AL21" s="9">
        <f t="shared" si="6"/>
        <v>1.1140124458080818</v>
      </c>
      <c r="AM21" s="9">
        <f t="shared" si="7"/>
        <v>1.2410237294153044</v>
      </c>
      <c r="AN21" s="8" t="s">
        <v>3919</v>
      </c>
    </row>
    <row r="22" spans="13:40" ht="23">
      <c r="M22" s="9" t="s">
        <v>2641</v>
      </c>
      <c r="N22" s="8" t="s">
        <v>150</v>
      </c>
      <c r="O22" s="8"/>
      <c r="P22" s="8" t="s">
        <v>3691</v>
      </c>
      <c r="Q22" s="8"/>
      <c r="R22" s="8"/>
      <c r="S22" s="8"/>
      <c r="T22" s="8"/>
      <c r="U22" s="8"/>
      <c r="V22" s="8"/>
      <c r="W22" s="9" t="s">
        <v>2641</v>
      </c>
      <c r="X22" s="8">
        <v>17.13</v>
      </c>
      <c r="Y22" s="8">
        <v>2.89</v>
      </c>
      <c r="Z22" s="9">
        <v>1.59</v>
      </c>
      <c r="AA22" s="8">
        <v>534.1</v>
      </c>
      <c r="AB22" s="8">
        <v>1431</v>
      </c>
      <c r="AC22" s="22" t="s">
        <v>2641</v>
      </c>
      <c r="AD22" s="8" t="s">
        <v>4036</v>
      </c>
      <c r="AE22" s="8" t="s">
        <v>3681</v>
      </c>
      <c r="AF22" s="9">
        <f t="shared" si="0"/>
        <v>1543.5490000000002</v>
      </c>
      <c r="AG22" s="9">
        <f t="shared" si="1"/>
        <v>1059.2983333333334</v>
      </c>
      <c r="AH22" s="9">
        <f t="shared" si="2"/>
        <v>1.5826357507963547</v>
      </c>
      <c r="AI22" s="9">
        <f t="shared" si="3"/>
        <v>2.5047359196987413</v>
      </c>
      <c r="AJ22" s="9">
        <f t="shared" si="4"/>
        <v>0.97942906383881589</v>
      </c>
      <c r="AK22" s="9">
        <f t="shared" si="5"/>
        <v>0.9592812910921793</v>
      </c>
      <c r="AL22" s="9">
        <f t="shared" si="6"/>
        <v>0.92560195292037784</v>
      </c>
      <c r="AM22" s="9">
        <f t="shared" si="7"/>
        <v>0.8567389752500173</v>
      </c>
      <c r="AN22" s="9" t="s">
        <v>2641</v>
      </c>
    </row>
    <row r="23" spans="13:40" ht="23">
      <c r="M23" s="8" t="s">
        <v>4563</v>
      </c>
      <c r="N23" s="8" t="s">
        <v>1614</v>
      </c>
      <c r="O23" s="8"/>
      <c r="P23" s="8"/>
      <c r="Q23" s="8"/>
      <c r="R23" s="8"/>
      <c r="S23" s="8"/>
      <c r="T23" s="8"/>
      <c r="U23" s="8"/>
      <c r="V23" s="8"/>
      <c r="W23" s="8" t="s">
        <v>4563</v>
      </c>
      <c r="X23" s="8">
        <v>45.09</v>
      </c>
      <c r="Y23" s="8">
        <v>4.1900000000000004</v>
      </c>
      <c r="Z23" s="9">
        <v>3.03</v>
      </c>
      <c r="AA23" s="8">
        <v>533.5</v>
      </c>
      <c r="AB23" s="8">
        <v>716</v>
      </c>
      <c r="AC23" s="21" t="s">
        <v>4563</v>
      </c>
      <c r="AD23" s="8" t="s">
        <v>4036</v>
      </c>
      <c r="AE23" s="8" t="s">
        <v>3681</v>
      </c>
      <c r="AF23" s="9">
        <f t="shared" si="0"/>
        <v>2235.3650000000002</v>
      </c>
      <c r="AG23" s="9">
        <f t="shared" si="1"/>
        <v>1627.175</v>
      </c>
      <c r="AH23" s="9">
        <f t="shared" si="2"/>
        <v>1.5808578413215788</v>
      </c>
      <c r="AI23" s="9">
        <f t="shared" si="3"/>
        <v>2.4991115144679221</v>
      </c>
      <c r="AJ23" s="9">
        <f t="shared" si="4"/>
        <v>1.418407481257838</v>
      </c>
      <c r="AK23" s="9">
        <f t="shared" si="5"/>
        <v>2.011879782888204</v>
      </c>
      <c r="AL23" s="9">
        <f t="shared" si="6"/>
        <v>1.4218056522413884</v>
      </c>
      <c r="AM23" s="9">
        <f t="shared" si="7"/>
        <v>2.0215313127455601</v>
      </c>
      <c r="AN23" s="8" t="s">
        <v>4563</v>
      </c>
    </row>
    <row r="24" spans="13:40" ht="23">
      <c r="M24" s="9" t="s">
        <v>3040</v>
      </c>
      <c r="N24" s="8" t="s">
        <v>1814</v>
      </c>
      <c r="O24" s="8"/>
      <c r="P24" s="8" t="s">
        <v>4661</v>
      </c>
      <c r="Q24" s="8"/>
      <c r="R24" s="8"/>
      <c r="S24" s="8"/>
      <c r="T24" s="8"/>
      <c r="U24" s="8"/>
      <c r="V24" s="8"/>
      <c r="W24" s="9" t="s">
        <v>3040</v>
      </c>
      <c r="X24" s="8">
        <v>18.54</v>
      </c>
      <c r="Y24" s="8">
        <v>5.74</v>
      </c>
      <c r="Z24" s="9">
        <v>3.23</v>
      </c>
      <c r="AA24" s="8">
        <v>523.1</v>
      </c>
      <c r="AB24" s="8">
        <v>440</v>
      </c>
      <c r="AC24" s="22" t="s">
        <v>3040</v>
      </c>
      <c r="AD24" s="8" t="s">
        <v>4036</v>
      </c>
      <c r="AE24" s="8" t="s">
        <v>3681</v>
      </c>
      <c r="AF24" s="9">
        <f t="shared" si="0"/>
        <v>3002.5940000000001</v>
      </c>
      <c r="AG24" s="9">
        <f t="shared" si="1"/>
        <v>1769.8216666666667</v>
      </c>
      <c r="AH24" s="9">
        <f t="shared" si="2"/>
        <v>1.5500407437587964</v>
      </c>
      <c r="AI24" s="9">
        <f t="shared" si="3"/>
        <v>2.4026263073123229</v>
      </c>
      <c r="AJ24" s="9">
        <f t="shared" si="4"/>
        <v>1.905237754362217</v>
      </c>
      <c r="AK24" s="9">
        <f t="shared" si="5"/>
        <v>3.6299309006471834</v>
      </c>
      <c r="AL24" s="9">
        <f t="shared" si="6"/>
        <v>1.5464485683014682</v>
      </c>
      <c r="AM24" s="9">
        <f t="shared" si="7"/>
        <v>2.3915031744016608</v>
      </c>
      <c r="AN24" s="9" t="s">
        <v>3040</v>
      </c>
    </row>
    <row r="25" spans="13:40" ht="23">
      <c r="M25" s="8" t="s">
        <v>4616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8" t="s">
        <v>4616</v>
      </c>
      <c r="X25" s="8">
        <v>5.57</v>
      </c>
      <c r="Y25" s="8">
        <v>4.4800000000000004</v>
      </c>
      <c r="Z25" s="9">
        <v>3.05</v>
      </c>
      <c r="AA25" s="8">
        <v>480.8</v>
      </c>
      <c r="AB25" s="8">
        <v>3895</v>
      </c>
      <c r="AC25" s="21" t="s">
        <v>4616</v>
      </c>
      <c r="AD25" s="8" t="s">
        <v>4036</v>
      </c>
      <c r="AE25" s="8" t="s">
        <v>3681</v>
      </c>
      <c r="AF25" s="9">
        <f t="shared" si="0"/>
        <v>2153.9840000000004</v>
      </c>
      <c r="AG25" s="9">
        <f t="shared" si="1"/>
        <v>1482.4666666666667</v>
      </c>
      <c r="AH25" s="9">
        <f t="shared" si="2"/>
        <v>1.4246981257870948</v>
      </c>
      <c r="AI25" s="9">
        <f t="shared" si="3"/>
        <v>2.0297647496212603</v>
      </c>
      <c r="AJ25" s="9">
        <f t="shared" si="4"/>
        <v>1.3667687469874867</v>
      </c>
      <c r="AK25" s="9">
        <f t="shared" si="5"/>
        <v>1.8680568077417445</v>
      </c>
      <c r="AL25" s="9">
        <f t="shared" si="6"/>
        <v>1.2953612770145295</v>
      </c>
      <c r="AM25" s="9">
        <f t="shared" si="7"/>
        <v>1.6779608379887128</v>
      </c>
      <c r="AN25" s="8" t="s">
        <v>4616</v>
      </c>
    </row>
    <row r="26" spans="13:40" ht="23">
      <c r="M26" s="8" t="s">
        <v>4575</v>
      </c>
      <c r="N26" s="8" t="s">
        <v>1862</v>
      </c>
      <c r="O26" s="8"/>
      <c r="P26" s="8"/>
      <c r="Q26" s="8"/>
      <c r="R26" s="8"/>
      <c r="S26" s="8"/>
      <c r="T26" s="8"/>
      <c r="U26" s="8"/>
      <c r="V26" s="8"/>
      <c r="W26" s="8" t="s">
        <v>4575</v>
      </c>
      <c r="X26" s="8">
        <v>33.57</v>
      </c>
      <c r="Y26" s="8">
        <v>4.91</v>
      </c>
      <c r="Z26" s="9">
        <v>1.55</v>
      </c>
      <c r="AA26" s="8">
        <v>473.5</v>
      </c>
      <c r="AB26" s="8">
        <v>809</v>
      </c>
      <c r="AC26" s="21" t="s">
        <v>4575</v>
      </c>
      <c r="AD26" s="8" t="s">
        <v>4036</v>
      </c>
      <c r="AE26" s="8" t="s">
        <v>3681</v>
      </c>
      <c r="AF26" s="9">
        <f t="shared" si="0"/>
        <v>2324.8850000000002</v>
      </c>
      <c r="AG26" s="9">
        <f t="shared" si="1"/>
        <v>907.54166666666663</v>
      </c>
      <c r="AH26" s="9">
        <f t="shared" si="2"/>
        <v>1.4030668938439879</v>
      </c>
      <c r="AI26" s="9">
        <f t="shared" si="3"/>
        <v>1.9685967086010163</v>
      </c>
      <c r="AJ26" s="9">
        <f t="shared" si="4"/>
        <v>1.4752106600327592</v>
      </c>
      <c r="AK26" s="9">
        <f t="shared" si="5"/>
        <v>2.1762464914742892</v>
      </c>
      <c r="AL26" s="9">
        <f t="shared" si="6"/>
        <v>0.7929988300651355</v>
      </c>
      <c r="AM26" s="9">
        <f t="shared" si="7"/>
        <v>0.6288471444846736</v>
      </c>
      <c r="AN26" s="8" t="s">
        <v>4575</v>
      </c>
    </row>
    <row r="27" spans="13:40" ht="23">
      <c r="M27" s="8" t="s">
        <v>4615</v>
      </c>
      <c r="N27" s="8" t="s">
        <v>1614</v>
      </c>
      <c r="O27" s="8"/>
      <c r="P27" s="8"/>
      <c r="Q27" s="8"/>
      <c r="R27" s="8"/>
      <c r="S27" s="8"/>
      <c r="T27" s="8"/>
      <c r="U27" s="8"/>
      <c r="V27" s="8"/>
      <c r="W27" s="8" t="s">
        <v>4615</v>
      </c>
      <c r="X27" s="8">
        <v>65.55</v>
      </c>
      <c r="Y27" s="8">
        <v>1.84</v>
      </c>
      <c r="Z27" s="9">
        <v>0.48</v>
      </c>
      <c r="AA27" s="8">
        <v>464.8</v>
      </c>
      <c r="AB27" s="8">
        <v>1804</v>
      </c>
      <c r="AC27" s="21" t="s">
        <v>4615</v>
      </c>
      <c r="AD27" s="8" t="s">
        <v>4036</v>
      </c>
      <c r="AE27" s="8" t="s">
        <v>3681</v>
      </c>
      <c r="AF27" s="9">
        <f t="shared" si="0"/>
        <v>855.23200000000008</v>
      </c>
      <c r="AG27" s="9">
        <f t="shared" si="1"/>
        <v>371.84000000000003</v>
      </c>
      <c r="AH27" s="9">
        <f t="shared" si="2"/>
        <v>1.3772872064597372</v>
      </c>
      <c r="AI27" s="9">
        <f t="shared" si="3"/>
        <v>1.8969200490776668</v>
      </c>
      <c r="AJ27" s="9">
        <f t="shared" si="4"/>
        <v>0.54267086896820138</v>
      </c>
      <c r="AK27" s="9">
        <f t="shared" si="5"/>
        <v>0.29449167202670279</v>
      </c>
      <c r="AL27" s="9">
        <f t="shared" si="6"/>
        <v>0.32490925298719436</v>
      </c>
      <c r="AM27" s="9">
        <f t="shared" si="7"/>
        <v>0.10556602267669667</v>
      </c>
      <c r="AN27" s="8" t="s">
        <v>4615</v>
      </c>
    </row>
    <row r="28" spans="13:40" ht="23">
      <c r="M28" s="8" t="s">
        <v>4579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4579</v>
      </c>
      <c r="X28" s="8">
        <v>49.88</v>
      </c>
      <c r="Y28" s="8">
        <v>1.87</v>
      </c>
      <c r="Z28" s="9">
        <v>1.38</v>
      </c>
      <c r="AA28" s="8">
        <v>375.5</v>
      </c>
      <c r="AB28" s="8">
        <v>1509</v>
      </c>
      <c r="AC28" s="21" t="s">
        <v>4579</v>
      </c>
      <c r="AD28" s="8" t="s">
        <v>4036</v>
      </c>
      <c r="AE28" s="8" t="s">
        <v>3681</v>
      </c>
      <c r="AF28" s="9">
        <f t="shared" si="0"/>
        <v>702.18500000000006</v>
      </c>
      <c r="AG28" s="9">
        <f t="shared" si="1"/>
        <v>613.31666666666661</v>
      </c>
      <c r="AH28" s="9">
        <f t="shared" si="2"/>
        <v>1.1126750129639227</v>
      </c>
      <c r="AI28" s="9">
        <f t="shared" si="3"/>
        <v>1.2380456844742656</v>
      </c>
      <c r="AJ28" s="9">
        <f t="shared" si="4"/>
        <v>0.44555786514821294</v>
      </c>
      <c r="AK28" s="9">
        <f t="shared" si="5"/>
        <v>0.19852181119543311</v>
      </c>
      <c r="AL28" s="9">
        <f t="shared" si="6"/>
        <v>0.53590861663958345</v>
      </c>
      <c r="AM28" s="9">
        <f t="shared" si="7"/>
        <v>0.28719804538855204</v>
      </c>
      <c r="AN28" s="8" t="s">
        <v>4579</v>
      </c>
    </row>
    <row r="29" spans="13:40" ht="23">
      <c r="M29" s="8" t="s">
        <v>4594</v>
      </c>
      <c r="N29" s="8" t="s">
        <v>1614</v>
      </c>
      <c r="O29" s="8"/>
      <c r="P29" s="8"/>
      <c r="Q29" s="8"/>
      <c r="R29" s="8"/>
      <c r="S29" s="8"/>
      <c r="T29" s="8"/>
      <c r="U29" s="8"/>
      <c r="V29" s="8"/>
      <c r="W29" s="8" t="s">
        <v>4594</v>
      </c>
      <c r="X29" s="8">
        <v>34.26</v>
      </c>
      <c r="Y29" s="8">
        <v>3.55</v>
      </c>
      <c r="Z29" s="9">
        <v>2.11</v>
      </c>
      <c r="AA29" s="8">
        <v>361.5</v>
      </c>
      <c r="AB29" s="8">
        <v>893</v>
      </c>
      <c r="AC29" s="21" t="s">
        <v>4594</v>
      </c>
      <c r="AD29" s="8" t="s">
        <v>4036</v>
      </c>
      <c r="AE29" s="8" t="s">
        <v>3681</v>
      </c>
      <c r="AF29" s="9">
        <f t="shared" si="0"/>
        <v>1283.325</v>
      </c>
      <c r="AG29" s="9">
        <f t="shared" si="1"/>
        <v>789.27499999999998</v>
      </c>
      <c r="AH29" s="9">
        <f t="shared" si="2"/>
        <v>1.071190458552485</v>
      </c>
      <c r="AI29" s="9">
        <f t="shared" si="3"/>
        <v>1.1474489984938829</v>
      </c>
      <c r="AJ29" s="9">
        <f t="shared" si="4"/>
        <v>0.81430897454564022</v>
      </c>
      <c r="AK29" s="9">
        <f t="shared" si="5"/>
        <v>0.66309910602557209</v>
      </c>
      <c r="AL29" s="9">
        <f t="shared" si="6"/>
        <v>0.6896588604008923</v>
      </c>
      <c r="AM29" s="9">
        <f t="shared" si="7"/>
        <v>0.47562934372945748</v>
      </c>
      <c r="AN29" s="8" t="s">
        <v>4594</v>
      </c>
    </row>
    <row r="30" spans="13:40" ht="23">
      <c r="M30" s="8" t="s">
        <v>4597</v>
      </c>
      <c r="N30" s="8" t="s">
        <v>2003</v>
      </c>
      <c r="O30" s="8"/>
      <c r="P30" s="8"/>
      <c r="Q30" s="8"/>
      <c r="R30" s="8"/>
      <c r="S30" s="8"/>
      <c r="T30" s="8"/>
      <c r="U30" s="8"/>
      <c r="V30" s="8"/>
      <c r="W30" s="8" t="s">
        <v>4597</v>
      </c>
      <c r="X30" s="8">
        <v>16.61</v>
      </c>
      <c r="Y30" s="8">
        <v>5.0999999999999996</v>
      </c>
      <c r="Z30" s="9">
        <v>2.2000000000000002</v>
      </c>
      <c r="AA30" s="8">
        <v>341.2</v>
      </c>
      <c r="AB30" s="8">
        <v>2066</v>
      </c>
      <c r="AC30" s="21" t="s">
        <v>4597</v>
      </c>
      <c r="AD30" s="8" t="s">
        <v>4036</v>
      </c>
      <c r="AE30" s="8" t="s">
        <v>3681</v>
      </c>
      <c r="AF30" s="9">
        <f t="shared" si="0"/>
        <v>1740.12</v>
      </c>
      <c r="AG30" s="9">
        <f t="shared" si="1"/>
        <v>683.53733333333332</v>
      </c>
      <c r="AH30" s="9">
        <f t="shared" si="2"/>
        <v>1.0110378546559</v>
      </c>
      <c r="AI30" s="9">
        <f t="shared" si="3"/>
        <v>1.0221975435472048</v>
      </c>
      <c r="AJ30" s="9">
        <f t="shared" si="4"/>
        <v>1.1041593772320801</v>
      </c>
      <c r="AK30" s="9">
        <f t="shared" si="5"/>
        <v>1.2191679303295351</v>
      </c>
      <c r="AL30" s="9">
        <f t="shared" si="6"/>
        <v>0.59726657799642902</v>
      </c>
      <c r="AM30" s="9">
        <f t="shared" si="7"/>
        <v>0.35672736519156445</v>
      </c>
      <c r="AN30" s="8" t="s">
        <v>4597</v>
      </c>
    </row>
    <row r="31" spans="13:40" ht="23">
      <c r="M31" s="8" t="s">
        <v>773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8" t="s">
        <v>773</v>
      </c>
      <c r="X31" s="8">
        <v>7.75</v>
      </c>
      <c r="Y31" s="8">
        <v>5.18</v>
      </c>
      <c r="Z31" s="9">
        <v>2.31</v>
      </c>
      <c r="AA31" s="8">
        <v>334.8</v>
      </c>
      <c r="AB31" s="8">
        <v>6934</v>
      </c>
      <c r="AC31" s="21" t="s">
        <v>773</v>
      </c>
      <c r="AD31" s="8" t="s">
        <v>4036</v>
      </c>
      <c r="AE31" s="8" t="s">
        <v>3681</v>
      </c>
      <c r="AF31" s="9">
        <f t="shared" si="0"/>
        <v>1734.2639999999999</v>
      </c>
      <c r="AG31" s="9">
        <f t="shared" si="1"/>
        <v>842.58</v>
      </c>
      <c r="AH31" s="9">
        <f t="shared" si="2"/>
        <v>0.992073486924957</v>
      </c>
      <c r="AI31" s="9">
        <f t="shared" si="3"/>
        <v>0.98420980345944287</v>
      </c>
      <c r="AJ31" s="9">
        <f t="shared" si="4"/>
        <v>1.1004435660736134</v>
      </c>
      <c r="AK31" s="9">
        <f t="shared" si="5"/>
        <v>1.2109760421128111</v>
      </c>
      <c r="AL31" s="9">
        <f t="shared" si="6"/>
        <v>0.7362361187122155</v>
      </c>
      <c r="AM31" s="9">
        <f t="shared" si="7"/>
        <v>0.54204362249642746</v>
      </c>
      <c r="AN31" s="8" t="s">
        <v>773</v>
      </c>
    </row>
    <row r="32" spans="13:40" ht="23">
      <c r="M32" s="8" t="s">
        <v>4577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4577</v>
      </c>
      <c r="X32" s="8">
        <v>33.229999999999997</v>
      </c>
      <c r="Y32" s="8">
        <v>3.73</v>
      </c>
      <c r="Z32" s="9">
        <v>4.3499999999999996</v>
      </c>
      <c r="AA32" s="8">
        <v>330.2</v>
      </c>
      <c r="AB32" s="8">
        <v>726</v>
      </c>
      <c r="AC32" s="21" t="s">
        <v>4577</v>
      </c>
      <c r="AD32" s="8" t="s">
        <v>4036</v>
      </c>
      <c r="AE32" s="8" t="s">
        <v>3681</v>
      </c>
      <c r="AF32" s="9">
        <f t="shared" si="0"/>
        <v>1231.646</v>
      </c>
      <c r="AG32" s="9">
        <f t="shared" si="1"/>
        <v>1513.4166666666665</v>
      </c>
      <c r="AH32" s="9">
        <f t="shared" si="2"/>
        <v>0.97844284761834166</v>
      </c>
      <c r="AI32" s="9">
        <f t="shared" si="3"/>
        <v>0.95735040605548938</v>
      </c>
      <c r="AJ32" s="9">
        <f t="shared" si="4"/>
        <v>0.78151706797829035</v>
      </c>
      <c r="AK32" s="9">
        <f t="shared" si="5"/>
        <v>0.61076892754138368</v>
      </c>
      <c r="AL32" s="9">
        <f t="shared" si="6"/>
        <v>1.3224050092110484</v>
      </c>
      <c r="AM32" s="9">
        <f t="shared" si="7"/>
        <v>1.7487550083864731</v>
      </c>
      <c r="AN32" s="8" t="s">
        <v>4577</v>
      </c>
    </row>
    <row r="33" spans="13:40" ht="23">
      <c r="M33" s="8" t="s">
        <v>4601</v>
      </c>
      <c r="N33" s="8" t="s">
        <v>150</v>
      </c>
      <c r="O33" s="8"/>
      <c r="P33" s="8" t="s">
        <v>3691</v>
      </c>
      <c r="Q33" s="8"/>
      <c r="R33" s="8"/>
      <c r="S33" s="8"/>
      <c r="T33" s="8"/>
      <c r="U33" s="8"/>
      <c r="V33" s="8"/>
      <c r="W33" s="8" t="s">
        <v>4601</v>
      </c>
      <c r="X33" s="8">
        <v>29</v>
      </c>
      <c r="Y33" s="8">
        <v>4.16</v>
      </c>
      <c r="Z33" s="9">
        <v>2.27</v>
      </c>
      <c r="AA33" s="8">
        <v>325.8</v>
      </c>
      <c r="AB33" s="8">
        <v>968</v>
      </c>
      <c r="AC33" s="21" t="s">
        <v>4601</v>
      </c>
      <c r="AD33" s="8" t="s">
        <v>4036</v>
      </c>
      <c r="AE33" s="8" t="s">
        <v>3681</v>
      </c>
      <c r="AF33" s="9">
        <f t="shared" si="0"/>
        <v>1355.3280000000002</v>
      </c>
      <c r="AG33" s="9">
        <f t="shared" si="1"/>
        <v>798.21</v>
      </c>
      <c r="AH33" s="9">
        <f t="shared" si="2"/>
        <v>0.96540484480331834</v>
      </c>
      <c r="AI33" s="9">
        <f t="shared" si="3"/>
        <v>0.93200651436971915</v>
      </c>
      <c r="AJ33" s="9">
        <f t="shared" si="4"/>
        <v>0.85999708090545546</v>
      </c>
      <c r="AK33" s="9">
        <f t="shared" si="5"/>
        <v>0.73959497916590455</v>
      </c>
      <c r="AL33" s="9">
        <f t="shared" si="6"/>
        <v>0.69746615433226222</v>
      </c>
      <c r="AM33" s="9">
        <f t="shared" si="7"/>
        <v>0.48645903643903504</v>
      </c>
      <c r="AN33" s="8" t="s">
        <v>4601</v>
      </c>
    </row>
    <row r="34" spans="13:40" ht="23">
      <c r="M34" s="8" t="s">
        <v>4582</v>
      </c>
      <c r="N34" s="8" t="s">
        <v>150</v>
      </c>
      <c r="O34" s="8"/>
      <c r="P34" s="8" t="s">
        <v>3704</v>
      </c>
      <c r="Q34" s="8"/>
      <c r="R34" s="8"/>
      <c r="S34" s="8"/>
      <c r="T34" s="8"/>
      <c r="U34" s="8"/>
      <c r="V34" s="8"/>
      <c r="W34" s="8" t="s">
        <v>4582</v>
      </c>
      <c r="X34" s="8">
        <v>24.87</v>
      </c>
      <c r="Y34" s="8">
        <v>3.04</v>
      </c>
      <c r="Z34" s="9">
        <v>3.51</v>
      </c>
      <c r="AA34" s="8">
        <v>322.39999999999998</v>
      </c>
      <c r="AB34" s="8">
        <v>1671</v>
      </c>
      <c r="AC34" s="21" t="s">
        <v>4582</v>
      </c>
      <c r="AD34" s="8" t="s">
        <v>4036</v>
      </c>
      <c r="AE34" s="8" t="s">
        <v>3681</v>
      </c>
      <c r="AF34" s="9">
        <f t="shared" ref="AF34:AF65" si="8">(AA34*Y34)</f>
        <v>980.09599999999989</v>
      </c>
      <c r="AG34" s="9">
        <f t="shared" ref="AG34:AG65" si="9">((((RIGHT(Z34,2))/60)+(LEFT(Z34,2)))*AA34)</f>
        <v>1241.24</v>
      </c>
      <c r="AH34" s="9">
        <f t="shared" ref="AH34:AH65" si="10">(AA34/$AA$92)*100</f>
        <v>0.95533002444625481</v>
      </c>
      <c r="AI34" s="9">
        <f t="shared" ref="AI34:AI65" si="11">(AH34*AH34)</f>
        <v>0.91265545560848182</v>
      </c>
      <c r="AJ34" s="9">
        <f t="shared" ref="AJ34:AJ65" si="12">(AF34/$AF$92)*100</f>
        <v>0.62190089705747464</v>
      </c>
      <c r="AK34" s="9">
        <f t="shared" ref="AK34:AK65" si="13">(AJ34*AJ34)</f>
        <v>0.38676072576089165</v>
      </c>
      <c r="AL34" s="9">
        <f t="shared" ref="AL34:AL65" si="14">(AG34/$AG$92)*100</f>
        <v>1.084580360310416</v>
      </c>
      <c r="AM34" s="9">
        <f t="shared" ref="AM34:AM65" si="15">(AL34*AL34)</f>
        <v>1.1763145579710719</v>
      </c>
      <c r="AN34" s="8" t="s">
        <v>4582</v>
      </c>
    </row>
    <row r="35" spans="13:40" ht="23">
      <c r="M35" s="8" t="s">
        <v>4578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8" t="s">
        <v>4578</v>
      </c>
      <c r="X35" s="8">
        <v>28.13</v>
      </c>
      <c r="Y35" s="8">
        <v>5.93</v>
      </c>
      <c r="Z35" s="9">
        <v>4.42</v>
      </c>
      <c r="AA35" s="8">
        <v>282.89999999999998</v>
      </c>
      <c r="AB35" s="8">
        <v>584</v>
      </c>
      <c r="AC35" s="21" t="s">
        <v>4578</v>
      </c>
      <c r="AD35" s="8" t="s">
        <v>4036</v>
      </c>
      <c r="AE35" s="8" t="s">
        <v>3681</v>
      </c>
      <c r="AF35" s="9">
        <f t="shared" si="8"/>
        <v>1677.5969999999998</v>
      </c>
      <c r="AG35" s="9">
        <f t="shared" si="9"/>
        <v>1329.6299999999999</v>
      </c>
      <c r="AH35" s="9">
        <f t="shared" si="10"/>
        <v>0.83828431735684084</v>
      </c>
      <c r="AI35" s="9">
        <f t="shared" si="11"/>
        <v>0.70272059672642462</v>
      </c>
      <c r="AJ35" s="9">
        <f t="shared" si="12"/>
        <v>1.0644866209033894</v>
      </c>
      <c r="AK35" s="9">
        <f t="shared" si="13"/>
        <v>1.1331317660823164</v>
      </c>
      <c r="AL35" s="9">
        <f t="shared" si="14"/>
        <v>1.1618144633427365</v>
      </c>
      <c r="AM35" s="9">
        <f t="shared" si="15"/>
        <v>1.3498128472323709</v>
      </c>
      <c r="AN35" s="8" t="s">
        <v>4578</v>
      </c>
    </row>
    <row r="36" spans="13:40" ht="23">
      <c r="M36" s="8" t="s">
        <v>4602</v>
      </c>
      <c r="N36" s="8"/>
      <c r="O36" s="8"/>
      <c r="P36" s="8"/>
      <c r="Q36" s="8"/>
      <c r="R36" s="8"/>
      <c r="S36" s="8"/>
      <c r="T36" s="8"/>
      <c r="U36" s="8"/>
      <c r="V36" s="8"/>
      <c r="W36" s="8" t="s">
        <v>4602</v>
      </c>
      <c r="X36" s="8">
        <v>41.05</v>
      </c>
      <c r="Y36" s="8">
        <v>2.84</v>
      </c>
      <c r="Z36" s="9">
        <v>3.27</v>
      </c>
      <c r="AA36" s="8">
        <v>274.60000000000002</v>
      </c>
      <c r="AB36" s="8">
        <v>1504</v>
      </c>
      <c r="AC36" s="21" t="s">
        <v>4602</v>
      </c>
      <c r="AD36" s="8" t="s">
        <v>4036</v>
      </c>
      <c r="AE36" s="8" t="s">
        <v>3681</v>
      </c>
      <c r="AF36" s="9">
        <f t="shared" si="8"/>
        <v>779.86400000000003</v>
      </c>
      <c r="AG36" s="9">
        <f t="shared" si="9"/>
        <v>947.37000000000012</v>
      </c>
      <c r="AH36" s="9">
        <f t="shared" si="10"/>
        <v>0.81368990295577426</v>
      </c>
      <c r="AI36" s="9">
        <f t="shared" si="11"/>
        <v>0.66209125817217729</v>
      </c>
      <c r="AJ36" s="9">
        <f t="shared" si="12"/>
        <v>0.49484756715957467</v>
      </c>
      <c r="AK36" s="9">
        <f t="shared" si="13"/>
        <v>0.24487411472374976</v>
      </c>
      <c r="AL36" s="9">
        <f t="shared" si="14"/>
        <v>0.82780034155141546</v>
      </c>
      <c r="AM36" s="9">
        <f t="shared" si="15"/>
        <v>0.68525340547264013</v>
      </c>
      <c r="AN36" s="8" t="s">
        <v>4602</v>
      </c>
    </row>
    <row r="37" spans="13:40" ht="23">
      <c r="M37" s="8" t="s">
        <v>4586</v>
      </c>
      <c r="N37" s="8" t="s">
        <v>90</v>
      </c>
      <c r="O37" s="8"/>
      <c r="P37" s="8" t="s">
        <v>4768</v>
      </c>
      <c r="Q37" s="8"/>
      <c r="R37" s="8"/>
      <c r="S37" s="8"/>
      <c r="T37" s="8"/>
      <c r="U37" s="8"/>
      <c r="V37" s="8"/>
      <c r="W37" s="8" t="s">
        <v>4586</v>
      </c>
      <c r="X37" s="8">
        <v>15.14</v>
      </c>
      <c r="Y37" s="8">
        <v>7.03</v>
      </c>
      <c r="Z37" s="9">
        <v>4.2699999999999996</v>
      </c>
      <c r="AA37" s="8">
        <v>273.39999999999998</v>
      </c>
      <c r="AB37" s="8">
        <v>1253</v>
      </c>
      <c r="AC37" s="21" t="s">
        <v>4586</v>
      </c>
      <c r="AD37" s="8" t="s">
        <v>4036</v>
      </c>
      <c r="AE37" s="8" t="s">
        <v>3681</v>
      </c>
      <c r="AF37" s="9">
        <f t="shared" si="8"/>
        <v>1922.002</v>
      </c>
      <c r="AG37" s="9">
        <f t="shared" si="9"/>
        <v>1216.6299999999999</v>
      </c>
      <c r="AH37" s="9">
        <f t="shared" si="10"/>
        <v>0.81013408400622233</v>
      </c>
      <c r="AI37" s="9">
        <f t="shared" si="11"/>
        <v>0.65631723406860087</v>
      </c>
      <c r="AJ37" s="9">
        <f t="shared" si="12"/>
        <v>1.2195690707300719</v>
      </c>
      <c r="AK37" s="9">
        <f t="shared" si="13"/>
        <v>1.4873487182814111</v>
      </c>
      <c r="AL37" s="9">
        <f t="shared" si="14"/>
        <v>1.0630764427221659</v>
      </c>
      <c r="AM37" s="9">
        <f t="shared" si="15"/>
        <v>1.1301315230708147</v>
      </c>
      <c r="AN37" s="8" t="s">
        <v>4586</v>
      </c>
    </row>
    <row r="38" spans="13:40" ht="23">
      <c r="M38" s="8" t="s">
        <v>351</v>
      </c>
      <c r="N38" s="8" t="s">
        <v>150</v>
      </c>
      <c r="O38" s="8"/>
      <c r="P38" s="8" t="s">
        <v>3704</v>
      </c>
      <c r="Q38" s="8"/>
      <c r="R38" s="8"/>
      <c r="S38" s="8"/>
      <c r="T38" s="8"/>
      <c r="U38" s="8"/>
      <c r="V38" s="8"/>
      <c r="W38" s="8" t="s">
        <v>351</v>
      </c>
      <c r="X38" s="8">
        <v>48.38</v>
      </c>
      <c r="Y38" s="8">
        <v>1.77</v>
      </c>
      <c r="Z38" s="9">
        <v>0.52</v>
      </c>
      <c r="AA38" s="8">
        <v>268.3</v>
      </c>
      <c r="AB38" s="8">
        <v>1742</v>
      </c>
      <c r="AC38" s="21" t="s">
        <v>351</v>
      </c>
      <c r="AD38" s="8" t="s">
        <v>4036</v>
      </c>
      <c r="AE38" s="8" t="s">
        <v>3681</v>
      </c>
      <c r="AF38" s="9">
        <f t="shared" si="8"/>
        <v>474.89100000000002</v>
      </c>
      <c r="AG38" s="9">
        <f t="shared" si="9"/>
        <v>232.52666666666667</v>
      </c>
      <c r="AH38" s="9">
        <f t="shared" si="10"/>
        <v>0.79502185347062704</v>
      </c>
      <c r="AI38" s="9">
        <f t="shared" si="11"/>
        <v>0.63205974749587113</v>
      </c>
      <c r="AJ38" s="9">
        <f t="shared" si="12"/>
        <v>0.3013328683154724</v>
      </c>
      <c r="AK38" s="9">
        <f t="shared" si="13"/>
        <v>9.0801497527229838E-2</v>
      </c>
      <c r="AL38" s="9">
        <f t="shared" si="14"/>
        <v>0.20317896290412274</v>
      </c>
      <c r="AM38" s="9">
        <f t="shared" si="15"/>
        <v>4.1281690966794883E-2</v>
      </c>
      <c r="AN38" s="8" t="s">
        <v>351</v>
      </c>
    </row>
    <row r="39" spans="13:40" ht="23">
      <c r="M39" s="9" t="s">
        <v>2713</v>
      </c>
      <c r="N39" s="8" t="s">
        <v>1614</v>
      </c>
      <c r="O39" s="8"/>
      <c r="P39" s="8" t="s">
        <v>4667</v>
      </c>
      <c r="Q39" s="8"/>
      <c r="R39" s="8"/>
      <c r="S39" s="8"/>
      <c r="T39" s="8"/>
      <c r="U39" s="8"/>
      <c r="V39" s="8"/>
      <c r="W39" s="9" t="s">
        <v>2713</v>
      </c>
      <c r="X39" s="8">
        <v>19.420000000000002</v>
      </c>
      <c r="Y39" s="8">
        <v>4.99</v>
      </c>
      <c r="Z39" s="9">
        <v>1.35</v>
      </c>
      <c r="AA39" s="8">
        <v>268.2</v>
      </c>
      <c r="AB39" s="8">
        <v>1407</v>
      </c>
      <c r="AC39" s="22" t="s">
        <v>2713</v>
      </c>
      <c r="AD39" s="8" t="s">
        <v>4036</v>
      </c>
      <c r="AE39" s="8" t="s">
        <v>3681</v>
      </c>
      <c r="AF39" s="9">
        <f t="shared" si="8"/>
        <v>1338.318</v>
      </c>
      <c r="AG39" s="9">
        <f t="shared" si="9"/>
        <v>424.65000000000003</v>
      </c>
      <c r="AH39" s="9">
        <f t="shared" si="10"/>
        <v>0.79472553522483103</v>
      </c>
      <c r="AI39" s="9">
        <f t="shared" si="11"/>
        <v>0.63158867633839411</v>
      </c>
      <c r="AJ39" s="9">
        <f t="shared" si="12"/>
        <v>0.84920371550150742</v>
      </c>
      <c r="AK39" s="9">
        <f t="shared" si="13"/>
        <v>0.72114695042156518</v>
      </c>
      <c r="AL39" s="9">
        <f t="shared" si="14"/>
        <v>0.37105398634093179</v>
      </c>
      <c r="AM39" s="9">
        <f t="shared" si="15"/>
        <v>0.13768106077949638</v>
      </c>
      <c r="AN39" s="9" t="s">
        <v>2713</v>
      </c>
    </row>
    <row r="40" spans="13:40" ht="23">
      <c r="M40" s="8" t="s">
        <v>4574</v>
      </c>
      <c r="N40" s="8" t="s">
        <v>1862</v>
      </c>
      <c r="O40" s="8"/>
      <c r="P40" s="8" t="s">
        <v>3691</v>
      </c>
      <c r="Q40" s="8"/>
      <c r="R40" s="8"/>
      <c r="S40" s="8"/>
      <c r="T40" s="8"/>
      <c r="U40" s="8"/>
      <c r="V40" s="8"/>
      <c r="W40" s="8" t="s">
        <v>4574</v>
      </c>
      <c r="X40" s="8">
        <v>16.45</v>
      </c>
      <c r="Y40" s="8">
        <v>5.03</v>
      </c>
      <c r="Z40" s="9">
        <v>3.17</v>
      </c>
      <c r="AA40" s="8">
        <v>230</v>
      </c>
      <c r="AB40" s="8">
        <v>1918</v>
      </c>
      <c r="AC40" s="21" t="s">
        <v>4574</v>
      </c>
      <c r="AD40" s="8" t="s">
        <v>4036</v>
      </c>
      <c r="AE40" s="8" t="s">
        <v>3681</v>
      </c>
      <c r="AF40" s="9">
        <f t="shared" si="8"/>
        <v>1156.9000000000001</v>
      </c>
      <c r="AG40" s="9">
        <f t="shared" si="9"/>
        <v>755.16666666666663</v>
      </c>
      <c r="AH40" s="9">
        <f t="shared" si="10"/>
        <v>0.68153196533076499</v>
      </c>
      <c r="AI40" s="9">
        <f t="shared" si="11"/>
        <v>0.46448581976761505</v>
      </c>
      <c r="AJ40" s="9">
        <f t="shared" si="12"/>
        <v>0.73408844419913211</v>
      </c>
      <c r="AK40" s="9">
        <f t="shared" si="13"/>
        <v>0.53888584390670224</v>
      </c>
      <c r="AL40" s="9">
        <f t="shared" si="14"/>
        <v>0.65985541509115819</v>
      </c>
      <c r="AM40" s="9">
        <f t="shared" si="15"/>
        <v>0.4354091688251247</v>
      </c>
      <c r="AN40" s="8" t="s">
        <v>4574</v>
      </c>
    </row>
    <row r="41" spans="13:40" ht="23">
      <c r="M41" s="8" t="s">
        <v>4600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8" t="s">
        <v>4600</v>
      </c>
      <c r="X41" s="8">
        <v>28.02</v>
      </c>
      <c r="Y41" s="8">
        <v>3.1</v>
      </c>
      <c r="Z41" s="9">
        <v>3.08</v>
      </c>
      <c r="AA41" s="8">
        <v>229.2</v>
      </c>
      <c r="AB41" s="8">
        <v>3332</v>
      </c>
      <c r="AC41" s="21" t="s">
        <v>4600</v>
      </c>
      <c r="AD41" s="8" t="s">
        <v>4036</v>
      </c>
      <c r="AE41" s="8" t="s">
        <v>3681</v>
      </c>
      <c r="AF41" s="9">
        <f t="shared" si="8"/>
        <v>710.52</v>
      </c>
      <c r="AG41" s="9">
        <f t="shared" si="9"/>
        <v>718.16</v>
      </c>
      <c r="AH41" s="9">
        <f t="shared" si="10"/>
        <v>0.679161419364397</v>
      </c>
      <c r="AI41" s="9">
        <f t="shared" si="11"/>
        <v>0.46126023355306234</v>
      </c>
      <c r="AJ41" s="9">
        <f t="shared" si="12"/>
        <v>0.45084667764920677</v>
      </c>
      <c r="AK41" s="9">
        <f t="shared" si="13"/>
        <v>0.20326272674732776</v>
      </c>
      <c r="AL41" s="9">
        <f t="shared" si="14"/>
        <v>0.62751944149441552</v>
      </c>
      <c r="AM41" s="9">
        <f t="shared" si="15"/>
        <v>0.39378064945346319</v>
      </c>
      <c r="AN41" s="8" t="s">
        <v>4600</v>
      </c>
    </row>
    <row r="42" spans="13:40" ht="23">
      <c r="M42" s="8" t="s">
        <v>4598</v>
      </c>
      <c r="N42" s="8" t="s">
        <v>82</v>
      </c>
      <c r="O42" s="8"/>
      <c r="P42" s="8"/>
      <c r="Q42" s="8"/>
      <c r="R42" s="8"/>
      <c r="S42" s="8"/>
      <c r="T42" s="8"/>
      <c r="U42" s="8"/>
      <c r="V42" s="8"/>
      <c r="W42" s="8" t="s">
        <v>4598</v>
      </c>
      <c r="X42" s="8">
        <v>33.630000000000003</v>
      </c>
      <c r="Y42" s="8">
        <v>3.72</v>
      </c>
      <c r="Z42" s="9">
        <v>1.46</v>
      </c>
      <c r="AA42" s="8">
        <v>226.4</v>
      </c>
      <c r="AB42" s="8">
        <v>1717</v>
      </c>
      <c r="AC42" s="21" t="s">
        <v>4598</v>
      </c>
      <c r="AD42" s="8" t="s">
        <v>4036</v>
      </c>
      <c r="AE42" s="8" t="s">
        <v>3681</v>
      </c>
      <c r="AF42" s="9">
        <f t="shared" si="8"/>
        <v>842.20800000000008</v>
      </c>
      <c r="AG42" s="9">
        <f t="shared" si="9"/>
        <v>399.97333333333336</v>
      </c>
      <c r="AH42" s="9">
        <f t="shared" si="10"/>
        <v>0.67086450848210955</v>
      </c>
      <c r="AI42" s="9">
        <f t="shared" si="11"/>
        <v>0.45005918874094242</v>
      </c>
      <c r="AJ42" s="9">
        <f t="shared" si="12"/>
        <v>0.53440674251193943</v>
      </c>
      <c r="AK42" s="9">
        <f t="shared" si="13"/>
        <v>0.2855905664422223</v>
      </c>
      <c r="AL42" s="9">
        <f t="shared" si="14"/>
        <v>0.34949181623314168</v>
      </c>
      <c r="AM42" s="9">
        <f t="shared" si="15"/>
        <v>0.12214452961394008</v>
      </c>
      <c r="AN42" s="8" t="s">
        <v>4598</v>
      </c>
    </row>
    <row r="43" spans="13:40" ht="23">
      <c r="M43" s="9" t="s">
        <v>3643</v>
      </c>
      <c r="N43" s="8" t="s">
        <v>2100</v>
      </c>
      <c r="O43" s="8"/>
      <c r="P43" s="8" t="s">
        <v>4667</v>
      </c>
      <c r="Q43" s="8"/>
      <c r="R43" s="8"/>
      <c r="S43" s="8"/>
      <c r="T43" s="8"/>
      <c r="U43" s="8"/>
      <c r="V43" s="8"/>
      <c r="W43" s="9" t="s">
        <v>3643</v>
      </c>
      <c r="X43" s="8">
        <v>24.14</v>
      </c>
      <c r="Y43" s="8">
        <v>4.41</v>
      </c>
      <c r="Z43" s="9">
        <v>4.01</v>
      </c>
      <c r="AA43" s="8">
        <v>225.7</v>
      </c>
      <c r="AB43" s="8">
        <v>2548</v>
      </c>
      <c r="AC43" s="22" t="s">
        <v>3643</v>
      </c>
      <c r="AD43" s="8" t="s">
        <v>4036</v>
      </c>
      <c r="AE43" s="8" t="s">
        <v>3681</v>
      </c>
      <c r="AF43" s="9">
        <f t="shared" si="8"/>
        <v>995.33699999999999</v>
      </c>
      <c r="AG43" s="9">
        <f t="shared" si="9"/>
        <v>906.56166666666661</v>
      </c>
      <c r="AH43" s="9">
        <f t="shared" si="10"/>
        <v>0.66879028076153757</v>
      </c>
      <c r="AI43" s="9">
        <f t="shared" si="11"/>
        <v>0.44728043964109626</v>
      </c>
      <c r="AJ43" s="9">
        <f t="shared" si="12"/>
        <v>0.63157177784063567</v>
      </c>
      <c r="AK43" s="9">
        <f t="shared" si="13"/>
        <v>0.39888291056478126</v>
      </c>
      <c r="AL43" s="9">
        <f t="shared" si="14"/>
        <v>0.79214251802789504</v>
      </c>
      <c r="AM43" s="9">
        <f t="shared" si="15"/>
        <v>0.62748976886757402</v>
      </c>
      <c r="AN43" s="9" t="s">
        <v>3643</v>
      </c>
    </row>
    <row r="44" spans="13:40" ht="23">
      <c r="M44" s="8" t="s">
        <v>4587</v>
      </c>
      <c r="N44" s="8" t="s">
        <v>1869</v>
      </c>
      <c r="O44" s="8"/>
      <c r="P44" s="8" t="s">
        <v>4667</v>
      </c>
      <c r="Q44" s="8"/>
      <c r="R44" s="8"/>
      <c r="S44" s="8"/>
      <c r="T44" s="8"/>
      <c r="U44" s="8"/>
      <c r="V44" s="8"/>
      <c r="W44" s="8" t="s">
        <v>4587</v>
      </c>
      <c r="X44" s="8">
        <v>15.43</v>
      </c>
      <c r="Y44" s="8">
        <v>5.5</v>
      </c>
      <c r="Z44" s="9">
        <v>3.14</v>
      </c>
      <c r="AA44" s="8">
        <v>212.8</v>
      </c>
      <c r="AB44" s="8">
        <v>1300</v>
      </c>
      <c r="AC44" s="21" t="s">
        <v>4587</v>
      </c>
      <c r="AD44" s="8" t="s">
        <v>4036</v>
      </c>
      <c r="AE44" s="8" t="s">
        <v>3681</v>
      </c>
      <c r="AF44" s="9">
        <f t="shared" si="8"/>
        <v>1170.4000000000001</v>
      </c>
      <c r="AG44" s="9">
        <f t="shared" si="9"/>
        <v>688.0533333333334</v>
      </c>
      <c r="AH44" s="9">
        <f t="shared" si="10"/>
        <v>0.63056522705385565</v>
      </c>
      <c r="AI44" s="9">
        <f t="shared" si="11"/>
        <v>0.39761250556948052</v>
      </c>
      <c r="AJ44" s="9">
        <f t="shared" si="12"/>
        <v>0.74265460721813836</v>
      </c>
      <c r="AK44" s="9">
        <f t="shared" si="13"/>
        <v>0.55153586562232737</v>
      </c>
      <c r="AL44" s="9">
        <f t="shared" si="14"/>
        <v>0.60121260367007945</v>
      </c>
      <c r="AM44" s="9">
        <f t="shared" si="15"/>
        <v>0.36145659481175602</v>
      </c>
      <c r="AN44" s="8" t="s">
        <v>4587</v>
      </c>
    </row>
    <row r="45" spans="13:40" ht="23">
      <c r="M45" s="8" t="s">
        <v>4604</v>
      </c>
      <c r="N45" s="8"/>
      <c r="O45" s="8"/>
      <c r="P45" s="8"/>
      <c r="Q45" s="8"/>
      <c r="R45" s="8"/>
      <c r="S45" s="8"/>
      <c r="T45" s="8"/>
      <c r="U45" s="8"/>
      <c r="V45" s="8"/>
      <c r="W45" s="8" t="s">
        <v>4604</v>
      </c>
      <c r="X45" s="8">
        <v>22.9</v>
      </c>
      <c r="Y45" s="8">
        <v>7.23</v>
      </c>
      <c r="Z45" s="9">
        <v>2</v>
      </c>
      <c r="AA45" s="8">
        <v>202.6</v>
      </c>
      <c r="AB45" s="8">
        <v>1988</v>
      </c>
      <c r="AC45" s="21" t="s">
        <v>4604</v>
      </c>
      <c r="AD45" s="8" t="s">
        <v>4036</v>
      </c>
      <c r="AE45" s="8" t="s">
        <v>3681</v>
      </c>
      <c r="AF45" s="9">
        <f t="shared" si="8"/>
        <v>1464.798</v>
      </c>
      <c r="AG45" s="9">
        <f t="shared" si="9"/>
        <v>411.95333333333332</v>
      </c>
      <c r="AH45" s="9">
        <f t="shared" si="10"/>
        <v>0.60034076598266517</v>
      </c>
      <c r="AI45" s="9">
        <f t="shared" si="11"/>
        <v>0.36040903530065316</v>
      </c>
      <c r="AJ45" s="9">
        <f t="shared" si="12"/>
        <v>0.92945914503068561</v>
      </c>
      <c r="AK45" s="9">
        <f t="shared" si="13"/>
        <v>0.86389430228117303</v>
      </c>
      <c r="AL45" s="9">
        <f t="shared" si="14"/>
        <v>0.35995979399450834</v>
      </c>
      <c r="AM45" s="9">
        <f t="shared" si="15"/>
        <v>0.12957105329256888</v>
      </c>
      <c r="AN45" s="8" t="s">
        <v>4604</v>
      </c>
    </row>
    <row r="46" spans="13:40" ht="23">
      <c r="M46" s="8" t="s">
        <v>4593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4593</v>
      </c>
      <c r="X46" s="8">
        <v>26.84</v>
      </c>
      <c r="Y46" s="8">
        <v>3.74</v>
      </c>
      <c r="Z46" s="9">
        <v>2.14</v>
      </c>
      <c r="AA46" s="8">
        <v>187.6</v>
      </c>
      <c r="AB46" s="8">
        <v>1724</v>
      </c>
      <c r="AC46" s="21" t="s">
        <v>4593</v>
      </c>
      <c r="AD46" s="8" t="s">
        <v>4036</v>
      </c>
      <c r="AE46" s="8" t="s">
        <v>3681</v>
      </c>
      <c r="AF46" s="9">
        <f t="shared" si="8"/>
        <v>701.62400000000002</v>
      </c>
      <c r="AG46" s="9">
        <f t="shared" si="9"/>
        <v>418.97333333333336</v>
      </c>
      <c r="AH46" s="9">
        <f t="shared" si="10"/>
        <v>0.55589302911326732</v>
      </c>
      <c r="AI46" s="9">
        <f t="shared" si="11"/>
        <v>0.30901705981672389</v>
      </c>
      <c r="AJ46" s="9">
        <f t="shared" si="12"/>
        <v>0.44520189348497863</v>
      </c>
      <c r="AK46" s="9">
        <f t="shared" si="13"/>
        <v>0.19820472596261027</v>
      </c>
      <c r="AL46" s="9">
        <f t="shared" si="14"/>
        <v>0.36609378430208717</v>
      </c>
      <c r="AM46" s="9">
        <f t="shared" si="15"/>
        <v>0.13402465890462312</v>
      </c>
      <c r="AN46" s="8" t="s">
        <v>4593</v>
      </c>
    </row>
    <row r="47" spans="13:40" ht="23">
      <c r="M47" s="8" t="s">
        <v>4580</v>
      </c>
      <c r="N47" s="8" t="s">
        <v>82</v>
      </c>
      <c r="O47" s="8"/>
      <c r="P47" s="8" t="s">
        <v>4667</v>
      </c>
      <c r="Q47" s="8"/>
      <c r="R47" s="8"/>
      <c r="S47" s="8"/>
      <c r="T47" s="8"/>
      <c r="U47" s="8"/>
      <c r="V47" s="8"/>
      <c r="W47" s="8" t="s">
        <v>4580</v>
      </c>
      <c r="X47" s="8">
        <v>23.3</v>
      </c>
      <c r="Y47" s="8">
        <v>4.4000000000000004</v>
      </c>
      <c r="Z47" s="9">
        <v>2.35</v>
      </c>
      <c r="AA47" s="8">
        <v>183.5</v>
      </c>
      <c r="AB47" s="8">
        <v>1109</v>
      </c>
      <c r="AC47" s="21" t="s">
        <v>4580</v>
      </c>
      <c r="AD47" s="8" t="s">
        <v>4036</v>
      </c>
      <c r="AE47" s="8" t="s">
        <v>3681</v>
      </c>
      <c r="AF47" s="9">
        <f t="shared" si="8"/>
        <v>807.40000000000009</v>
      </c>
      <c r="AG47" s="9">
        <f t="shared" si="9"/>
        <v>474.04166666666669</v>
      </c>
      <c r="AH47" s="9">
        <f t="shared" si="10"/>
        <v>0.54374398103563204</v>
      </c>
      <c r="AI47" s="9">
        <f t="shared" si="11"/>
        <v>0.29565751691247777</v>
      </c>
      <c r="AJ47" s="9">
        <f t="shared" si="12"/>
        <v>0.51232000159597146</v>
      </c>
      <c r="AK47" s="9">
        <f t="shared" si="13"/>
        <v>0.2624717840352962</v>
      </c>
      <c r="AL47" s="9">
        <f t="shared" si="14"/>
        <v>0.41421182175524751</v>
      </c>
      <c r="AM47" s="9">
        <f t="shared" si="15"/>
        <v>0.17157143328180094</v>
      </c>
      <c r="AN47" s="8" t="s">
        <v>4580</v>
      </c>
    </row>
    <row r="48" spans="13:40" ht="23">
      <c r="M48" s="8" t="s">
        <v>4588</v>
      </c>
      <c r="N48" s="8" t="s">
        <v>2041</v>
      </c>
      <c r="O48" s="8"/>
      <c r="P48" s="8"/>
      <c r="Q48" s="8"/>
      <c r="R48" s="8"/>
      <c r="S48" s="8"/>
      <c r="T48" s="8"/>
      <c r="U48" s="8"/>
      <c r="V48" s="8"/>
      <c r="W48" s="8" t="s">
        <v>4588</v>
      </c>
      <c r="X48" s="8">
        <v>24.65</v>
      </c>
      <c r="Y48" s="8">
        <v>2.9</v>
      </c>
      <c r="Z48" s="9">
        <v>1.39</v>
      </c>
      <c r="AA48" s="8">
        <v>178.2</v>
      </c>
      <c r="AB48" s="8">
        <v>1784</v>
      </c>
      <c r="AC48" s="21" t="s">
        <v>4588</v>
      </c>
      <c r="AD48" s="8" t="s">
        <v>4036</v>
      </c>
      <c r="AE48" s="8" t="s">
        <v>3681</v>
      </c>
      <c r="AF48" s="9">
        <f t="shared" si="8"/>
        <v>516.78</v>
      </c>
      <c r="AG48" s="9">
        <f t="shared" si="9"/>
        <v>294.02999999999997</v>
      </c>
      <c r="AH48" s="9">
        <f t="shared" si="10"/>
        <v>0.52803911400844483</v>
      </c>
      <c r="AI48" s="9">
        <f t="shared" si="11"/>
        <v>0.2788253059228234</v>
      </c>
      <c r="AJ48" s="9">
        <f t="shared" si="12"/>
        <v>0.32791272036755764</v>
      </c>
      <c r="AK48" s="9">
        <f t="shared" si="13"/>
        <v>0.10752675217885205</v>
      </c>
      <c r="AL48" s="9">
        <f t="shared" si="14"/>
        <v>0.25691982480589698</v>
      </c>
      <c r="AM48" s="9">
        <f t="shared" si="15"/>
        <v>6.6007796378292793E-2</v>
      </c>
      <c r="AN48" s="8" t="s">
        <v>4588</v>
      </c>
    </row>
    <row r="49" spans="13:40" ht="23">
      <c r="M49" s="8" t="s">
        <v>1812</v>
      </c>
      <c r="N49" s="8" t="s">
        <v>1717</v>
      </c>
      <c r="O49" s="8"/>
      <c r="P49" s="8" t="s">
        <v>3691</v>
      </c>
      <c r="Q49" s="8"/>
      <c r="R49" s="8"/>
      <c r="S49" s="8"/>
      <c r="T49" s="8"/>
      <c r="U49" s="8"/>
      <c r="V49" s="8"/>
      <c r="W49" s="8" t="s">
        <v>1812</v>
      </c>
      <c r="X49" s="8">
        <v>16.399999999999999</v>
      </c>
      <c r="Y49" s="8">
        <v>4.68</v>
      </c>
      <c r="Z49" s="9">
        <v>3.58</v>
      </c>
      <c r="AA49" s="8">
        <v>167.9</v>
      </c>
      <c r="AB49" s="8">
        <v>5311</v>
      </c>
      <c r="AC49" s="21" t="s">
        <v>1812</v>
      </c>
      <c r="AD49" s="8" t="s">
        <v>4036</v>
      </c>
      <c r="AE49" s="8" t="s">
        <v>3681</v>
      </c>
      <c r="AF49" s="9">
        <f t="shared" si="8"/>
        <v>785.77199999999993</v>
      </c>
      <c r="AG49" s="9">
        <f t="shared" si="9"/>
        <v>666.00333333333333</v>
      </c>
      <c r="AH49" s="9">
        <f t="shared" si="10"/>
        <v>0.4975183346914584</v>
      </c>
      <c r="AI49" s="9">
        <f t="shared" si="11"/>
        <v>0.24752449335416202</v>
      </c>
      <c r="AJ49" s="9">
        <f t="shared" si="12"/>
        <v>0.49859637390892936</v>
      </c>
      <c r="AK49" s="9">
        <f t="shared" si="13"/>
        <v>0.2485983440751329</v>
      </c>
      <c r="AL49" s="9">
        <f t="shared" si="14"/>
        <v>0.58194558283217157</v>
      </c>
      <c r="AM49" s="9">
        <f t="shared" si="15"/>
        <v>0.33866066137787587</v>
      </c>
      <c r="AN49" s="8" t="s">
        <v>1812</v>
      </c>
    </row>
    <row r="50" spans="13:40" ht="23">
      <c r="M50" s="9" t="s">
        <v>3499</v>
      </c>
      <c r="N50" s="8" t="s">
        <v>2032</v>
      </c>
      <c r="O50" s="8"/>
      <c r="P50" s="8"/>
      <c r="Q50" s="8"/>
      <c r="R50" s="8"/>
      <c r="S50" s="8"/>
      <c r="T50" s="8"/>
      <c r="U50" s="8"/>
      <c r="V50" s="8"/>
      <c r="W50" s="9" t="s">
        <v>3499</v>
      </c>
      <c r="X50" s="8">
        <v>13.8</v>
      </c>
      <c r="Y50" s="8">
        <v>3.38</v>
      </c>
      <c r="Z50" s="9">
        <v>3.13</v>
      </c>
      <c r="AA50" s="8">
        <v>164.9</v>
      </c>
      <c r="AB50" s="8">
        <v>6625</v>
      </c>
      <c r="AC50" s="22" t="s">
        <v>3499</v>
      </c>
      <c r="AD50" s="8" t="s">
        <v>4036</v>
      </c>
      <c r="AE50" s="8" t="s">
        <v>3681</v>
      </c>
      <c r="AF50" s="9">
        <f t="shared" si="8"/>
        <v>557.36199999999997</v>
      </c>
      <c r="AG50" s="9">
        <f t="shared" si="9"/>
        <v>530.4283333333334</v>
      </c>
      <c r="AH50" s="9">
        <f t="shared" si="10"/>
        <v>0.48862878731757892</v>
      </c>
      <c r="AI50" s="9">
        <f t="shared" si="11"/>
        <v>0.23875809179544777</v>
      </c>
      <c r="AJ50" s="9">
        <f t="shared" si="12"/>
        <v>0.35366324093328427</v>
      </c>
      <c r="AK50" s="9">
        <f t="shared" si="13"/>
        <v>0.12507768798743429</v>
      </c>
      <c r="AL50" s="9">
        <f t="shared" si="14"/>
        <v>0.46348180278231466</v>
      </c>
      <c r="AM50" s="9">
        <f t="shared" si="15"/>
        <v>0.21481538151034441</v>
      </c>
      <c r="AN50" s="9" t="s">
        <v>3499</v>
      </c>
    </row>
    <row r="51" spans="13:40" ht="23">
      <c r="M51" s="8" t="s">
        <v>4567</v>
      </c>
      <c r="N51" s="8" t="s">
        <v>2032</v>
      </c>
      <c r="O51" s="8"/>
      <c r="P51" s="8"/>
      <c r="Q51" s="8"/>
      <c r="R51" s="8"/>
      <c r="S51" s="8"/>
      <c r="T51" s="8"/>
      <c r="U51" s="8"/>
      <c r="V51" s="8"/>
      <c r="W51" s="8" t="s">
        <v>4567</v>
      </c>
      <c r="X51" s="8">
        <v>33.1</v>
      </c>
      <c r="Y51" s="8">
        <v>4.03</v>
      </c>
      <c r="Z51" s="9">
        <v>2.39</v>
      </c>
      <c r="AA51" s="8">
        <v>159.5</v>
      </c>
      <c r="AB51" s="8">
        <v>1411</v>
      </c>
      <c r="AC51" s="21" t="s">
        <v>4567</v>
      </c>
      <c r="AD51" s="8" t="s">
        <v>4036</v>
      </c>
      <c r="AE51" s="8" t="s">
        <v>3681</v>
      </c>
      <c r="AF51" s="9">
        <f t="shared" si="8"/>
        <v>642.78500000000008</v>
      </c>
      <c r="AG51" s="9">
        <f t="shared" si="9"/>
        <v>422.67500000000001</v>
      </c>
      <c r="AH51" s="9">
        <f t="shared" si="10"/>
        <v>0.4726276020445957</v>
      </c>
      <c r="AI51" s="9">
        <f t="shared" si="11"/>
        <v>0.22337685021442472</v>
      </c>
      <c r="AJ51" s="9">
        <f t="shared" si="12"/>
        <v>0.40786674786458565</v>
      </c>
      <c r="AK51" s="9">
        <f t="shared" si="13"/>
        <v>0.16635528401363348</v>
      </c>
      <c r="AL51" s="9">
        <f t="shared" si="14"/>
        <v>0.36932825544955455</v>
      </c>
      <c r="AM51" s="9">
        <f t="shared" si="15"/>
        <v>0.13640336027341143</v>
      </c>
      <c r="AN51" s="8" t="s">
        <v>4567</v>
      </c>
    </row>
    <row r="52" spans="13:40" ht="23">
      <c r="M52" s="8" t="s">
        <v>4581</v>
      </c>
      <c r="N52" s="8" t="s">
        <v>1990</v>
      </c>
      <c r="O52" s="8"/>
      <c r="P52" s="8"/>
      <c r="Q52" s="8"/>
      <c r="R52" s="8"/>
      <c r="S52" s="8"/>
      <c r="T52" s="8"/>
      <c r="U52" s="8"/>
      <c r="V52" s="8"/>
      <c r="W52" s="8" t="s">
        <v>4581</v>
      </c>
      <c r="X52" s="8">
        <v>12.17</v>
      </c>
      <c r="Y52" s="8">
        <v>2.75</v>
      </c>
      <c r="Z52" s="9">
        <v>1.1399999999999999</v>
      </c>
      <c r="AA52" s="8">
        <v>142.30000000000001</v>
      </c>
      <c r="AB52" s="8">
        <v>2765</v>
      </c>
      <c r="AC52" s="21" t="s">
        <v>4581</v>
      </c>
      <c r="AD52" s="8" t="s">
        <v>4036</v>
      </c>
      <c r="AE52" s="8" t="s">
        <v>3681</v>
      </c>
      <c r="AF52" s="9">
        <f t="shared" si="8"/>
        <v>391.32500000000005</v>
      </c>
      <c r="AG52" s="9">
        <f t="shared" si="9"/>
        <v>175.50333333333336</v>
      </c>
      <c r="AH52" s="9">
        <f t="shared" si="10"/>
        <v>0.42166086376768636</v>
      </c>
      <c r="AI52" s="9">
        <f t="shared" si="11"/>
        <v>0.17779788403331134</v>
      </c>
      <c r="AJ52" s="9">
        <f t="shared" si="12"/>
        <v>0.24830768469723</v>
      </c>
      <c r="AK52" s="9">
        <f t="shared" si="13"/>
        <v>6.1656706279698985E-2</v>
      </c>
      <c r="AL52" s="9">
        <f t="shared" si="14"/>
        <v>0.15335267031544725</v>
      </c>
      <c r="AM52" s="9">
        <f t="shared" si="15"/>
        <v>2.3517041492878255E-2</v>
      </c>
      <c r="AN52" s="8" t="s">
        <v>4581</v>
      </c>
    </row>
    <row r="53" spans="13:40" ht="23">
      <c r="M53" s="8" t="s">
        <v>4585</v>
      </c>
      <c r="N53" s="8" t="s">
        <v>2074</v>
      </c>
      <c r="O53" s="8"/>
      <c r="P53" s="8" t="s">
        <v>4667</v>
      </c>
      <c r="Q53" s="8"/>
      <c r="R53" s="8"/>
      <c r="S53" s="8"/>
      <c r="T53" s="8"/>
      <c r="U53" s="8"/>
      <c r="V53" s="8"/>
      <c r="W53" s="8" t="s">
        <v>4585</v>
      </c>
      <c r="X53" s="8">
        <v>15.12</v>
      </c>
      <c r="Y53" s="8">
        <v>11.83</v>
      </c>
      <c r="Z53" s="9">
        <v>3.34</v>
      </c>
      <c r="AA53" s="8">
        <v>137.6</v>
      </c>
      <c r="AB53" s="8">
        <v>1792</v>
      </c>
      <c r="AC53" s="21" t="s">
        <v>4585</v>
      </c>
      <c r="AD53" s="8" t="s">
        <v>4036</v>
      </c>
      <c r="AE53" s="8" t="s">
        <v>3681</v>
      </c>
      <c r="AF53" s="9">
        <f t="shared" si="8"/>
        <v>1627.808</v>
      </c>
      <c r="AG53" s="9">
        <f t="shared" si="9"/>
        <v>490.77333333333326</v>
      </c>
      <c r="AH53" s="9">
        <f t="shared" si="10"/>
        <v>0.407733906215275</v>
      </c>
      <c r="AI53" s="9">
        <f t="shared" si="11"/>
        <v>0.16624693827756667</v>
      </c>
      <c r="AJ53" s="9">
        <f t="shared" si="12"/>
        <v>1.0328939771587007</v>
      </c>
      <c r="AK53" s="9">
        <f t="shared" si="13"/>
        <v>1.0668699680507185</v>
      </c>
      <c r="AL53" s="9">
        <f t="shared" si="14"/>
        <v>0.42883174784683908</v>
      </c>
      <c r="AM53" s="9">
        <f t="shared" si="15"/>
        <v>0.18389666796137497</v>
      </c>
      <c r="AN53" s="8" t="s">
        <v>4585</v>
      </c>
    </row>
    <row r="54" spans="13:40" ht="23">
      <c r="M54" s="8" t="s">
        <v>4589</v>
      </c>
      <c r="N54" s="8" t="s">
        <v>4590</v>
      </c>
      <c r="O54" s="8"/>
      <c r="P54" s="8"/>
      <c r="Q54" s="8"/>
      <c r="R54" s="8"/>
      <c r="S54" s="8"/>
      <c r="T54" s="8"/>
      <c r="U54" s="8"/>
      <c r="V54" s="8"/>
      <c r="W54" s="8" t="s">
        <v>4589</v>
      </c>
      <c r="X54" s="8">
        <v>18.93</v>
      </c>
      <c r="Y54" s="8">
        <v>4.2</v>
      </c>
      <c r="Z54" s="9">
        <v>3.51</v>
      </c>
      <c r="AA54" s="8">
        <v>127.9</v>
      </c>
      <c r="AB54" s="8">
        <v>2257</v>
      </c>
      <c r="AC54" s="21" t="s">
        <v>4589</v>
      </c>
      <c r="AD54" s="8" t="s">
        <v>4036</v>
      </c>
      <c r="AE54" s="8" t="s">
        <v>3681</v>
      </c>
      <c r="AF54" s="9">
        <f t="shared" si="8"/>
        <v>537.18000000000006</v>
      </c>
      <c r="AG54" s="9">
        <f t="shared" si="9"/>
        <v>492.41500000000002</v>
      </c>
      <c r="AH54" s="9">
        <f t="shared" si="10"/>
        <v>0.37899103637306453</v>
      </c>
      <c r="AI54" s="9">
        <f t="shared" si="11"/>
        <v>0.14363420565112953</v>
      </c>
      <c r="AJ54" s="9">
        <f t="shared" si="12"/>
        <v>0.34085714448516707</v>
      </c>
      <c r="AK54" s="9">
        <f t="shared" si="13"/>
        <v>0.11618359294658206</v>
      </c>
      <c r="AL54" s="9">
        <f t="shared" si="14"/>
        <v>0.43026621614051552</v>
      </c>
      <c r="AM54" s="9">
        <f t="shared" si="15"/>
        <v>0.18512901675187682</v>
      </c>
      <c r="AN54" s="8" t="s">
        <v>4589</v>
      </c>
    </row>
    <row r="55" spans="13:40" ht="23">
      <c r="M55" s="9" t="s">
        <v>2899</v>
      </c>
      <c r="N55" s="8" t="s">
        <v>1717</v>
      </c>
      <c r="O55" s="8"/>
      <c r="P55" s="8" t="s">
        <v>3691</v>
      </c>
      <c r="Q55" s="8"/>
      <c r="R55" s="8"/>
      <c r="S55" s="8"/>
      <c r="T55" s="8"/>
      <c r="U55" s="8"/>
      <c r="V55" s="8"/>
      <c r="W55" s="9" t="s">
        <v>2899</v>
      </c>
      <c r="X55" s="8">
        <v>17.22</v>
      </c>
      <c r="Y55" s="8">
        <v>3.35</v>
      </c>
      <c r="Z55" s="9">
        <v>0.48</v>
      </c>
      <c r="AA55" s="8">
        <v>113.9</v>
      </c>
      <c r="AB55" s="8">
        <v>3889</v>
      </c>
      <c r="AC55" s="22" t="s">
        <v>2899</v>
      </c>
      <c r="AD55" s="8" t="s">
        <v>4036</v>
      </c>
      <c r="AE55" s="8" t="s">
        <v>3681</v>
      </c>
      <c r="AF55" s="9">
        <f t="shared" si="8"/>
        <v>381.56500000000005</v>
      </c>
      <c r="AG55" s="9">
        <f t="shared" si="9"/>
        <v>91.12</v>
      </c>
      <c r="AH55" s="9">
        <f t="shared" si="10"/>
        <v>0.33750648196162664</v>
      </c>
      <c r="AI55" s="9">
        <f t="shared" si="11"/>
        <v>0.11391062536611381</v>
      </c>
      <c r="AJ55" s="9">
        <f t="shared" si="12"/>
        <v>0.24211466609978552</v>
      </c>
      <c r="AK55" s="9">
        <f t="shared" si="13"/>
        <v>5.8619511540610632E-2</v>
      </c>
      <c r="AL55" s="9">
        <f t="shared" si="14"/>
        <v>7.9619543707490179E-2</v>
      </c>
      <c r="AM55" s="9">
        <f t="shared" si="15"/>
        <v>6.3392717401889393E-3</v>
      </c>
      <c r="AN55" s="9" t="s">
        <v>2899</v>
      </c>
    </row>
    <row r="56" spans="13:40" ht="23">
      <c r="M56" s="8" t="s">
        <v>4591</v>
      </c>
      <c r="N56" s="8" t="s">
        <v>90</v>
      </c>
      <c r="O56" s="8"/>
      <c r="P56" s="8"/>
      <c r="Q56" s="8"/>
      <c r="R56" s="8"/>
      <c r="S56" s="8"/>
      <c r="T56" s="8"/>
      <c r="U56" s="8"/>
      <c r="V56" s="8"/>
      <c r="W56" s="8" t="s">
        <v>4591</v>
      </c>
      <c r="X56" s="8">
        <v>28.83</v>
      </c>
      <c r="Y56" s="8">
        <v>4.24</v>
      </c>
      <c r="Z56" s="9">
        <v>2.59</v>
      </c>
      <c r="AA56" s="8">
        <v>106.1</v>
      </c>
      <c r="AB56" s="8">
        <v>1524</v>
      </c>
      <c r="AC56" s="21" t="s">
        <v>4591</v>
      </c>
      <c r="AD56" s="8" t="s">
        <v>4036</v>
      </c>
      <c r="AE56" s="8" t="s">
        <v>3681</v>
      </c>
      <c r="AF56" s="9">
        <f t="shared" si="8"/>
        <v>449.86399999999998</v>
      </c>
      <c r="AG56" s="9">
        <f t="shared" si="9"/>
        <v>316.53166666666664</v>
      </c>
      <c r="AH56" s="9">
        <f t="shared" si="10"/>
        <v>0.31439365878953979</v>
      </c>
      <c r="AI56" s="9">
        <f t="shared" si="11"/>
        <v>9.8843372687073563E-2</v>
      </c>
      <c r="AJ56" s="9">
        <f t="shared" si="12"/>
        <v>0.2854524711394229</v>
      </c>
      <c r="AK56" s="9">
        <f t="shared" si="13"/>
        <v>8.1483113279603059E-2</v>
      </c>
      <c r="AL56" s="9">
        <f t="shared" si="14"/>
        <v>0.27658150646368934</v>
      </c>
      <c r="AM56" s="9">
        <f t="shared" si="15"/>
        <v>7.6497329717723828E-2</v>
      </c>
      <c r="AN56" s="8" t="s">
        <v>4591</v>
      </c>
    </row>
    <row r="57" spans="13:40" ht="23">
      <c r="M57" s="9" t="s">
        <v>2165</v>
      </c>
      <c r="N57" s="8" t="s">
        <v>150</v>
      </c>
      <c r="O57" s="8"/>
      <c r="P57" s="8"/>
      <c r="Q57" s="8"/>
      <c r="R57" s="8"/>
      <c r="S57" s="8"/>
      <c r="T57" s="8"/>
      <c r="U57" s="8"/>
      <c r="V57" s="8"/>
      <c r="W57" s="9" t="s">
        <v>2165</v>
      </c>
      <c r="X57" s="8">
        <v>17.53</v>
      </c>
      <c r="Y57" s="8">
        <v>3.49</v>
      </c>
      <c r="Z57" s="9">
        <v>2.23</v>
      </c>
      <c r="AA57" s="8">
        <v>100</v>
      </c>
      <c r="AB57" s="8">
        <v>1925</v>
      </c>
      <c r="AC57" s="22" t="s">
        <v>2165</v>
      </c>
      <c r="AD57" s="8" t="s">
        <v>4036</v>
      </c>
      <c r="AE57" s="8" t="s">
        <v>3681</v>
      </c>
      <c r="AF57" s="9">
        <f t="shared" si="8"/>
        <v>349</v>
      </c>
      <c r="AG57" s="9">
        <f t="shared" si="9"/>
        <v>238.33333333333334</v>
      </c>
      <c r="AH57" s="9">
        <f t="shared" si="10"/>
        <v>0.29631824579598476</v>
      </c>
      <c r="AI57" s="9">
        <f t="shared" si="11"/>
        <v>8.7804502791609645E-2</v>
      </c>
      <c r="AJ57" s="9">
        <f t="shared" si="12"/>
        <v>0.22145117730616048</v>
      </c>
      <c r="AK57" s="9">
        <f t="shared" si="13"/>
        <v>4.9040623930284528E-2</v>
      </c>
      <c r="AL57" s="9">
        <f t="shared" si="14"/>
        <v>0.20825275735607066</v>
      </c>
      <c r="AM57" s="9">
        <f t="shared" si="15"/>
        <v>4.3369210946406438E-2</v>
      </c>
      <c r="AN57" s="9" t="s">
        <v>2165</v>
      </c>
    </row>
    <row r="58" spans="13:40" ht="23">
      <c r="M58" s="9" t="s">
        <v>2831</v>
      </c>
      <c r="N58" s="8" t="s">
        <v>1614</v>
      </c>
      <c r="O58" s="8"/>
      <c r="P58" s="8" t="s">
        <v>3704</v>
      </c>
      <c r="Q58" s="8"/>
      <c r="R58" s="8"/>
      <c r="S58" s="8"/>
      <c r="T58" s="8"/>
      <c r="U58" s="8"/>
      <c r="V58" s="8"/>
      <c r="W58" s="9" t="s">
        <v>2831</v>
      </c>
      <c r="X58" s="8">
        <v>18.18</v>
      </c>
      <c r="Y58" s="8">
        <v>3.26</v>
      </c>
      <c r="Z58" s="9">
        <v>2.4</v>
      </c>
      <c r="AA58" s="8">
        <v>97.3</v>
      </c>
      <c r="AB58" s="8">
        <v>3988</v>
      </c>
      <c r="AC58" s="22" t="s">
        <v>2831</v>
      </c>
      <c r="AD58" s="8" t="s">
        <v>4036</v>
      </c>
      <c r="AE58" s="8" t="s">
        <v>3681</v>
      </c>
      <c r="AF58" s="9">
        <f t="shared" si="8"/>
        <v>317.19799999999998</v>
      </c>
      <c r="AG58" s="9">
        <f t="shared" si="9"/>
        <v>195.24866666666668</v>
      </c>
      <c r="AH58" s="9">
        <f t="shared" si="10"/>
        <v>0.28831765315949315</v>
      </c>
      <c r="AI58" s="9">
        <f t="shared" si="11"/>
        <v>8.312706912339779E-2</v>
      </c>
      <c r="AJ58" s="9">
        <f t="shared" si="12"/>
        <v>0.20127183535575788</v>
      </c>
      <c r="AK58" s="9">
        <f t="shared" si="13"/>
        <v>4.0510351707475308E-2</v>
      </c>
      <c r="AL58" s="9">
        <f t="shared" si="14"/>
        <v>0.17060590155285171</v>
      </c>
      <c r="AM58" s="9">
        <f t="shared" si="15"/>
        <v>2.9106373644661329E-2</v>
      </c>
      <c r="AN58" s="9" t="s">
        <v>2831</v>
      </c>
    </row>
    <row r="59" spans="13:40" ht="23">
      <c r="M59" s="8" t="s">
        <v>761</v>
      </c>
      <c r="N59" s="8" t="s">
        <v>150</v>
      </c>
      <c r="O59" s="8"/>
      <c r="P59" s="8" t="s">
        <v>3691</v>
      </c>
      <c r="Q59" s="8"/>
      <c r="R59" s="8"/>
      <c r="S59" s="8"/>
      <c r="T59" s="8"/>
      <c r="U59" s="8"/>
      <c r="V59" s="8"/>
      <c r="W59" s="8" t="s">
        <v>761</v>
      </c>
      <c r="X59" s="8">
        <v>30.95</v>
      </c>
      <c r="Y59" s="8">
        <v>1.25</v>
      </c>
      <c r="Z59" s="9">
        <v>0.15</v>
      </c>
      <c r="AA59" s="8">
        <v>78.8</v>
      </c>
      <c r="AB59" s="8">
        <v>15916</v>
      </c>
      <c r="AC59" s="21" t="s">
        <v>761</v>
      </c>
      <c r="AD59" s="8" t="s">
        <v>4036</v>
      </c>
      <c r="AE59" s="8" t="s">
        <v>3681</v>
      </c>
      <c r="AF59" s="9">
        <f t="shared" si="8"/>
        <v>98.5</v>
      </c>
      <c r="AG59" s="9">
        <f t="shared" si="9"/>
        <v>19.7</v>
      </c>
      <c r="AH59" s="9">
        <f t="shared" si="10"/>
        <v>0.23349877768723601</v>
      </c>
      <c r="AI59" s="9">
        <f t="shared" si="11"/>
        <v>5.4521679181433268E-2</v>
      </c>
      <c r="AJ59" s="9">
        <f t="shared" si="12"/>
        <v>6.2501263509045293E-2</v>
      </c>
      <c r="AK59" s="9">
        <f t="shared" si="13"/>
        <v>3.9064079402271164E-3</v>
      </c>
      <c r="AL59" s="9">
        <f t="shared" si="14"/>
        <v>1.7213619524117169E-2</v>
      </c>
      <c r="AM59" s="9">
        <f t="shared" si="15"/>
        <v>2.963086971210678E-4</v>
      </c>
      <c r="AN59" s="8" t="s">
        <v>761</v>
      </c>
    </row>
    <row r="60" spans="13:40" ht="23">
      <c r="M60" s="8" t="s">
        <v>4595</v>
      </c>
      <c r="N60" s="8" t="s">
        <v>4596</v>
      </c>
      <c r="O60" s="8"/>
      <c r="P60" s="8"/>
      <c r="Q60" s="8"/>
      <c r="R60" s="8"/>
      <c r="S60" s="8"/>
      <c r="T60" s="8"/>
      <c r="U60" s="8"/>
      <c r="V60" s="8"/>
      <c r="W60" s="8" t="s">
        <v>4595</v>
      </c>
      <c r="X60" s="8">
        <v>25.76</v>
      </c>
      <c r="Y60" s="8">
        <v>2.57</v>
      </c>
      <c r="Z60" s="9">
        <v>2.12</v>
      </c>
      <c r="AA60" s="8">
        <v>77.400000000000006</v>
      </c>
      <c r="AB60" s="8">
        <v>3172</v>
      </c>
      <c r="AC60" s="21" t="s">
        <v>4595</v>
      </c>
      <c r="AD60" s="8" t="s">
        <v>4036</v>
      </c>
      <c r="AE60" s="8" t="s">
        <v>3681</v>
      </c>
      <c r="AF60" s="9">
        <f t="shared" si="8"/>
        <v>198.91800000000001</v>
      </c>
      <c r="AG60" s="9">
        <f t="shared" si="9"/>
        <v>170.28000000000003</v>
      </c>
      <c r="AH60" s="9">
        <f t="shared" si="10"/>
        <v>0.22935032224609223</v>
      </c>
      <c r="AI60" s="9">
        <f t="shared" si="11"/>
        <v>5.2601570314386344E-2</v>
      </c>
      <c r="AJ60" s="9">
        <f t="shared" si="12"/>
        <v>0.12621955669738349</v>
      </c>
      <c r="AK60" s="9">
        <f t="shared" si="13"/>
        <v>1.5931376492884005E-2</v>
      </c>
      <c r="AL60" s="9">
        <f t="shared" si="14"/>
        <v>0.14878858540947573</v>
      </c>
      <c r="AM60" s="9">
        <f t="shared" si="15"/>
        <v>2.2138043148152854E-2</v>
      </c>
      <c r="AN60" s="8" t="s">
        <v>4595</v>
      </c>
    </row>
    <row r="61" spans="13:40" ht="23">
      <c r="M61" s="8" t="s">
        <v>1848</v>
      </c>
      <c r="N61" s="8" t="s">
        <v>1814</v>
      </c>
      <c r="O61" s="8"/>
      <c r="P61" s="8"/>
      <c r="Q61" s="8"/>
      <c r="R61" s="8"/>
      <c r="S61" s="8"/>
      <c r="T61" s="8"/>
      <c r="U61" s="8"/>
      <c r="V61" s="8"/>
      <c r="W61" s="8" t="s">
        <v>1848</v>
      </c>
      <c r="X61" s="8">
        <v>32.4</v>
      </c>
      <c r="Y61" s="8">
        <v>1.36</v>
      </c>
      <c r="Z61" s="9">
        <v>0.23</v>
      </c>
      <c r="AA61" s="8">
        <v>71.400000000000006</v>
      </c>
      <c r="AB61" s="8">
        <v>11592</v>
      </c>
      <c r="AC61" s="21" t="s">
        <v>1848</v>
      </c>
      <c r="AD61" s="8" t="s">
        <v>4036</v>
      </c>
      <c r="AE61" s="8" t="s">
        <v>3681</v>
      </c>
      <c r="AF61" s="9">
        <f t="shared" si="8"/>
        <v>97.104000000000013</v>
      </c>
      <c r="AG61" s="9">
        <f t="shared" si="9"/>
        <v>27.370000000000005</v>
      </c>
      <c r="AH61" s="9">
        <f t="shared" si="10"/>
        <v>0.21157122749833313</v>
      </c>
      <c r="AI61" s="9">
        <f t="shared" si="11"/>
        <v>4.4762384305151434E-2</v>
      </c>
      <c r="AJ61" s="9">
        <f t="shared" si="12"/>
        <v>6.1615458799820659E-2</v>
      </c>
      <c r="AK61" s="9">
        <f t="shared" si="13"/>
        <v>3.7964647631123969E-3</v>
      </c>
      <c r="AL61" s="9">
        <f t="shared" si="14"/>
        <v>2.391557189721254E-2</v>
      </c>
      <c r="AM61" s="9">
        <f t="shared" si="15"/>
        <v>5.7195457917074224E-4</v>
      </c>
      <c r="AN61" s="8" t="s">
        <v>1848</v>
      </c>
    </row>
    <row r="62" spans="13:40" ht="23">
      <c r="M62" s="9" t="s">
        <v>3169</v>
      </c>
      <c r="N62" s="8" t="s">
        <v>1869</v>
      </c>
      <c r="O62" s="8"/>
      <c r="P62" s="8"/>
      <c r="Q62" s="8"/>
      <c r="R62" s="8"/>
      <c r="S62" s="8"/>
      <c r="T62" s="8"/>
      <c r="U62" s="8"/>
      <c r="V62" s="8"/>
      <c r="W62" s="9" t="s">
        <v>3169</v>
      </c>
      <c r="X62" s="8">
        <v>7.65</v>
      </c>
      <c r="Y62" s="8">
        <v>8.5500000000000007</v>
      </c>
      <c r="Z62" s="9">
        <v>2.2599999999999998</v>
      </c>
      <c r="AA62" s="8">
        <v>68.900000000000006</v>
      </c>
      <c r="AB62" s="8">
        <v>2990</v>
      </c>
      <c r="AC62" s="22" t="s">
        <v>3169</v>
      </c>
      <c r="AD62" s="8" t="s">
        <v>4036</v>
      </c>
      <c r="AE62" s="8" t="s">
        <v>3681</v>
      </c>
      <c r="AF62" s="9">
        <f t="shared" si="8"/>
        <v>589.09500000000014</v>
      </c>
      <c r="AG62" s="9">
        <f t="shared" si="9"/>
        <v>167.65666666666669</v>
      </c>
      <c r="AH62" s="9">
        <f t="shared" si="10"/>
        <v>0.20416327135343351</v>
      </c>
      <c r="AI62" s="9">
        <f t="shared" si="11"/>
        <v>4.1682641369735728E-2</v>
      </c>
      <c r="AJ62" s="9">
        <f t="shared" si="12"/>
        <v>0.37379880027270096</v>
      </c>
      <c r="AK62" s="9">
        <f t="shared" si="13"/>
        <v>0.13972554308531057</v>
      </c>
      <c r="AL62" s="9">
        <f t="shared" si="14"/>
        <v>0.14649634876557047</v>
      </c>
      <c r="AM62" s="9">
        <f t="shared" si="15"/>
        <v>2.146118020164366E-2</v>
      </c>
      <c r="AN62" s="9" t="s">
        <v>3169</v>
      </c>
    </row>
    <row r="63" spans="13:40" ht="23">
      <c r="M63" s="9" t="s">
        <v>2821</v>
      </c>
      <c r="N63" s="8" t="s">
        <v>1614</v>
      </c>
      <c r="O63" s="8"/>
      <c r="P63" s="8"/>
      <c r="Q63" s="8"/>
      <c r="R63" s="8"/>
      <c r="S63" s="8"/>
      <c r="T63" s="8"/>
      <c r="U63" s="8"/>
      <c r="V63" s="8"/>
      <c r="W63" s="9" t="s">
        <v>2821</v>
      </c>
      <c r="X63" s="8">
        <v>6.59</v>
      </c>
      <c r="Y63" s="8">
        <v>2.76</v>
      </c>
      <c r="Z63" s="9">
        <v>1.02</v>
      </c>
      <c r="AA63" s="8">
        <v>66.400000000000006</v>
      </c>
      <c r="AB63" s="8">
        <v>11992</v>
      </c>
      <c r="AC63" s="22" t="s">
        <v>2821</v>
      </c>
      <c r="AD63" s="8" t="s">
        <v>4036</v>
      </c>
      <c r="AE63" s="8" t="s">
        <v>3681</v>
      </c>
      <c r="AF63" s="9">
        <f t="shared" si="8"/>
        <v>183.26400000000001</v>
      </c>
      <c r="AG63" s="9">
        <f t="shared" si="9"/>
        <v>68.613333333333344</v>
      </c>
      <c r="AH63" s="9">
        <f t="shared" si="10"/>
        <v>0.1967553152085339</v>
      </c>
      <c r="AI63" s="9">
        <f t="shared" si="11"/>
        <v>3.8712654062809528E-2</v>
      </c>
      <c r="AJ63" s="9">
        <f t="shared" si="12"/>
        <v>0.11628661477890029</v>
      </c>
      <c r="AK63" s="9">
        <f t="shared" si="13"/>
        <v>1.352257677673635E-2</v>
      </c>
      <c r="AL63" s="9">
        <f t="shared" si="14"/>
        <v>5.9953493110732295E-2</v>
      </c>
      <c r="AM63" s="9">
        <f t="shared" si="15"/>
        <v>3.5944213361786249E-3</v>
      </c>
      <c r="AN63" s="9" t="s">
        <v>2821</v>
      </c>
    </row>
    <row r="64" spans="13:40" ht="23">
      <c r="M64" s="9" t="s">
        <v>3409</v>
      </c>
      <c r="N64" s="8" t="s">
        <v>1990</v>
      </c>
      <c r="O64" s="8"/>
      <c r="P64" s="8" t="s">
        <v>3692</v>
      </c>
      <c r="Q64" s="8"/>
      <c r="R64" s="8"/>
      <c r="S64" s="8"/>
      <c r="T64" s="8"/>
      <c r="U64" s="8"/>
      <c r="V64" s="8"/>
      <c r="W64" s="9" t="s">
        <v>3409</v>
      </c>
      <c r="X64" s="8">
        <v>27.03</v>
      </c>
      <c r="Y64" s="8">
        <v>4.67</v>
      </c>
      <c r="Z64" s="9">
        <v>0.46</v>
      </c>
      <c r="AA64" s="8">
        <v>61.6</v>
      </c>
      <c r="AB64" s="8">
        <v>13326</v>
      </c>
      <c r="AC64" s="22" t="s">
        <v>3409</v>
      </c>
      <c r="AD64" s="8" t="s">
        <v>4036</v>
      </c>
      <c r="AE64" s="8" t="s">
        <v>3681</v>
      </c>
      <c r="AF64" s="9">
        <f t="shared" si="8"/>
        <v>287.67200000000003</v>
      </c>
      <c r="AG64" s="9">
        <f t="shared" si="9"/>
        <v>47.226666666666674</v>
      </c>
      <c r="AH64" s="9">
        <f t="shared" si="10"/>
        <v>0.18253203941032661</v>
      </c>
      <c r="AI64" s="9">
        <f t="shared" si="11"/>
        <v>3.3317945411293029E-2</v>
      </c>
      <c r="AJ64" s="9">
        <f t="shared" si="12"/>
        <v>0.18253668503730031</v>
      </c>
      <c r="AK64" s="9">
        <f t="shared" si="13"/>
        <v>3.3319641384406573E-2</v>
      </c>
      <c r="AL64" s="9">
        <f t="shared" si="14"/>
        <v>4.1266084842249084E-2</v>
      </c>
      <c r="AM64" s="9">
        <f t="shared" si="15"/>
        <v>1.7028897582076997E-3</v>
      </c>
      <c r="AN64" s="9" t="s">
        <v>3409</v>
      </c>
    </row>
    <row r="65" spans="13:40" ht="23">
      <c r="M65" s="9" t="s">
        <v>3119</v>
      </c>
      <c r="N65" s="8" t="s">
        <v>1862</v>
      </c>
      <c r="O65" s="8"/>
      <c r="P65" s="8" t="s">
        <v>4696</v>
      </c>
      <c r="Q65" s="8"/>
      <c r="R65" s="8"/>
      <c r="S65" s="8"/>
      <c r="T65" s="8"/>
      <c r="U65" s="8"/>
      <c r="V65" s="8"/>
      <c r="W65" s="9" t="s">
        <v>3119</v>
      </c>
      <c r="X65" s="8">
        <v>5.57</v>
      </c>
      <c r="Y65" s="8">
        <v>6.54</v>
      </c>
      <c r="Z65" s="9">
        <v>6.09</v>
      </c>
      <c r="AA65" s="8">
        <v>50.8</v>
      </c>
      <c r="AB65" s="8">
        <v>7367</v>
      </c>
      <c r="AC65" s="22" t="s">
        <v>3119</v>
      </c>
      <c r="AD65" s="8" t="s">
        <v>4036</v>
      </c>
      <c r="AE65" s="8" t="s">
        <v>3681</v>
      </c>
      <c r="AF65" s="9">
        <f t="shared" si="8"/>
        <v>332.23199999999997</v>
      </c>
      <c r="AG65" s="9">
        <f t="shared" si="9"/>
        <v>312.42</v>
      </c>
      <c r="AH65" s="9">
        <f t="shared" si="10"/>
        <v>0.15052966886436026</v>
      </c>
      <c r="AI65" s="9">
        <f t="shared" si="11"/>
        <v>2.265918120841395E-2</v>
      </c>
      <c r="AJ65" s="9">
        <f t="shared" si="12"/>
        <v>0.21081136830596076</v>
      </c>
      <c r="AK65" s="9">
        <f t="shared" si="13"/>
        <v>4.4441433007031433E-2</v>
      </c>
      <c r="AL65" s="9">
        <f t="shared" si="14"/>
        <v>0.27298878232105006</v>
      </c>
      <c r="AM65" s="9">
        <f t="shared" si="15"/>
        <v>7.452287527312966E-2</v>
      </c>
      <c r="AN65" s="9" t="s">
        <v>3119</v>
      </c>
    </row>
    <row r="66" spans="13:40" ht="23">
      <c r="M66" s="8" t="s">
        <v>4617</v>
      </c>
      <c r="N66" s="8" t="s">
        <v>150</v>
      </c>
      <c r="O66" s="8"/>
      <c r="P66" s="8"/>
      <c r="Q66" s="8"/>
      <c r="R66" s="8"/>
      <c r="S66" s="8"/>
      <c r="T66" s="8"/>
      <c r="U66" s="8"/>
      <c r="V66" s="8"/>
      <c r="W66" s="8" t="s">
        <v>4617</v>
      </c>
      <c r="X66" s="8">
        <v>17.91</v>
      </c>
      <c r="Y66" s="8">
        <v>2.73</v>
      </c>
      <c r="Z66" s="9">
        <v>0.34</v>
      </c>
      <c r="AA66" s="8">
        <v>50.5</v>
      </c>
      <c r="AB66" s="8">
        <v>10748</v>
      </c>
      <c r="AC66" s="21" t="s">
        <v>4617</v>
      </c>
      <c r="AD66" s="8" t="s">
        <v>4036</v>
      </c>
      <c r="AE66" s="8" t="s">
        <v>3681</v>
      </c>
      <c r="AF66" s="9">
        <f t="shared" ref="AF66:AF91" si="16">(AA66*Y66)</f>
        <v>137.86500000000001</v>
      </c>
      <c r="AG66" s="9">
        <f t="shared" ref="AG66:AG91" si="17">((((RIGHT(Z66,2))/60)+(LEFT(Z66,2)))*AA66)</f>
        <v>28.616666666666667</v>
      </c>
      <c r="AH66" s="9">
        <f t="shared" ref="AH66:AH91" si="18">(AA66/$AA$92)*100</f>
        <v>0.1496407141269723</v>
      </c>
      <c r="AI66" s="9">
        <f t="shared" ref="AI66:AI91" si="19">(AH66*AH66)</f>
        <v>2.2392343324430249E-2</v>
      </c>
      <c r="AJ66" s="9">
        <f t="shared" ref="AJ66:AJ91" si="20">(AF66/$AF$92)*100</f>
        <v>8.7479560341873402E-2</v>
      </c>
      <c r="AK66" s="9">
        <f t="shared" ref="AK66:AK91" si="21">(AJ66*AJ66)</f>
        <v>7.6526734776074697E-3</v>
      </c>
      <c r="AL66" s="9">
        <f t="shared" ref="AL66:AL91" si="22">(AG66/$AG$92)*100</f>
        <v>2.5004894012613521E-2</v>
      </c>
      <c r="AM66" s="9">
        <f t="shared" ref="AM66:AM91" si="23">(AL66*AL66)</f>
        <v>6.2524472458203549E-4</v>
      </c>
      <c r="AN66" s="8" t="s">
        <v>4617</v>
      </c>
    </row>
    <row r="67" spans="13:40" ht="23">
      <c r="M67" s="8" t="s">
        <v>4592</v>
      </c>
      <c r="N67" s="8" t="s">
        <v>2100</v>
      </c>
      <c r="O67" s="8"/>
      <c r="P67" s="8"/>
      <c r="Q67" s="8"/>
      <c r="R67" s="8"/>
      <c r="S67" s="8"/>
      <c r="T67" s="8"/>
      <c r="U67" s="8"/>
      <c r="V67" s="8"/>
      <c r="W67" s="8" t="s">
        <v>4592</v>
      </c>
      <c r="X67" s="8">
        <v>15.43</v>
      </c>
      <c r="Y67" s="8">
        <v>4.63</v>
      </c>
      <c r="Z67" s="9">
        <v>3.59</v>
      </c>
      <c r="AA67" s="8">
        <v>44.3</v>
      </c>
      <c r="AB67" s="8">
        <v>9926</v>
      </c>
      <c r="AC67" s="21" t="s">
        <v>4592</v>
      </c>
      <c r="AD67" s="8" t="s">
        <v>4036</v>
      </c>
      <c r="AE67" s="8" t="s">
        <v>3681</v>
      </c>
      <c r="AF67" s="9">
        <f t="shared" si="16"/>
        <v>205.10899999999998</v>
      </c>
      <c r="AG67" s="9">
        <f t="shared" si="17"/>
        <v>176.46166666666664</v>
      </c>
      <c r="AH67" s="9">
        <f t="shared" si="18"/>
        <v>0.13126898288762123</v>
      </c>
      <c r="AI67" s="9">
        <f t="shared" si="19"/>
        <v>1.7231545868350597E-2</v>
      </c>
      <c r="AJ67" s="9">
        <f t="shared" si="20"/>
        <v>0.13014793560484031</v>
      </c>
      <c r="AK67" s="9">
        <f t="shared" si="21"/>
        <v>1.693848514220166E-2</v>
      </c>
      <c r="AL67" s="9">
        <f t="shared" si="22"/>
        <v>0.154190050283837</v>
      </c>
      <c r="AM67" s="9">
        <f t="shared" si="23"/>
        <v>2.3774571606532183E-2</v>
      </c>
      <c r="AN67" s="8" t="s">
        <v>4592</v>
      </c>
    </row>
    <row r="68" spans="13:40" ht="23">
      <c r="M68" s="9" t="s">
        <v>2548</v>
      </c>
      <c r="N68" s="8" t="s">
        <v>150</v>
      </c>
      <c r="O68" s="8"/>
      <c r="P68" s="8" t="s">
        <v>3693</v>
      </c>
      <c r="Q68" s="8"/>
      <c r="R68" s="8"/>
      <c r="S68" s="8"/>
      <c r="T68" s="8"/>
      <c r="U68" s="8"/>
      <c r="V68" s="8"/>
      <c r="W68" s="9" t="s">
        <v>2548</v>
      </c>
      <c r="X68" s="8">
        <v>21.26</v>
      </c>
      <c r="Y68" s="8">
        <v>2.39</v>
      </c>
      <c r="Z68" s="9">
        <v>1.21</v>
      </c>
      <c r="AA68" s="8">
        <v>41</v>
      </c>
      <c r="AB68" s="8">
        <v>34053</v>
      </c>
      <c r="AC68" s="22" t="s">
        <v>2548</v>
      </c>
      <c r="AD68" s="8" t="s">
        <v>4036</v>
      </c>
      <c r="AE68" s="8" t="s">
        <v>3681</v>
      </c>
      <c r="AF68" s="9">
        <f t="shared" si="16"/>
        <v>97.990000000000009</v>
      </c>
      <c r="AG68" s="9">
        <f t="shared" si="17"/>
        <v>55.35</v>
      </c>
      <c r="AH68" s="9">
        <f t="shared" si="18"/>
        <v>0.12149048077635374</v>
      </c>
      <c r="AI68" s="9">
        <f t="shared" si="19"/>
        <v>1.4759936919269578E-2</v>
      </c>
      <c r="AJ68" s="9">
        <f t="shared" si="20"/>
        <v>6.2177652906105073E-2</v>
      </c>
      <c r="AK68" s="9">
        <f t="shared" si="21"/>
        <v>3.8660605209120767E-3</v>
      </c>
      <c r="AL68" s="9">
        <f t="shared" si="22"/>
        <v>4.8364154348217531E-2</v>
      </c>
      <c r="AM68" s="9">
        <f t="shared" si="23"/>
        <v>2.3390914258182086E-3</v>
      </c>
      <c r="AN68" s="9" t="s">
        <v>2548</v>
      </c>
    </row>
    <row r="69" spans="13:40" ht="23">
      <c r="M69" s="8" t="s">
        <v>1977</v>
      </c>
      <c r="N69" s="8" t="s">
        <v>1964</v>
      </c>
      <c r="O69" s="8"/>
      <c r="P69" s="8" t="s">
        <v>3692</v>
      </c>
      <c r="Q69" s="8"/>
      <c r="R69" s="8"/>
      <c r="S69" s="8"/>
      <c r="T69" s="8"/>
      <c r="U69" s="8"/>
      <c r="V69" s="8"/>
      <c r="W69" s="8" t="s">
        <v>1977</v>
      </c>
      <c r="X69" s="8">
        <v>23.02</v>
      </c>
      <c r="Y69" s="8">
        <v>2.12</v>
      </c>
      <c r="Z69" s="9">
        <v>1.1100000000000001</v>
      </c>
      <c r="AA69" s="8">
        <v>39.799999999999997</v>
      </c>
      <c r="AB69" s="8">
        <v>35304</v>
      </c>
      <c r="AC69" s="21" t="s">
        <v>1977</v>
      </c>
      <c r="AD69" s="8" t="s">
        <v>4036</v>
      </c>
      <c r="AE69" s="8" t="s">
        <v>3681</v>
      </c>
      <c r="AF69" s="9">
        <f t="shared" si="16"/>
        <v>84.376000000000005</v>
      </c>
      <c r="AG69" s="9">
        <f t="shared" si="17"/>
        <v>47.096666666666664</v>
      </c>
      <c r="AH69" s="9">
        <f t="shared" si="18"/>
        <v>0.11793466182680191</v>
      </c>
      <c r="AI69" s="9">
        <f t="shared" si="19"/>
        <v>1.3908584460202128E-2</v>
      </c>
      <c r="AJ69" s="9">
        <f t="shared" si="20"/>
        <v>5.3539153399382811E-2</v>
      </c>
      <c r="AK69" s="9">
        <f t="shared" si="21"/>
        <v>2.8664409467226439E-3</v>
      </c>
      <c r="AL69" s="9">
        <f t="shared" si="22"/>
        <v>4.1152492429145766E-2</v>
      </c>
      <c r="AM69" s="9">
        <f t="shared" si="23"/>
        <v>1.6935276331308997E-3</v>
      </c>
      <c r="AN69" s="8" t="s">
        <v>1977</v>
      </c>
    </row>
    <row r="70" spans="13:40" ht="23">
      <c r="M70" s="8" t="s">
        <v>1842</v>
      </c>
      <c r="N70" s="8" t="s">
        <v>1814</v>
      </c>
      <c r="O70" s="8"/>
      <c r="P70" s="8"/>
      <c r="Q70" s="8"/>
      <c r="R70" s="8"/>
      <c r="S70" s="8"/>
      <c r="T70" s="8"/>
      <c r="U70" s="8"/>
      <c r="V70" s="8"/>
      <c r="W70" s="8" t="s">
        <v>1842</v>
      </c>
      <c r="X70" s="8">
        <v>3.8</v>
      </c>
      <c r="Y70" s="8">
        <v>17.09</v>
      </c>
      <c r="Z70" s="9">
        <v>4.3</v>
      </c>
      <c r="AA70" s="8">
        <v>39.200000000000003</v>
      </c>
      <c r="AB70" s="8">
        <v>16206</v>
      </c>
      <c r="AC70" s="21" t="s">
        <v>1842</v>
      </c>
      <c r="AD70" s="8" t="s">
        <v>4036</v>
      </c>
      <c r="AE70" s="8" t="s">
        <v>3681</v>
      </c>
      <c r="AF70" s="9">
        <f t="shared" si="16"/>
        <v>669.928</v>
      </c>
      <c r="AG70" s="9">
        <f t="shared" si="17"/>
        <v>156.99600000000001</v>
      </c>
      <c r="AH70" s="9">
        <f t="shared" si="18"/>
        <v>0.11615675235202604</v>
      </c>
      <c r="AI70" s="9">
        <f t="shared" si="19"/>
        <v>1.3492391116969905E-2</v>
      </c>
      <c r="AJ70" s="9">
        <f t="shared" si="20"/>
        <v>0.42508981177754007</v>
      </c>
      <c r="AK70" s="9">
        <f t="shared" si="21"/>
        <v>0.18070134807706445</v>
      </c>
      <c r="AL70" s="9">
        <f t="shared" si="22"/>
        <v>0.13718118836590351</v>
      </c>
      <c r="AM70" s="9">
        <f t="shared" si="23"/>
        <v>1.8818678441481503E-2</v>
      </c>
      <c r="AN70" s="8" t="s">
        <v>1842</v>
      </c>
    </row>
    <row r="71" spans="13:40" ht="23">
      <c r="M71" s="9" t="s">
        <v>3198</v>
      </c>
      <c r="N71" s="8" t="s">
        <v>1869</v>
      </c>
      <c r="O71" s="8"/>
      <c r="P71" s="8"/>
      <c r="Q71" s="8"/>
      <c r="R71" s="8"/>
      <c r="S71" s="8"/>
      <c r="T71" s="8"/>
      <c r="U71" s="8"/>
      <c r="V71" s="8"/>
      <c r="W71" s="9" t="s">
        <v>3198</v>
      </c>
      <c r="X71" s="8">
        <v>9.2899999999999991</v>
      </c>
      <c r="Y71" s="8">
        <v>6.47</v>
      </c>
      <c r="Z71" s="9">
        <v>0.55000000000000004</v>
      </c>
      <c r="AA71" s="8">
        <v>37.4</v>
      </c>
      <c r="AB71" s="8">
        <v>9086</v>
      </c>
      <c r="AC71" s="22" t="s">
        <v>3198</v>
      </c>
      <c r="AD71" s="8" t="s">
        <v>4036</v>
      </c>
      <c r="AE71" s="8" t="s">
        <v>3681</v>
      </c>
      <c r="AF71" s="9">
        <f t="shared" si="16"/>
        <v>241.97799999999998</v>
      </c>
      <c r="AG71" s="9">
        <f t="shared" si="17"/>
        <v>34.283333333333331</v>
      </c>
      <c r="AH71" s="9">
        <f t="shared" si="18"/>
        <v>0.1108230239276983</v>
      </c>
      <c r="AI71" s="9">
        <f t="shared" si="19"/>
        <v>1.2281742632479191E-2</v>
      </c>
      <c r="AJ71" s="9">
        <f t="shared" si="20"/>
        <v>0.15354244407504328</v>
      </c>
      <c r="AK71" s="9">
        <f t="shared" si="21"/>
        <v>2.3575282132537793E-2</v>
      </c>
      <c r="AL71" s="9">
        <f t="shared" si="22"/>
        <v>2.9956358173527084E-2</v>
      </c>
      <c r="AM71" s="9">
        <f t="shared" si="23"/>
        <v>8.973833950206429E-4</v>
      </c>
      <c r="AN71" s="9" t="s">
        <v>3198</v>
      </c>
    </row>
    <row r="72" spans="13:40" ht="23">
      <c r="M72" s="9" t="s">
        <v>3415</v>
      </c>
      <c r="N72" s="8" t="s">
        <v>1990</v>
      </c>
      <c r="O72" s="8"/>
      <c r="P72" s="8"/>
      <c r="Q72" s="8"/>
      <c r="R72" s="8"/>
      <c r="S72" s="8"/>
      <c r="T72" s="8"/>
      <c r="U72" s="8"/>
      <c r="V72" s="8"/>
      <c r="W72" s="9" t="s">
        <v>3415</v>
      </c>
      <c r="X72" s="8">
        <v>35.33</v>
      </c>
      <c r="Y72" s="8">
        <v>4.88</v>
      </c>
      <c r="Z72" s="9">
        <v>3.01</v>
      </c>
      <c r="AA72" s="8">
        <v>36.9</v>
      </c>
      <c r="AB72" s="8">
        <v>5056</v>
      </c>
      <c r="AC72" s="22" t="s">
        <v>3415</v>
      </c>
      <c r="AD72" s="8" t="s">
        <v>4036</v>
      </c>
      <c r="AE72" s="8" t="s">
        <v>3681</v>
      </c>
      <c r="AF72" s="9">
        <f t="shared" si="16"/>
        <v>180.072</v>
      </c>
      <c r="AG72" s="9">
        <f t="shared" si="17"/>
        <v>111.315</v>
      </c>
      <c r="AH72" s="9">
        <f t="shared" si="18"/>
        <v>0.10934143269871836</v>
      </c>
      <c r="AI72" s="9">
        <f t="shared" si="19"/>
        <v>1.1955548904608357E-2</v>
      </c>
      <c r="AJ72" s="9">
        <f t="shared" si="20"/>
        <v>0.11426119312285081</v>
      </c>
      <c r="AK72" s="9">
        <f t="shared" si="21"/>
        <v>1.3055620253857409E-2</v>
      </c>
      <c r="AL72" s="9">
        <f t="shared" si="22"/>
        <v>9.7265688189193025E-2</v>
      </c>
      <c r="AM72" s="9">
        <f t="shared" si="23"/>
        <v>9.4606140989173231E-3</v>
      </c>
      <c r="AN72" s="9" t="s">
        <v>3415</v>
      </c>
    </row>
    <row r="73" spans="13:40" ht="23">
      <c r="M73" s="9" t="s">
        <v>3113</v>
      </c>
      <c r="N73" s="8" t="s">
        <v>1814</v>
      </c>
      <c r="O73" s="8"/>
      <c r="P73" s="8"/>
      <c r="Q73" s="8"/>
      <c r="R73" s="8"/>
      <c r="S73" s="8"/>
      <c r="T73" s="8"/>
      <c r="U73" s="8"/>
      <c r="V73" s="8"/>
      <c r="W73" s="9" t="s">
        <v>3113</v>
      </c>
      <c r="X73" s="8">
        <v>30.89</v>
      </c>
      <c r="Y73" s="8">
        <v>1.26</v>
      </c>
      <c r="Z73" s="9">
        <v>0.09</v>
      </c>
      <c r="AA73" s="8">
        <v>33.5</v>
      </c>
      <c r="AB73" s="8">
        <v>43793</v>
      </c>
      <c r="AC73" s="22" t="s">
        <v>3113</v>
      </c>
      <c r="AD73" s="8" t="s">
        <v>4036</v>
      </c>
      <c r="AE73" s="8" t="s">
        <v>3681</v>
      </c>
      <c r="AF73" s="9">
        <f t="shared" si="16"/>
        <v>42.21</v>
      </c>
      <c r="AG73" s="9">
        <f t="shared" si="17"/>
        <v>5.0249999999999995</v>
      </c>
      <c r="AH73" s="9">
        <f t="shared" si="18"/>
        <v>9.9266612341654903E-2</v>
      </c>
      <c r="AI73" s="9">
        <f t="shared" si="19"/>
        <v>9.8538603257883935E-3</v>
      </c>
      <c r="AJ73" s="9">
        <f t="shared" si="20"/>
        <v>2.678353637275941E-2</v>
      </c>
      <c r="AK73" s="9">
        <f t="shared" si="21"/>
        <v>7.1735782063092634E-4</v>
      </c>
      <c r="AL73" s="9">
        <f t="shared" si="22"/>
        <v>4.390783660339531E-3</v>
      </c>
      <c r="AM73" s="9">
        <f t="shared" si="23"/>
        <v>1.9278981151904609E-5</v>
      </c>
      <c r="AN73" s="9" t="s">
        <v>3113</v>
      </c>
    </row>
    <row r="74" spans="13:40" ht="23">
      <c r="M74" s="9" t="s">
        <v>3549</v>
      </c>
      <c r="N74" s="8" t="s">
        <v>2041</v>
      </c>
      <c r="O74" s="8"/>
      <c r="P74" s="8"/>
      <c r="Q74" s="8"/>
      <c r="R74" s="8"/>
      <c r="S74" s="8"/>
      <c r="T74" s="8"/>
      <c r="U74" s="8"/>
      <c r="V74" s="8"/>
      <c r="W74" s="9" t="s">
        <v>3549</v>
      </c>
      <c r="X74" s="8">
        <v>42.21</v>
      </c>
      <c r="Y74" s="8">
        <v>1.53</v>
      </c>
      <c r="Z74" s="9">
        <v>1.17</v>
      </c>
      <c r="AA74" s="8">
        <v>31.9</v>
      </c>
      <c r="AB74" s="8">
        <v>29342</v>
      </c>
      <c r="AC74" s="22" t="s">
        <v>3549</v>
      </c>
      <c r="AD74" s="8" t="s">
        <v>4036</v>
      </c>
      <c r="AE74" s="8" t="s">
        <v>3681</v>
      </c>
      <c r="AF74" s="9">
        <f t="shared" si="16"/>
        <v>48.807000000000002</v>
      </c>
      <c r="AG74" s="9">
        <f t="shared" si="17"/>
        <v>40.938333333333325</v>
      </c>
      <c r="AH74" s="9">
        <f t="shared" si="18"/>
        <v>9.4525520408919136E-2</v>
      </c>
      <c r="AI74" s="9">
        <f t="shared" si="19"/>
        <v>8.9350740085769875E-3</v>
      </c>
      <c r="AJ74" s="9">
        <f t="shared" si="20"/>
        <v>3.096953470138045E-2</v>
      </c>
      <c r="AK74" s="9">
        <f t="shared" si="21"/>
        <v>9.5911207962000788E-4</v>
      </c>
      <c r="AL74" s="9">
        <f t="shared" si="22"/>
        <v>3.5771415936623516E-2</v>
      </c>
      <c r="AM74" s="9">
        <f t="shared" si="23"/>
        <v>1.2795941981109228E-3</v>
      </c>
      <c r="AN74" s="9" t="s">
        <v>3549</v>
      </c>
    </row>
    <row r="75" spans="13:40" ht="23">
      <c r="M75" s="8" t="s">
        <v>4618</v>
      </c>
      <c r="N75" s="8" t="s">
        <v>150</v>
      </c>
      <c r="O75" s="8"/>
      <c r="P75" s="8"/>
      <c r="Q75" s="8"/>
      <c r="R75" s="8"/>
      <c r="S75" s="8"/>
      <c r="T75" s="8"/>
      <c r="U75" s="8"/>
      <c r="V75" s="8"/>
      <c r="W75" s="8" t="s">
        <v>4618</v>
      </c>
      <c r="X75" s="8">
        <v>5.18</v>
      </c>
      <c r="Y75" s="8">
        <v>6.43</v>
      </c>
      <c r="Z75" s="9">
        <v>2.54</v>
      </c>
      <c r="AA75" s="8">
        <v>30.4</v>
      </c>
      <c r="AB75" s="8">
        <v>5618</v>
      </c>
      <c r="AC75" s="21" t="s">
        <v>4618</v>
      </c>
      <c r="AD75" s="8" t="s">
        <v>4036</v>
      </c>
      <c r="AE75" s="8" t="s">
        <v>3681</v>
      </c>
      <c r="AF75" s="9">
        <f t="shared" si="16"/>
        <v>195.47199999999998</v>
      </c>
      <c r="AG75" s="9">
        <f t="shared" si="17"/>
        <v>88.16</v>
      </c>
      <c r="AH75" s="9">
        <f t="shared" si="18"/>
        <v>9.0080746721979368E-2</v>
      </c>
      <c r="AI75" s="9">
        <f t="shared" si="19"/>
        <v>8.1145409299893962E-3</v>
      </c>
      <c r="AJ75" s="9">
        <f t="shared" si="20"/>
        <v>0.12403296427045789</v>
      </c>
      <c r="AK75" s="9">
        <f t="shared" si="21"/>
        <v>1.5384176225716683E-2</v>
      </c>
      <c r="AL75" s="9">
        <f t="shared" si="22"/>
        <v>7.7033131839907079E-2</v>
      </c>
      <c r="AM75" s="9">
        <f t="shared" si="23"/>
        <v>5.9341034010645059E-3</v>
      </c>
      <c r="AN75" s="8" t="s">
        <v>4618</v>
      </c>
    </row>
    <row r="76" spans="13:40" ht="23">
      <c r="M76" s="9" t="s">
        <v>3396</v>
      </c>
      <c r="N76" s="8" t="s">
        <v>1990</v>
      </c>
      <c r="O76" s="8"/>
      <c r="P76" s="8"/>
      <c r="Q76" s="8"/>
      <c r="R76" s="8"/>
      <c r="S76" s="8"/>
      <c r="T76" s="8"/>
      <c r="U76" s="8"/>
      <c r="V76" s="8"/>
      <c r="W76" s="9" t="s">
        <v>3396</v>
      </c>
      <c r="X76" s="8">
        <v>8.85</v>
      </c>
      <c r="Y76" s="8">
        <v>3.08</v>
      </c>
      <c r="Z76" s="9">
        <v>1.4</v>
      </c>
      <c r="AA76" s="8">
        <v>27.2</v>
      </c>
      <c r="AB76" s="8">
        <v>10425</v>
      </c>
      <c r="AC76" s="22" t="s">
        <v>3396</v>
      </c>
      <c r="AD76" s="8" t="s">
        <v>4036</v>
      </c>
      <c r="AE76" s="8" t="s">
        <v>3681</v>
      </c>
      <c r="AF76" s="9">
        <f t="shared" si="16"/>
        <v>83.775999999999996</v>
      </c>
      <c r="AG76" s="9">
        <f t="shared" si="17"/>
        <v>27.38133333333333</v>
      </c>
      <c r="AH76" s="9">
        <f t="shared" si="18"/>
        <v>8.0598562856507849E-2</v>
      </c>
      <c r="AI76" s="9">
        <f t="shared" si="19"/>
        <v>6.4961283345344465E-3</v>
      </c>
      <c r="AJ76" s="9">
        <f t="shared" si="20"/>
        <v>5.3158435042982524E-2</v>
      </c>
      <c r="AK76" s="9">
        <f t="shared" si="21"/>
        <v>2.8258192162189926E-3</v>
      </c>
      <c r="AL76" s="9">
        <f t="shared" si="22"/>
        <v>2.3925474825534358E-2</v>
      </c>
      <c r="AM76" s="9">
        <f t="shared" si="23"/>
        <v>5.7242834562727836E-4</v>
      </c>
      <c r="AN76" s="9" t="s">
        <v>3396</v>
      </c>
    </row>
    <row r="77" spans="13:40" ht="23">
      <c r="M77" s="8" t="s">
        <v>757</v>
      </c>
      <c r="N77" s="8" t="s">
        <v>150</v>
      </c>
      <c r="O77" s="8"/>
      <c r="P77" s="8"/>
      <c r="Q77" s="8"/>
      <c r="R77" s="8"/>
      <c r="S77" s="8"/>
      <c r="T77" s="8"/>
      <c r="U77" s="8"/>
      <c r="V77" s="8"/>
      <c r="W77" s="8" t="s">
        <v>757</v>
      </c>
      <c r="X77" s="8">
        <v>3.08</v>
      </c>
      <c r="Y77" s="8">
        <v>2.08</v>
      </c>
      <c r="Z77" s="9">
        <v>0.2</v>
      </c>
      <c r="AA77" s="8">
        <v>20.5</v>
      </c>
      <c r="AB77" s="8">
        <v>38861</v>
      </c>
      <c r="AC77" s="21" t="s">
        <v>757</v>
      </c>
      <c r="AD77" s="8" t="s">
        <v>4036</v>
      </c>
      <c r="AE77" s="8" t="s">
        <v>3681</v>
      </c>
      <c r="AF77" s="9">
        <f t="shared" si="16"/>
        <v>42.64</v>
      </c>
      <c r="AG77" s="9">
        <f t="shared" si="17"/>
        <v>6.8333333333333343E-2</v>
      </c>
      <c r="AH77" s="9">
        <f t="shared" si="18"/>
        <v>6.0745240388176872E-2</v>
      </c>
      <c r="AI77" s="9">
        <f t="shared" si="19"/>
        <v>3.6899842298173946E-3</v>
      </c>
      <c r="AJ77" s="9">
        <f t="shared" si="20"/>
        <v>2.7056384528179607E-2</v>
      </c>
      <c r="AK77" s="9">
        <f t="shared" si="21"/>
        <v>7.3204794373671681E-4</v>
      </c>
      <c r="AL77" s="9">
        <f t="shared" si="22"/>
        <v>5.9708832528663621E-5</v>
      </c>
      <c r="AM77" s="9">
        <f t="shared" si="23"/>
        <v>3.565144681935999E-9</v>
      </c>
      <c r="AN77" s="8" t="s">
        <v>757</v>
      </c>
    </row>
    <row r="78" spans="13:40" ht="23">
      <c r="M78" s="9" t="s">
        <v>3121</v>
      </c>
      <c r="N78" s="8" t="s">
        <v>1862</v>
      </c>
      <c r="O78" s="8"/>
      <c r="P78" s="8" t="s">
        <v>3694</v>
      </c>
      <c r="Q78" s="8"/>
      <c r="R78" s="8"/>
      <c r="S78" s="8"/>
      <c r="T78" s="8"/>
      <c r="U78" s="8"/>
      <c r="V78" s="8"/>
      <c r="W78" s="9" t="s">
        <v>3121</v>
      </c>
      <c r="X78" s="8">
        <v>15.28</v>
      </c>
      <c r="Y78" s="8">
        <v>3.58</v>
      </c>
      <c r="Z78" s="9">
        <v>4.3600000000000003</v>
      </c>
      <c r="AA78" s="8">
        <v>19.100000000000001</v>
      </c>
      <c r="AB78" s="8">
        <v>7298</v>
      </c>
      <c r="AC78" s="22" t="s">
        <v>3121</v>
      </c>
      <c r="AD78" s="8" t="s">
        <v>4036</v>
      </c>
      <c r="AE78" s="8" t="s">
        <v>3681</v>
      </c>
      <c r="AF78" s="9">
        <f t="shared" si="16"/>
        <v>68.378</v>
      </c>
      <c r="AG78" s="9">
        <f t="shared" si="17"/>
        <v>87.86</v>
      </c>
      <c r="AH78" s="9">
        <f t="shared" si="18"/>
        <v>5.6596784947033088E-2</v>
      </c>
      <c r="AI78" s="9">
        <f t="shared" si="19"/>
        <v>3.2031960663407113E-3</v>
      </c>
      <c r="AJ78" s="9">
        <f t="shared" si="20"/>
        <v>4.3387932956563444E-2</v>
      </c>
      <c r="AK78" s="9">
        <f t="shared" si="21"/>
        <v>1.8825127262432442E-3</v>
      </c>
      <c r="AL78" s="9">
        <f t="shared" si="22"/>
        <v>7.6770995501976372E-2</v>
      </c>
      <c r="AM78" s="9">
        <f t="shared" si="23"/>
        <v>5.8937857503644766E-3</v>
      </c>
      <c r="AN78" s="9" t="s">
        <v>3121</v>
      </c>
    </row>
    <row r="79" spans="13:40" ht="23">
      <c r="M79" s="9" t="s">
        <v>3392</v>
      </c>
      <c r="N79" s="8" t="s">
        <v>1990</v>
      </c>
      <c r="O79" s="8"/>
      <c r="P79" s="8"/>
      <c r="Q79" s="8"/>
      <c r="R79" s="8"/>
      <c r="S79" s="8"/>
      <c r="T79" s="8"/>
      <c r="U79" s="8"/>
      <c r="V79" s="8"/>
      <c r="W79" s="9" t="s">
        <v>3392</v>
      </c>
      <c r="X79" s="8">
        <v>16.809999999999999</v>
      </c>
      <c r="Y79" s="8">
        <v>6.5</v>
      </c>
      <c r="Z79" s="9">
        <v>6.23</v>
      </c>
      <c r="AA79" s="8">
        <v>15</v>
      </c>
      <c r="AB79" s="8">
        <v>6657</v>
      </c>
      <c r="AC79" s="22" t="s">
        <v>3392</v>
      </c>
      <c r="AD79" s="8" t="s">
        <v>4036</v>
      </c>
      <c r="AE79" s="8" t="s">
        <v>3681</v>
      </c>
      <c r="AF79" s="9">
        <f t="shared" si="16"/>
        <v>97.5</v>
      </c>
      <c r="AG79" s="9">
        <f t="shared" si="17"/>
        <v>95.75</v>
      </c>
      <c r="AH79" s="9">
        <f t="shared" si="18"/>
        <v>4.4447736869397715E-2</v>
      </c>
      <c r="AI79" s="9">
        <f t="shared" si="19"/>
        <v>1.975601312811217E-3</v>
      </c>
      <c r="AJ79" s="9">
        <f t="shared" si="20"/>
        <v>6.1866732915044839E-2</v>
      </c>
      <c r="AK79" s="9">
        <f t="shared" si="21"/>
        <v>3.8274926415814924E-3</v>
      </c>
      <c r="AL79" s="9">
        <f t="shared" si="22"/>
        <v>8.3665181189554266E-2</v>
      </c>
      <c r="AM79" s="9">
        <f t="shared" si="23"/>
        <v>6.9998625434809451E-3</v>
      </c>
      <c r="AN79" s="9" t="s">
        <v>3392</v>
      </c>
    </row>
    <row r="80" spans="13:40" ht="23">
      <c r="M80" s="9" t="s">
        <v>2905</v>
      </c>
      <c r="N80" s="8" t="s">
        <v>1717</v>
      </c>
      <c r="O80" s="8"/>
      <c r="P80" s="8"/>
      <c r="Q80" s="8"/>
      <c r="R80" s="8"/>
      <c r="S80" s="8"/>
      <c r="T80" s="8"/>
      <c r="U80" s="8"/>
      <c r="V80" s="8"/>
      <c r="W80" s="9" t="s">
        <v>2905</v>
      </c>
      <c r="X80" s="8">
        <v>16.27</v>
      </c>
      <c r="Y80" s="8">
        <v>2.84</v>
      </c>
      <c r="Z80" s="9">
        <v>1.3</v>
      </c>
      <c r="AA80" s="8">
        <v>13.1</v>
      </c>
      <c r="AB80" s="8">
        <v>10271</v>
      </c>
      <c r="AC80" s="22" t="s">
        <v>2905</v>
      </c>
      <c r="AD80" s="8" t="s">
        <v>4036</v>
      </c>
      <c r="AE80" s="8" t="s">
        <v>3681</v>
      </c>
      <c r="AF80" s="9">
        <f t="shared" si="16"/>
        <v>37.204000000000001</v>
      </c>
      <c r="AG80" s="9">
        <f t="shared" si="17"/>
        <v>13.165499999999998</v>
      </c>
      <c r="AH80" s="9">
        <f t="shared" si="18"/>
        <v>3.8817690199274002E-2</v>
      </c>
      <c r="AI80" s="9">
        <f t="shared" si="19"/>
        <v>1.5068130724068128E-3</v>
      </c>
      <c r="AJ80" s="9">
        <f t="shared" si="20"/>
        <v>2.3607076219193109E-2</v>
      </c>
      <c r="AK80" s="9">
        <f t="shared" si="21"/>
        <v>5.5729404761879287E-4</v>
      </c>
      <c r="AL80" s="9">
        <f t="shared" si="22"/>
        <v>1.1503853190089572E-2</v>
      </c>
      <c r="AM80" s="9">
        <f t="shared" si="23"/>
        <v>1.3233863821913403E-4</v>
      </c>
      <c r="AN80" s="9" t="s">
        <v>2905</v>
      </c>
    </row>
    <row r="81" spans="13:40" ht="23">
      <c r="M81" s="9" t="s">
        <v>3311</v>
      </c>
      <c r="N81" s="8" t="s">
        <v>1939</v>
      </c>
      <c r="O81" s="8"/>
      <c r="P81" s="8" t="s">
        <v>3704</v>
      </c>
      <c r="Q81" s="8"/>
      <c r="R81" s="8"/>
      <c r="S81" s="8"/>
      <c r="T81" s="8"/>
      <c r="U81" s="8"/>
      <c r="V81" s="8"/>
      <c r="W81" s="9" t="s">
        <v>3311</v>
      </c>
      <c r="X81" s="8">
        <v>0.77</v>
      </c>
      <c r="Y81" s="8">
        <v>1.32</v>
      </c>
      <c r="Z81" s="9">
        <v>0.09</v>
      </c>
      <c r="AA81" s="8">
        <v>13.1</v>
      </c>
      <c r="AB81" s="8">
        <v>53388</v>
      </c>
      <c r="AC81" s="22" t="s">
        <v>3311</v>
      </c>
      <c r="AD81" s="8" t="s">
        <v>4036</v>
      </c>
      <c r="AE81" s="8" t="s">
        <v>3681</v>
      </c>
      <c r="AF81" s="9">
        <f t="shared" si="16"/>
        <v>17.292000000000002</v>
      </c>
      <c r="AG81" s="9">
        <f t="shared" si="17"/>
        <v>1.9649999999999999</v>
      </c>
      <c r="AH81" s="9">
        <f t="shared" si="18"/>
        <v>3.8817690199274002E-2</v>
      </c>
      <c r="AI81" s="9">
        <f t="shared" si="19"/>
        <v>1.5068130724068128E-3</v>
      </c>
      <c r="AJ81" s="9">
        <f t="shared" si="20"/>
        <v>1.0972303031455953E-2</v>
      </c>
      <c r="AK81" s="9">
        <f t="shared" si="21"/>
        <v>1.203914338140975E-4</v>
      </c>
      <c r="AL81" s="9">
        <f t="shared" si="22"/>
        <v>1.7169930134462046E-3</v>
      </c>
      <c r="AM81" s="9">
        <f t="shared" si="23"/>
        <v>2.9480650082230787E-6</v>
      </c>
      <c r="AN81" s="9" t="s">
        <v>3311</v>
      </c>
    </row>
    <row r="82" spans="13:40" ht="23">
      <c r="M82" s="9" t="s">
        <v>2765</v>
      </c>
      <c r="N82" s="8" t="s">
        <v>1614</v>
      </c>
      <c r="O82" s="8"/>
      <c r="P82" s="8"/>
      <c r="Q82" s="8"/>
      <c r="R82" s="8"/>
      <c r="S82" s="8"/>
      <c r="T82" s="8"/>
      <c r="U82" s="8"/>
      <c r="V82" s="8"/>
      <c r="W82" s="9" t="s">
        <v>2765</v>
      </c>
      <c r="X82" s="8">
        <v>48.68</v>
      </c>
      <c r="Y82" s="8">
        <v>1.65</v>
      </c>
      <c r="Z82" s="9">
        <v>0.54</v>
      </c>
      <c r="AA82" s="8">
        <v>12.8</v>
      </c>
      <c r="AB82" s="8">
        <v>28872</v>
      </c>
      <c r="AC82" s="22" t="s">
        <v>2765</v>
      </c>
      <c r="AD82" s="8" t="s">
        <v>4036</v>
      </c>
      <c r="AE82" s="8" t="s">
        <v>3681</v>
      </c>
      <c r="AF82" s="9">
        <f t="shared" si="16"/>
        <v>21.12</v>
      </c>
      <c r="AG82" s="9">
        <f t="shared" si="17"/>
        <v>11.520000000000001</v>
      </c>
      <c r="AH82" s="9">
        <f t="shared" si="18"/>
        <v>3.7928735461886048E-2</v>
      </c>
      <c r="AI82" s="9">
        <f t="shared" si="19"/>
        <v>1.4385889737377323E-3</v>
      </c>
      <c r="AJ82" s="9">
        <f t="shared" si="20"/>
        <v>1.3401286145289714E-2</v>
      </c>
      <c r="AK82" s="9">
        <f t="shared" si="21"/>
        <v>1.7959447034793406E-4</v>
      </c>
      <c r="AL82" s="9">
        <f t="shared" si="22"/>
        <v>1.0066035376539585E-2</v>
      </c>
      <c r="AM82" s="9">
        <f t="shared" si="23"/>
        <v>1.0132506820174643E-4</v>
      </c>
      <c r="AN82" s="9" t="s">
        <v>2765</v>
      </c>
    </row>
    <row r="83" spans="13:40" ht="23">
      <c r="M83" s="8" t="s">
        <v>92</v>
      </c>
      <c r="N83" s="8" t="s">
        <v>90</v>
      </c>
      <c r="O83" s="8"/>
      <c r="P83" s="8"/>
      <c r="Q83" s="8"/>
      <c r="R83" s="8"/>
      <c r="S83" s="8"/>
      <c r="T83" s="8"/>
      <c r="U83" s="8"/>
      <c r="V83" s="8"/>
      <c r="W83" s="8" t="s">
        <v>92</v>
      </c>
      <c r="X83" s="8">
        <v>29.95</v>
      </c>
      <c r="Y83" s="8">
        <v>3.9</v>
      </c>
      <c r="Z83" s="9">
        <v>3.07</v>
      </c>
      <c r="AA83" s="8">
        <v>11.3</v>
      </c>
      <c r="AB83" s="8">
        <v>10101</v>
      </c>
      <c r="AC83" s="21" t="s">
        <v>92</v>
      </c>
      <c r="AD83" s="8" t="s">
        <v>4036</v>
      </c>
      <c r="AE83" s="8" t="s">
        <v>3681</v>
      </c>
      <c r="AF83" s="9">
        <f t="shared" si="16"/>
        <v>44.07</v>
      </c>
      <c r="AG83" s="9">
        <f t="shared" si="17"/>
        <v>35.218333333333334</v>
      </c>
      <c r="AH83" s="9">
        <f t="shared" si="18"/>
        <v>3.348396177494628E-2</v>
      </c>
      <c r="AI83" s="9">
        <f t="shared" si="19"/>
        <v>1.1211756961460636E-3</v>
      </c>
      <c r="AJ83" s="9">
        <f t="shared" si="20"/>
        <v>2.7963763277600265E-2</v>
      </c>
      <c r="AK83" s="9">
        <f t="shared" si="21"/>
        <v>7.8197205664566507E-4</v>
      </c>
      <c r="AL83" s="9">
        <f t="shared" si="22"/>
        <v>3.0773349760077826E-2</v>
      </c>
      <c r="AM83" s="9">
        <f t="shared" si="23"/>
        <v>9.4699905545608191E-4</v>
      </c>
      <c r="AN83" s="8" t="s">
        <v>92</v>
      </c>
    </row>
    <row r="84" spans="13:40" ht="23">
      <c r="M84" s="9" t="s">
        <v>3150</v>
      </c>
      <c r="N84" s="8" t="s">
        <v>1869</v>
      </c>
      <c r="O84" s="8"/>
      <c r="P84" s="8"/>
      <c r="Q84" s="8"/>
      <c r="R84" s="8"/>
      <c r="S84" s="8"/>
      <c r="T84" s="8"/>
      <c r="U84" s="8"/>
      <c r="V84" s="8"/>
      <c r="W84" s="9" t="s">
        <v>3150</v>
      </c>
      <c r="X84" s="8">
        <v>35.729999999999997</v>
      </c>
      <c r="Y84" s="8">
        <v>1.78</v>
      </c>
      <c r="Z84" s="9">
        <v>0.47</v>
      </c>
      <c r="AA84" s="8">
        <v>11.3</v>
      </c>
      <c r="AB84" s="8">
        <v>32172</v>
      </c>
      <c r="AC84" s="22" t="s">
        <v>3150</v>
      </c>
      <c r="AD84" s="8" t="s">
        <v>4036</v>
      </c>
      <c r="AE84" s="8" t="s">
        <v>3681</v>
      </c>
      <c r="AF84" s="9">
        <f t="shared" si="16"/>
        <v>20.114000000000001</v>
      </c>
      <c r="AG84" s="9">
        <f t="shared" si="17"/>
        <v>8.8516666666666666</v>
      </c>
      <c r="AH84" s="9">
        <f t="shared" si="18"/>
        <v>3.348396177494628E-2</v>
      </c>
      <c r="AI84" s="9">
        <f t="shared" si="19"/>
        <v>1.1211756961460636E-3</v>
      </c>
      <c r="AJ84" s="9">
        <f t="shared" si="20"/>
        <v>1.2762948367725249E-2</v>
      </c>
      <c r="AK84" s="9">
        <f t="shared" si="21"/>
        <v>1.6289285103722061E-4</v>
      </c>
      <c r="AL84" s="9">
        <f t="shared" si="22"/>
        <v>7.7344782819446945E-3</v>
      </c>
      <c r="AM84" s="9">
        <f t="shared" si="23"/>
        <v>5.9822154293874156E-5</v>
      </c>
      <c r="AN84" s="9" t="s">
        <v>3150</v>
      </c>
    </row>
    <row r="85" spans="13:40" ht="23">
      <c r="M85" s="9" t="s">
        <v>2750</v>
      </c>
      <c r="N85" s="8" t="s">
        <v>1614</v>
      </c>
      <c r="O85" s="8"/>
      <c r="P85" s="8"/>
      <c r="Q85" s="8"/>
      <c r="R85" s="8"/>
      <c r="S85" s="8"/>
      <c r="T85" s="8"/>
      <c r="U85" s="8"/>
      <c r="V85" s="8"/>
      <c r="W85" s="9" t="s">
        <v>2750</v>
      </c>
      <c r="X85" s="8">
        <v>36.32</v>
      </c>
      <c r="Y85" s="8">
        <v>2.95</v>
      </c>
      <c r="Z85" s="9">
        <v>0.42</v>
      </c>
      <c r="AA85" s="8">
        <v>5.2</v>
      </c>
      <c r="AB85" s="8">
        <v>19249</v>
      </c>
      <c r="AC85" s="22" t="s">
        <v>2750</v>
      </c>
      <c r="AD85" s="8" t="s">
        <v>4036</v>
      </c>
      <c r="AE85" s="8" t="s">
        <v>3681</v>
      </c>
      <c r="AF85" s="9">
        <f t="shared" si="16"/>
        <v>15.340000000000002</v>
      </c>
      <c r="AG85" s="9">
        <f t="shared" si="17"/>
        <v>3.6399999999999997</v>
      </c>
      <c r="AH85" s="9">
        <f t="shared" si="18"/>
        <v>1.5408548781391208E-2</v>
      </c>
      <c r="AI85" s="9">
        <f t="shared" si="19"/>
        <v>2.3742337554851249E-4</v>
      </c>
      <c r="AJ85" s="9">
        <f t="shared" si="20"/>
        <v>9.7336993119670565E-3</v>
      </c>
      <c r="AK85" s="9">
        <f t="shared" si="21"/>
        <v>9.4744902295787944E-5</v>
      </c>
      <c r="AL85" s="9">
        <f t="shared" si="22"/>
        <v>3.180587566892715E-3</v>
      </c>
      <c r="AM85" s="9">
        <f t="shared" si="23"/>
        <v>1.011613727067252E-5</v>
      </c>
      <c r="AN85" s="9" t="s">
        <v>2750</v>
      </c>
    </row>
    <row r="86" spans="13:40" ht="23">
      <c r="M86" s="9" t="s">
        <v>2854</v>
      </c>
      <c r="N86" s="8" t="s">
        <v>1614</v>
      </c>
      <c r="O86" s="8"/>
      <c r="P86" s="8" t="s">
        <v>3704</v>
      </c>
      <c r="Q86" s="8"/>
      <c r="R86" s="8"/>
      <c r="S86" s="8"/>
      <c r="T86" s="8"/>
      <c r="U86" s="8"/>
      <c r="V86" s="8"/>
      <c r="W86" s="9" t="s">
        <v>2854</v>
      </c>
      <c r="X86" s="8">
        <v>14.8</v>
      </c>
      <c r="Y86" s="8">
        <v>6.5</v>
      </c>
      <c r="Z86" s="9">
        <v>2.5</v>
      </c>
      <c r="AA86" s="8">
        <v>4.3</v>
      </c>
      <c r="AB86" s="8">
        <v>16636</v>
      </c>
      <c r="AC86" s="22" t="s">
        <v>2854</v>
      </c>
      <c r="AD86" s="8" t="s">
        <v>4036</v>
      </c>
      <c r="AE86" s="8" t="s">
        <v>3681</v>
      </c>
      <c r="AF86" s="9">
        <f t="shared" si="16"/>
        <v>27.95</v>
      </c>
      <c r="AG86" s="9">
        <f t="shared" si="17"/>
        <v>8.6358333333333324</v>
      </c>
      <c r="AH86" s="9">
        <f t="shared" si="18"/>
        <v>1.2741684569227344E-2</v>
      </c>
      <c r="AI86" s="9">
        <f t="shared" si="19"/>
        <v>1.6235052566168621E-4</v>
      </c>
      <c r="AJ86" s="9">
        <f t="shared" si="20"/>
        <v>1.7735130102312854E-2</v>
      </c>
      <c r="AK86" s="9">
        <f t="shared" si="21"/>
        <v>3.1453483974596357E-4</v>
      </c>
      <c r="AL86" s="9">
        <f t="shared" si="22"/>
        <v>7.5458857499334266E-3</v>
      </c>
      <c r="AM86" s="9">
        <f t="shared" si="23"/>
        <v>5.6940391751048349E-5</v>
      </c>
      <c r="AN86" s="9" t="s">
        <v>2854</v>
      </c>
    </row>
    <row r="87" spans="13:40" ht="23">
      <c r="M87" s="9" t="s">
        <v>2276</v>
      </c>
      <c r="N87" s="8" t="s">
        <v>150</v>
      </c>
      <c r="O87" s="8"/>
      <c r="P87" s="8" t="s">
        <v>3704</v>
      </c>
      <c r="Q87" s="8"/>
      <c r="R87" s="8"/>
      <c r="S87" s="8"/>
      <c r="T87" s="8"/>
      <c r="U87" s="8"/>
      <c r="V87" s="8"/>
      <c r="W87" s="9" t="s">
        <v>2276</v>
      </c>
      <c r="X87" s="8">
        <v>16.559999999999999</v>
      </c>
      <c r="Y87" s="8">
        <v>5.52</v>
      </c>
      <c r="Z87" s="9">
        <v>7.51</v>
      </c>
      <c r="AA87" s="8">
        <v>3.5</v>
      </c>
      <c r="AB87" s="8"/>
      <c r="AC87" s="22" t="s">
        <v>2276</v>
      </c>
      <c r="AD87" s="8" t="s">
        <v>4036</v>
      </c>
      <c r="AE87" s="8" t="s">
        <v>3681</v>
      </c>
      <c r="AF87" s="9">
        <f t="shared" si="16"/>
        <v>19.32</v>
      </c>
      <c r="AG87" s="9">
        <f t="shared" si="17"/>
        <v>27.474999999999998</v>
      </c>
      <c r="AH87" s="9">
        <f t="shared" si="18"/>
        <v>1.0371138602859467E-2</v>
      </c>
      <c r="AI87" s="9">
        <f t="shared" si="19"/>
        <v>1.0756051591972183E-4</v>
      </c>
      <c r="AJ87" s="9">
        <f t="shared" si="20"/>
        <v>1.2259131076088886E-2</v>
      </c>
      <c r="AK87" s="9">
        <f t="shared" si="21"/>
        <v>1.5028629474072826E-4</v>
      </c>
      <c r="AL87" s="9">
        <f t="shared" si="22"/>
        <v>2.4007319615488281E-2</v>
      </c>
      <c r="AM87" s="9">
        <f t="shared" si="23"/>
        <v>5.7635139512020837E-4</v>
      </c>
      <c r="AN87" s="9" t="s">
        <v>2276</v>
      </c>
    </row>
    <row r="88" spans="13:40" ht="23">
      <c r="M88" s="9" t="s">
        <v>3304</v>
      </c>
      <c r="N88" s="8" t="s">
        <v>1939</v>
      </c>
      <c r="O88" s="8"/>
      <c r="P88" s="8"/>
      <c r="Q88" s="8"/>
      <c r="R88" s="8"/>
      <c r="S88" s="8"/>
      <c r="T88" s="8"/>
      <c r="U88" s="8"/>
      <c r="V88" s="8"/>
      <c r="W88" s="9" t="s">
        <v>3304</v>
      </c>
      <c r="X88" s="8">
        <v>20.78</v>
      </c>
      <c r="Y88" s="8">
        <v>8</v>
      </c>
      <c r="Z88" s="9">
        <v>6.08</v>
      </c>
      <c r="AA88" s="8">
        <v>2.2000000000000002</v>
      </c>
      <c r="AB88" s="8">
        <v>39166</v>
      </c>
      <c r="AC88" s="22" t="s">
        <v>3304</v>
      </c>
      <c r="AD88" s="8" t="s">
        <v>4036</v>
      </c>
      <c r="AE88" s="8" t="s">
        <v>3681</v>
      </c>
      <c r="AF88" s="9">
        <f t="shared" si="16"/>
        <v>17.600000000000001</v>
      </c>
      <c r="AG88" s="9">
        <f t="shared" si="17"/>
        <v>13.493333333333336</v>
      </c>
      <c r="AH88" s="9">
        <f t="shared" si="18"/>
        <v>6.519001407511665E-3</v>
      </c>
      <c r="AI88" s="9">
        <f t="shared" si="19"/>
        <v>4.2497379351139067E-5</v>
      </c>
      <c r="AJ88" s="9">
        <f t="shared" si="20"/>
        <v>1.1167738454408094E-2</v>
      </c>
      <c r="AK88" s="9">
        <f t="shared" si="21"/>
        <v>1.247183821860653E-4</v>
      </c>
      <c r="AL88" s="9">
        <f t="shared" si="22"/>
        <v>1.1790309954928309E-2</v>
      </c>
      <c r="AM88" s="9">
        <f t="shared" si="23"/>
        <v>1.3901140883328157E-4</v>
      </c>
      <c r="AN88" s="9" t="s">
        <v>3304</v>
      </c>
    </row>
    <row r="89" spans="13:40" ht="23">
      <c r="M89" s="8" t="s">
        <v>1775</v>
      </c>
      <c r="N89" s="8" t="s">
        <v>1717</v>
      </c>
      <c r="O89" s="8"/>
      <c r="P89" s="8"/>
      <c r="Q89" s="8"/>
      <c r="R89" s="8"/>
      <c r="S89" s="8"/>
      <c r="T89" s="8"/>
      <c r="U89" s="8"/>
      <c r="V89" s="8"/>
      <c r="W89" s="8" t="s">
        <v>1775</v>
      </c>
      <c r="X89" s="8">
        <v>14</v>
      </c>
      <c r="Y89" s="8">
        <v>3.43</v>
      </c>
      <c r="Z89" s="9">
        <v>4.01</v>
      </c>
      <c r="AA89" s="8">
        <v>1.6</v>
      </c>
      <c r="AB89" s="8">
        <v>42260</v>
      </c>
      <c r="AC89" s="21" t="s">
        <v>1775</v>
      </c>
      <c r="AD89" s="8" t="s">
        <v>4036</v>
      </c>
      <c r="AE89" s="8" t="s">
        <v>3681</v>
      </c>
      <c r="AF89" s="9">
        <f t="shared" si="16"/>
        <v>5.4880000000000004</v>
      </c>
      <c r="AG89" s="9">
        <f t="shared" si="17"/>
        <v>6.4266666666666667</v>
      </c>
      <c r="AH89" s="9">
        <f t="shared" si="18"/>
        <v>4.741091932735756E-3</v>
      </c>
      <c r="AI89" s="9">
        <f t="shared" si="19"/>
        <v>2.2477952714652068E-5</v>
      </c>
      <c r="AJ89" s="9">
        <f t="shared" si="20"/>
        <v>3.4823038998745242E-3</v>
      </c>
      <c r="AK89" s="9">
        <f t="shared" si="21"/>
        <v>1.212644045108132E-5</v>
      </c>
      <c r="AL89" s="9">
        <f t="shared" si="22"/>
        <v>5.6155428836713881E-3</v>
      </c>
      <c r="AM89" s="9">
        <f t="shared" si="23"/>
        <v>3.1534321878352368E-5</v>
      </c>
      <c r="AN89" s="8" t="s">
        <v>1775</v>
      </c>
    </row>
    <row r="90" spans="13:40" ht="23">
      <c r="M90" s="8" t="s">
        <v>1851</v>
      </c>
      <c r="N90" s="8" t="s">
        <v>1814</v>
      </c>
      <c r="O90" s="8"/>
      <c r="P90" s="8"/>
      <c r="Q90" s="8"/>
      <c r="R90" s="8"/>
      <c r="S90" s="8"/>
      <c r="T90" s="8"/>
      <c r="U90" s="8"/>
      <c r="V90" s="8"/>
      <c r="W90" s="8" t="s">
        <v>1851</v>
      </c>
      <c r="X90" s="8">
        <v>3.93</v>
      </c>
      <c r="Y90" s="8">
        <v>7.78</v>
      </c>
      <c r="Z90" s="9">
        <v>7.31</v>
      </c>
      <c r="AA90" s="8">
        <v>1.5</v>
      </c>
      <c r="AB90" s="8">
        <v>31530</v>
      </c>
      <c r="AC90" s="21" t="s">
        <v>1851</v>
      </c>
      <c r="AD90" s="8" t="s">
        <v>4036</v>
      </c>
      <c r="AE90" s="8" t="s">
        <v>3681</v>
      </c>
      <c r="AF90" s="9">
        <f t="shared" si="16"/>
        <v>11.67</v>
      </c>
      <c r="AG90" s="9">
        <f t="shared" si="17"/>
        <v>11.275</v>
      </c>
      <c r="AH90" s="9">
        <f t="shared" si="18"/>
        <v>4.4447736869397715E-3</v>
      </c>
      <c r="AI90" s="9">
        <f t="shared" si="19"/>
        <v>1.9756013128112169E-5</v>
      </c>
      <c r="AJ90" s="9">
        <f t="shared" si="20"/>
        <v>7.4049720319853676E-3</v>
      </c>
      <c r="AK90" s="9">
        <f t="shared" si="21"/>
        <v>5.4833610794485507E-5</v>
      </c>
      <c r="AL90" s="9">
        <f t="shared" si="22"/>
        <v>9.8519573672294965E-3</v>
      </c>
      <c r="AM90" s="9">
        <f t="shared" si="23"/>
        <v>9.7061063965707552E-5</v>
      </c>
      <c r="AN90" s="8" t="s">
        <v>1851</v>
      </c>
    </row>
    <row r="91" spans="13:40" ht="23">
      <c r="M91" s="9" t="s">
        <v>3605</v>
      </c>
      <c r="N91" s="8" t="s">
        <v>2084</v>
      </c>
      <c r="O91" s="8"/>
      <c r="P91" s="8"/>
      <c r="Q91" s="8"/>
      <c r="R91" s="8"/>
      <c r="S91" s="8"/>
      <c r="T91" s="8"/>
      <c r="U91" s="8"/>
      <c r="V91" s="8"/>
      <c r="W91" s="9" t="s">
        <v>3605</v>
      </c>
      <c r="X91" s="8">
        <v>26.13</v>
      </c>
      <c r="Y91" s="8">
        <v>2.16</v>
      </c>
      <c r="Z91" s="9">
        <v>0.27</v>
      </c>
      <c r="AA91" s="8">
        <v>1.4</v>
      </c>
      <c r="AB91" s="8">
        <v>85982</v>
      </c>
      <c r="AC91" s="22" t="s">
        <v>3605</v>
      </c>
      <c r="AD91" s="8" t="s">
        <v>4036</v>
      </c>
      <c r="AE91" s="8" t="s">
        <v>3681</v>
      </c>
      <c r="AF91" s="9">
        <f t="shared" si="16"/>
        <v>3.024</v>
      </c>
      <c r="AG91" s="9">
        <f t="shared" si="17"/>
        <v>0.63</v>
      </c>
      <c r="AH91" s="9">
        <f t="shared" si="18"/>
        <v>4.1484554411437861E-3</v>
      </c>
      <c r="AI91" s="9">
        <f t="shared" si="19"/>
        <v>1.7209682547155484E-5</v>
      </c>
      <c r="AJ91" s="9">
        <f t="shared" si="20"/>
        <v>1.9188205162573907E-3</v>
      </c>
      <c r="AK91" s="9">
        <f t="shared" si="21"/>
        <v>3.6818721736102792E-6</v>
      </c>
      <c r="AL91" s="9">
        <f t="shared" si="22"/>
        <v>5.5048630965450851E-4</v>
      </c>
      <c r="AM91" s="9">
        <f t="shared" si="23"/>
        <v>3.0303517711703943E-7</v>
      </c>
      <c r="AN91" s="9" t="s">
        <v>3605</v>
      </c>
    </row>
    <row r="92" spans="13:40" ht="18">
      <c r="M92" s="49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9"/>
      <c r="AA92" s="48">
        <f>SUBTOTAL(109,Table13691[ترافیک کل])</f>
        <v>33747.500000000015</v>
      </c>
      <c r="AB92" s="48"/>
      <c r="AC92" s="53"/>
      <c r="AD92" s="48"/>
      <c r="AE92" s="48"/>
      <c r="AF92" s="49">
        <f>SUBTOTAL(109,Table13691[[مجموع صفحات  مشاهده شده   ]])</f>
        <v>157596.81400000001</v>
      </c>
      <c r="AG92" s="49">
        <f>SUBTOTAL(109,Table13691[[مجموع زمان حضور در سایت ]])</f>
        <v>114444.26299999999</v>
      </c>
      <c r="AH92" s="49">
        <f>SUBTOTAL(109,Table13691[سهم سایت از کل ترافیک طبقه بندی])</f>
        <v>99.999999999999943</v>
      </c>
      <c r="AI92" s="49">
        <f>SUBTOTAL(109,Table13691[شاخص هرفیندال هیرشمن (ترافیک)])</f>
        <v>332.47452593539458</v>
      </c>
      <c r="AJ92" s="49">
        <f>SUBTOTAL(109,Table13691[سهم سایت از کل صفحات مشاهده شده در طبقه بندی])</f>
        <v>100</v>
      </c>
      <c r="AK92" s="49">
        <f>SUBTOTAL(109,Table13691[شاخص هرفیندال -هیرشمن (صفحات مشاهده شده )])</f>
        <v>395.4832821980176</v>
      </c>
      <c r="AL92" s="49">
        <f>SUBTOTAL(109,Table13691[سهم سایت از کل زمان حضور در طبقه بندی])</f>
        <v>99.999999999999986</v>
      </c>
      <c r="AM92" s="49">
        <f>SUBTOTAL(109,Table13691[شاخص هرفیندال هیرشمن (زمان حضور)])</f>
        <v>449.37877667443001</v>
      </c>
      <c r="AN92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{4C2FB6B3-EBDC-4E0B-A6A6-6C215EC45C86}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{E833EBE6-8361-4232-B515-DC50428CFD02}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{8F0EA8EE-9D95-4026-949A-5A9B87828160}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{37D5B3E0-CB65-45CE-A17F-6828A8D3DD51}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{7C1E1135-5F0B-46DB-BB56-10E48CADCE96}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{0431EFD3-B398-4DF2-997A-953CF0969162}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2FB6B3-EBDC-4E0B-A6A6-6C215EC45C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833EBE6-8361-4232-B515-DC50428CFD0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F0EA8EE-9D95-4026-949A-5A9B8782816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7D5B3E0-CB65-45CE-A17F-6828A8D3DD5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C1E1135-5F0B-46DB-BB56-10E48CADCE9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0431EFD3-B398-4DF2-997A-953CF096916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7"/>
  <sheetViews>
    <sheetView showGridLines="0" rightToLeft="1" topLeftCell="Z1" zoomScale="70" zoomScaleNormal="70" workbookViewId="0">
      <selection activeCell="AD4" sqref="AD4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4.9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3756</v>
      </c>
      <c r="N2" s="8"/>
      <c r="O2" s="8"/>
      <c r="P2" s="8" t="s">
        <v>4769</v>
      </c>
      <c r="Q2" s="8"/>
      <c r="R2" s="8"/>
      <c r="S2" s="8"/>
      <c r="T2" s="8"/>
      <c r="U2" s="8"/>
      <c r="V2" s="8"/>
      <c r="W2" s="8" t="s">
        <v>3756</v>
      </c>
      <c r="X2" s="8">
        <v>39.94</v>
      </c>
      <c r="Y2" s="8">
        <v>3.63</v>
      </c>
      <c r="Z2" s="9">
        <v>4.42</v>
      </c>
      <c r="AA2" s="8">
        <v>18451.099999999999</v>
      </c>
      <c r="AB2" s="8">
        <v>15</v>
      </c>
      <c r="AC2" s="21" t="s">
        <v>3756</v>
      </c>
      <c r="AD2" s="8" t="s">
        <v>4569</v>
      </c>
      <c r="AE2" s="8" t="s">
        <v>3681</v>
      </c>
      <c r="AF2" s="9">
        <f>(AA2*Y2)</f>
        <v>66977.492999999988</v>
      </c>
      <c r="AG2" s="9">
        <f t="shared" ref="AG2:AG3" si="0">((((RIGHT(Z2,2))/60)+(LEFT(Z2,2)))*AA2)</f>
        <v>86720.17</v>
      </c>
      <c r="AH2" s="9">
        <f t="shared" ref="AH2:AH3" si="1">(AA2/$AA$4)*100</f>
        <v>89.306163936013164</v>
      </c>
      <c r="AI2" s="9">
        <f>(AH2*AH2)</f>
        <v>7975.5909169660581</v>
      </c>
      <c r="AJ2" s="9">
        <f t="shared" ref="AJ2:AJ3" si="2">(AF2/$AF$4)*100</f>
        <v>95.195446138758456</v>
      </c>
      <c r="AK2" s="9">
        <f>(AJ2*AJ2)</f>
        <v>9062.1729655572617</v>
      </c>
      <c r="AL2" s="9">
        <f t="shared" ref="AL2:AL3" si="3">(AG2/$AG$4)*100</f>
        <v>91.38544253408638</v>
      </c>
      <c r="AM2" s="9">
        <f>(AL2*AL2)</f>
        <v>8351.299107150804</v>
      </c>
      <c r="AN2" s="8" t="s">
        <v>3756</v>
      </c>
    </row>
    <row r="3" spans="8:40" ht="23">
      <c r="M3" s="8" t="s">
        <v>4584</v>
      </c>
      <c r="N3" s="8"/>
      <c r="O3" s="8"/>
      <c r="P3" s="8"/>
      <c r="Q3" s="8"/>
      <c r="R3" s="8"/>
      <c r="S3" s="8"/>
      <c r="T3" s="8"/>
      <c r="U3" s="8"/>
      <c r="V3" s="8"/>
      <c r="W3" s="8" t="s">
        <v>4584</v>
      </c>
      <c r="X3" s="8">
        <v>70.540000000000006</v>
      </c>
      <c r="Y3" s="8">
        <v>1.53</v>
      </c>
      <c r="Z3" s="9">
        <v>3.42</v>
      </c>
      <c r="AA3" s="8">
        <v>2209.4</v>
      </c>
      <c r="AB3" s="8">
        <v>301</v>
      </c>
      <c r="AC3" s="21" t="s">
        <v>4584</v>
      </c>
      <c r="AD3" s="8" t="s">
        <v>4569</v>
      </c>
      <c r="AE3" s="8" t="s">
        <v>3681</v>
      </c>
      <c r="AF3" s="9">
        <f>(AA3*Y3)</f>
        <v>3380.3820000000001</v>
      </c>
      <c r="AG3" s="9">
        <f t="shared" si="0"/>
        <v>8174.7800000000007</v>
      </c>
      <c r="AH3" s="9">
        <f t="shared" si="1"/>
        <v>10.693836063986835</v>
      </c>
      <c r="AI3" s="9">
        <f>(AH3*AH3)</f>
        <v>114.35812976342544</v>
      </c>
      <c r="AJ3" s="9">
        <f t="shared" si="2"/>
        <v>4.8045538612415468</v>
      </c>
      <c r="AK3" s="9">
        <f>(AJ3*AJ3)</f>
        <v>23.083737805571058</v>
      </c>
      <c r="AL3" s="9">
        <f t="shared" si="3"/>
        <v>8.6145574659136255</v>
      </c>
      <c r="AM3" s="9">
        <f>(AL3*AL3)</f>
        <v>74.210600333528191</v>
      </c>
      <c r="AN3" s="8" t="s">
        <v>4584</v>
      </c>
    </row>
    <row r="4" spans="8:40" ht="23"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9"/>
      <c r="AA4" s="8">
        <f>SUBTOTAL(109,Table13695[ترافیک کل])</f>
        <v>20660.5</v>
      </c>
      <c r="AB4" s="8"/>
      <c r="AC4" s="8"/>
      <c r="AD4" s="8"/>
      <c r="AE4" s="8"/>
      <c r="AF4" s="9">
        <f>SUBTOTAL(109,Table13695[[مجموع صفحات  مشاهده شده   ]])</f>
        <v>70357.874999999985</v>
      </c>
      <c r="AG4" s="9">
        <f>SUBTOTAL(109,Table13695[[مجموع زمان حضور در سایت ]])</f>
        <v>94894.95</v>
      </c>
      <c r="AH4" s="9">
        <f>SUBTOTAL(109,Table13695[سهم سایت از کل ترافیک طبقه بندی])</f>
        <v>100</v>
      </c>
      <c r="AI4" s="9">
        <f>SUBTOTAL(109,Table13695[شاخص هرفیندال هیرشمن (ترافیک)])</f>
        <v>8089.9490467294836</v>
      </c>
      <c r="AJ4" s="9">
        <f>SUBTOTAL(109,Table13695[سهم سایت از کل صفحات مشاهده شده در طبقه بندی])</f>
        <v>100</v>
      </c>
      <c r="AK4" s="9">
        <f>SUBTOTAL(109,Table13695[شاخص هرفیندال -هیرشمن (صفحات مشاهده شده )])</f>
        <v>9085.2567033628329</v>
      </c>
      <c r="AL4" s="9">
        <f>SUBTOTAL(109,Table13695[سهم سایت از کل زمان حضور در طبقه بندی])</f>
        <v>100</v>
      </c>
      <c r="AM4" s="12">
        <f>SUBTOTAL(109,Table13695[شاخص هرفیندال هیرشمن (زمان حضور)])</f>
        <v>8425.5097074843325</v>
      </c>
      <c r="AN4" s="9"/>
    </row>
    <row r="7" spans="8:40">
      <c r="AG7" s="28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{D250E0B5-FE65-4D9D-B5F8-A97D9AC7D025}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{C8F4C3B6-9A6C-4829-9B99-854C6FD1572E}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{96E42FE2-119F-4B34-98A2-7DF6AECB44E5}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{7662F94D-3951-4996-AF63-258C2DA998A8}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{5DE76DCA-814C-4FC9-8B5C-C757176B381B}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{26B4D58A-5DAC-477A-AACB-D5C9EFD66842}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50E0B5-FE65-4D9D-B5F8-A97D9AC7D02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8F4C3B6-9A6C-4829-9B99-854C6FD1572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96E42FE2-119F-4B34-98A2-7DF6AECB44E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662F94D-3951-4996-AF63-258C2DA998A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DE76DCA-814C-4FC9-8B5C-C757176B381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26B4D58A-5DAC-477A-AACB-D5C9EFD6684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7"/>
  <sheetViews>
    <sheetView showGridLines="0" rightToLeft="1" topLeftCell="Z1" zoomScale="85" zoomScaleNormal="85" workbookViewId="0">
      <selection activeCell="Z3" sqref="Z3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6.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11" t="s">
        <v>2659</v>
      </c>
      <c r="N2" s="10" t="s">
        <v>150</v>
      </c>
      <c r="O2" s="10"/>
      <c r="P2" s="10"/>
      <c r="Q2" s="10"/>
      <c r="R2" s="10"/>
      <c r="S2" s="10"/>
      <c r="T2" s="10"/>
      <c r="U2" s="10"/>
      <c r="V2" s="10"/>
      <c r="W2" s="57" t="s">
        <v>2659</v>
      </c>
      <c r="X2" s="10">
        <v>55.09</v>
      </c>
      <c r="Y2" s="10">
        <v>2.81</v>
      </c>
      <c r="Z2" s="11">
        <v>2.0299999999999998</v>
      </c>
      <c r="AA2" s="10">
        <v>1253.9000000000001</v>
      </c>
      <c r="AB2" s="10">
        <v>310</v>
      </c>
      <c r="AC2" s="55" t="s">
        <v>2659</v>
      </c>
      <c r="AD2" s="10" t="s">
        <v>4623</v>
      </c>
      <c r="AE2" s="10" t="s">
        <v>3681</v>
      </c>
      <c r="AF2" s="11">
        <f>(AA2*Y2)</f>
        <v>3523.4590000000003</v>
      </c>
      <c r="AG2" s="11">
        <f>((((RIGHT(Z2,2))/60)+(LEFT(Z2,2)))*AA2)</f>
        <v>2570.4949999999999</v>
      </c>
      <c r="AH2" s="11">
        <f>(AA2/$AA$7)*100</f>
        <v>28.278568367876233</v>
      </c>
      <c r="AI2" s="11">
        <f>(AH2*AH2)</f>
        <v>799.67742893665024</v>
      </c>
      <c r="AJ2" s="11">
        <f>(AF2/$AF$7)*100</f>
        <v>24.289587645759042</v>
      </c>
      <c r="AK2" s="11">
        <f>(AJ2*AJ2)</f>
        <v>589.98406800101031</v>
      </c>
      <c r="AL2" s="11">
        <f>(AG2/$AG$7)*100</f>
        <v>21.317794152060038</v>
      </c>
      <c r="AM2" s="11">
        <f>(AL2*AL2)</f>
        <v>454.44834750960518</v>
      </c>
      <c r="AN2" s="57" t="s">
        <v>2659</v>
      </c>
    </row>
    <row r="3" spans="8:40" ht="23">
      <c r="M3" s="10" t="s">
        <v>412</v>
      </c>
      <c r="N3" s="10" t="s">
        <v>150</v>
      </c>
      <c r="O3" s="10"/>
      <c r="P3" s="10" t="s">
        <v>4073</v>
      </c>
      <c r="Q3" s="10"/>
      <c r="R3" s="10"/>
      <c r="S3" s="10"/>
      <c r="T3" s="10"/>
      <c r="U3" s="10"/>
      <c r="V3" s="10"/>
      <c r="W3" s="58" t="s">
        <v>412</v>
      </c>
      <c r="X3" s="10">
        <v>45.97</v>
      </c>
      <c r="Y3" s="10">
        <v>2.76</v>
      </c>
      <c r="Z3" s="11">
        <v>2.04</v>
      </c>
      <c r="AA3" s="10">
        <v>1206.2</v>
      </c>
      <c r="AB3" s="10">
        <v>272</v>
      </c>
      <c r="AC3" s="56" t="s">
        <v>412</v>
      </c>
      <c r="AD3" s="10" t="s">
        <v>4623</v>
      </c>
      <c r="AE3" s="10" t="s">
        <v>3681</v>
      </c>
      <c r="AF3" s="11">
        <f>(AA3*Y3)</f>
        <v>3329.1120000000001</v>
      </c>
      <c r="AG3" s="11">
        <f>((((RIGHT(Z3,2))/60)+(LEFT(Z3,2)))*AA3)</f>
        <v>2492.8133333333335</v>
      </c>
      <c r="AH3" s="11">
        <f>(AA3/$AA$7)*100</f>
        <v>27.202814550867142</v>
      </c>
      <c r="AI3" s="11">
        <f>(AH3*AH3)</f>
        <v>739.99311948886907</v>
      </c>
      <c r="AJ3" s="11">
        <f>(AF3/$AF$7)*100</f>
        <v>22.9498222362026</v>
      </c>
      <c r="AK3" s="11">
        <f>(AJ3*AJ3)</f>
        <v>526.69434067329928</v>
      </c>
      <c r="AL3" s="11">
        <f>(AG3/$AG$7)*100</f>
        <v>20.673559567130308</v>
      </c>
      <c r="AM3" s="11">
        <f>(AL3*AL3)</f>
        <v>427.39606517568507</v>
      </c>
      <c r="AN3" s="58" t="s">
        <v>412</v>
      </c>
    </row>
    <row r="4" spans="8:40" ht="23">
      <c r="M4" s="10" t="s">
        <v>3880</v>
      </c>
      <c r="N4" s="10"/>
      <c r="O4" s="10"/>
      <c r="P4" s="10" t="s">
        <v>3704</v>
      </c>
      <c r="Q4" s="10"/>
      <c r="R4" s="10"/>
      <c r="S4" s="10"/>
      <c r="T4" s="10"/>
      <c r="U4" s="10"/>
      <c r="V4" s="10"/>
      <c r="W4" s="58" t="s">
        <v>3880</v>
      </c>
      <c r="X4" s="10">
        <v>32.82</v>
      </c>
      <c r="Y4" s="10">
        <v>3.97</v>
      </c>
      <c r="Z4" s="11">
        <v>4.12</v>
      </c>
      <c r="AA4" s="10">
        <v>893.8</v>
      </c>
      <c r="AB4" s="10">
        <v>290</v>
      </c>
      <c r="AC4" s="56" t="s">
        <v>3880</v>
      </c>
      <c r="AD4" s="10" t="s">
        <v>4623</v>
      </c>
      <c r="AE4" s="10" t="s">
        <v>3681</v>
      </c>
      <c r="AF4" s="11">
        <f>(AA4*Y4)</f>
        <v>3548.386</v>
      </c>
      <c r="AG4" s="11">
        <f>((((RIGHT(Z4,2))/60)+(LEFT(Z4,2)))*AA4)</f>
        <v>3753.96</v>
      </c>
      <c r="AH4" s="11">
        <f>(AA4/$AA$7)*100</f>
        <v>20.157416386639902</v>
      </c>
      <c r="AI4" s="11">
        <f>(AH4*AH4)</f>
        <v>406.32143538437884</v>
      </c>
      <c r="AJ4" s="11">
        <f>(AF4/$AF$7)*100</f>
        <v>24.461426327930688</v>
      </c>
      <c r="AK4" s="11">
        <f>(AJ4*AJ4)</f>
        <v>598.36137799678067</v>
      </c>
      <c r="AL4" s="11">
        <f>(AG4/$AG$7)*100</f>
        <v>31.132582064959202</v>
      </c>
      <c r="AM4" s="11">
        <f>(AL4*AL4)</f>
        <v>969.23766603141939</v>
      </c>
      <c r="AN4" s="58" t="s">
        <v>3880</v>
      </c>
    </row>
    <row r="5" spans="8:40" ht="23">
      <c r="M5" s="10" t="s">
        <v>4572</v>
      </c>
      <c r="N5" s="10"/>
      <c r="O5" s="10"/>
      <c r="P5" s="10"/>
      <c r="Q5" s="10"/>
      <c r="R5" s="10"/>
      <c r="S5" s="10"/>
      <c r="T5" s="10"/>
      <c r="U5" s="10"/>
      <c r="V5" s="10"/>
      <c r="W5" s="58" t="s">
        <v>4572</v>
      </c>
      <c r="X5" s="10">
        <v>38.950000000000003</v>
      </c>
      <c r="Y5" s="10">
        <v>3.45</v>
      </c>
      <c r="Z5" s="11">
        <v>2.5299999999999998</v>
      </c>
      <c r="AA5" s="10">
        <v>607.20000000000005</v>
      </c>
      <c r="AB5" s="10">
        <v>605</v>
      </c>
      <c r="AC5" s="56" t="s">
        <v>4572</v>
      </c>
      <c r="AD5" s="10" t="s">
        <v>4623</v>
      </c>
      <c r="AE5" s="10" t="s">
        <v>3681</v>
      </c>
      <c r="AF5" s="11">
        <f>(AA5*Y5)</f>
        <v>2094.84</v>
      </c>
      <c r="AG5" s="11">
        <f>((((RIGHT(Z5,2))/60)+(LEFT(Z5,2)))*AA5)</f>
        <v>1750.7600000000002</v>
      </c>
      <c r="AH5" s="11">
        <f>(AA5/$AA$7)*100</f>
        <v>13.693872488216325</v>
      </c>
      <c r="AI5" s="11">
        <f>(AH5*AH5)</f>
        <v>187.52214372352796</v>
      </c>
      <c r="AJ5" s="11">
        <f>(AF5/$AF$7)*100</f>
        <v>14.441149956290641</v>
      </c>
      <c r="AK5" s="11">
        <f>(AJ5*AJ5)</f>
        <v>208.54681206007317</v>
      </c>
      <c r="AL5" s="11">
        <f>(AG5/$AG$7)*100</f>
        <v>14.519515225534629</v>
      </c>
      <c r="AM5" s="11">
        <f>(AL5*AL5)</f>
        <v>210.81632238453193</v>
      </c>
      <c r="AN5" s="58" t="s">
        <v>4572</v>
      </c>
    </row>
    <row r="6" spans="8:40" ht="23">
      <c r="M6" s="10" t="s">
        <v>3925</v>
      </c>
      <c r="N6" s="10"/>
      <c r="O6" s="10"/>
      <c r="P6" s="10"/>
      <c r="Q6" s="10"/>
      <c r="R6" s="10"/>
      <c r="S6" s="10"/>
      <c r="T6" s="10"/>
      <c r="U6" s="10"/>
      <c r="V6" s="10"/>
      <c r="W6" s="58" t="s">
        <v>3925</v>
      </c>
      <c r="X6" s="10">
        <v>37.880000000000003</v>
      </c>
      <c r="Y6" s="10">
        <v>4.25</v>
      </c>
      <c r="Z6" s="11">
        <v>3.09</v>
      </c>
      <c r="AA6" s="10">
        <v>473</v>
      </c>
      <c r="AB6" s="10">
        <v>519</v>
      </c>
      <c r="AC6" s="56" t="s">
        <v>3925</v>
      </c>
      <c r="AD6" s="10" t="s">
        <v>4623</v>
      </c>
      <c r="AE6" s="10" t="s">
        <v>3681</v>
      </c>
      <c r="AF6" s="11">
        <f>(AA6*Y6)</f>
        <v>2010.25</v>
      </c>
      <c r="AG6" s="11">
        <f>((((RIGHT(Z6,2))/60)+(LEFT(Z6,2)))*AA6)</f>
        <v>1489.95</v>
      </c>
      <c r="AH6" s="11">
        <f>(AA6/$AA$7)*100</f>
        <v>10.667328206400397</v>
      </c>
      <c r="AI6" s="11">
        <f>(AH6*AH6)</f>
        <v>113.79189106306551</v>
      </c>
      <c r="AJ6" s="11">
        <f>(AF6/$AF$7)*100</f>
        <v>13.858013833817029</v>
      </c>
      <c r="AK6" s="11">
        <f>(AJ6*AJ6)</f>
        <v>192.04454741826416</v>
      </c>
      <c r="AL6" s="11">
        <f>(AG6/$AG$7)*100</f>
        <v>12.356548990315815</v>
      </c>
      <c r="AM6" s="11">
        <f>(AL6*AL6)</f>
        <v>152.68430295007479</v>
      </c>
      <c r="AN6" s="58" t="s">
        <v>3925</v>
      </c>
    </row>
    <row r="7" spans="8:40" ht="23"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1"/>
      <c r="AA7" s="30">
        <f>SUBTOTAL(109,Table13696[ترافیک کل])</f>
        <v>4434.1000000000004</v>
      </c>
      <c r="AB7" s="30"/>
      <c r="AC7" s="30"/>
      <c r="AD7" s="30"/>
      <c r="AE7" s="30"/>
      <c r="AF7" s="31">
        <f>SUBTOTAL(109,Table13696[[مجموع صفحات  مشاهده شده   ]])</f>
        <v>14506.047</v>
      </c>
      <c r="AG7" s="31">
        <f>SUBTOTAL(109,Table13696[[مجموع زمان حضور در سایت ]])</f>
        <v>12057.978333333334</v>
      </c>
      <c r="AH7" s="31">
        <f>SUBTOTAL(109,Table13696[سهم سایت از کل ترافیک طبقه بندی])</f>
        <v>100.00000000000001</v>
      </c>
      <c r="AI7" s="31">
        <f>SUBTOTAL(109,Table13696[شاخص هرفیندال هیرشمن (ترافیک)])</f>
        <v>2247.3060185964919</v>
      </c>
      <c r="AJ7" s="31">
        <f>SUBTOTAL(109,Table13696[سهم سایت از کل صفحات مشاهده شده در طبقه بندی])</f>
        <v>100</v>
      </c>
      <c r="AK7" s="31">
        <f>SUBTOTAL(109,Table13696[شاخص هرفیندال -هیرشمن (صفحات مشاهده شده )])</f>
        <v>2115.6311461494274</v>
      </c>
      <c r="AL7" s="31">
        <f>SUBTOTAL(109,Table13696[سهم سایت از کل زمان حضور در طبقه بندی])</f>
        <v>100</v>
      </c>
      <c r="AM7" s="31">
        <f>SUBTOTAL(109,Table13696[شاخص هرفیندال هیرشمن (زمان حضور)])</f>
        <v>2214.5827040513163</v>
      </c>
      <c r="AN7" s="31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{0DE62261-3AA3-4CCD-BA4A-EE8239D90612}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{C7BE3536-C3C1-42B8-8430-42A8AF7DE6FC}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{D97B6E21-634A-4EE7-A31D-1E0E03067093}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{76E17323-8049-435A-AB13-92B110B0E97F}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{5DF474CE-3797-44D7-95A3-CA1DE152070A}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{1869E197-EDA2-4591-B89E-1D76466B6079}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E62261-3AA3-4CCD-BA4A-EE8239D9061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7BE3536-C3C1-42B8-8430-42A8AF7DE6F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97B6E21-634A-4EE7-A31D-1E0E0306709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6E17323-8049-435A-AB13-92B110B0E97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DF474CE-3797-44D7-95A3-CA1DE152070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1869E197-EDA2-4591-B89E-1D76466B607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06"/>
  <sheetViews>
    <sheetView showGridLines="0" rightToLeft="1" topLeftCell="Z1" zoomScale="70" zoomScaleNormal="70" workbookViewId="0">
      <selection activeCell="AC106" sqref="AC106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1361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1361</v>
      </c>
      <c r="X2" s="8">
        <v>42.24</v>
      </c>
      <c r="Y2" s="8">
        <v>4.3899999999999997</v>
      </c>
      <c r="Z2" s="9">
        <v>5.47</v>
      </c>
      <c r="AA2" s="8">
        <v>12894.6</v>
      </c>
      <c r="AB2" s="8">
        <v>66</v>
      </c>
      <c r="AC2" s="21" t="s">
        <v>1361</v>
      </c>
      <c r="AD2" s="8" t="s">
        <v>4570</v>
      </c>
      <c r="AE2" s="8" t="s">
        <v>3681</v>
      </c>
      <c r="AF2" s="9">
        <f t="shared" ref="AF2:AF33" si="0">(AA2*Y2)</f>
        <v>56607.293999999994</v>
      </c>
      <c r="AG2" s="9">
        <f t="shared" ref="AG2:AG33" si="1">((((RIGHT(Z2,2))/60)+(LEFT(Z2,2)))*AA2)</f>
        <v>74573.77</v>
      </c>
      <c r="AH2" s="9">
        <f t="shared" ref="AH2:AH33" si="2">(AA2/$AA$106)*100</f>
        <v>58.846401336235829</v>
      </c>
      <c r="AI2" s="9">
        <f t="shared" ref="AI2:AI33" si="3">(AH2*AH2)</f>
        <v>3462.898950225338</v>
      </c>
      <c r="AJ2" s="9">
        <f t="shared" ref="AJ2:AJ33" si="4">(AF2/$AF$106)*100</f>
        <v>58.049591836793311</v>
      </c>
      <c r="AK2" s="9">
        <f t="shared" ref="AK2:AK33" si="5">(AJ2*AJ2)</f>
        <v>3369.7551124183005</v>
      </c>
      <c r="AL2" s="9">
        <f t="shared" ref="AL2:AL33" si="6">(AG2/$AG$106)*100</f>
        <v>67.152413420253836</v>
      </c>
      <c r="AM2" s="9">
        <f t="shared" ref="AM2:AM33" si="7">(AL2*AL2)</f>
        <v>4509.4466281646874</v>
      </c>
      <c r="AN2" s="8" t="s">
        <v>1361</v>
      </c>
    </row>
    <row r="3" spans="8:40" ht="23">
      <c r="M3" s="9" t="s">
        <v>2379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9" t="s">
        <v>2379</v>
      </c>
      <c r="X3" s="8">
        <v>26.05</v>
      </c>
      <c r="Y3" s="8">
        <v>6.51</v>
      </c>
      <c r="Z3" s="9">
        <v>7.59</v>
      </c>
      <c r="AA3" s="8">
        <v>2572.1999999999998</v>
      </c>
      <c r="AB3" s="8">
        <v>276</v>
      </c>
      <c r="AC3" s="22" t="s">
        <v>2379</v>
      </c>
      <c r="AD3" s="8" t="s">
        <v>4022</v>
      </c>
      <c r="AE3" s="8" t="s">
        <v>3681</v>
      </c>
      <c r="AF3" s="9">
        <f t="shared" si="0"/>
        <v>16745.021999999997</v>
      </c>
      <c r="AG3" s="9">
        <f t="shared" si="1"/>
        <v>20534.73</v>
      </c>
      <c r="AH3" s="9">
        <f t="shared" si="2"/>
        <v>11.738612560069006</v>
      </c>
      <c r="AI3" s="9">
        <f t="shared" si="3"/>
        <v>137.79502483540983</v>
      </c>
      <c r="AJ3" s="9">
        <f t="shared" si="4"/>
        <v>17.171668590943852</v>
      </c>
      <c r="AK3" s="9">
        <f t="shared" si="5"/>
        <v>294.86620219720766</v>
      </c>
      <c r="AL3" s="9">
        <f t="shared" si="6"/>
        <v>18.491175629625392</v>
      </c>
      <c r="AM3" s="9">
        <f t="shared" si="7"/>
        <v>341.92357616565204</v>
      </c>
      <c r="AN3" s="9" t="s">
        <v>2379</v>
      </c>
    </row>
    <row r="4" spans="8:40" ht="23">
      <c r="M4" s="8" t="s">
        <v>1081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1081</v>
      </c>
      <c r="X4" s="8">
        <v>42.84</v>
      </c>
      <c r="Y4" s="8">
        <v>3.62</v>
      </c>
      <c r="Z4" s="9">
        <v>4.01</v>
      </c>
      <c r="AA4" s="8">
        <v>811.7</v>
      </c>
      <c r="AB4" s="8">
        <v>1297</v>
      </c>
      <c r="AC4" s="21" t="s">
        <v>1081</v>
      </c>
      <c r="AD4" s="8" t="s">
        <v>4570</v>
      </c>
      <c r="AE4" s="8" t="s">
        <v>3681</v>
      </c>
      <c r="AF4" s="9">
        <f t="shared" si="0"/>
        <v>2938.3540000000003</v>
      </c>
      <c r="AG4" s="9">
        <f t="shared" si="1"/>
        <v>3260.3283333333334</v>
      </c>
      <c r="AH4" s="9">
        <f t="shared" si="2"/>
        <v>3.70431218995724</v>
      </c>
      <c r="AI4" s="9">
        <f t="shared" si="3"/>
        <v>13.721928800665804</v>
      </c>
      <c r="AJ4" s="9">
        <f t="shared" si="4"/>
        <v>3.0132203523455656</v>
      </c>
      <c r="AK4" s="9">
        <f t="shared" si="5"/>
        <v>9.0794968917895353</v>
      </c>
      <c r="AL4" s="9">
        <f t="shared" si="6"/>
        <v>2.935870294954475</v>
      </c>
      <c r="AM4" s="9">
        <f t="shared" si="7"/>
        <v>8.6193343887960765</v>
      </c>
      <c r="AN4" s="8" t="s">
        <v>1081</v>
      </c>
    </row>
    <row r="5" spans="8:40" ht="23">
      <c r="M5" s="8" t="s">
        <v>4628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4628</v>
      </c>
      <c r="X5" s="8">
        <v>27.09</v>
      </c>
      <c r="Y5" s="8">
        <v>12.62</v>
      </c>
      <c r="Z5" s="9">
        <v>4.32</v>
      </c>
      <c r="AA5" s="8">
        <v>463.4</v>
      </c>
      <c r="AB5" s="8">
        <v>1157</v>
      </c>
      <c r="AC5" s="21" t="s">
        <v>4628</v>
      </c>
      <c r="AD5" s="8" t="s">
        <v>4570</v>
      </c>
      <c r="AE5" s="8" t="s">
        <v>3681</v>
      </c>
      <c r="AF5" s="9">
        <f t="shared" si="0"/>
        <v>5848.1079999999993</v>
      </c>
      <c r="AG5" s="9">
        <f t="shared" si="1"/>
        <v>2100.7466666666664</v>
      </c>
      <c r="AH5" s="9">
        <f t="shared" si="2"/>
        <v>2.1147939741606319</v>
      </c>
      <c r="AI5" s="9">
        <f t="shared" si="3"/>
        <v>4.4723535531461192</v>
      </c>
      <c r="AJ5" s="9">
        <f t="shared" si="4"/>
        <v>5.9971120049915418</v>
      </c>
      <c r="AK5" s="9">
        <f t="shared" si="5"/>
        <v>35.965352400413671</v>
      </c>
      <c r="AL5" s="9">
        <f t="shared" si="6"/>
        <v>1.8916866969608777</v>
      </c>
      <c r="AM5" s="9">
        <f t="shared" si="7"/>
        <v>3.5784785594587554</v>
      </c>
      <c r="AN5" s="8" t="s">
        <v>4628</v>
      </c>
    </row>
    <row r="6" spans="8:40" ht="23">
      <c r="M6" s="8" t="s">
        <v>654</v>
      </c>
      <c r="N6" s="8" t="s">
        <v>150</v>
      </c>
      <c r="O6" s="8"/>
      <c r="P6" s="8" t="s">
        <v>4770</v>
      </c>
      <c r="Q6" s="8"/>
      <c r="R6" s="8"/>
      <c r="S6" s="8"/>
      <c r="T6" s="8"/>
      <c r="U6" s="8"/>
      <c r="V6" s="8"/>
      <c r="W6" s="8" t="s">
        <v>654</v>
      </c>
      <c r="X6" s="8">
        <v>23.43</v>
      </c>
      <c r="Y6" s="8">
        <v>4.54</v>
      </c>
      <c r="Z6" s="9">
        <v>3.24</v>
      </c>
      <c r="AA6" s="8">
        <v>433.9</v>
      </c>
      <c r="AB6" s="8">
        <v>1267</v>
      </c>
      <c r="AC6" s="21" t="s">
        <v>654</v>
      </c>
      <c r="AD6" s="8" t="s">
        <v>4022</v>
      </c>
      <c r="AE6" s="8" t="s">
        <v>3681</v>
      </c>
      <c r="AF6" s="9">
        <f t="shared" si="0"/>
        <v>1969.9059999999999</v>
      </c>
      <c r="AG6" s="9">
        <f t="shared" si="1"/>
        <v>1475.26</v>
      </c>
      <c r="AH6" s="9">
        <f t="shared" si="2"/>
        <v>1.9801663905660298</v>
      </c>
      <c r="AI6" s="9">
        <f t="shared" si="3"/>
        <v>3.9210589343272986</v>
      </c>
      <c r="AJ6" s="9">
        <f t="shared" si="4"/>
        <v>2.0200972556089711</v>
      </c>
      <c r="AK6" s="9">
        <f t="shared" si="5"/>
        <v>4.0807929221188965</v>
      </c>
      <c r="AL6" s="9">
        <f t="shared" si="6"/>
        <v>1.3284465760865207</v>
      </c>
      <c r="AM6" s="9">
        <f t="shared" si="7"/>
        <v>1.764770305516</v>
      </c>
      <c r="AN6" s="8" t="s">
        <v>654</v>
      </c>
    </row>
    <row r="7" spans="8:40" ht="23">
      <c r="M7" s="8" t="s">
        <v>427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427</v>
      </c>
      <c r="X7" s="8">
        <v>24.68</v>
      </c>
      <c r="Y7" s="8">
        <v>2.5299999999999998</v>
      </c>
      <c r="Z7" s="9">
        <v>3.23</v>
      </c>
      <c r="AA7" s="8">
        <v>408.5</v>
      </c>
      <c r="AB7" s="8">
        <v>1177</v>
      </c>
      <c r="AC7" s="21" t="s">
        <v>427</v>
      </c>
      <c r="AD7" s="8" t="s">
        <v>4022</v>
      </c>
      <c r="AE7" s="8" t="s">
        <v>3681</v>
      </c>
      <c r="AF7" s="9">
        <f t="shared" si="0"/>
        <v>1033.5049999999999</v>
      </c>
      <c r="AG7" s="9">
        <f t="shared" si="1"/>
        <v>1382.0916666666667</v>
      </c>
      <c r="AH7" s="9">
        <f t="shared" si="2"/>
        <v>1.8642497592676266</v>
      </c>
      <c r="AI7" s="9">
        <f t="shared" si="3"/>
        <v>3.4754271649294037</v>
      </c>
      <c r="AJ7" s="9">
        <f t="shared" si="4"/>
        <v>1.0598376847210729</v>
      </c>
      <c r="AK7" s="9">
        <f t="shared" si="5"/>
        <v>1.1232559179549242</v>
      </c>
      <c r="AL7" s="9">
        <f t="shared" si="6"/>
        <v>1.2445500741706859</v>
      </c>
      <c r="AM7" s="9">
        <f t="shared" si="7"/>
        <v>1.5489048871182596</v>
      </c>
      <c r="AN7" s="8" t="s">
        <v>427</v>
      </c>
    </row>
    <row r="8" spans="8:40" ht="23">
      <c r="M8" s="8" t="s">
        <v>251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251</v>
      </c>
      <c r="X8" s="8">
        <v>41.25</v>
      </c>
      <c r="Y8" s="8">
        <v>1.95</v>
      </c>
      <c r="Z8" s="9">
        <v>1.33</v>
      </c>
      <c r="AA8" s="8">
        <v>400.5</v>
      </c>
      <c r="AB8" s="8">
        <v>1284</v>
      </c>
      <c r="AC8" s="21" t="s">
        <v>251</v>
      </c>
      <c r="AD8" s="8" t="s">
        <v>4022</v>
      </c>
      <c r="AE8" s="8" t="s">
        <v>3681</v>
      </c>
      <c r="AF8" s="9">
        <f t="shared" si="0"/>
        <v>780.97500000000002</v>
      </c>
      <c r="AG8" s="9">
        <f t="shared" si="1"/>
        <v>620.77499999999998</v>
      </c>
      <c r="AH8" s="9">
        <f t="shared" si="2"/>
        <v>1.8277405840555312</v>
      </c>
      <c r="AI8" s="9">
        <f t="shared" si="3"/>
        <v>3.3406356426036541</v>
      </c>
      <c r="AJ8" s="9">
        <f t="shared" si="4"/>
        <v>0.8008734702057948</v>
      </c>
      <c r="AK8" s="9">
        <f t="shared" si="5"/>
        <v>0.64139831527947211</v>
      </c>
      <c r="AL8" s="9">
        <f t="shared" si="6"/>
        <v>0.55899734505789467</v>
      </c>
      <c r="AM8" s="9">
        <f t="shared" si="7"/>
        <v>0.31247803178177497</v>
      </c>
      <c r="AN8" s="8" t="s">
        <v>251</v>
      </c>
    </row>
    <row r="9" spans="8:40" ht="23">
      <c r="M9" s="8" t="s">
        <v>4095</v>
      </c>
      <c r="N9" s="8" t="s">
        <v>150</v>
      </c>
      <c r="O9" s="8"/>
      <c r="P9" s="8" t="s">
        <v>3693</v>
      </c>
      <c r="Q9" s="8"/>
      <c r="R9" s="8"/>
      <c r="S9" s="8"/>
      <c r="T9" s="8"/>
      <c r="U9" s="8"/>
      <c r="V9" s="8"/>
      <c r="W9" s="8" t="s">
        <v>4095</v>
      </c>
      <c r="X9" s="8">
        <v>7.87</v>
      </c>
      <c r="Y9" s="8">
        <v>2.75</v>
      </c>
      <c r="Z9" s="9">
        <v>5.27</v>
      </c>
      <c r="AA9" s="8">
        <v>262.8</v>
      </c>
      <c r="AB9" s="8">
        <v>2170</v>
      </c>
      <c r="AC9" s="21" t="s">
        <v>4095</v>
      </c>
      <c r="AD9" s="8" t="s">
        <v>4022</v>
      </c>
      <c r="AE9" s="8" t="s">
        <v>3681</v>
      </c>
      <c r="AF9" s="9">
        <f t="shared" si="0"/>
        <v>722.7</v>
      </c>
      <c r="AG9" s="9">
        <f t="shared" si="1"/>
        <v>1432.2600000000002</v>
      </c>
      <c r="AH9" s="9">
        <f t="shared" si="2"/>
        <v>1.1993264057173374</v>
      </c>
      <c r="AI9" s="9">
        <f t="shared" si="3"/>
        <v>1.4383838274508673</v>
      </c>
      <c r="AJ9" s="9">
        <f t="shared" si="4"/>
        <v>0.74111368087035812</v>
      </c>
      <c r="AK9" s="9">
        <f t="shared" si="5"/>
        <v>0.54924948797321105</v>
      </c>
      <c r="AL9" s="9">
        <f t="shared" si="6"/>
        <v>1.2897258063430719</v>
      </c>
      <c r="AM9" s="9">
        <f t="shared" si="7"/>
        <v>1.6633926555472869</v>
      </c>
      <c r="AN9" s="8" t="s">
        <v>4095</v>
      </c>
    </row>
    <row r="10" spans="8:40" ht="23">
      <c r="M10" s="8" t="s">
        <v>1320</v>
      </c>
      <c r="N10" s="8" t="s">
        <v>150</v>
      </c>
      <c r="O10" s="8"/>
      <c r="P10" s="8" t="s">
        <v>4667</v>
      </c>
      <c r="Q10" s="8"/>
      <c r="R10" s="8"/>
      <c r="S10" s="8"/>
      <c r="T10" s="8"/>
      <c r="U10" s="8"/>
      <c r="V10" s="8"/>
      <c r="W10" s="8" t="s">
        <v>1320</v>
      </c>
      <c r="X10" s="8">
        <v>8.91</v>
      </c>
      <c r="Y10" s="8">
        <v>3.72</v>
      </c>
      <c r="Z10" s="9">
        <v>0.16</v>
      </c>
      <c r="AA10" s="8">
        <v>208.9</v>
      </c>
      <c r="AB10" s="8">
        <v>8078</v>
      </c>
      <c r="AC10" s="21" t="s">
        <v>1320</v>
      </c>
      <c r="AD10" s="8" t="s">
        <v>4570</v>
      </c>
      <c r="AE10" s="8" t="s">
        <v>3681</v>
      </c>
      <c r="AF10" s="9">
        <f t="shared" si="0"/>
        <v>777.10800000000006</v>
      </c>
      <c r="AG10" s="9">
        <f t="shared" si="1"/>
        <v>55.706666666666671</v>
      </c>
      <c r="AH10" s="9">
        <f t="shared" si="2"/>
        <v>0.9533458377258438</v>
      </c>
      <c r="AI10" s="9">
        <f t="shared" si="3"/>
        <v>0.90886828630919092</v>
      </c>
      <c r="AJ10" s="9">
        <f t="shared" si="4"/>
        <v>0.7969079428722875</v>
      </c>
      <c r="AK10" s="9">
        <f t="shared" si="5"/>
        <v>0.63506226941294108</v>
      </c>
      <c r="AL10" s="9">
        <f t="shared" si="6"/>
        <v>5.0162907283140906E-2</v>
      </c>
      <c r="AM10" s="9">
        <f t="shared" si="7"/>
        <v>2.5163172670969909E-3</v>
      </c>
      <c r="AN10" s="8" t="s">
        <v>1320</v>
      </c>
    </row>
    <row r="11" spans="8:40" ht="23">
      <c r="M11" s="8" t="s">
        <v>1484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1484</v>
      </c>
      <c r="X11" s="8">
        <v>41.44</v>
      </c>
      <c r="Y11" s="8">
        <v>1.1200000000000001</v>
      </c>
      <c r="Z11" s="9">
        <v>0.16</v>
      </c>
      <c r="AA11" s="8">
        <v>205.1</v>
      </c>
      <c r="AB11" s="8">
        <v>9080</v>
      </c>
      <c r="AC11" s="21" t="s">
        <v>1484</v>
      </c>
      <c r="AD11" s="8" t="s">
        <v>4022</v>
      </c>
      <c r="AE11" s="8" t="s">
        <v>3681</v>
      </c>
      <c r="AF11" s="9">
        <f t="shared" si="0"/>
        <v>229.71200000000002</v>
      </c>
      <c r="AG11" s="9">
        <f t="shared" si="1"/>
        <v>54.693333333333328</v>
      </c>
      <c r="AH11" s="9">
        <f t="shared" si="2"/>
        <v>0.93600397950009839</v>
      </c>
      <c r="AI11" s="9">
        <f t="shared" si="3"/>
        <v>0.87610344964002063</v>
      </c>
      <c r="AJ11" s="9">
        <f t="shared" si="4"/>
        <v>0.23556483445425722</v>
      </c>
      <c r="AK11" s="9">
        <f t="shared" si="5"/>
        <v>5.5490791231461604E-2</v>
      </c>
      <c r="AL11" s="9">
        <f t="shared" si="6"/>
        <v>4.9250417825620854E-2</v>
      </c>
      <c r="AM11" s="9">
        <f t="shared" si="7"/>
        <v>2.4256036559982324E-3</v>
      </c>
      <c r="AN11" s="8" t="s">
        <v>1484</v>
      </c>
    </row>
    <row r="12" spans="8:40" ht="23">
      <c r="M12" s="8" t="s">
        <v>1607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1607</v>
      </c>
      <c r="X12" s="8">
        <v>19.89</v>
      </c>
      <c r="Y12" s="8">
        <v>3.11</v>
      </c>
      <c r="Z12" s="9">
        <v>1.35</v>
      </c>
      <c r="AA12" s="8">
        <v>201</v>
      </c>
      <c r="AB12" s="8">
        <v>2439</v>
      </c>
      <c r="AC12" s="21" t="s">
        <v>1607</v>
      </c>
      <c r="AD12" s="8" t="s">
        <v>4570</v>
      </c>
      <c r="AE12" s="8" t="s">
        <v>3681</v>
      </c>
      <c r="AF12" s="9">
        <f t="shared" si="0"/>
        <v>625.11</v>
      </c>
      <c r="AG12" s="9">
        <f t="shared" si="1"/>
        <v>318.25000000000006</v>
      </c>
      <c r="AH12" s="9">
        <f t="shared" si="2"/>
        <v>0.91729302720389949</v>
      </c>
      <c r="AI12" s="9">
        <f t="shared" si="3"/>
        <v>0.84142649775689393</v>
      </c>
      <c r="AJ12" s="9">
        <f t="shared" si="4"/>
        <v>0.64103718423809264</v>
      </c>
      <c r="AK12" s="9">
        <f t="shared" si="5"/>
        <v>0.41092867157590235</v>
      </c>
      <c r="AL12" s="9">
        <f t="shared" si="6"/>
        <v>0.28657872025238623</v>
      </c>
      <c r="AM12" s="9">
        <f t="shared" si="7"/>
        <v>8.2127362901495443E-2</v>
      </c>
      <c r="AN12" s="8" t="s">
        <v>1607</v>
      </c>
    </row>
    <row r="13" spans="8:40" ht="23">
      <c r="M13" s="8" t="s">
        <v>943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943</v>
      </c>
      <c r="X13" s="8">
        <v>17.12</v>
      </c>
      <c r="Y13" s="8">
        <v>1.91</v>
      </c>
      <c r="Z13" s="9">
        <v>1.05</v>
      </c>
      <c r="AA13" s="8">
        <v>191.6</v>
      </c>
      <c r="AB13" s="8">
        <v>3421</v>
      </c>
      <c r="AC13" s="21" t="s">
        <v>943</v>
      </c>
      <c r="AD13" s="8" t="s">
        <v>4570</v>
      </c>
      <c r="AE13" s="8" t="s">
        <v>3681</v>
      </c>
      <c r="AF13" s="9">
        <f t="shared" si="0"/>
        <v>365.95599999999996</v>
      </c>
      <c r="AG13" s="9">
        <f t="shared" si="1"/>
        <v>207.56666666666663</v>
      </c>
      <c r="AH13" s="9">
        <f t="shared" si="2"/>
        <v>0.87439474632968728</v>
      </c>
      <c r="AI13" s="9">
        <f t="shared" si="3"/>
        <v>0.76456617240895819</v>
      </c>
      <c r="AJ13" s="9">
        <f t="shared" si="4"/>
        <v>0.3752801967574273</v>
      </c>
      <c r="AK13" s="9">
        <f t="shared" si="5"/>
        <v>0.14083522607829335</v>
      </c>
      <c r="AL13" s="9">
        <f t="shared" si="6"/>
        <v>0.18691025828872565</v>
      </c>
      <c r="AM13" s="9">
        <f t="shared" si="7"/>
        <v>3.4935444653558134E-2</v>
      </c>
      <c r="AN13" s="8" t="s">
        <v>943</v>
      </c>
    </row>
    <row r="14" spans="8:40" ht="23">
      <c r="M14" s="9" t="s">
        <v>3196</v>
      </c>
      <c r="N14" s="8" t="s">
        <v>1869</v>
      </c>
      <c r="O14" s="8"/>
      <c r="P14" s="8" t="s">
        <v>3693</v>
      </c>
      <c r="Q14" s="8"/>
      <c r="R14" s="8"/>
      <c r="S14" s="8"/>
      <c r="T14" s="8"/>
      <c r="U14" s="8"/>
      <c r="V14" s="8"/>
      <c r="W14" s="9" t="s">
        <v>3196</v>
      </c>
      <c r="X14" s="8">
        <v>20.420000000000002</v>
      </c>
      <c r="Y14" s="8">
        <v>2.41</v>
      </c>
      <c r="Z14" s="9">
        <v>0.2</v>
      </c>
      <c r="AA14" s="8">
        <v>184.8</v>
      </c>
      <c r="AB14" s="8">
        <v>15123</v>
      </c>
      <c r="AC14" s="22" t="s">
        <v>3196</v>
      </c>
      <c r="AD14" s="8" t="s">
        <v>4022</v>
      </c>
      <c r="AE14" s="8" t="s">
        <v>3681</v>
      </c>
      <c r="AF14" s="9">
        <f t="shared" si="0"/>
        <v>445.36800000000005</v>
      </c>
      <c r="AG14" s="9">
        <f t="shared" si="1"/>
        <v>0.6160000000000001</v>
      </c>
      <c r="AH14" s="9">
        <f t="shared" si="2"/>
        <v>0.84336194739940629</v>
      </c>
      <c r="AI14" s="9">
        <f t="shared" si="3"/>
        <v>0.71125937432131892</v>
      </c>
      <c r="AJ14" s="9">
        <f t="shared" si="4"/>
        <v>0.45671553593727643</v>
      </c>
      <c r="AK14" s="9">
        <f t="shared" si="5"/>
        <v>0.20858908076647364</v>
      </c>
      <c r="AL14" s="9">
        <f t="shared" si="6"/>
        <v>5.5469753865033749E-4</v>
      </c>
      <c r="AM14" s="9">
        <f t="shared" si="7"/>
        <v>3.0768935938474267E-7</v>
      </c>
      <c r="AN14" s="9" t="s">
        <v>3196</v>
      </c>
    </row>
    <row r="15" spans="8:40" ht="23">
      <c r="M15" s="8" t="s">
        <v>4629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4629</v>
      </c>
      <c r="X15" s="8">
        <v>31.27</v>
      </c>
      <c r="Y15" s="8">
        <v>1.8</v>
      </c>
      <c r="Z15" s="9">
        <v>1.1399999999999999</v>
      </c>
      <c r="AA15" s="8">
        <v>153.5</v>
      </c>
      <c r="AB15" s="8">
        <v>3419</v>
      </c>
      <c r="AC15" s="21" t="s">
        <v>4629</v>
      </c>
      <c r="AD15" s="8" t="s">
        <v>4570</v>
      </c>
      <c r="AE15" s="8" t="s">
        <v>3681</v>
      </c>
      <c r="AF15" s="9">
        <f t="shared" si="0"/>
        <v>276.3</v>
      </c>
      <c r="AG15" s="9">
        <f t="shared" si="1"/>
        <v>189.31666666666666</v>
      </c>
      <c r="AH15" s="9">
        <f t="shared" si="2"/>
        <v>0.70051979938208242</v>
      </c>
      <c r="AI15" s="9">
        <f t="shared" si="3"/>
        <v>0.49072798932631301</v>
      </c>
      <c r="AJ15" s="9">
        <f t="shared" si="4"/>
        <v>0.28333985059427141</v>
      </c>
      <c r="AK15" s="9">
        <f t="shared" si="5"/>
        <v>8.0281470934784049E-2</v>
      </c>
      <c r="AL15" s="9">
        <f t="shared" si="6"/>
        <v>0.17047644322319216</v>
      </c>
      <c r="AM15" s="9">
        <f t="shared" si="7"/>
        <v>2.9062217694030262E-2</v>
      </c>
      <c r="AN15" s="8" t="s">
        <v>4629</v>
      </c>
    </row>
    <row r="16" spans="8:40" ht="23">
      <c r="M16" s="8" t="s">
        <v>1049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8" t="s">
        <v>1049</v>
      </c>
      <c r="X16" s="8">
        <v>32.99</v>
      </c>
      <c r="Y16" s="8">
        <v>1.58</v>
      </c>
      <c r="Z16" s="9">
        <v>0.12</v>
      </c>
      <c r="AA16" s="8">
        <v>146.6</v>
      </c>
      <c r="AB16" s="8">
        <v>8025</v>
      </c>
      <c r="AC16" s="21" t="s">
        <v>1049</v>
      </c>
      <c r="AD16" s="8" t="s">
        <v>4570</v>
      </c>
      <c r="AE16" s="8" t="s">
        <v>3681</v>
      </c>
      <c r="AF16" s="9">
        <f t="shared" si="0"/>
        <v>231.62800000000001</v>
      </c>
      <c r="AG16" s="9">
        <f t="shared" si="1"/>
        <v>29.32</v>
      </c>
      <c r="AH16" s="9">
        <f t="shared" si="2"/>
        <v>0.66903063576165012</v>
      </c>
      <c r="AI16" s="9">
        <f t="shared" si="3"/>
        <v>0.44760199158763775</v>
      </c>
      <c r="AJ16" s="9">
        <f t="shared" si="4"/>
        <v>0.23752965223832753</v>
      </c>
      <c r="AK16" s="9">
        <f t="shared" si="5"/>
        <v>5.6420335692460813E-2</v>
      </c>
      <c r="AL16" s="9">
        <f t="shared" si="6"/>
        <v>2.6402162066928397E-2</v>
      </c>
      <c r="AM16" s="9">
        <f t="shared" si="7"/>
        <v>6.9707416180835274E-4</v>
      </c>
      <c r="AN16" s="8" t="s">
        <v>1049</v>
      </c>
    </row>
    <row r="17" spans="13:40" ht="23">
      <c r="M17" s="8" t="s">
        <v>496</v>
      </c>
      <c r="N17" s="8" t="s">
        <v>150</v>
      </c>
      <c r="O17" s="8"/>
      <c r="P17" s="8" t="s">
        <v>3691</v>
      </c>
      <c r="Q17" s="8"/>
      <c r="R17" s="8"/>
      <c r="S17" s="8"/>
      <c r="T17" s="8"/>
      <c r="U17" s="8"/>
      <c r="V17" s="8"/>
      <c r="W17" s="8" t="s">
        <v>496</v>
      </c>
      <c r="X17" s="8">
        <v>18.760000000000002</v>
      </c>
      <c r="Y17" s="8">
        <v>2.2999999999999998</v>
      </c>
      <c r="Z17" s="9">
        <v>1</v>
      </c>
      <c r="AA17" s="8">
        <v>144.1</v>
      </c>
      <c r="AB17" s="8">
        <v>7443</v>
      </c>
      <c r="AC17" s="21" t="s">
        <v>496</v>
      </c>
      <c r="AD17" s="8" t="s">
        <v>4022</v>
      </c>
      <c r="AE17" s="8" t="s">
        <v>3681</v>
      </c>
      <c r="AF17" s="9">
        <f t="shared" si="0"/>
        <v>331.42999999999995</v>
      </c>
      <c r="AG17" s="9">
        <f t="shared" si="1"/>
        <v>146.50166666666667</v>
      </c>
      <c r="AH17" s="9">
        <f t="shared" si="2"/>
        <v>0.65762151850787021</v>
      </c>
      <c r="AI17" s="9">
        <f t="shared" si="3"/>
        <v>0.43246606160459705</v>
      </c>
      <c r="AJ17" s="9">
        <f t="shared" si="4"/>
        <v>0.33987450844176387</v>
      </c>
      <c r="AK17" s="9">
        <f t="shared" si="5"/>
        <v>0.11551468148853061</v>
      </c>
      <c r="AL17" s="9">
        <f t="shared" si="6"/>
        <v>0.13192226283794184</v>
      </c>
      <c r="AM17" s="9">
        <f t="shared" si="7"/>
        <v>1.7403483432283009E-2</v>
      </c>
      <c r="AN17" s="8" t="s">
        <v>496</v>
      </c>
    </row>
    <row r="18" spans="13:40" ht="23">
      <c r="M18" s="8" t="s">
        <v>1117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1117</v>
      </c>
      <c r="X18" s="8">
        <v>27.4</v>
      </c>
      <c r="Y18" s="8">
        <v>1.25</v>
      </c>
      <c r="Z18" s="9">
        <v>0.17</v>
      </c>
      <c r="AA18" s="8">
        <v>126.1</v>
      </c>
      <c r="AB18" s="8">
        <v>12925</v>
      </c>
      <c r="AC18" s="21" t="s">
        <v>1117</v>
      </c>
      <c r="AD18" s="8" t="s">
        <v>4041</v>
      </c>
      <c r="AE18" s="8" t="s">
        <v>3681</v>
      </c>
      <c r="AF18" s="9">
        <f t="shared" si="0"/>
        <v>157.625</v>
      </c>
      <c r="AG18" s="9">
        <f t="shared" si="1"/>
        <v>35.728333333333332</v>
      </c>
      <c r="AH18" s="9">
        <f t="shared" si="2"/>
        <v>0.57547587428065539</v>
      </c>
      <c r="AI18" s="9">
        <f t="shared" si="3"/>
        <v>0.33117248187908466</v>
      </c>
      <c r="AJ18" s="9">
        <f t="shared" si="4"/>
        <v>0.16164112902613836</v>
      </c>
      <c r="AK18" s="9">
        <f t="shared" si="5"/>
        <v>2.612785459284471E-2</v>
      </c>
      <c r="AL18" s="9">
        <f t="shared" si="6"/>
        <v>3.2172757402725329E-2</v>
      </c>
      <c r="AM18" s="9">
        <f t="shared" si="7"/>
        <v>1.0350863188946175E-3</v>
      </c>
      <c r="AN18" s="8" t="s">
        <v>1117</v>
      </c>
    </row>
    <row r="19" spans="13:40" ht="23">
      <c r="M19" s="9" t="s">
        <v>2160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9" t="s">
        <v>2160</v>
      </c>
      <c r="X19" s="8">
        <v>38.21</v>
      </c>
      <c r="Y19" s="8">
        <v>1.1100000000000001</v>
      </c>
      <c r="Z19" s="9">
        <v>0.04</v>
      </c>
      <c r="AA19" s="8">
        <v>121</v>
      </c>
      <c r="AB19" s="8">
        <v>27107</v>
      </c>
      <c r="AC19" s="22" t="s">
        <v>2160</v>
      </c>
      <c r="AD19" s="8" t="s">
        <v>4022</v>
      </c>
      <c r="AE19" s="8" t="s">
        <v>3681</v>
      </c>
      <c r="AF19" s="9">
        <f t="shared" si="0"/>
        <v>134.31</v>
      </c>
      <c r="AG19" s="9">
        <f t="shared" si="1"/>
        <v>8.0666666666666664</v>
      </c>
      <c r="AH19" s="9">
        <f t="shared" si="2"/>
        <v>0.55220127508294448</v>
      </c>
      <c r="AI19" s="9">
        <f t="shared" si="3"/>
        <v>0.30492624820322972</v>
      </c>
      <c r="AJ19" s="9">
        <f t="shared" si="4"/>
        <v>0.1377320858969113</v>
      </c>
      <c r="AK19" s="9">
        <f t="shared" si="5"/>
        <v>1.8970127485514153E-2</v>
      </c>
      <c r="AL19" s="9">
        <f t="shared" si="6"/>
        <v>7.2638963394687029E-3</v>
      </c>
      <c r="AM19" s="9">
        <f t="shared" si="7"/>
        <v>5.2764190030546818E-5</v>
      </c>
      <c r="AN19" s="9" t="s">
        <v>2160</v>
      </c>
    </row>
    <row r="20" spans="13:40" ht="23">
      <c r="M20" s="8" t="s">
        <v>1338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1338</v>
      </c>
      <c r="X20" s="8">
        <v>21.09</v>
      </c>
      <c r="Y20" s="8">
        <v>1.88</v>
      </c>
      <c r="Z20" s="9">
        <v>0.27</v>
      </c>
      <c r="AA20" s="8">
        <v>119.7</v>
      </c>
      <c r="AB20" s="8">
        <v>20890</v>
      </c>
      <c r="AC20" s="21" t="s">
        <v>1338</v>
      </c>
      <c r="AD20" s="8" t="s">
        <v>4022</v>
      </c>
      <c r="AE20" s="8" t="s">
        <v>3681</v>
      </c>
      <c r="AF20" s="9">
        <f t="shared" si="0"/>
        <v>225.036</v>
      </c>
      <c r="AG20" s="9">
        <f t="shared" si="1"/>
        <v>53.865000000000002</v>
      </c>
      <c r="AH20" s="9">
        <f t="shared" si="2"/>
        <v>0.54626853411097898</v>
      </c>
      <c r="AI20" s="9">
        <f t="shared" si="3"/>
        <v>0.29840931135975779</v>
      </c>
      <c r="AJ20" s="9">
        <f t="shared" si="4"/>
        <v>0.23076969460127561</v>
      </c>
      <c r="AK20" s="9">
        <f t="shared" si="5"/>
        <v>5.3254651946366013E-2</v>
      </c>
      <c r="AL20" s="9">
        <f t="shared" si="6"/>
        <v>4.8504517726299386E-2</v>
      </c>
      <c r="AM20" s="9">
        <f t="shared" si="7"/>
        <v>2.3526882398608915E-3</v>
      </c>
      <c r="AN20" s="8" t="s">
        <v>1338</v>
      </c>
    </row>
    <row r="21" spans="13:40" ht="23">
      <c r="M21" s="8" t="s">
        <v>506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506</v>
      </c>
      <c r="X21" s="8">
        <v>43.68</v>
      </c>
      <c r="Y21" s="8">
        <v>3.44</v>
      </c>
      <c r="Z21" s="9">
        <v>0.2</v>
      </c>
      <c r="AA21" s="8">
        <v>113.7</v>
      </c>
      <c r="AB21" s="8">
        <v>7588</v>
      </c>
      <c r="AC21" s="21" t="s">
        <v>506</v>
      </c>
      <c r="AD21" s="8" t="s">
        <v>4631</v>
      </c>
      <c r="AE21" s="8" t="s">
        <v>3681</v>
      </c>
      <c r="AF21" s="9">
        <f t="shared" si="0"/>
        <v>391.12799999999999</v>
      </c>
      <c r="AG21" s="9">
        <f t="shared" si="1"/>
        <v>0.37900000000000006</v>
      </c>
      <c r="AH21" s="9">
        <f t="shared" si="2"/>
        <v>0.51888665270190737</v>
      </c>
      <c r="AI21" s="9">
        <f t="shared" si="3"/>
        <v>0.26924335835218982</v>
      </c>
      <c r="AJ21" s="9">
        <f t="shared" si="4"/>
        <v>0.40109355440910666</v>
      </c>
      <c r="AK21" s="9">
        <f t="shared" si="5"/>
        <v>0.16087603938853101</v>
      </c>
      <c r="AL21" s="9">
        <f t="shared" si="6"/>
        <v>3.4128306355272385E-4</v>
      </c>
      <c r="AM21" s="9">
        <f t="shared" si="7"/>
        <v>1.1647412946793254E-7</v>
      </c>
      <c r="AN21" s="8" t="s">
        <v>506</v>
      </c>
    </row>
    <row r="22" spans="13:40" ht="23">
      <c r="M22" s="8" t="s">
        <v>1135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8" t="s">
        <v>1135</v>
      </c>
      <c r="X22" s="8">
        <v>30.22</v>
      </c>
      <c r="Y22" s="8">
        <v>1.53</v>
      </c>
      <c r="Z22" s="9">
        <v>0.43</v>
      </c>
      <c r="AA22" s="8">
        <v>92</v>
      </c>
      <c r="AB22" s="8">
        <v>6208</v>
      </c>
      <c r="AC22" s="21" t="s">
        <v>1135</v>
      </c>
      <c r="AD22" s="8" t="s">
        <v>4022</v>
      </c>
      <c r="AE22" s="8" t="s">
        <v>3681</v>
      </c>
      <c r="AF22" s="9">
        <f t="shared" si="0"/>
        <v>140.76</v>
      </c>
      <c r="AG22" s="9">
        <f t="shared" si="1"/>
        <v>65.933333333333337</v>
      </c>
      <c r="AH22" s="9">
        <f t="shared" si="2"/>
        <v>0.41985551493909828</v>
      </c>
      <c r="AI22" s="9">
        <f t="shared" si="3"/>
        <v>0.17627865342477539</v>
      </c>
      <c r="AJ22" s="9">
        <f t="shared" si="4"/>
        <v>0.14434642551447571</v>
      </c>
      <c r="AK22" s="9">
        <f t="shared" si="5"/>
        <v>2.0835890558806084E-2</v>
      </c>
      <c r="AL22" s="9">
        <f t="shared" si="6"/>
        <v>5.9371846939954939E-2</v>
      </c>
      <c r="AM22" s="9">
        <f t="shared" si="7"/>
        <v>3.5250162090614367E-3</v>
      </c>
      <c r="AN22" s="8" t="s">
        <v>1135</v>
      </c>
    </row>
    <row r="23" spans="13:40" ht="23">
      <c r="M23" s="8" t="s">
        <v>730</v>
      </c>
      <c r="N23" s="8" t="s">
        <v>150</v>
      </c>
      <c r="O23" s="8"/>
      <c r="P23" s="8" t="s">
        <v>3691</v>
      </c>
      <c r="Q23" s="8"/>
      <c r="R23" s="8"/>
      <c r="S23" s="8"/>
      <c r="T23" s="8"/>
      <c r="U23" s="8"/>
      <c r="V23" s="8"/>
      <c r="W23" s="8" t="s">
        <v>730</v>
      </c>
      <c r="X23" s="8">
        <v>21.74</v>
      </c>
      <c r="Y23" s="8">
        <v>2.35</v>
      </c>
      <c r="Z23" s="9">
        <v>0.51</v>
      </c>
      <c r="AA23" s="8">
        <v>90.8</v>
      </c>
      <c r="AB23" s="8">
        <v>6472</v>
      </c>
      <c r="AC23" s="21" t="s">
        <v>730</v>
      </c>
      <c r="AD23" s="8" t="s">
        <v>4022</v>
      </c>
      <c r="AE23" s="8" t="s">
        <v>3681</v>
      </c>
      <c r="AF23" s="9">
        <f t="shared" si="0"/>
        <v>213.38</v>
      </c>
      <c r="AG23" s="9">
        <f t="shared" si="1"/>
        <v>77.179999999999993</v>
      </c>
      <c r="AH23" s="9">
        <f t="shared" si="2"/>
        <v>0.41437913865728399</v>
      </c>
      <c r="AI23" s="9">
        <f t="shared" si="3"/>
        <v>0.17171007055435258</v>
      </c>
      <c r="AJ23" s="9">
        <f t="shared" si="4"/>
        <v>0.21881671125517782</v>
      </c>
      <c r="AK23" s="9">
        <f t="shared" si="5"/>
        <v>4.7880753124531862E-2</v>
      </c>
      <c r="AL23" s="9">
        <f t="shared" si="6"/>
        <v>6.9499279274404274E-2</v>
      </c>
      <c r="AM23" s="9">
        <f t="shared" si="7"/>
        <v>4.8301498196616395E-3</v>
      </c>
      <c r="AN23" s="8" t="s">
        <v>730</v>
      </c>
    </row>
    <row r="24" spans="13:40" ht="23">
      <c r="M24" s="8" t="s">
        <v>443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443</v>
      </c>
      <c r="X24" s="8">
        <v>11.74</v>
      </c>
      <c r="Y24" s="8">
        <v>8.01</v>
      </c>
      <c r="Z24" s="9">
        <v>3.42</v>
      </c>
      <c r="AA24" s="8">
        <v>89.8</v>
      </c>
      <c r="AB24" s="8">
        <v>2224</v>
      </c>
      <c r="AC24" s="21" t="s">
        <v>443</v>
      </c>
      <c r="AD24" s="8" t="s">
        <v>4041</v>
      </c>
      <c r="AE24" s="8" t="s">
        <v>3681</v>
      </c>
      <c r="AF24" s="9">
        <f t="shared" si="0"/>
        <v>719.298</v>
      </c>
      <c r="AG24" s="9">
        <f t="shared" si="1"/>
        <v>332.26</v>
      </c>
      <c r="AH24" s="9">
        <f t="shared" si="2"/>
        <v>0.40981549175577203</v>
      </c>
      <c r="AI24" s="9">
        <f t="shared" si="3"/>
        <v>0.16794873728302526</v>
      </c>
      <c r="AJ24" s="9">
        <f t="shared" si="4"/>
        <v>0.7376250012767217</v>
      </c>
      <c r="AK24" s="9">
        <f t="shared" si="5"/>
        <v>0.54409064250848371</v>
      </c>
      <c r="AL24" s="9">
        <f t="shared" si="6"/>
        <v>0.29919448732461218</v>
      </c>
      <c r="AM24" s="9">
        <f t="shared" si="7"/>
        <v>8.9517341245437518E-2</v>
      </c>
      <c r="AN24" s="8" t="s">
        <v>443</v>
      </c>
    </row>
    <row r="25" spans="13:40" ht="23">
      <c r="M25" s="8" t="s">
        <v>403</v>
      </c>
      <c r="N25" s="8" t="s">
        <v>150</v>
      </c>
      <c r="O25" s="8"/>
      <c r="P25" s="8" t="s">
        <v>3691</v>
      </c>
      <c r="Q25" s="8"/>
      <c r="R25" s="8"/>
      <c r="S25" s="8"/>
      <c r="T25" s="8"/>
      <c r="U25" s="8"/>
      <c r="V25" s="8"/>
      <c r="W25" s="8" t="s">
        <v>403</v>
      </c>
      <c r="X25" s="8">
        <v>32.57</v>
      </c>
      <c r="Y25" s="8">
        <v>1.32</v>
      </c>
      <c r="Z25" s="9">
        <v>0.21</v>
      </c>
      <c r="AA25" s="8">
        <v>84.8</v>
      </c>
      <c r="AB25" s="8">
        <v>11229</v>
      </c>
      <c r="AC25" s="21" t="s">
        <v>403</v>
      </c>
      <c r="AD25" s="8" t="s">
        <v>4570</v>
      </c>
      <c r="AE25" s="8" t="s">
        <v>3681</v>
      </c>
      <c r="AF25" s="9">
        <f t="shared" si="0"/>
        <v>111.93600000000001</v>
      </c>
      <c r="AG25" s="9">
        <f t="shared" si="1"/>
        <v>29.679999999999996</v>
      </c>
      <c r="AH25" s="9">
        <f t="shared" si="2"/>
        <v>0.38699725724821232</v>
      </c>
      <c r="AI25" s="9">
        <f t="shared" si="3"/>
        <v>0.14976687711763903</v>
      </c>
      <c r="AJ25" s="9">
        <f t="shared" si="4"/>
        <v>0.11478801851654132</v>
      </c>
      <c r="AK25" s="9">
        <f t="shared" si="5"/>
        <v>1.3176289194953832E-2</v>
      </c>
      <c r="AL25" s="9">
        <f t="shared" si="6"/>
        <v>2.6726335953152613E-2</v>
      </c>
      <c r="AM25" s="9">
        <f t="shared" si="7"/>
        <v>7.1429703348077796E-4</v>
      </c>
      <c r="AN25" s="8" t="s">
        <v>403</v>
      </c>
    </row>
    <row r="26" spans="13:40" ht="23">
      <c r="M26" s="8" t="s">
        <v>837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8" t="s">
        <v>837</v>
      </c>
      <c r="X26" s="8">
        <v>27.27</v>
      </c>
      <c r="Y26" s="8">
        <v>1.97</v>
      </c>
      <c r="Z26" s="9">
        <v>1.1100000000000001</v>
      </c>
      <c r="AA26" s="8">
        <v>71.2</v>
      </c>
      <c r="AB26" s="8">
        <v>6192</v>
      </c>
      <c r="AC26" s="21" t="s">
        <v>837</v>
      </c>
      <c r="AD26" s="8" t="s">
        <v>4022</v>
      </c>
      <c r="AE26" s="8" t="s">
        <v>3681</v>
      </c>
      <c r="AF26" s="9">
        <f t="shared" si="0"/>
        <v>140.26400000000001</v>
      </c>
      <c r="AG26" s="9">
        <f t="shared" si="1"/>
        <v>84.253333333333345</v>
      </c>
      <c r="AH26" s="9">
        <f t="shared" si="2"/>
        <v>0.32493165938765001</v>
      </c>
      <c r="AI26" s="9">
        <f t="shared" si="3"/>
        <v>0.10558058327241181</v>
      </c>
      <c r="AJ26" s="9">
        <f t="shared" si="4"/>
        <v>0.14383778792528007</v>
      </c>
      <c r="AK26" s="9">
        <f t="shared" si="5"/>
        <v>2.0689309235237846E-2</v>
      </c>
      <c r="AL26" s="9">
        <f t="shared" si="6"/>
        <v>7.586869581669875E-2</v>
      </c>
      <c r="AM26" s="9">
        <f t="shared" si="7"/>
        <v>5.7560590049267621E-3</v>
      </c>
      <c r="AN26" s="8" t="s">
        <v>837</v>
      </c>
    </row>
    <row r="27" spans="13:40" ht="23">
      <c r="M27" s="8" t="s">
        <v>1500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1500</v>
      </c>
      <c r="X27" s="8">
        <v>21.53</v>
      </c>
      <c r="Y27" s="8">
        <v>1.94</v>
      </c>
      <c r="Z27" s="9">
        <v>0.55000000000000004</v>
      </c>
      <c r="AA27" s="8">
        <v>66.2</v>
      </c>
      <c r="AB27" s="8">
        <v>7629</v>
      </c>
      <c r="AC27" s="21" t="s">
        <v>1500</v>
      </c>
      <c r="AD27" s="8" t="s">
        <v>4570</v>
      </c>
      <c r="AE27" s="8" t="s">
        <v>3681</v>
      </c>
      <c r="AF27" s="9">
        <f t="shared" si="0"/>
        <v>128.428</v>
      </c>
      <c r="AG27" s="9">
        <f t="shared" si="1"/>
        <v>60.68333333333333</v>
      </c>
      <c r="AH27" s="9">
        <f t="shared" si="2"/>
        <v>0.3021134248800903</v>
      </c>
      <c r="AI27" s="9">
        <f t="shared" si="3"/>
        <v>9.1272521492777967E-2</v>
      </c>
      <c r="AJ27" s="9">
        <f t="shared" si="4"/>
        <v>0.13170021835729673</v>
      </c>
      <c r="AK27" s="9">
        <f t="shared" si="5"/>
        <v>1.7344947515359636E-2</v>
      </c>
      <c r="AL27" s="9">
        <f t="shared" si="6"/>
        <v>5.4644311099185015E-2</v>
      </c>
      <c r="AM27" s="9">
        <f t="shared" si="7"/>
        <v>2.9860007355045149E-3</v>
      </c>
      <c r="AN27" s="8" t="s">
        <v>1500</v>
      </c>
    </row>
    <row r="28" spans="13:40" ht="23">
      <c r="M28" s="8" t="s">
        <v>5307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5307</v>
      </c>
      <c r="X28" s="8">
        <v>26.1</v>
      </c>
      <c r="Y28" s="8">
        <v>1.06</v>
      </c>
      <c r="Z28" s="9">
        <v>0.02</v>
      </c>
      <c r="AA28" s="8">
        <v>63.9</v>
      </c>
      <c r="AB28" s="8">
        <v>36182</v>
      </c>
      <c r="AC28" s="21" t="s">
        <v>5307</v>
      </c>
      <c r="AD28" s="8" t="s">
        <v>4022</v>
      </c>
      <c r="AE28" s="8" t="s">
        <v>3681</v>
      </c>
      <c r="AF28" s="9">
        <f t="shared" si="0"/>
        <v>67.734000000000009</v>
      </c>
      <c r="AG28" s="9">
        <f t="shared" si="1"/>
        <v>2.13</v>
      </c>
      <c r="AH28" s="9">
        <f t="shared" si="2"/>
        <v>0.29161703700661284</v>
      </c>
      <c r="AI28" s="9">
        <f t="shared" si="3"/>
        <v>8.5040496272516211E-2</v>
      </c>
      <c r="AJ28" s="9">
        <f t="shared" si="4"/>
        <v>6.9459795295520738E-2</v>
      </c>
      <c r="AK28" s="9">
        <f t="shared" si="5"/>
        <v>4.8246631624956444E-3</v>
      </c>
      <c r="AL28" s="9">
        <f t="shared" si="6"/>
        <v>1.9180288268266532E-3</v>
      </c>
      <c r="AM28" s="9">
        <f t="shared" si="7"/>
        <v>3.6788345805380276E-6</v>
      </c>
      <c r="AN28" s="9" t="s">
        <v>5307</v>
      </c>
    </row>
    <row r="29" spans="13:40" ht="23">
      <c r="M29" s="8" t="s">
        <v>248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248</v>
      </c>
      <c r="X29" s="8">
        <v>27.94</v>
      </c>
      <c r="Y29" s="8">
        <v>2.39</v>
      </c>
      <c r="Z29" s="9">
        <v>1.54</v>
      </c>
      <c r="AA29" s="8">
        <v>61.7</v>
      </c>
      <c r="AB29" s="8">
        <v>2615</v>
      </c>
      <c r="AC29" s="21" t="s">
        <v>248</v>
      </c>
      <c r="AD29" s="8" t="s">
        <v>4022</v>
      </c>
      <c r="AE29" s="8" t="s">
        <v>3681</v>
      </c>
      <c r="AF29" s="9">
        <f t="shared" si="0"/>
        <v>147.46300000000002</v>
      </c>
      <c r="AG29" s="9">
        <f t="shared" si="1"/>
        <v>117.23</v>
      </c>
      <c r="AH29" s="9">
        <f t="shared" si="2"/>
        <v>0.28157701382328659</v>
      </c>
      <c r="AI29" s="9">
        <f t="shared" si="3"/>
        <v>7.9285614713639332E-2</v>
      </c>
      <c r="AJ29" s="9">
        <f t="shared" si="4"/>
        <v>0.15122021132169036</v>
      </c>
      <c r="AK29" s="9">
        <f t="shared" si="5"/>
        <v>2.286755231217669E-2</v>
      </c>
      <c r="AL29" s="9">
        <f t="shared" si="6"/>
        <v>0.10556362411684909</v>
      </c>
      <c r="AM29" s="9">
        <f t="shared" si="7"/>
        <v>1.1143678736683404E-2</v>
      </c>
      <c r="AN29" s="8" t="s">
        <v>248</v>
      </c>
    </row>
    <row r="30" spans="13:40" ht="23">
      <c r="M30" s="9" t="s">
        <v>2611</v>
      </c>
      <c r="N30" s="8" t="s">
        <v>150</v>
      </c>
      <c r="O30" s="8"/>
      <c r="P30" s="8" t="s">
        <v>3691</v>
      </c>
      <c r="Q30" s="8"/>
      <c r="R30" s="8"/>
      <c r="S30" s="8"/>
      <c r="T30" s="8"/>
      <c r="U30" s="8"/>
      <c r="V30" s="8"/>
      <c r="W30" s="9" t="s">
        <v>2611</v>
      </c>
      <c r="X30" s="8">
        <v>14.29</v>
      </c>
      <c r="Y30" s="8">
        <v>4.47</v>
      </c>
      <c r="Z30" s="9">
        <v>3.49</v>
      </c>
      <c r="AA30" s="8">
        <v>61.5</v>
      </c>
      <c r="AB30" s="8">
        <v>2751</v>
      </c>
      <c r="AC30" s="22" t="s">
        <v>2611</v>
      </c>
      <c r="AD30" s="8" t="s">
        <v>4022</v>
      </c>
      <c r="AE30" s="8" t="s">
        <v>3681</v>
      </c>
      <c r="AF30" s="9">
        <f t="shared" si="0"/>
        <v>274.90499999999997</v>
      </c>
      <c r="AG30" s="9">
        <f t="shared" si="1"/>
        <v>234.72499999999999</v>
      </c>
      <c r="AH30" s="9">
        <f t="shared" si="2"/>
        <v>0.28066428444298419</v>
      </c>
      <c r="AI30" s="9">
        <f t="shared" si="3"/>
        <v>7.8772440561892337E-2</v>
      </c>
      <c r="AJ30" s="9">
        <f t="shared" si="4"/>
        <v>0.28190930737465858</v>
      </c>
      <c r="AK30" s="9">
        <f t="shared" si="5"/>
        <v>7.9472857584459725E-2</v>
      </c>
      <c r="AL30" s="9">
        <f t="shared" si="6"/>
        <v>0.21136587623327993</v>
      </c>
      <c r="AM30" s="9">
        <f t="shared" si="7"/>
        <v>4.4675533635862213E-2</v>
      </c>
      <c r="AN30" s="9" t="s">
        <v>2611</v>
      </c>
    </row>
    <row r="31" spans="13:40" ht="23">
      <c r="M31" s="9" t="s">
        <v>3622</v>
      </c>
      <c r="N31" s="8" t="s">
        <v>2093</v>
      </c>
      <c r="O31" s="8"/>
      <c r="P31" s="8"/>
      <c r="Q31" s="8"/>
      <c r="R31" s="8"/>
      <c r="S31" s="8"/>
      <c r="T31" s="8"/>
      <c r="U31" s="8"/>
      <c r="V31" s="8"/>
      <c r="W31" s="9" t="s">
        <v>3622</v>
      </c>
      <c r="X31" s="8">
        <v>26.67</v>
      </c>
      <c r="Y31" s="8">
        <v>1.57</v>
      </c>
      <c r="Z31" s="9">
        <v>0.34</v>
      </c>
      <c r="AA31" s="8">
        <v>60.7</v>
      </c>
      <c r="AB31" s="8">
        <v>13698</v>
      </c>
      <c r="AC31" s="22" t="s">
        <v>3622</v>
      </c>
      <c r="AD31" s="8" t="s">
        <v>4022</v>
      </c>
      <c r="AE31" s="8" t="s">
        <v>3681</v>
      </c>
      <c r="AF31" s="9">
        <f t="shared" si="0"/>
        <v>95.299000000000007</v>
      </c>
      <c r="AG31" s="9">
        <f t="shared" si="1"/>
        <v>34.396666666666668</v>
      </c>
      <c r="AH31" s="9">
        <f t="shared" si="2"/>
        <v>0.27701336692177464</v>
      </c>
      <c r="AI31" s="9">
        <f t="shared" si="3"/>
        <v>7.673640545333775E-2</v>
      </c>
      <c r="AJ31" s="9">
        <f t="shared" si="4"/>
        <v>9.7727124219266978E-2</v>
      </c>
      <c r="AK31" s="9">
        <f t="shared" si="5"/>
        <v>9.5505908081680389E-3</v>
      </c>
      <c r="AL31" s="9">
        <f t="shared" si="6"/>
        <v>3.0973614184701466E-2</v>
      </c>
      <c r="AM31" s="9">
        <f t="shared" si="7"/>
        <v>9.5936477566273986E-4</v>
      </c>
      <c r="AN31" s="9" t="s">
        <v>3622</v>
      </c>
    </row>
    <row r="32" spans="13:40" ht="23">
      <c r="M32" s="8" t="s">
        <v>4771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4771</v>
      </c>
      <c r="X32" s="8">
        <v>26.89</v>
      </c>
      <c r="Y32" s="8">
        <v>5.04</v>
      </c>
      <c r="Z32" s="9">
        <v>4.1900000000000004</v>
      </c>
      <c r="AA32" s="8">
        <v>60.5</v>
      </c>
      <c r="AB32" s="8">
        <v>1923</v>
      </c>
      <c r="AC32" s="21" t="s">
        <v>4771</v>
      </c>
      <c r="AD32" s="8" t="s">
        <v>4022</v>
      </c>
      <c r="AE32" s="8" t="s">
        <v>3681</v>
      </c>
      <c r="AF32" s="9">
        <f t="shared" si="0"/>
        <v>304.92</v>
      </c>
      <c r="AG32" s="9">
        <f t="shared" si="1"/>
        <v>261.1583333333333</v>
      </c>
      <c r="AH32" s="9">
        <f t="shared" si="2"/>
        <v>0.27610063754147224</v>
      </c>
      <c r="AI32" s="9">
        <f t="shared" si="3"/>
        <v>7.623156205080743E-2</v>
      </c>
      <c r="AJ32" s="9">
        <f t="shared" si="4"/>
        <v>0.31268905987406886</v>
      </c>
      <c r="AK32" s="9">
        <f t="shared" si="5"/>
        <v>9.7774448164929029E-2</v>
      </c>
      <c r="AL32" s="9">
        <f t="shared" si="6"/>
        <v>0.23516864399029924</v>
      </c>
      <c r="AM32" s="9">
        <f t="shared" si="7"/>
        <v>5.5304291116236109E-2</v>
      </c>
      <c r="AN32" s="8" t="s">
        <v>4771</v>
      </c>
    </row>
    <row r="33" spans="13:40" ht="23">
      <c r="M33" s="8" t="s">
        <v>1089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8" t="s">
        <v>1089</v>
      </c>
      <c r="X33" s="8">
        <v>30.98</v>
      </c>
      <c r="Y33" s="8">
        <v>1.33</v>
      </c>
      <c r="Z33" s="9">
        <v>0.27</v>
      </c>
      <c r="AA33" s="8">
        <v>53.7</v>
      </c>
      <c r="AB33" s="8">
        <v>16118</v>
      </c>
      <c r="AC33" s="21" t="s">
        <v>1089</v>
      </c>
      <c r="AD33" s="8" t="s">
        <v>4570</v>
      </c>
      <c r="AE33" s="8" t="s">
        <v>3681</v>
      </c>
      <c r="AF33" s="9">
        <f t="shared" si="0"/>
        <v>71.421000000000006</v>
      </c>
      <c r="AG33" s="9">
        <f t="shared" si="1"/>
        <v>24.165000000000003</v>
      </c>
      <c r="AH33" s="9">
        <f t="shared" si="2"/>
        <v>0.24506783861119105</v>
      </c>
      <c r="AI33" s="9">
        <f t="shared" si="3"/>
        <v>6.0058245521560784E-2</v>
      </c>
      <c r="AJ33" s="9">
        <f t="shared" si="4"/>
        <v>7.3240736407142445E-2</v>
      </c>
      <c r="AK33" s="9">
        <f t="shared" si="5"/>
        <v>5.3642054694605212E-3</v>
      </c>
      <c r="AL33" s="9">
        <f t="shared" si="6"/>
        <v>2.1760172112800982E-2</v>
      </c>
      <c r="AM33" s="9">
        <f t="shared" si="7"/>
        <v>4.7350509037872153E-4</v>
      </c>
      <c r="AN33" s="8" t="s">
        <v>1089</v>
      </c>
    </row>
    <row r="34" spans="13:40" ht="23">
      <c r="M34" s="9" t="s">
        <v>3624</v>
      </c>
      <c r="N34" s="8" t="s">
        <v>2093</v>
      </c>
      <c r="O34" s="8"/>
      <c r="P34" s="8"/>
      <c r="Q34" s="8"/>
      <c r="R34" s="8"/>
      <c r="S34" s="8"/>
      <c r="T34" s="8"/>
      <c r="U34" s="8"/>
      <c r="V34" s="8"/>
      <c r="W34" s="9" t="s">
        <v>3624</v>
      </c>
      <c r="X34" s="8">
        <v>41.29</v>
      </c>
      <c r="Y34" s="8">
        <v>1.29</v>
      </c>
      <c r="Z34" s="9">
        <v>0.14000000000000001</v>
      </c>
      <c r="AA34" s="8">
        <v>52.7</v>
      </c>
      <c r="AB34" s="8">
        <v>18019</v>
      </c>
      <c r="AC34" s="22" t="s">
        <v>3624</v>
      </c>
      <c r="AD34" s="8" t="s">
        <v>4022</v>
      </c>
      <c r="AE34" s="8" t="s">
        <v>3681</v>
      </c>
      <c r="AF34" s="9">
        <f t="shared" ref="AF34:AF65" si="8">(AA34*Y34)</f>
        <v>67.983000000000004</v>
      </c>
      <c r="AG34" s="9">
        <f t="shared" ref="AG34:AG65" si="9">((((RIGHT(Z34,2))/60)+(LEFT(Z34,2)))*AA34)</f>
        <v>12.296666666666667</v>
      </c>
      <c r="AH34" s="9">
        <f t="shared" ref="AH34:AH65" si="10">(AA34/$AA$106)*100</f>
        <v>0.24050419170967915</v>
      </c>
      <c r="AI34" s="9">
        <f t="shared" ref="AI34:AI65" si="11">(AH34*AH34)</f>
        <v>5.7842266229926102E-2</v>
      </c>
      <c r="AJ34" s="9">
        <f t="shared" ref="AJ34:AJ65" si="12">(AF34/$AF$106)*100</f>
        <v>6.9715139569129031E-2</v>
      </c>
      <c r="AK34" s="9">
        <f t="shared" ref="AK34:AK65" si="13">(AJ34*AJ34)</f>
        <v>4.8602006851431404E-3</v>
      </c>
      <c r="AL34" s="9">
        <f t="shared" ref="AL34:AL65" si="14">(AG34/$AG$106)*100</f>
        <v>1.1072939502603326E-2</v>
      </c>
      <c r="AM34" s="9">
        <f t="shared" ref="AM34:AM65" si="15">(AL34*AL34)</f>
        <v>1.2260998922831317E-4</v>
      </c>
      <c r="AN34" s="9" t="s">
        <v>3624</v>
      </c>
    </row>
    <row r="35" spans="13:40" ht="23">
      <c r="M35" s="8" t="s">
        <v>637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8" t="s">
        <v>637</v>
      </c>
      <c r="X35" s="8">
        <v>34.42</v>
      </c>
      <c r="Y35" s="8">
        <v>1.27</v>
      </c>
      <c r="Z35" s="9">
        <v>0.21</v>
      </c>
      <c r="AA35" s="8">
        <v>50.8</v>
      </c>
      <c r="AB35" s="8">
        <v>18950</v>
      </c>
      <c r="AC35" s="21" t="s">
        <v>637</v>
      </c>
      <c r="AD35" s="8" t="s">
        <v>4631</v>
      </c>
      <c r="AE35" s="8" t="s">
        <v>3681</v>
      </c>
      <c r="AF35" s="9">
        <f t="shared" si="8"/>
        <v>64.515999999999991</v>
      </c>
      <c r="AG35" s="9">
        <f t="shared" si="9"/>
        <v>17.779999999999998</v>
      </c>
      <c r="AH35" s="9">
        <f t="shared" si="10"/>
        <v>0.23183326259680645</v>
      </c>
      <c r="AI35" s="9">
        <f t="shared" si="11"/>
        <v>5.3746661646279816E-2</v>
      </c>
      <c r="AJ35" s="9">
        <f t="shared" si="12"/>
        <v>6.6159803839811834E-2</v>
      </c>
      <c r="AK35" s="9">
        <f t="shared" si="13"/>
        <v>4.3771196441223809E-3</v>
      </c>
      <c r="AL35" s="9">
        <f t="shared" si="14"/>
        <v>1.6010588047407463E-2</v>
      </c>
      <c r="AM35" s="9">
        <f t="shared" si="15"/>
        <v>2.5633892962378669E-4</v>
      </c>
      <c r="AN35" s="8" t="s">
        <v>637</v>
      </c>
    </row>
    <row r="36" spans="13:40" ht="23">
      <c r="M36" s="9" t="s">
        <v>2422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9" t="s">
        <v>2422</v>
      </c>
      <c r="X36" s="8">
        <v>19.149999999999999</v>
      </c>
      <c r="Y36" s="8">
        <v>5</v>
      </c>
      <c r="Z36" s="9">
        <v>1.02</v>
      </c>
      <c r="AA36" s="8">
        <v>47.3</v>
      </c>
      <c r="AB36" s="8">
        <v>15268</v>
      </c>
      <c r="AC36" s="22" t="s">
        <v>2422</v>
      </c>
      <c r="AD36" s="8" t="s">
        <v>4627</v>
      </c>
      <c r="AE36" s="8" t="s">
        <v>3681</v>
      </c>
      <c r="AF36" s="9">
        <f t="shared" si="8"/>
        <v>236.5</v>
      </c>
      <c r="AG36" s="9">
        <f t="shared" si="9"/>
        <v>48.876666666666665</v>
      </c>
      <c r="AH36" s="9">
        <f t="shared" si="10"/>
        <v>0.21586049844151464</v>
      </c>
      <c r="AI36" s="9">
        <f t="shared" si="11"/>
        <v>4.6595754787419147E-2</v>
      </c>
      <c r="AJ36" s="9">
        <f t="shared" si="12"/>
        <v>0.24252578597736221</v>
      </c>
      <c r="AK36" s="9">
        <f t="shared" si="13"/>
        <v>5.8818756863937303E-2</v>
      </c>
      <c r="AL36" s="9">
        <f t="shared" si="14"/>
        <v>4.4012608275053551E-2</v>
      </c>
      <c r="AM36" s="9">
        <f t="shared" si="15"/>
        <v>1.9371096871733124E-3</v>
      </c>
      <c r="AN36" s="9" t="s">
        <v>2422</v>
      </c>
    </row>
    <row r="37" spans="13:40" ht="23">
      <c r="M37" s="9" t="s">
        <v>3249</v>
      </c>
      <c r="N37" s="8" t="s">
        <v>1902</v>
      </c>
      <c r="O37" s="8"/>
      <c r="P37" s="8" t="s">
        <v>3691</v>
      </c>
      <c r="Q37" s="8"/>
      <c r="R37" s="8"/>
      <c r="S37" s="8"/>
      <c r="T37" s="8"/>
      <c r="U37" s="8"/>
      <c r="V37" s="8"/>
      <c r="W37" s="9" t="s">
        <v>3249</v>
      </c>
      <c r="X37" s="8">
        <v>0.99</v>
      </c>
      <c r="Y37" s="8">
        <v>11.4</v>
      </c>
      <c r="Z37" s="9">
        <v>2.02</v>
      </c>
      <c r="AA37" s="8">
        <v>45.1</v>
      </c>
      <c r="AB37" s="8">
        <v>24011</v>
      </c>
      <c r="AC37" s="22" t="s">
        <v>3249</v>
      </c>
      <c r="AD37" s="8" t="s">
        <v>4022</v>
      </c>
      <c r="AE37" s="8" t="s">
        <v>3681</v>
      </c>
      <c r="AF37" s="9">
        <f t="shared" si="8"/>
        <v>514.14</v>
      </c>
      <c r="AG37" s="9">
        <f t="shared" si="9"/>
        <v>91.703333333333333</v>
      </c>
      <c r="AH37" s="9">
        <f t="shared" si="10"/>
        <v>0.20582047525818842</v>
      </c>
      <c r="AI37" s="9">
        <f t="shared" si="11"/>
        <v>4.2362068035506552E-2</v>
      </c>
      <c r="AJ37" s="9">
        <f t="shared" si="12"/>
        <v>0.52723977844567027</v>
      </c>
      <c r="AK37" s="9">
        <f t="shared" si="13"/>
        <v>0.27798178397543949</v>
      </c>
      <c r="AL37" s="9">
        <f t="shared" si="14"/>
        <v>8.2577294295505574E-2</v>
      </c>
      <c r="AM37" s="9">
        <f t="shared" si="15"/>
        <v>6.819009533166537E-3</v>
      </c>
      <c r="AN37" s="9" t="s">
        <v>3249</v>
      </c>
    </row>
    <row r="38" spans="13:40" ht="23">
      <c r="M38" s="8" t="s">
        <v>155</v>
      </c>
      <c r="N38" s="8" t="s">
        <v>150</v>
      </c>
      <c r="O38" s="8"/>
      <c r="P38" s="8" t="s">
        <v>3700</v>
      </c>
      <c r="Q38" s="8"/>
      <c r="R38" s="8"/>
      <c r="S38" s="8"/>
      <c r="T38" s="8"/>
      <c r="U38" s="8"/>
      <c r="V38" s="8"/>
      <c r="W38" s="8" t="s">
        <v>155</v>
      </c>
      <c r="X38" s="8">
        <v>28.41</v>
      </c>
      <c r="Y38" s="8">
        <v>3.41</v>
      </c>
      <c r="Z38" s="9">
        <v>7.52</v>
      </c>
      <c r="AA38" s="8">
        <v>44.2</v>
      </c>
      <c r="AB38" s="8">
        <v>7693</v>
      </c>
      <c r="AC38" s="21" t="s">
        <v>155</v>
      </c>
      <c r="AD38" s="8" t="s">
        <v>4022</v>
      </c>
      <c r="AE38" s="8" t="s">
        <v>3681</v>
      </c>
      <c r="AF38" s="9">
        <f t="shared" si="8"/>
        <v>150.72200000000001</v>
      </c>
      <c r="AG38" s="9">
        <f t="shared" si="9"/>
        <v>347.70666666666671</v>
      </c>
      <c r="AH38" s="9">
        <f t="shared" si="10"/>
        <v>0.20171319304682767</v>
      </c>
      <c r="AI38" s="9">
        <f t="shared" si="11"/>
        <v>4.0688212249146767E-2</v>
      </c>
      <c r="AJ38" s="9">
        <f t="shared" si="12"/>
        <v>0.1545622474168287</v>
      </c>
      <c r="AK38" s="9">
        <f t="shared" si="13"/>
        <v>2.3889488326540968E-2</v>
      </c>
      <c r="AL38" s="9">
        <f t="shared" si="14"/>
        <v>0.31310394833167748</v>
      </c>
      <c r="AM38" s="9">
        <f t="shared" si="15"/>
        <v>9.8034082460885769E-2</v>
      </c>
      <c r="AN38" s="8" t="s">
        <v>155</v>
      </c>
    </row>
    <row r="39" spans="13:40" ht="23">
      <c r="M39" s="9" t="s">
        <v>2167</v>
      </c>
      <c r="N39" s="8" t="s">
        <v>150</v>
      </c>
      <c r="O39" s="8"/>
      <c r="P39" s="8"/>
      <c r="Q39" s="8"/>
      <c r="R39" s="8"/>
      <c r="S39" s="8"/>
      <c r="T39" s="8"/>
      <c r="U39" s="8"/>
      <c r="V39" s="8"/>
      <c r="W39" s="9" t="s">
        <v>2167</v>
      </c>
      <c r="X39" s="8">
        <v>45.07</v>
      </c>
      <c r="Y39" s="8">
        <v>1.1299999999999999</v>
      </c>
      <c r="Z39" s="9">
        <v>0.21</v>
      </c>
      <c r="AA39" s="8">
        <v>42.8</v>
      </c>
      <c r="AB39" s="8">
        <v>20894</v>
      </c>
      <c r="AC39" s="22" t="s">
        <v>2167</v>
      </c>
      <c r="AD39" s="8" t="s">
        <v>4022</v>
      </c>
      <c r="AE39" s="8" t="s">
        <v>3681</v>
      </c>
      <c r="AF39" s="9">
        <f t="shared" si="8"/>
        <v>48.36399999999999</v>
      </c>
      <c r="AG39" s="9">
        <f t="shared" si="9"/>
        <v>14.979999999999999</v>
      </c>
      <c r="AH39" s="9">
        <f t="shared" si="10"/>
        <v>0.19532408738471094</v>
      </c>
      <c r="AI39" s="9">
        <f t="shared" si="11"/>
        <v>3.8151499112670191E-2</v>
      </c>
      <c r="AJ39" s="9">
        <f t="shared" si="12"/>
        <v>4.9596266862617942E-2</v>
      </c>
      <c r="AK39" s="9">
        <f t="shared" si="13"/>
        <v>2.4597896867080147E-3</v>
      </c>
      <c r="AL39" s="9">
        <f t="shared" si="14"/>
        <v>1.3489235598996839E-2</v>
      </c>
      <c r="AM39" s="9">
        <f t="shared" si="15"/>
        <v>1.819594770452436E-4</v>
      </c>
      <c r="AN39" s="9" t="s">
        <v>2167</v>
      </c>
    </row>
    <row r="40" spans="13:40" ht="23">
      <c r="M40" s="8" t="s">
        <v>814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8" t="s">
        <v>814</v>
      </c>
      <c r="X40" s="8">
        <v>40.630000000000003</v>
      </c>
      <c r="Y40" s="8">
        <v>2.69</v>
      </c>
      <c r="Z40" s="9">
        <v>2.27</v>
      </c>
      <c r="AA40" s="8">
        <v>40.6</v>
      </c>
      <c r="AB40" s="8">
        <v>4187</v>
      </c>
      <c r="AC40" s="21" t="s">
        <v>814</v>
      </c>
      <c r="AD40" s="8" t="s">
        <v>4022</v>
      </c>
      <c r="AE40" s="8" t="s">
        <v>3681</v>
      </c>
      <c r="AF40" s="9">
        <f t="shared" si="8"/>
        <v>109.214</v>
      </c>
      <c r="AG40" s="9">
        <f t="shared" si="9"/>
        <v>99.470000000000013</v>
      </c>
      <c r="AH40" s="9">
        <f t="shared" si="10"/>
        <v>0.18528406420138469</v>
      </c>
      <c r="AI40" s="9">
        <f t="shared" si="11"/>
        <v>3.4330184446982839E-2</v>
      </c>
      <c r="AJ40" s="9">
        <f t="shared" si="12"/>
        <v>0.11199666465002807</v>
      </c>
      <c r="AK40" s="9">
        <f t="shared" si="13"/>
        <v>1.2543252892730847E-2</v>
      </c>
      <c r="AL40" s="9">
        <f t="shared" si="14"/>
        <v>8.9571045729787441E-2</v>
      </c>
      <c r="AM40" s="9">
        <f t="shared" si="15"/>
        <v>8.0229722331276732E-3</v>
      </c>
      <c r="AN40" s="8" t="s">
        <v>814</v>
      </c>
    </row>
    <row r="41" spans="13:40" ht="23">
      <c r="M41" s="9" t="s">
        <v>2763</v>
      </c>
      <c r="N41" s="8" t="s">
        <v>1614</v>
      </c>
      <c r="O41" s="8"/>
      <c r="P41" s="8" t="s">
        <v>3691</v>
      </c>
      <c r="Q41" s="8"/>
      <c r="R41" s="8"/>
      <c r="S41" s="8"/>
      <c r="T41" s="8"/>
      <c r="U41" s="8"/>
      <c r="V41" s="8"/>
      <c r="W41" s="9" t="s">
        <v>2763</v>
      </c>
      <c r="X41" s="8">
        <v>7.64</v>
      </c>
      <c r="Y41" s="8">
        <v>10.35</v>
      </c>
      <c r="Z41" s="9">
        <v>7.01</v>
      </c>
      <c r="AA41" s="8">
        <v>35.6</v>
      </c>
      <c r="AB41" s="8">
        <v>2701</v>
      </c>
      <c r="AC41" s="22" t="s">
        <v>2763</v>
      </c>
      <c r="AD41" s="8" t="s">
        <v>4022</v>
      </c>
      <c r="AE41" s="8" t="s">
        <v>3681</v>
      </c>
      <c r="AF41" s="9">
        <f t="shared" si="8"/>
        <v>368.46</v>
      </c>
      <c r="AG41" s="9">
        <f t="shared" si="9"/>
        <v>249.79333333333335</v>
      </c>
      <c r="AH41" s="9">
        <f t="shared" si="10"/>
        <v>0.162465829693825</v>
      </c>
      <c r="AI41" s="9">
        <f t="shared" si="11"/>
        <v>2.6395145818102952E-2</v>
      </c>
      <c r="AJ41" s="9">
        <f t="shared" si="12"/>
        <v>0.37784799619965698</v>
      </c>
      <c r="AK41" s="9">
        <f t="shared" si="13"/>
        <v>0.14276910823209599</v>
      </c>
      <c r="AL41" s="9">
        <f t="shared" si="14"/>
        <v>0.22493465449880401</v>
      </c>
      <c r="AM41" s="9">
        <f t="shared" si="15"/>
        <v>5.0595598794496328E-2</v>
      </c>
      <c r="AN41" s="9" t="s">
        <v>2763</v>
      </c>
    </row>
    <row r="42" spans="13:40" ht="23">
      <c r="M42" s="8" t="s">
        <v>1714</v>
      </c>
      <c r="N42" s="8" t="s">
        <v>1614</v>
      </c>
      <c r="O42" s="8" t="s">
        <v>4163</v>
      </c>
      <c r="P42" s="8" t="s">
        <v>3691</v>
      </c>
      <c r="Q42" s="8"/>
      <c r="R42" s="8"/>
      <c r="S42" s="8"/>
      <c r="T42" s="8"/>
      <c r="U42" s="8"/>
      <c r="V42" s="8"/>
      <c r="W42" s="8" t="s">
        <v>1714</v>
      </c>
      <c r="X42" s="8">
        <v>1.68</v>
      </c>
      <c r="Y42" s="8">
        <v>2.11</v>
      </c>
      <c r="Z42" s="9">
        <v>0.56000000000000005</v>
      </c>
      <c r="AA42" s="8">
        <v>35.6</v>
      </c>
      <c r="AB42" s="8">
        <v>34017</v>
      </c>
      <c r="AC42" s="21" t="s">
        <v>1714</v>
      </c>
      <c r="AD42" s="8" t="s">
        <v>4041</v>
      </c>
      <c r="AE42" s="8" t="s">
        <v>3681</v>
      </c>
      <c r="AF42" s="9">
        <f t="shared" si="8"/>
        <v>75.116</v>
      </c>
      <c r="AG42" s="9">
        <f t="shared" si="9"/>
        <v>33.226666666666667</v>
      </c>
      <c r="AH42" s="9">
        <f t="shared" si="10"/>
        <v>0.162465829693825</v>
      </c>
      <c r="AI42" s="9">
        <f t="shared" si="11"/>
        <v>2.6395145818102952E-2</v>
      </c>
      <c r="AJ42" s="9">
        <f t="shared" si="12"/>
        <v>7.7029881350847956E-2</v>
      </c>
      <c r="AK42" s="9">
        <f t="shared" si="13"/>
        <v>5.9336026209257141E-3</v>
      </c>
      <c r="AL42" s="9">
        <f t="shared" si="14"/>
        <v>2.9920049054472739E-2</v>
      </c>
      <c r="AM42" s="9">
        <f t="shared" si="15"/>
        <v>8.9520933542205504E-4</v>
      </c>
      <c r="AN42" s="8" t="s">
        <v>1714</v>
      </c>
    </row>
    <row r="43" spans="13:40" ht="23">
      <c r="M43" s="9" t="s">
        <v>2396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9" t="s">
        <v>2396</v>
      </c>
      <c r="X43" s="8">
        <v>33.14</v>
      </c>
      <c r="Y43" s="8">
        <v>2.58</v>
      </c>
      <c r="Z43" s="9">
        <v>2.2400000000000002</v>
      </c>
      <c r="AA43" s="8">
        <v>33.1</v>
      </c>
      <c r="AB43" s="8">
        <v>6872</v>
      </c>
      <c r="AC43" s="22" t="s">
        <v>2396</v>
      </c>
      <c r="AD43" s="8" t="s">
        <v>4022</v>
      </c>
      <c r="AE43" s="8" t="s">
        <v>3681</v>
      </c>
      <c r="AF43" s="9">
        <f t="shared" si="8"/>
        <v>85.39800000000001</v>
      </c>
      <c r="AG43" s="9">
        <f t="shared" si="9"/>
        <v>79.44</v>
      </c>
      <c r="AH43" s="9">
        <f t="shared" si="10"/>
        <v>0.15105671244004515</v>
      </c>
      <c r="AI43" s="9">
        <f t="shared" si="11"/>
        <v>2.2818130373194492E-2</v>
      </c>
      <c r="AJ43" s="9">
        <f t="shared" si="12"/>
        <v>8.7573856536552988E-2</v>
      </c>
      <c r="AK43" s="9">
        <f t="shared" si="13"/>
        <v>7.6691803486847645E-3</v>
      </c>
      <c r="AL43" s="9">
        <f t="shared" si="14"/>
        <v>7.1534370893478569E-2</v>
      </c>
      <c r="AM43" s="9">
        <f t="shared" si="15"/>
        <v>5.1171662191257542E-3</v>
      </c>
      <c r="AN43" s="9" t="s">
        <v>2396</v>
      </c>
    </row>
    <row r="44" spans="13:40" ht="23">
      <c r="M44" s="9" t="s">
        <v>3037</v>
      </c>
      <c r="N44" s="8" t="s">
        <v>1814</v>
      </c>
      <c r="O44" s="8"/>
      <c r="P44" s="8"/>
      <c r="Q44" s="8"/>
      <c r="R44" s="8"/>
      <c r="S44" s="8"/>
      <c r="T44" s="8"/>
      <c r="U44" s="8"/>
      <c r="V44" s="8"/>
      <c r="W44" s="9" t="s">
        <v>3037</v>
      </c>
      <c r="X44" s="8">
        <v>59.55</v>
      </c>
      <c r="Y44" s="8">
        <v>1.42</v>
      </c>
      <c r="Z44" s="9">
        <v>0.15</v>
      </c>
      <c r="AA44" s="8">
        <v>28.4</v>
      </c>
      <c r="AB44" s="8">
        <v>22325</v>
      </c>
      <c r="AC44" s="22" t="s">
        <v>3037</v>
      </c>
      <c r="AD44" s="8" t="s">
        <v>4022</v>
      </c>
      <c r="AE44" s="8" t="s">
        <v>3681</v>
      </c>
      <c r="AF44" s="9">
        <f t="shared" si="8"/>
        <v>40.327999999999996</v>
      </c>
      <c r="AG44" s="9">
        <f t="shared" si="9"/>
        <v>7.1</v>
      </c>
      <c r="AH44" s="9">
        <f t="shared" si="10"/>
        <v>0.12960757200293904</v>
      </c>
      <c r="AI44" s="9">
        <f t="shared" si="11"/>
        <v>1.6798122720497029E-2</v>
      </c>
      <c r="AJ44" s="9">
        <f t="shared" si="12"/>
        <v>4.1355517534440007E-2</v>
      </c>
      <c r="AK44" s="9">
        <f t="shared" si="13"/>
        <v>1.710278830541375E-3</v>
      </c>
      <c r="AL44" s="9">
        <f t="shared" si="14"/>
        <v>6.3934294227555111E-3</v>
      </c>
      <c r="AM44" s="9">
        <f t="shared" si="15"/>
        <v>4.0875939783755865E-5</v>
      </c>
      <c r="AN44" s="9" t="s">
        <v>3037</v>
      </c>
    </row>
    <row r="45" spans="13:40" ht="23">
      <c r="M45" s="8" t="s">
        <v>1123</v>
      </c>
      <c r="N45" s="8" t="s">
        <v>150</v>
      </c>
      <c r="O45" s="8"/>
      <c r="P45" s="8"/>
      <c r="Q45" s="8"/>
      <c r="R45" s="8"/>
      <c r="S45" s="8"/>
      <c r="T45" s="8"/>
      <c r="U45" s="8"/>
      <c r="V45" s="8"/>
      <c r="W45" s="8" t="s">
        <v>1123</v>
      </c>
      <c r="X45" s="8">
        <v>28.44</v>
      </c>
      <c r="Y45" s="8">
        <v>6.56</v>
      </c>
      <c r="Z45" s="9">
        <v>6.37</v>
      </c>
      <c r="AA45" s="8">
        <v>23.2</v>
      </c>
      <c r="AB45" s="8">
        <v>8418</v>
      </c>
      <c r="AC45" s="21" t="s">
        <v>1123</v>
      </c>
      <c r="AD45" s="8" t="s">
        <v>4022</v>
      </c>
      <c r="AE45" s="8" t="s">
        <v>3681</v>
      </c>
      <c r="AF45" s="9">
        <f t="shared" si="8"/>
        <v>152.19199999999998</v>
      </c>
      <c r="AG45" s="9">
        <f t="shared" si="9"/>
        <v>153.50666666666666</v>
      </c>
      <c r="AH45" s="9">
        <f t="shared" si="10"/>
        <v>0.10587660811507696</v>
      </c>
      <c r="AI45" s="9">
        <f t="shared" si="11"/>
        <v>1.120985614595358E-2</v>
      </c>
      <c r="AJ45" s="9">
        <f t="shared" si="12"/>
        <v>0.15606970156222708</v>
      </c>
      <c r="AK45" s="9">
        <f t="shared" si="13"/>
        <v>2.4357751745722623E-2</v>
      </c>
      <c r="AL45" s="9">
        <f t="shared" si="14"/>
        <v>0.13823014637405484</v>
      </c>
      <c r="AM45" s="9">
        <f t="shared" si="15"/>
        <v>1.9107573366592627E-2</v>
      </c>
      <c r="AN45" s="8" t="s">
        <v>1123</v>
      </c>
    </row>
    <row r="46" spans="13:40" ht="23">
      <c r="M46" s="9" t="s">
        <v>2177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9" t="s">
        <v>2177</v>
      </c>
      <c r="X46" s="8">
        <v>16.68</v>
      </c>
      <c r="Y46" s="8">
        <v>5.07</v>
      </c>
      <c r="Z46" s="9">
        <v>4.22</v>
      </c>
      <c r="AA46" s="8">
        <v>23</v>
      </c>
      <c r="AB46" s="8">
        <v>15710</v>
      </c>
      <c r="AC46" s="22" t="s">
        <v>2177</v>
      </c>
      <c r="AD46" s="8" t="s">
        <v>4022</v>
      </c>
      <c r="AE46" s="8" t="s">
        <v>3681</v>
      </c>
      <c r="AF46" s="9">
        <f t="shared" si="8"/>
        <v>116.61000000000001</v>
      </c>
      <c r="AG46" s="9">
        <f t="shared" si="9"/>
        <v>100.43333333333332</v>
      </c>
      <c r="AH46" s="9">
        <f t="shared" si="10"/>
        <v>0.10496387873477457</v>
      </c>
      <c r="AI46" s="9">
        <f t="shared" si="11"/>
        <v>1.1017415839048462E-2</v>
      </c>
      <c r="AJ46" s="9">
        <f t="shared" si="12"/>
        <v>0.11958110741150194</v>
      </c>
      <c r="AK46" s="9">
        <f t="shared" si="13"/>
        <v>1.4299641249761163E-2</v>
      </c>
      <c r="AL46" s="9">
        <f t="shared" si="14"/>
        <v>9.0438511036442973E-2</v>
      </c>
      <c r="AM46" s="9">
        <f t="shared" si="15"/>
        <v>8.1791242784888182E-3</v>
      </c>
      <c r="AN46" s="9" t="s">
        <v>2177</v>
      </c>
    </row>
    <row r="47" spans="13:40" ht="23">
      <c r="M47" s="8" t="s">
        <v>418</v>
      </c>
      <c r="N47" s="8" t="s">
        <v>150</v>
      </c>
      <c r="O47" s="8"/>
      <c r="P47" s="8"/>
      <c r="Q47" s="8"/>
      <c r="R47" s="8"/>
      <c r="S47" s="8"/>
      <c r="T47" s="8"/>
      <c r="U47" s="8"/>
      <c r="V47" s="8"/>
      <c r="W47" s="8" t="s">
        <v>418</v>
      </c>
      <c r="X47" s="8">
        <v>11.03</v>
      </c>
      <c r="Y47" s="8">
        <v>5.63</v>
      </c>
      <c r="Z47" s="9">
        <v>7.0000000000000007E-2</v>
      </c>
      <c r="AA47" s="8">
        <v>22.7</v>
      </c>
      <c r="AB47" s="8">
        <v>208197</v>
      </c>
      <c r="AC47" s="21" t="s">
        <v>418</v>
      </c>
      <c r="AD47" s="8" t="s">
        <v>4022</v>
      </c>
      <c r="AE47" s="8" t="s">
        <v>3681</v>
      </c>
      <c r="AF47" s="9">
        <f t="shared" si="8"/>
        <v>127.80099999999999</v>
      </c>
      <c r="AG47" s="9">
        <f t="shared" si="9"/>
        <v>2.6483333333333334</v>
      </c>
      <c r="AH47" s="9">
        <f t="shared" si="10"/>
        <v>0.103594784664321</v>
      </c>
      <c r="AI47" s="9">
        <f t="shared" si="11"/>
        <v>1.0731879409647037E-2</v>
      </c>
      <c r="AJ47" s="9">
        <f t="shared" si="12"/>
        <v>0.13105724301772881</v>
      </c>
      <c r="AK47" s="9">
        <f t="shared" si="13"/>
        <v>1.7176000947408027E-2</v>
      </c>
      <c r="AL47" s="9">
        <f t="shared" si="14"/>
        <v>2.3847791907883821E-3</v>
      </c>
      <c r="AM47" s="9">
        <f t="shared" si="15"/>
        <v>5.6871717888172903E-6</v>
      </c>
      <c r="AN47" s="8" t="s">
        <v>418</v>
      </c>
    </row>
    <row r="48" spans="13:40" ht="23">
      <c r="M48" s="9" t="s">
        <v>2681</v>
      </c>
      <c r="N48" s="8" t="s">
        <v>150</v>
      </c>
      <c r="O48" s="8"/>
      <c r="P48" s="8"/>
      <c r="Q48" s="8"/>
      <c r="R48" s="8"/>
      <c r="S48" s="8"/>
      <c r="T48" s="8"/>
      <c r="U48" s="8"/>
      <c r="V48" s="8"/>
      <c r="W48" s="9" t="s">
        <v>2681</v>
      </c>
      <c r="X48" s="8">
        <v>17.260000000000002</v>
      </c>
      <c r="Y48" s="8">
        <v>3.39</v>
      </c>
      <c r="Z48" s="9">
        <v>1.45</v>
      </c>
      <c r="AA48" s="8">
        <v>20.100000000000001</v>
      </c>
      <c r="AB48" s="8">
        <v>9910</v>
      </c>
      <c r="AC48" s="22" t="s">
        <v>2681</v>
      </c>
      <c r="AD48" s="8" t="s">
        <v>4022</v>
      </c>
      <c r="AE48" s="8" t="s">
        <v>3681</v>
      </c>
      <c r="AF48" s="9">
        <f t="shared" si="8"/>
        <v>68.13900000000001</v>
      </c>
      <c r="AG48" s="9">
        <f t="shared" si="9"/>
        <v>35.175000000000004</v>
      </c>
      <c r="AH48" s="9">
        <f t="shared" si="10"/>
        <v>9.1729302720389969E-2</v>
      </c>
      <c r="AI48" s="9">
        <f t="shared" si="11"/>
        <v>8.4142649775689419E-3</v>
      </c>
      <c r="AJ48" s="9">
        <f t="shared" si="12"/>
        <v>6.987511429476316E-2</v>
      </c>
      <c r="AK48" s="9">
        <f t="shared" si="13"/>
        <v>4.8825315977062151E-3</v>
      </c>
      <c r="AL48" s="9">
        <f t="shared" si="14"/>
        <v>3.167449013315847E-2</v>
      </c>
      <c r="AM48" s="9">
        <f t="shared" si="15"/>
        <v>1.0032733251955533E-3</v>
      </c>
      <c r="AN48" s="9" t="s">
        <v>2681</v>
      </c>
    </row>
    <row r="49" spans="13:40" ht="23">
      <c r="M49" s="8" t="s">
        <v>1283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8" t="s">
        <v>1283</v>
      </c>
      <c r="X49" s="8">
        <v>10.82</v>
      </c>
      <c r="Y49" s="8">
        <v>2.71</v>
      </c>
      <c r="Z49" s="9">
        <v>1.18</v>
      </c>
      <c r="AA49" s="8">
        <v>20</v>
      </c>
      <c r="AB49" s="8">
        <v>13091</v>
      </c>
      <c r="AC49" s="21" t="s">
        <v>1283</v>
      </c>
      <c r="AD49" s="8" t="s">
        <v>4022</v>
      </c>
      <c r="AE49" s="8" t="s">
        <v>3681</v>
      </c>
      <c r="AF49" s="9">
        <f t="shared" si="8"/>
        <v>54.2</v>
      </c>
      <c r="AG49" s="9">
        <f t="shared" si="9"/>
        <v>26</v>
      </c>
      <c r="AH49" s="9">
        <f t="shared" si="10"/>
        <v>9.1272938030238754E-2</v>
      </c>
      <c r="AI49" s="9">
        <f t="shared" si="11"/>
        <v>8.3307492166718039E-3</v>
      </c>
      <c r="AJ49" s="9">
        <f t="shared" si="12"/>
        <v>5.5580962367750668E-2</v>
      </c>
      <c r="AK49" s="9">
        <f t="shared" si="13"/>
        <v>3.0892433777253161E-3</v>
      </c>
      <c r="AL49" s="9">
        <f t="shared" si="14"/>
        <v>2.3412558449527228E-2</v>
      </c>
      <c r="AM49" s="9">
        <f t="shared" si="15"/>
        <v>5.4814789315252885E-4</v>
      </c>
      <c r="AN49" s="8" t="s">
        <v>1283</v>
      </c>
    </row>
    <row r="50" spans="13:40" ht="23">
      <c r="M50" s="8" t="s">
        <v>960</v>
      </c>
      <c r="N50" s="8" t="s">
        <v>150</v>
      </c>
      <c r="O50" s="8"/>
      <c r="P50" s="8" t="s">
        <v>3691</v>
      </c>
      <c r="Q50" s="8"/>
      <c r="R50" s="8"/>
      <c r="S50" s="8"/>
      <c r="T50" s="8"/>
      <c r="U50" s="8"/>
      <c r="V50" s="8"/>
      <c r="W50" s="8" t="s">
        <v>960</v>
      </c>
      <c r="X50" s="8">
        <v>16.010000000000002</v>
      </c>
      <c r="Y50" s="8">
        <v>2.27</v>
      </c>
      <c r="Z50" s="9">
        <v>2.08</v>
      </c>
      <c r="AA50" s="8">
        <v>17.2</v>
      </c>
      <c r="AB50" s="8">
        <v>11302</v>
      </c>
      <c r="AC50" s="21" t="s">
        <v>960</v>
      </c>
      <c r="AD50" s="8" t="s">
        <v>4022</v>
      </c>
      <c r="AE50" s="8" t="s">
        <v>3681</v>
      </c>
      <c r="AF50" s="9">
        <f t="shared" si="8"/>
        <v>39.043999999999997</v>
      </c>
      <c r="AG50" s="9">
        <f t="shared" si="9"/>
        <v>36.693333333333328</v>
      </c>
      <c r="AH50" s="9">
        <f t="shared" si="10"/>
        <v>7.8494726706005324E-2</v>
      </c>
      <c r="AI50" s="9">
        <f t="shared" si="11"/>
        <v>6.1614221206504659E-3</v>
      </c>
      <c r="AJ50" s="9">
        <f t="shared" si="12"/>
        <v>4.0038802484989977E-2</v>
      </c>
      <c r="AK50" s="9">
        <f t="shared" si="13"/>
        <v>1.6031057044320395E-3</v>
      </c>
      <c r="AL50" s="9">
        <f t="shared" si="14"/>
        <v>3.3041723514409704E-2</v>
      </c>
      <c r="AM50" s="9">
        <f t="shared" si="15"/>
        <v>1.0917554928026952E-3</v>
      </c>
      <c r="AN50" s="8" t="s">
        <v>960</v>
      </c>
    </row>
    <row r="51" spans="13:40" ht="23">
      <c r="M51" s="8" t="s">
        <v>410</v>
      </c>
      <c r="N51" s="8" t="s">
        <v>150</v>
      </c>
      <c r="O51" s="8"/>
      <c r="P51" s="8" t="s">
        <v>3691</v>
      </c>
      <c r="Q51" s="8"/>
      <c r="R51" s="8"/>
      <c r="S51" s="8"/>
      <c r="T51" s="8"/>
      <c r="U51" s="8"/>
      <c r="V51" s="8"/>
      <c r="W51" s="8" t="s">
        <v>410</v>
      </c>
      <c r="X51" s="8">
        <v>34.94</v>
      </c>
      <c r="Y51" s="8">
        <v>3.3</v>
      </c>
      <c r="Z51" s="9">
        <v>2.4700000000000002</v>
      </c>
      <c r="AA51" s="8">
        <v>16.2</v>
      </c>
      <c r="AB51" s="8">
        <v>7730</v>
      </c>
      <c r="AC51" s="21" t="s">
        <v>410</v>
      </c>
      <c r="AD51" s="8" t="s">
        <v>4022</v>
      </c>
      <c r="AE51" s="8" t="s">
        <v>3681</v>
      </c>
      <c r="AF51" s="9">
        <f t="shared" si="8"/>
        <v>53.459999999999994</v>
      </c>
      <c r="AG51" s="9">
        <f t="shared" si="9"/>
        <v>45.089999999999996</v>
      </c>
      <c r="AH51" s="9">
        <f t="shared" si="10"/>
        <v>7.3931079804493399E-2</v>
      </c>
      <c r="AI51" s="9">
        <f t="shared" si="11"/>
        <v>5.465804561058372E-3</v>
      </c>
      <c r="AJ51" s="9">
        <f t="shared" si="12"/>
        <v>5.4822107899999077E-2</v>
      </c>
      <c r="AK51" s="9">
        <f t="shared" si="13"/>
        <v>3.0054635145991414E-3</v>
      </c>
      <c r="AL51" s="9">
        <f t="shared" si="14"/>
        <v>4.0602779249583942E-2</v>
      </c>
      <c r="AM51" s="9">
        <f t="shared" si="15"/>
        <v>1.6485856827904443E-3</v>
      </c>
      <c r="AN51" s="8" t="s">
        <v>410</v>
      </c>
    </row>
    <row r="52" spans="13:40" ht="23">
      <c r="M52" s="8" t="s">
        <v>1448</v>
      </c>
      <c r="N52" s="8" t="s">
        <v>150</v>
      </c>
      <c r="O52" s="8"/>
      <c r="P52" s="8" t="s">
        <v>3693</v>
      </c>
      <c r="Q52" s="8"/>
      <c r="R52" s="8"/>
      <c r="S52" s="8"/>
      <c r="T52" s="8"/>
      <c r="U52" s="8"/>
      <c r="V52" s="8"/>
      <c r="W52" s="8" t="s">
        <v>1448</v>
      </c>
      <c r="X52" s="8">
        <v>5.16</v>
      </c>
      <c r="Y52" s="8">
        <v>6.71</v>
      </c>
      <c r="Z52" s="9">
        <v>4.2</v>
      </c>
      <c r="AA52" s="8">
        <v>15.7</v>
      </c>
      <c r="AB52" s="8">
        <v>11464</v>
      </c>
      <c r="AC52" s="21" t="s">
        <v>1448</v>
      </c>
      <c r="AD52" s="8" t="s">
        <v>4570</v>
      </c>
      <c r="AE52" s="8" t="s">
        <v>3681</v>
      </c>
      <c r="AF52" s="9">
        <f t="shared" si="8"/>
        <v>105.34699999999999</v>
      </c>
      <c r="AG52" s="9">
        <f t="shared" si="9"/>
        <v>62.852333333333327</v>
      </c>
      <c r="AH52" s="9">
        <f t="shared" si="10"/>
        <v>7.1649256353737423E-2</v>
      </c>
      <c r="AI52" s="9">
        <f t="shared" si="11"/>
        <v>5.1336159360435823E-3</v>
      </c>
      <c r="AJ52" s="9">
        <f t="shared" si="12"/>
        <v>0.10803113731652084</v>
      </c>
      <c r="AK52" s="9">
        <f t="shared" si="13"/>
        <v>1.1670726629900981E-2</v>
      </c>
      <c r="AL52" s="9">
        <f t="shared" si="14"/>
        <v>5.6597458763685951E-2</v>
      </c>
      <c r="AM52" s="9">
        <f t="shared" si="15"/>
        <v>3.2032723385071317E-3</v>
      </c>
      <c r="AN52" s="8" t="s">
        <v>1448</v>
      </c>
    </row>
    <row r="53" spans="13:40" ht="23">
      <c r="M53" s="8" t="s">
        <v>805</v>
      </c>
      <c r="N53" s="8" t="s">
        <v>150</v>
      </c>
      <c r="O53" s="8"/>
      <c r="P53" s="8"/>
      <c r="Q53" s="8"/>
      <c r="R53" s="8"/>
      <c r="S53" s="8"/>
      <c r="T53" s="8"/>
      <c r="U53" s="8"/>
      <c r="V53" s="8"/>
      <c r="W53" s="8" t="s">
        <v>805</v>
      </c>
      <c r="X53" s="8">
        <v>4.82</v>
      </c>
      <c r="Y53" s="8">
        <v>22.51</v>
      </c>
      <c r="Z53" s="9">
        <v>32.450000000000003</v>
      </c>
      <c r="AA53" s="8">
        <v>15.5</v>
      </c>
      <c r="AB53" s="8"/>
      <c r="AC53" s="21" t="s">
        <v>805</v>
      </c>
      <c r="AD53" s="8" t="s">
        <v>4495</v>
      </c>
      <c r="AE53" s="8" t="s">
        <v>3681</v>
      </c>
      <c r="AF53" s="9">
        <f t="shared" si="8"/>
        <v>348.90500000000003</v>
      </c>
      <c r="AG53" s="9">
        <f t="shared" si="9"/>
        <v>507.625</v>
      </c>
      <c r="AH53" s="9">
        <f t="shared" si="10"/>
        <v>7.0736526973435035E-2</v>
      </c>
      <c r="AI53" s="9">
        <f t="shared" si="11"/>
        <v>5.0036562482635022E-3</v>
      </c>
      <c r="AJ53" s="9">
        <f t="shared" si="12"/>
        <v>0.35779475414981637</v>
      </c>
      <c r="AK53" s="9">
        <f t="shared" si="13"/>
        <v>0.12801708609712753</v>
      </c>
      <c r="AL53" s="9">
        <f t="shared" si="14"/>
        <v>0.45710769165158688</v>
      </c>
      <c r="AM53" s="9">
        <f t="shared" si="15"/>
        <v>0.20894744176704222</v>
      </c>
      <c r="AN53" s="8" t="s">
        <v>805</v>
      </c>
    </row>
    <row r="54" spans="13:40" ht="23">
      <c r="M54" s="8" t="s">
        <v>1181</v>
      </c>
      <c r="N54" s="8" t="s">
        <v>150</v>
      </c>
      <c r="O54" s="8"/>
      <c r="P54" s="8"/>
      <c r="Q54" s="8"/>
      <c r="R54" s="8"/>
      <c r="S54" s="8"/>
      <c r="T54" s="8"/>
      <c r="U54" s="8"/>
      <c r="V54" s="8"/>
      <c r="W54" s="8" t="s">
        <v>1181</v>
      </c>
      <c r="X54" s="8">
        <v>1.59</v>
      </c>
      <c r="Y54" s="8">
        <v>2.98</v>
      </c>
      <c r="Z54" s="9">
        <v>1.51</v>
      </c>
      <c r="AA54" s="8">
        <v>13.7</v>
      </c>
      <c r="AB54" s="8">
        <v>17656</v>
      </c>
      <c r="AC54" s="21" t="s">
        <v>1181</v>
      </c>
      <c r="AD54" s="8" t="s">
        <v>4022</v>
      </c>
      <c r="AE54" s="8" t="s">
        <v>3681</v>
      </c>
      <c r="AF54" s="9">
        <f t="shared" si="8"/>
        <v>40.826000000000001</v>
      </c>
      <c r="AG54" s="9">
        <f t="shared" si="9"/>
        <v>25.344999999999999</v>
      </c>
      <c r="AH54" s="9">
        <f t="shared" si="10"/>
        <v>6.2521962550713545E-2</v>
      </c>
      <c r="AI54" s="9">
        <f t="shared" si="11"/>
        <v>3.9089958011928267E-3</v>
      </c>
      <c r="AJ54" s="9">
        <f t="shared" si="12"/>
        <v>4.1866206081656615E-2</v>
      </c>
      <c r="AK54" s="9">
        <f t="shared" si="13"/>
        <v>1.7527792116717414E-3</v>
      </c>
      <c r="AL54" s="9">
        <f t="shared" si="14"/>
        <v>2.2822742073202597E-2</v>
      </c>
      <c r="AM54" s="9">
        <f t="shared" si="15"/>
        <v>5.2087755573993193E-4</v>
      </c>
      <c r="AN54" s="8" t="s">
        <v>1181</v>
      </c>
    </row>
    <row r="55" spans="13:40" ht="23">
      <c r="M55" s="9" t="s">
        <v>2439</v>
      </c>
      <c r="N55" s="8" t="s">
        <v>150</v>
      </c>
      <c r="O55" s="8"/>
      <c r="P55" s="8"/>
      <c r="Q55" s="8"/>
      <c r="R55" s="8"/>
      <c r="S55" s="8"/>
      <c r="T55" s="8"/>
      <c r="U55" s="8"/>
      <c r="V55" s="8"/>
      <c r="W55" s="9" t="s">
        <v>2439</v>
      </c>
      <c r="X55" s="8">
        <v>20.079999999999998</v>
      </c>
      <c r="Y55" s="8">
        <v>11.81</v>
      </c>
      <c r="Z55" s="9">
        <v>5.04</v>
      </c>
      <c r="AA55" s="8">
        <v>12.4</v>
      </c>
      <c r="AB55" s="8">
        <v>11661</v>
      </c>
      <c r="AC55" s="22" t="s">
        <v>2439</v>
      </c>
      <c r="AD55" s="8" t="s">
        <v>4022</v>
      </c>
      <c r="AE55" s="8" t="s">
        <v>3681</v>
      </c>
      <c r="AF55" s="9">
        <f t="shared" si="8"/>
        <v>146.44400000000002</v>
      </c>
      <c r="AG55" s="9">
        <f t="shared" si="9"/>
        <v>62.826666666666668</v>
      </c>
      <c r="AH55" s="9">
        <f t="shared" si="10"/>
        <v>5.6589221578748038E-2</v>
      </c>
      <c r="AI55" s="9">
        <f t="shared" si="11"/>
        <v>3.2023399988886426E-3</v>
      </c>
      <c r="AJ55" s="9">
        <f t="shared" si="12"/>
        <v>0.15017524821001621</v>
      </c>
      <c r="AK55" s="9">
        <f t="shared" si="13"/>
        <v>2.2552605174939976E-2</v>
      </c>
      <c r="AL55" s="9">
        <f t="shared" si="14"/>
        <v>5.6574346366242201E-2</v>
      </c>
      <c r="AM55" s="9">
        <f t="shared" si="15"/>
        <v>3.2006566667675423E-3</v>
      </c>
      <c r="AN55" s="9" t="s">
        <v>2439</v>
      </c>
    </row>
    <row r="56" spans="13:40" ht="23">
      <c r="M56" s="8" t="s">
        <v>138</v>
      </c>
      <c r="N56" s="8" t="s">
        <v>150</v>
      </c>
      <c r="O56" s="8"/>
      <c r="P56" s="8"/>
      <c r="Q56" s="8"/>
      <c r="R56" s="8"/>
      <c r="S56" s="8"/>
      <c r="T56" s="8"/>
      <c r="U56" s="8"/>
      <c r="V56" s="8"/>
      <c r="W56" s="8" t="s">
        <v>138</v>
      </c>
      <c r="X56" s="8">
        <v>35.200000000000003</v>
      </c>
      <c r="Y56" s="8">
        <v>1.61</v>
      </c>
      <c r="Z56" s="9">
        <v>1.19</v>
      </c>
      <c r="AA56" s="8">
        <v>11.5</v>
      </c>
      <c r="AB56" s="8">
        <v>19796</v>
      </c>
      <c r="AC56" s="21" t="s">
        <v>138</v>
      </c>
      <c r="AD56" s="8" t="s">
        <v>4022</v>
      </c>
      <c r="AE56" s="8" t="s">
        <v>3681</v>
      </c>
      <c r="AF56" s="9">
        <f t="shared" si="8"/>
        <v>18.515000000000001</v>
      </c>
      <c r="AG56" s="9">
        <f t="shared" si="9"/>
        <v>15.141666666666666</v>
      </c>
      <c r="AH56" s="9">
        <f t="shared" si="10"/>
        <v>5.2481939367387286E-2</v>
      </c>
      <c r="AI56" s="9">
        <f t="shared" si="11"/>
        <v>2.7543539597621155E-3</v>
      </c>
      <c r="AJ56" s="9">
        <f t="shared" si="12"/>
        <v>1.8986743878946562E-2</v>
      </c>
      <c r="AK56" s="9">
        <f t="shared" si="13"/>
        <v>3.6049644312471474E-4</v>
      </c>
      <c r="AL56" s="9">
        <f t="shared" si="14"/>
        <v>1.3634813686791978E-2</v>
      </c>
      <c r="AM56" s="9">
        <f t="shared" si="15"/>
        <v>1.8590814427352985E-4</v>
      </c>
      <c r="AN56" s="8" t="s">
        <v>138</v>
      </c>
    </row>
    <row r="57" spans="13:40" ht="23">
      <c r="M57" s="9" t="s">
        <v>2142</v>
      </c>
      <c r="N57" s="8" t="s">
        <v>150</v>
      </c>
      <c r="O57" s="8"/>
      <c r="P57" s="8" t="s">
        <v>3693</v>
      </c>
      <c r="Q57" s="8"/>
      <c r="R57" s="8"/>
      <c r="S57" s="8"/>
      <c r="T57" s="8"/>
      <c r="U57" s="8"/>
      <c r="V57" s="8"/>
      <c r="W57" s="9" t="s">
        <v>2142</v>
      </c>
      <c r="X57" s="8">
        <v>9.56</v>
      </c>
      <c r="Y57" s="8">
        <v>7.91</v>
      </c>
      <c r="Z57" s="9">
        <v>5.46</v>
      </c>
      <c r="AA57" s="8">
        <v>11</v>
      </c>
      <c r="AB57" s="8">
        <v>7570</v>
      </c>
      <c r="AC57" s="22" t="s">
        <v>2142</v>
      </c>
      <c r="AD57" s="8" t="s">
        <v>4022</v>
      </c>
      <c r="AE57" s="8" t="s">
        <v>3681</v>
      </c>
      <c r="AF57" s="9">
        <f t="shared" si="8"/>
        <v>87.01</v>
      </c>
      <c r="AG57" s="9">
        <f t="shared" si="9"/>
        <v>63.43333333333333</v>
      </c>
      <c r="AH57" s="9">
        <f t="shared" si="10"/>
        <v>5.0200115916631316E-2</v>
      </c>
      <c r="AI57" s="9">
        <f t="shared" si="11"/>
        <v>2.5200516380432208E-3</v>
      </c>
      <c r="AJ57" s="9">
        <f t="shared" si="12"/>
        <v>8.9226928701438848E-2</v>
      </c>
      <c r="AK57" s="9">
        <f t="shared" si="13"/>
        <v>7.9614448054916524E-3</v>
      </c>
      <c r="AL57" s="9">
        <f t="shared" si="14"/>
        <v>5.712063939673117E-2</v>
      </c>
      <c r="AM57" s="9">
        <f t="shared" si="15"/>
        <v>3.2627674450913971E-3</v>
      </c>
      <c r="AN57" s="9" t="s">
        <v>2142</v>
      </c>
    </row>
    <row r="58" spans="13:40" ht="23">
      <c r="M58" s="8" t="s">
        <v>1107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8" t="s">
        <v>1107</v>
      </c>
      <c r="X58" s="8">
        <v>32.76</v>
      </c>
      <c r="Y58" s="8">
        <v>4.4400000000000004</v>
      </c>
      <c r="Z58" s="9">
        <v>3.08</v>
      </c>
      <c r="AA58" s="8">
        <v>10.4</v>
      </c>
      <c r="AB58" s="8">
        <v>9029</v>
      </c>
      <c r="AC58" s="21" t="s">
        <v>1107</v>
      </c>
      <c r="AD58" s="8" t="s">
        <v>4041</v>
      </c>
      <c r="AE58" s="8" t="s">
        <v>3681</v>
      </c>
      <c r="AF58" s="9">
        <f t="shared" si="8"/>
        <v>46.176000000000009</v>
      </c>
      <c r="AG58" s="9">
        <f t="shared" si="9"/>
        <v>32.586666666666666</v>
      </c>
      <c r="AH58" s="9">
        <f t="shared" si="10"/>
        <v>4.7461927775724153E-2</v>
      </c>
      <c r="AI58" s="9">
        <f t="shared" si="11"/>
        <v>2.2526345881880559E-3</v>
      </c>
      <c r="AJ58" s="9">
        <f t="shared" si="12"/>
        <v>4.7352518787698437E-2</v>
      </c>
      <c r="AK58" s="9">
        <f t="shared" si="13"/>
        <v>2.2422610355393334E-3</v>
      </c>
      <c r="AL58" s="9">
        <f t="shared" si="14"/>
        <v>2.9343739923407459E-2</v>
      </c>
      <c r="AM58" s="9">
        <f t="shared" si="15"/>
        <v>8.6105507269257679E-4</v>
      </c>
      <c r="AN58" s="8" t="s">
        <v>1107</v>
      </c>
    </row>
    <row r="59" spans="13:40" ht="23">
      <c r="M59" s="9" t="s">
        <v>2322</v>
      </c>
      <c r="N59" s="8" t="s">
        <v>150</v>
      </c>
      <c r="O59" s="8"/>
      <c r="P59" s="8" t="s">
        <v>3691</v>
      </c>
      <c r="Q59" s="8"/>
      <c r="R59" s="8"/>
      <c r="S59" s="8"/>
      <c r="T59" s="8"/>
      <c r="U59" s="8"/>
      <c r="V59" s="8"/>
      <c r="W59" s="9" t="s">
        <v>2322</v>
      </c>
      <c r="X59" s="8">
        <v>30.26</v>
      </c>
      <c r="Y59" s="8">
        <v>29.27</v>
      </c>
      <c r="Z59" s="9">
        <v>42.53</v>
      </c>
      <c r="AA59" s="8">
        <v>9.9</v>
      </c>
      <c r="AB59" s="8">
        <v>4349</v>
      </c>
      <c r="AC59" s="22" t="s">
        <v>2322</v>
      </c>
      <c r="AD59" s="8" t="s">
        <v>4022</v>
      </c>
      <c r="AE59" s="8" t="s">
        <v>3681</v>
      </c>
      <c r="AF59" s="9">
        <f t="shared" si="8"/>
        <v>289.77300000000002</v>
      </c>
      <c r="AG59" s="9">
        <f t="shared" si="9"/>
        <v>424.54500000000002</v>
      </c>
      <c r="AH59" s="9">
        <f t="shared" si="10"/>
        <v>4.518010432496819E-2</v>
      </c>
      <c r="AI59" s="9">
        <f t="shared" si="11"/>
        <v>2.0412418268150093E-3</v>
      </c>
      <c r="AJ59" s="9">
        <f t="shared" si="12"/>
        <v>0.29715612930240248</v>
      </c>
      <c r="AK59" s="9">
        <f t="shared" si="13"/>
        <v>8.8301765181986139E-2</v>
      </c>
      <c r="AL59" s="9">
        <f t="shared" si="14"/>
        <v>0.3822955625751745</v>
      </c>
      <c r="AM59" s="9">
        <f t="shared" si="15"/>
        <v>0.14614989716466917</v>
      </c>
      <c r="AN59" s="9" t="s">
        <v>2322</v>
      </c>
    </row>
    <row r="60" spans="13:40" ht="23">
      <c r="M60" s="8" t="s">
        <v>363</v>
      </c>
      <c r="N60" s="8" t="s">
        <v>150</v>
      </c>
      <c r="O60" s="8"/>
      <c r="P60" s="8" t="s">
        <v>3715</v>
      </c>
      <c r="Q60" s="8"/>
      <c r="R60" s="8"/>
      <c r="S60" s="8"/>
      <c r="T60" s="8"/>
      <c r="U60" s="8"/>
      <c r="V60" s="8"/>
      <c r="W60" s="8" t="s">
        <v>363</v>
      </c>
      <c r="X60" s="8">
        <v>12.87</v>
      </c>
      <c r="Y60" s="8">
        <v>9.41</v>
      </c>
      <c r="Z60" s="9">
        <v>6.46</v>
      </c>
      <c r="AA60" s="8">
        <v>9.8000000000000007</v>
      </c>
      <c r="AB60" s="8">
        <v>6598</v>
      </c>
      <c r="AC60" s="21" t="s">
        <v>363</v>
      </c>
      <c r="AD60" s="8" t="s">
        <v>4022</v>
      </c>
      <c r="AE60" s="8" t="s">
        <v>3681</v>
      </c>
      <c r="AF60" s="9">
        <f t="shared" si="8"/>
        <v>92.218000000000004</v>
      </c>
      <c r="AG60" s="9">
        <f t="shared" si="9"/>
        <v>66.313333333333333</v>
      </c>
      <c r="AH60" s="9">
        <f t="shared" si="10"/>
        <v>4.4723739634816996E-2</v>
      </c>
      <c r="AI60" s="9">
        <f t="shared" si="11"/>
        <v>2.0002128869229005E-3</v>
      </c>
      <c r="AJ60" s="9">
        <f t="shared" si="12"/>
        <v>9.4567623387993197E-2</v>
      </c>
      <c r="AK60" s="9">
        <f t="shared" si="13"/>
        <v>8.9430353932533173E-3</v>
      </c>
      <c r="AL60" s="9">
        <f t="shared" si="14"/>
        <v>5.9714030486524947E-2</v>
      </c>
      <c r="AM60" s="9">
        <f t="shared" si="15"/>
        <v>3.5657654369456305E-3</v>
      </c>
      <c r="AN60" s="8" t="s">
        <v>363</v>
      </c>
    </row>
    <row r="61" spans="13:40" ht="23">
      <c r="M61" s="9" t="s">
        <v>2299</v>
      </c>
      <c r="N61" s="8" t="s">
        <v>150</v>
      </c>
      <c r="O61" s="8"/>
      <c r="P61" s="8"/>
      <c r="Q61" s="8"/>
      <c r="R61" s="8"/>
      <c r="S61" s="8"/>
      <c r="T61" s="8"/>
      <c r="U61" s="8"/>
      <c r="V61" s="8"/>
      <c r="W61" s="9" t="s">
        <v>2299</v>
      </c>
      <c r="X61" s="8">
        <v>38.520000000000003</v>
      </c>
      <c r="Y61" s="8">
        <v>3.88</v>
      </c>
      <c r="Z61" s="9">
        <v>3.1</v>
      </c>
      <c r="AA61" s="8">
        <v>9.8000000000000007</v>
      </c>
      <c r="AB61" s="8">
        <v>13232</v>
      </c>
      <c r="AC61" s="22" t="s">
        <v>2299</v>
      </c>
      <c r="AD61" s="8" t="s">
        <v>4022</v>
      </c>
      <c r="AE61" s="8" t="s">
        <v>3681</v>
      </c>
      <c r="AF61" s="9">
        <f t="shared" si="8"/>
        <v>38.024000000000001</v>
      </c>
      <c r="AG61" s="9">
        <f t="shared" si="9"/>
        <v>29.416333333333334</v>
      </c>
      <c r="AH61" s="9">
        <f t="shared" si="10"/>
        <v>4.4723739634816996E-2</v>
      </c>
      <c r="AI61" s="9">
        <f t="shared" si="11"/>
        <v>2.0002128869229005E-3</v>
      </c>
      <c r="AJ61" s="9">
        <f t="shared" si="12"/>
        <v>3.8992813894305374E-2</v>
      </c>
      <c r="AK61" s="9">
        <f t="shared" si="13"/>
        <v>1.5204395353959341E-3</v>
      </c>
      <c r="AL61" s="9">
        <f t="shared" si="14"/>
        <v>2.6488908597593952E-2</v>
      </c>
      <c r="AM61" s="9">
        <f t="shared" si="15"/>
        <v>7.0166227869168684E-4</v>
      </c>
      <c r="AN61" s="9" t="s">
        <v>2299</v>
      </c>
    </row>
    <row r="62" spans="13:40" ht="23">
      <c r="M62" s="9" t="s">
        <v>2607</v>
      </c>
      <c r="N62" s="8" t="s">
        <v>150</v>
      </c>
      <c r="O62" s="8"/>
      <c r="P62" s="8" t="s">
        <v>3692</v>
      </c>
      <c r="Q62" s="8"/>
      <c r="R62" s="8"/>
      <c r="S62" s="8"/>
      <c r="T62" s="8"/>
      <c r="U62" s="8"/>
      <c r="V62" s="8"/>
      <c r="W62" s="9" t="s">
        <v>2607</v>
      </c>
      <c r="X62" s="8">
        <v>41.96</v>
      </c>
      <c r="Y62" s="8">
        <v>5.34</v>
      </c>
      <c r="Z62" s="9">
        <v>3.43</v>
      </c>
      <c r="AA62" s="8">
        <v>9.4</v>
      </c>
      <c r="AB62" s="8">
        <v>11088</v>
      </c>
      <c r="AC62" s="22" t="s">
        <v>2607</v>
      </c>
      <c r="AD62" s="8" t="s">
        <v>4041</v>
      </c>
      <c r="AE62" s="8" t="s">
        <v>3681</v>
      </c>
      <c r="AF62" s="9">
        <f t="shared" si="8"/>
        <v>50.195999999999998</v>
      </c>
      <c r="AG62" s="9">
        <f t="shared" si="9"/>
        <v>34.936666666666667</v>
      </c>
      <c r="AH62" s="9">
        <f t="shared" si="10"/>
        <v>4.2898280874212213E-2</v>
      </c>
      <c r="AI62" s="9">
        <f t="shared" si="11"/>
        <v>1.8402625019628015E-3</v>
      </c>
      <c r="AJ62" s="9">
        <f t="shared" si="12"/>
        <v>5.1474944409808342E-2</v>
      </c>
      <c r="AK62" s="9">
        <f t="shared" si="13"/>
        <v>2.6496699019928592E-3</v>
      </c>
      <c r="AL62" s="9">
        <f t="shared" si="14"/>
        <v>3.1459875014037804E-2</v>
      </c>
      <c r="AM62" s="9">
        <f t="shared" si="15"/>
        <v>9.8972373589888011E-4</v>
      </c>
      <c r="AN62" s="9" t="s">
        <v>2607</v>
      </c>
    </row>
    <row r="63" spans="13:40" ht="23">
      <c r="M63" s="8" t="s">
        <v>1273</v>
      </c>
      <c r="N63" s="8" t="s">
        <v>150</v>
      </c>
      <c r="O63" s="8"/>
      <c r="P63" s="8"/>
      <c r="Q63" s="8"/>
      <c r="R63" s="8"/>
      <c r="S63" s="8"/>
      <c r="T63" s="8"/>
      <c r="U63" s="8"/>
      <c r="V63" s="8"/>
      <c r="W63" s="8" t="s">
        <v>1273</v>
      </c>
      <c r="X63" s="8">
        <v>5.47</v>
      </c>
      <c r="Y63" s="8">
        <v>3.62</v>
      </c>
      <c r="Z63" s="9">
        <v>1.17</v>
      </c>
      <c r="AA63" s="8">
        <v>9.3000000000000007</v>
      </c>
      <c r="AB63" s="8">
        <v>29250</v>
      </c>
      <c r="AC63" s="21" t="s">
        <v>1273</v>
      </c>
      <c r="AD63" s="8" t="s">
        <v>4570</v>
      </c>
      <c r="AE63" s="8" t="s">
        <v>3681</v>
      </c>
      <c r="AF63" s="9">
        <f t="shared" si="8"/>
        <v>33.666000000000004</v>
      </c>
      <c r="AG63" s="9">
        <f t="shared" si="9"/>
        <v>11.935</v>
      </c>
      <c r="AH63" s="9">
        <f t="shared" si="10"/>
        <v>4.2441916184061027E-2</v>
      </c>
      <c r="AI63" s="9">
        <f t="shared" si="11"/>
        <v>1.8013162493748613E-3</v>
      </c>
      <c r="AJ63" s="9">
        <f t="shared" si="12"/>
        <v>3.4523776366654872E-2</v>
      </c>
      <c r="AK63" s="9">
        <f t="shared" si="13"/>
        <v>1.1918911346147974E-3</v>
      </c>
      <c r="AL63" s="9">
        <f t="shared" si="14"/>
        <v>1.0747264811350287E-2</v>
      </c>
      <c r="AM63" s="9">
        <f t="shared" si="15"/>
        <v>1.1550370092528812E-4</v>
      </c>
      <c r="AN63" s="8" t="s">
        <v>1273</v>
      </c>
    </row>
    <row r="64" spans="13:40" ht="23">
      <c r="M64" s="8" t="s">
        <v>528</v>
      </c>
      <c r="N64" s="8" t="s">
        <v>150</v>
      </c>
      <c r="O64" s="8"/>
      <c r="P64" s="8"/>
      <c r="Q64" s="8"/>
      <c r="R64" s="8"/>
      <c r="S64" s="8"/>
      <c r="T64" s="8"/>
      <c r="U64" s="8"/>
      <c r="V64" s="8"/>
      <c r="W64" s="8" t="s">
        <v>528</v>
      </c>
      <c r="X64" s="8">
        <v>41.35</v>
      </c>
      <c r="Y64" s="8">
        <v>2.75</v>
      </c>
      <c r="Z64" s="9">
        <v>4.0199999999999996</v>
      </c>
      <c r="AA64" s="8">
        <v>9.1999999999999993</v>
      </c>
      <c r="AB64" s="8">
        <v>12481</v>
      </c>
      <c r="AC64" s="21" t="s">
        <v>528</v>
      </c>
      <c r="AD64" s="8" t="s">
        <v>4570</v>
      </c>
      <c r="AE64" s="8" t="s">
        <v>3681</v>
      </c>
      <c r="AF64" s="9">
        <f t="shared" si="8"/>
        <v>25.299999999999997</v>
      </c>
      <c r="AG64" s="9">
        <f t="shared" si="9"/>
        <v>37.106666666666662</v>
      </c>
      <c r="AH64" s="9">
        <f t="shared" si="10"/>
        <v>4.1985551493909826E-2</v>
      </c>
      <c r="AI64" s="9">
        <f t="shared" si="11"/>
        <v>1.7627865342477536E-3</v>
      </c>
      <c r="AJ64" s="9">
        <f t="shared" si="12"/>
        <v>2.5944618965020139E-2</v>
      </c>
      <c r="AK64" s="9">
        <f t="shared" si="13"/>
        <v>6.7312325324008274E-4</v>
      </c>
      <c r="AL64" s="9">
        <f t="shared" si="14"/>
        <v>3.3413923161556031E-2</v>
      </c>
      <c r="AM64" s="9">
        <f t="shared" si="15"/>
        <v>1.1164902610463706E-3</v>
      </c>
      <c r="AN64" s="8" t="s">
        <v>528</v>
      </c>
    </row>
    <row r="65" spans="13:40" ht="23">
      <c r="M65" s="8" t="s">
        <v>140</v>
      </c>
      <c r="N65" s="8" t="s">
        <v>150</v>
      </c>
      <c r="O65" s="8"/>
      <c r="P65" s="8"/>
      <c r="Q65" s="8"/>
      <c r="R65" s="8"/>
      <c r="S65" s="8"/>
      <c r="T65" s="8"/>
      <c r="U65" s="8"/>
      <c r="V65" s="8"/>
      <c r="W65" s="8" t="s">
        <v>140</v>
      </c>
      <c r="X65" s="8">
        <v>50.26</v>
      </c>
      <c r="Y65" s="8">
        <v>2.12</v>
      </c>
      <c r="Z65" s="9">
        <v>2.12</v>
      </c>
      <c r="AA65" s="8">
        <v>8.3000000000000007</v>
      </c>
      <c r="AB65" s="8">
        <v>15037</v>
      </c>
      <c r="AC65" s="21" t="s">
        <v>140</v>
      </c>
      <c r="AD65" s="8" t="s">
        <v>4022</v>
      </c>
      <c r="AE65" s="8" t="s">
        <v>3681</v>
      </c>
      <c r="AF65" s="9">
        <f t="shared" si="8"/>
        <v>17.596000000000004</v>
      </c>
      <c r="AG65" s="9">
        <f t="shared" si="9"/>
        <v>18.260000000000002</v>
      </c>
      <c r="AH65" s="9">
        <f t="shared" si="10"/>
        <v>3.7878269282549087E-2</v>
      </c>
      <c r="AI65" s="9">
        <f t="shared" si="11"/>
        <v>1.4347632838413017E-3</v>
      </c>
      <c r="AJ65" s="9">
        <f t="shared" si="12"/>
        <v>1.8044328668319943E-2</v>
      </c>
      <c r="AK65" s="9">
        <f t="shared" si="13"/>
        <v>3.2559779709035298E-4</v>
      </c>
      <c r="AL65" s="9">
        <f t="shared" si="14"/>
        <v>1.644281989570643E-2</v>
      </c>
      <c r="AM65" s="9">
        <f t="shared" si="15"/>
        <v>2.7036632612263922E-4</v>
      </c>
      <c r="AN65" s="8" t="s">
        <v>140</v>
      </c>
    </row>
    <row r="66" spans="13:40" ht="23">
      <c r="M66" s="9" t="s">
        <v>2207</v>
      </c>
      <c r="N66" s="8" t="s">
        <v>150</v>
      </c>
      <c r="O66" s="8"/>
      <c r="P66" s="8" t="s">
        <v>3694</v>
      </c>
      <c r="Q66" s="8"/>
      <c r="R66" s="8"/>
      <c r="S66" s="8"/>
      <c r="T66" s="8"/>
      <c r="U66" s="8"/>
      <c r="V66" s="8"/>
      <c r="W66" s="9" t="s">
        <v>2207</v>
      </c>
      <c r="X66" s="8">
        <v>15.64</v>
      </c>
      <c r="Y66" s="8">
        <v>9.15</v>
      </c>
      <c r="Z66" s="9">
        <v>7.26</v>
      </c>
      <c r="AA66" s="8">
        <v>8.1</v>
      </c>
      <c r="AB66" s="8">
        <v>10558</v>
      </c>
      <c r="AC66" s="22" t="s">
        <v>2207</v>
      </c>
      <c r="AD66" s="8" t="s">
        <v>4570</v>
      </c>
      <c r="AE66" s="8" t="s">
        <v>3681</v>
      </c>
      <c r="AF66" s="9">
        <f t="shared" ref="AF66:AF97" si="16">(AA66*Y66)</f>
        <v>74.114999999999995</v>
      </c>
      <c r="AG66" s="9">
        <f t="shared" ref="AG66:AG97" si="17">((((RIGHT(Z66,2))/60)+(LEFT(Z66,2)))*AA66)</f>
        <v>60.21</v>
      </c>
      <c r="AH66" s="9">
        <f t="shared" ref="AH66:AH97" si="18">(AA66/$AA$106)*100</f>
        <v>3.69655399022467E-2</v>
      </c>
      <c r="AI66" s="9">
        <f t="shared" ref="AI66:AI97" si="19">(AH66*AH66)</f>
        <v>1.366451140264593E-3</v>
      </c>
      <c r="AJ66" s="9">
        <f t="shared" ref="AJ66:AJ97" si="20">(AF66/$AF$106)*100</f>
        <v>7.6003376861362368E-2</v>
      </c>
      <c r="AK66" s="9">
        <f t="shared" ref="AK66:AK97" si="21">(AJ66*AJ66)</f>
        <v>5.7765132943302724E-3</v>
      </c>
      <c r="AL66" s="9">
        <f t="shared" ref="AL66:AL97" si="22">(AG66/$AG$106)*100</f>
        <v>5.4218082471001322E-2</v>
      </c>
      <c r="AM66" s="9">
        <f t="shared" ref="AM66:AM97" si="23">(AL66*AL66)</f>
        <v>2.9396004668323008E-3</v>
      </c>
      <c r="AN66" s="9" t="s">
        <v>2207</v>
      </c>
    </row>
    <row r="67" spans="13:40" ht="23">
      <c r="M67" s="8" t="s">
        <v>4630</v>
      </c>
      <c r="N67" s="8" t="s">
        <v>150</v>
      </c>
      <c r="O67" s="8"/>
      <c r="P67" s="8" t="s">
        <v>3692</v>
      </c>
      <c r="Q67" s="8"/>
      <c r="R67" s="8"/>
      <c r="S67" s="8"/>
      <c r="T67" s="8"/>
      <c r="U67" s="8"/>
      <c r="V67" s="8"/>
      <c r="W67" s="8" t="s">
        <v>4630</v>
      </c>
      <c r="X67" s="8">
        <v>21.95</v>
      </c>
      <c r="Y67" s="8">
        <v>4.7699999999999996</v>
      </c>
      <c r="Z67" s="9">
        <v>3.43</v>
      </c>
      <c r="AA67" s="8">
        <v>7.1</v>
      </c>
      <c r="AB67" s="8">
        <v>12824</v>
      </c>
      <c r="AC67" s="21" t="s">
        <v>4630</v>
      </c>
      <c r="AD67" s="8" t="s">
        <v>4570</v>
      </c>
      <c r="AE67" s="8" t="s">
        <v>3681</v>
      </c>
      <c r="AF67" s="9">
        <f t="shared" si="16"/>
        <v>33.866999999999997</v>
      </c>
      <c r="AG67" s="9">
        <f t="shared" si="17"/>
        <v>26.388333333333332</v>
      </c>
      <c r="AH67" s="9">
        <f t="shared" si="18"/>
        <v>3.2401893000734761E-2</v>
      </c>
      <c r="AI67" s="9">
        <f t="shared" si="19"/>
        <v>1.0498826700310643E-3</v>
      </c>
      <c r="AJ67" s="9">
        <f t="shared" si="20"/>
        <v>3.4729897647760362E-2</v>
      </c>
      <c r="AK67" s="9">
        <f t="shared" si="21"/>
        <v>1.2061657906239107E-3</v>
      </c>
      <c r="AL67" s="9">
        <f t="shared" si="22"/>
        <v>2.3762246021241318E-2</v>
      </c>
      <c r="AM67" s="9">
        <f t="shared" si="23"/>
        <v>5.6464433597399884E-4</v>
      </c>
      <c r="AN67" s="8" t="s">
        <v>4630</v>
      </c>
    </row>
    <row r="68" spans="13:40" ht="23">
      <c r="M68" s="9" t="s">
        <v>2433</v>
      </c>
      <c r="N68" s="8" t="s">
        <v>150</v>
      </c>
      <c r="O68" s="8"/>
      <c r="P68" s="8"/>
      <c r="Q68" s="8"/>
      <c r="R68" s="8"/>
      <c r="S68" s="8"/>
      <c r="T68" s="8"/>
      <c r="U68" s="8"/>
      <c r="V68" s="8"/>
      <c r="W68" s="9" t="s">
        <v>2433</v>
      </c>
      <c r="X68" s="8">
        <v>43.3</v>
      </c>
      <c r="Y68" s="8">
        <v>1.83</v>
      </c>
      <c r="Z68" s="9">
        <v>2</v>
      </c>
      <c r="AA68" s="8">
        <v>6.9</v>
      </c>
      <c r="AB68" s="8">
        <v>25970</v>
      </c>
      <c r="AC68" s="22" t="s">
        <v>2433</v>
      </c>
      <c r="AD68" s="8" t="s">
        <v>4632</v>
      </c>
      <c r="AE68" s="8" t="s">
        <v>3681</v>
      </c>
      <c r="AF68" s="9">
        <f t="shared" si="16"/>
        <v>12.627000000000001</v>
      </c>
      <c r="AG68" s="9">
        <f t="shared" si="17"/>
        <v>14.03</v>
      </c>
      <c r="AH68" s="9">
        <f t="shared" si="18"/>
        <v>3.1489163620432373E-2</v>
      </c>
      <c r="AI68" s="9">
        <f t="shared" si="19"/>
        <v>9.9156742551436165E-4</v>
      </c>
      <c r="AJ68" s="9">
        <f t="shared" si="20"/>
        <v>1.2948723465269145E-2</v>
      </c>
      <c r="AK68" s="9">
        <f t="shared" si="21"/>
        <v>1.6766943938001177E-4</v>
      </c>
      <c r="AL68" s="9">
        <f t="shared" si="22"/>
        <v>1.2633776732571806E-2</v>
      </c>
      <c r="AM68" s="9">
        <f t="shared" si="23"/>
        <v>1.5961231452847274E-4</v>
      </c>
      <c r="AN68" s="9" t="s">
        <v>2433</v>
      </c>
    </row>
    <row r="69" spans="13:40" ht="23">
      <c r="M69" s="8" t="s">
        <v>1051</v>
      </c>
      <c r="N69" s="8" t="s">
        <v>150</v>
      </c>
      <c r="O69" s="8"/>
      <c r="P69" s="8"/>
      <c r="Q69" s="8"/>
      <c r="R69" s="8"/>
      <c r="S69" s="8"/>
      <c r="T69" s="8"/>
      <c r="U69" s="8"/>
      <c r="V69" s="8"/>
      <c r="W69" s="8" t="s">
        <v>1051</v>
      </c>
      <c r="X69" s="8">
        <v>40.700000000000003</v>
      </c>
      <c r="Y69" s="8">
        <v>3.53</v>
      </c>
      <c r="Z69" s="9">
        <v>2.44</v>
      </c>
      <c r="AA69" s="8">
        <v>6.3</v>
      </c>
      <c r="AB69" s="8">
        <v>14195</v>
      </c>
      <c r="AC69" s="21" t="s">
        <v>1051</v>
      </c>
      <c r="AD69" s="8" t="s">
        <v>4022</v>
      </c>
      <c r="AE69" s="8" t="s">
        <v>3681</v>
      </c>
      <c r="AF69" s="9">
        <f t="shared" si="16"/>
        <v>22.238999999999997</v>
      </c>
      <c r="AG69" s="9">
        <f t="shared" si="17"/>
        <v>17.22</v>
      </c>
      <c r="AH69" s="9">
        <f t="shared" si="18"/>
        <v>2.8750975479525209E-2</v>
      </c>
      <c r="AI69" s="9">
        <f t="shared" si="19"/>
        <v>8.266185910242598E-4</v>
      </c>
      <c r="AJ69" s="9">
        <f t="shared" si="20"/>
        <v>2.2805627713955844E-2</v>
      </c>
      <c r="AK69" s="9">
        <f t="shared" si="21"/>
        <v>5.2009665542755083E-4</v>
      </c>
      <c r="AL69" s="9">
        <f t="shared" si="22"/>
        <v>1.5506317557725338E-2</v>
      </c>
      <c r="AM69" s="9">
        <f t="shared" si="23"/>
        <v>2.404458842010211E-4</v>
      </c>
      <c r="AN69" s="8" t="s">
        <v>1051</v>
      </c>
    </row>
    <row r="70" spans="13:40" ht="23">
      <c r="M70" s="9" t="s">
        <v>3417</v>
      </c>
      <c r="N70" s="8" t="s">
        <v>1990</v>
      </c>
      <c r="O70" s="8"/>
      <c r="P70" s="8"/>
      <c r="Q70" s="8"/>
      <c r="R70" s="8"/>
      <c r="S70" s="8"/>
      <c r="T70" s="8"/>
      <c r="U70" s="8"/>
      <c r="V70" s="8"/>
      <c r="W70" s="9" t="s">
        <v>3417</v>
      </c>
      <c r="X70" s="8">
        <v>36.229999999999997</v>
      </c>
      <c r="Y70" s="8">
        <v>2.74</v>
      </c>
      <c r="Z70" s="9">
        <v>0.45</v>
      </c>
      <c r="AA70" s="8">
        <v>6.1</v>
      </c>
      <c r="AB70" s="8">
        <v>21410</v>
      </c>
      <c r="AC70" s="22" t="s">
        <v>3417</v>
      </c>
      <c r="AD70" s="8" t="s">
        <v>4022</v>
      </c>
      <c r="AE70" s="8" t="s">
        <v>3681</v>
      </c>
      <c r="AF70" s="9">
        <f t="shared" si="16"/>
        <v>16.713999999999999</v>
      </c>
      <c r="AG70" s="9">
        <f t="shared" si="17"/>
        <v>4.5749999999999993</v>
      </c>
      <c r="AH70" s="9">
        <f t="shared" si="18"/>
        <v>2.7838246099222821E-2</v>
      </c>
      <c r="AI70" s="9">
        <f t="shared" si="19"/>
        <v>7.7496794588089466E-4</v>
      </c>
      <c r="AJ70" s="9">
        <f t="shared" si="20"/>
        <v>1.7139856181080895E-2</v>
      </c>
      <c r="AK70" s="9">
        <f t="shared" si="21"/>
        <v>2.9377466990813695E-4</v>
      </c>
      <c r="AL70" s="9">
        <f t="shared" si="22"/>
        <v>4.1197098040995023E-3</v>
      </c>
      <c r="AM70" s="9">
        <f t="shared" si="23"/>
        <v>1.6972008869993559E-5</v>
      </c>
      <c r="AN70" s="9" t="s">
        <v>3417</v>
      </c>
    </row>
    <row r="71" spans="13:40" ht="23">
      <c r="M71" s="8" t="s">
        <v>673</v>
      </c>
      <c r="N71" s="8" t="s">
        <v>150</v>
      </c>
      <c r="O71" s="8"/>
      <c r="P71" s="8"/>
      <c r="Q71" s="8"/>
      <c r="R71" s="8"/>
      <c r="S71" s="8"/>
      <c r="T71" s="8"/>
      <c r="U71" s="8"/>
      <c r="V71" s="8"/>
      <c r="W71" s="8" t="s">
        <v>673</v>
      </c>
      <c r="X71" s="8">
        <v>35.869999999999997</v>
      </c>
      <c r="Y71" s="8">
        <v>3.05</v>
      </c>
      <c r="Z71" s="9">
        <v>3.3</v>
      </c>
      <c r="AA71" s="8">
        <v>5.9</v>
      </c>
      <c r="AB71" s="8">
        <v>18859</v>
      </c>
      <c r="AC71" s="21" t="s">
        <v>673</v>
      </c>
      <c r="AD71" s="8" t="s">
        <v>4022</v>
      </c>
      <c r="AE71" s="8" t="s">
        <v>3681</v>
      </c>
      <c r="AF71" s="9">
        <f t="shared" si="16"/>
        <v>17.995000000000001</v>
      </c>
      <c r="AG71" s="9">
        <f t="shared" si="17"/>
        <v>17.729500000000002</v>
      </c>
      <c r="AH71" s="9">
        <f t="shared" si="18"/>
        <v>2.6925516718920437E-2</v>
      </c>
      <c r="AI71" s="9">
        <f t="shared" si="19"/>
        <v>7.2498345058086397E-4</v>
      </c>
      <c r="AJ71" s="9">
        <f t="shared" si="20"/>
        <v>1.8453494793499507E-2</v>
      </c>
      <c r="AK71" s="9">
        <f t="shared" si="21"/>
        <v>3.405314700937134E-4</v>
      </c>
      <c r="AL71" s="9">
        <f t="shared" si="22"/>
        <v>1.5965113655034346E-2</v>
      </c>
      <c r="AM71" s="9">
        <f t="shared" si="23"/>
        <v>2.5488485401816411E-4</v>
      </c>
      <c r="AN71" s="8" t="s">
        <v>673</v>
      </c>
    </row>
    <row r="72" spans="13:40" ht="23">
      <c r="M72" s="9" t="s">
        <v>2634</v>
      </c>
      <c r="N72" s="8" t="s">
        <v>150</v>
      </c>
      <c r="O72" s="8"/>
      <c r="P72" s="8"/>
      <c r="Q72" s="8"/>
      <c r="R72" s="8"/>
      <c r="S72" s="8"/>
      <c r="T72" s="8"/>
      <c r="U72" s="8"/>
      <c r="V72" s="8"/>
      <c r="W72" s="9" t="s">
        <v>2634</v>
      </c>
      <c r="X72" s="8">
        <v>17.36</v>
      </c>
      <c r="Y72" s="8">
        <v>4.29</v>
      </c>
      <c r="Z72" s="9">
        <v>6.3</v>
      </c>
      <c r="AA72" s="8">
        <v>5.6</v>
      </c>
      <c r="AB72" s="8">
        <v>18822</v>
      </c>
      <c r="AC72" s="22" t="s">
        <v>2634</v>
      </c>
      <c r="AD72" s="8" t="s">
        <v>4022</v>
      </c>
      <c r="AE72" s="8" t="s">
        <v>3681</v>
      </c>
      <c r="AF72" s="9">
        <f t="shared" si="16"/>
        <v>24.023999999999997</v>
      </c>
      <c r="AG72" s="9">
        <f t="shared" si="17"/>
        <v>33.628</v>
      </c>
      <c r="AH72" s="9">
        <f t="shared" si="18"/>
        <v>2.5556422648466848E-2</v>
      </c>
      <c r="AI72" s="9">
        <f t="shared" si="19"/>
        <v>6.5313073858706925E-4</v>
      </c>
      <c r="AJ72" s="9">
        <f t="shared" si="20"/>
        <v>2.4636107747653908E-2</v>
      </c>
      <c r="AK72" s="9">
        <f t="shared" si="21"/>
        <v>6.0693780495401294E-4</v>
      </c>
      <c r="AL72" s="9">
        <f t="shared" si="22"/>
        <v>3.0281442905411595E-2</v>
      </c>
      <c r="AM72" s="9">
        <f t="shared" si="23"/>
        <v>9.1696578443370219E-4</v>
      </c>
      <c r="AN72" s="9" t="s">
        <v>2634</v>
      </c>
    </row>
    <row r="73" spans="13:40" ht="23">
      <c r="M73" s="9" t="s">
        <v>2738</v>
      </c>
      <c r="N73" s="8" t="s">
        <v>1614</v>
      </c>
      <c r="O73" s="8"/>
      <c r="P73" s="8" t="s">
        <v>3704</v>
      </c>
      <c r="Q73" s="8"/>
      <c r="R73" s="8"/>
      <c r="S73" s="8"/>
      <c r="T73" s="8"/>
      <c r="U73" s="8"/>
      <c r="V73" s="8"/>
      <c r="W73" s="9" t="s">
        <v>2738</v>
      </c>
      <c r="X73" s="8">
        <v>11.97</v>
      </c>
      <c r="Y73" s="8">
        <v>6.42</v>
      </c>
      <c r="Z73" s="9">
        <v>4.25</v>
      </c>
      <c r="AA73" s="8">
        <v>5.2</v>
      </c>
      <c r="AB73" s="8">
        <v>18818</v>
      </c>
      <c r="AC73" s="22" t="s">
        <v>2738</v>
      </c>
      <c r="AD73" s="8" t="s">
        <v>4022</v>
      </c>
      <c r="AE73" s="8" t="s">
        <v>3681</v>
      </c>
      <c r="AF73" s="9">
        <f t="shared" si="16"/>
        <v>33.384</v>
      </c>
      <c r="AG73" s="9">
        <f t="shared" si="17"/>
        <v>22.966666666666669</v>
      </c>
      <c r="AH73" s="9">
        <f t="shared" si="18"/>
        <v>2.3730963887862076E-2</v>
      </c>
      <c r="AI73" s="9">
        <f t="shared" si="19"/>
        <v>5.6315864704701397E-4</v>
      </c>
      <c r="AJ73" s="9">
        <f t="shared" si="20"/>
        <v>3.4234591285700888E-2</v>
      </c>
      <c r="AK73" s="9">
        <f t="shared" si="21"/>
        <v>1.1720072404989871E-3</v>
      </c>
      <c r="AL73" s="9">
        <f t="shared" si="22"/>
        <v>2.0681093297082384E-2</v>
      </c>
      <c r="AM73" s="9">
        <f t="shared" si="23"/>
        <v>4.2770761996262593E-4</v>
      </c>
      <c r="AN73" s="9" t="s">
        <v>2738</v>
      </c>
    </row>
    <row r="74" spans="13:40" ht="23">
      <c r="M74" s="8" t="s">
        <v>101</v>
      </c>
      <c r="N74" s="8" t="s">
        <v>82</v>
      </c>
      <c r="O74" s="8" t="s">
        <v>4163</v>
      </c>
      <c r="P74" s="8"/>
      <c r="Q74" s="8"/>
      <c r="R74" s="8"/>
      <c r="S74" s="8"/>
      <c r="T74" s="8"/>
      <c r="U74" s="8"/>
      <c r="V74" s="8"/>
      <c r="W74" s="8" t="s">
        <v>101</v>
      </c>
      <c r="X74" s="8">
        <v>40.74</v>
      </c>
      <c r="Y74" s="8">
        <v>2.06</v>
      </c>
      <c r="Z74" s="9">
        <v>1.26</v>
      </c>
      <c r="AA74" s="8">
        <v>4.8</v>
      </c>
      <c r="AB74" s="8">
        <v>23807</v>
      </c>
      <c r="AC74" s="21" t="s">
        <v>101</v>
      </c>
      <c r="AD74" s="8" t="s">
        <v>4022</v>
      </c>
      <c r="AE74" s="8" t="s">
        <v>3681</v>
      </c>
      <c r="AF74" s="9">
        <f t="shared" si="16"/>
        <v>9.8879999999999999</v>
      </c>
      <c r="AG74" s="9">
        <f t="shared" si="17"/>
        <v>6.88</v>
      </c>
      <c r="AH74" s="9">
        <f t="shared" si="18"/>
        <v>2.1905505127257301E-2</v>
      </c>
      <c r="AI74" s="9">
        <f t="shared" si="19"/>
        <v>4.7985115488029587E-4</v>
      </c>
      <c r="AJ74" s="9">
        <f t="shared" si="20"/>
        <v>1.0139936455577833E-2</v>
      </c>
      <c r="AK74" s="9">
        <f t="shared" si="21"/>
        <v>1.0281831132315635E-4</v>
      </c>
      <c r="AL74" s="9">
        <f t="shared" si="22"/>
        <v>6.1953231589518204E-3</v>
      </c>
      <c r="AM74" s="9">
        <f t="shared" si="23"/>
        <v>3.8382029043844762E-5</v>
      </c>
      <c r="AN74" s="8" t="s">
        <v>101</v>
      </c>
    </row>
    <row r="75" spans="13:40" ht="23">
      <c r="M75" s="8" t="s">
        <v>507</v>
      </c>
      <c r="N75" s="8" t="s">
        <v>150</v>
      </c>
      <c r="O75" s="8"/>
      <c r="P75" s="8"/>
      <c r="Q75" s="8"/>
      <c r="R75" s="8"/>
      <c r="S75" s="8"/>
      <c r="T75" s="8"/>
      <c r="U75" s="8"/>
      <c r="V75" s="8"/>
      <c r="W75" s="8" t="s">
        <v>507</v>
      </c>
      <c r="X75" s="8">
        <v>35.24</v>
      </c>
      <c r="Y75" s="8">
        <v>3.09</v>
      </c>
      <c r="Z75" s="9">
        <v>1.24</v>
      </c>
      <c r="AA75" s="8">
        <v>4.7</v>
      </c>
      <c r="AB75" s="8">
        <v>24747</v>
      </c>
      <c r="AC75" s="21" t="s">
        <v>507</v>
      </c>
      <c r="AD75" s="8" t="s">
        <v>4631</v>
      </c>
      <c r="AE75" s="8" t="s">
        <v>3681</v>
      </c>
      <c r="AF75" s="9">
        <f t="shared" si="16"/>
        <v>14.523</v>
      </c>
      <c r="AG75" s="9">
        <f t="shared" si="17"/>
        <v>6.58</v>
      </c>
      <c r="AH75" s="9">
        <f t="shared" si="18"/>
        <v>2.1449140437106107E-2</v>
      </c>
      <c r="AI75" s="9">
        <f t="shared" si="19"/>
        <v>4.6006562549070037E-4</v>
      </c>
      <c r="AJ75" s="9">
        <f t="shared" si="20"/>
        <v>1.4893031669129943E-2</v>
      </c>
      <c r="AK75" s="9">
        <f t="shared" si="21"/>
        <v>2.2180239229770742E-4</v>
      </c>
      <c r="AL75" s="9">
        <f t="shared" si="22"/>
        <v>5.9251782537649679E-3</v>
      </c>
      <c r="AM75" s="9">
        <f t="shared" si="23"/>
        <v>3.5107737338889273E-5</v>
      </c>
      <c r="AN75" s="8" t="s">
        <v>507</v>
      </c>
    </row>
    <row r="76" spans="13:40" ht="23">
      <c r="M76" s="9" t="s">
        <v>2630</v>
      </c>
      <c r="N76" s="8" t="s">
        <v>150</v>
      </c>
      <c r="O76" s="8"/>
      <c r="P76" s="8"/>
      <c r="Q76" s="8"/>
      <c r="R76" s="8"/>
      <c r="S76" s="8"/>
      <c r="T76" s="8"/>
      <c r="U76" s="8"/>
      <c r="V76" s="8"/>
      <c r="W76" s="9" t="s">
        <v>2630</v>
      </c>
      <c r="X76" s="8">
        <v>16.29</v>
      </c>
      <c r="Y76" s="8">
        <v>1.54</v>
      </c>
      <c r="Z76" s="9">
        <v>0.55000000000000004</v>
      </c>
      <c r="AA76" s="8">
        <v>4.7</v>
      </c>
      <c r="AB76" s="8">
        <v>47773</v>
      </c>
      <c r="AC76" s="22" t="s">
        <v>2630</v>
      </c>
      <c r="AD76" s="8" t="s">
        <v>4631</v>
      </c>
      <c r="AE76" s="8" t="s">
        <v>3681</v>
      </c>
      <c r="AF76" s="9">
        <f t="shared" si="16"/>
        <v>7.2380000000000004</v>
      </c>
      <c r="AG76" s="9">
        <f t="shared" si="17"/>
        <v>4.3083333333333336</v>
      </c>
      <c r="AH76" s="9">
        <f t="shared" si="18"/>
        <v>2.1449140437106107E-2</v>
      </c>
      <c r="AI76" s="9">
        <f t="shared" si="19"/>
        <v>4.6006562549070037E-4</v>
      </c>
      <c r="AJ76" s="9">
        <f t="shared" si="20"/>
        <v>7.4224170778188076E-3</v>
      </c>
      <c r="AK76" s="9">
        <f t="shared" si="21"/>
        <v>5.5092275277096284E-5</v>
      </c>
      <c r="AL76" s="9">
        <f t="shared" si="22"/>
        <v>3.8795809994889665E-3</v>
      </c>
      <c r="AM76" s="9">
        <f t="shared" si="23"/>
        <v>1.5051148731595808E-5</v>
      </c>
      <c r="AN76" s="9" t="s">
        <v>2630</v>
      </c>
    </row>
    <row r="77" spans="13:40" ht="23">
      <c r="M77" s="9" t="s">
        <v>2171</v>
      </c>
      <c r="N77" s="8" t="s">
        <v>150</v>
      </c>
      <c r="O77" s="8"/>
      <c r="P77" s="8"/>
      <c r="Q77" s="8"/>
      <c r="R77" s="8"/>
      <c r="S77" s="8"/>
      <c r="T77" s="8"/>
      <c r="U77" s="8"/>
      <c r="V77" s="8"/>
      <c r="W77" s="9" t="s">
        <v>2171</v>
      </c>
      <c r="X77" s="8">
        <v>39.770000000000003</v>
      </c>
      <c r="Y77" s="8">
        <v>3.24</v>
      </c>
      <c r="Z77" s="9">
        <v>1</v>
      </c>
      <c r="AA77" s="8">
        <v>4.4000000000000004</v>
      </c>
      <c r="AB77" s="8">
        <v>42385</v>
      </c>
      <c r="AC77" s="22" t="s">
        <v>2171</v>
      </c>
      <c r="AD77" s="8" t="s">
        <v>4022</v>
      </c>
      <c r="AE77" s="8" t="s">
        <v>3681</v>
      </c>
      <c r="AF77" s="9">
        <f t="shared" si="16"/>
        <v>14.256000000000002</v>
      </c>
      <c r="AG77" s="9">
        <f t="shared" si="17"/>
        <v>4.4733333333333336</v>
      </c>
      <c r="AH77" s="9">
        <f t="shared" si="18"/>
        <v>2.0080046366652528E-2</v>
      </c>
      <c r="AI77" s="9">
        <f t="shared" si="19"/>
        <v>4.0320826208691544E-4</v>
      </c>
      <c r="AJ77" s="9">
        <f t="shared" si="20"/>
        <v>1.4619228773333093E-2</v>
      </c>
      <c r="AK77" s="9">
        <f t="shared" si="21"/>
        <v>2.1372184992705023E-4</v>
      </c>
      <c r="AL77" s="9">
        <f t="shared" si="22"/>
        <v>4.0281606973417358E-3</v>
      </c>
      <c r="AM77" s="9">
        <f t="shared" si="23"/>
        <v>1.6226078603608658E-5</v>
      </c>
      <c r="AN77" s="9" t="s">
        <v>2171</v>
      </c>
    </row>
    <row r="78" spans="13:40" ht="23">
      <c r="M78" s="8" t="s">
        <v>1050</v>
      </c>
      <c r="N78" s="8" t="s">
        <v>150</v>
      </c>
      <c r="O78" s="8"/>
      <c r="P78" s="8"/>
      <c r="Q78" s="8"/>
      <c r="R78" s="8"/>
      <c r="S78" s="8"/>
      <c r="T78" s="8"/>
      <c r="U78" s="8"/>
      <c r="V78" s="8"/>
      <c r="W78" s="8" t="s">
        <v>1050</v>
      </c>
      <c r="X78" s="8">
        <v>39.130000000000003</v>
      </c>
      <c r="Y78" s="8">
        <v>3.84</v>
      </c>
      <c r="Z78" s="9">
        <v>9.1</v>
      </c>
      <c r="AA78" s="8">
        <v>4.0999999999999996</v>
      </c>
      <c r="AB78" s="8">
        <v>36675</v>
      </c>
      <c r="AC78" s="21" t="s">
        <v>1050</v>
      </c>
      <c r="AD78" s="8" t="s">
        <v>4570</v>
      </c>
      <c r="AE78" s="8" t="s">
        <v>3681</v>
      </c>
      <c r="AF78" s="9">
        <f t="shared" si="16"/>
        <v>15.743999999999998</v>
      </c>
      <c r="AG78" s="9">
        <f t="shared" si="17"/>
        <v>36.906833333333331</v>
      </c>
      <c r="AH78" s="9">
        <f t="shared" si="18"/>
        <v>1.8710952296198943E-2</v>
      </c>
      <c r="AI78" s="9">
        <f t="shared" si="19"/>
        <v>3.5009973583063252E-4</v>
      </c>
      <c r="AJ78" s="9">
        <f t="shared" si="20"/>
        <v>1.6145141540920043E-2</v>
      </c>
      <c r="AK78" s="9">
        <f t="shared" si="21"/>
        <v>2.6066559537634202E-4</v>
      </c>
      <c r="AL78" s="9">
        <f t="shared" si="22"/>
        <v>3.3233976638601011E-2</v>
      </c>
      <c r="AM78" s="9">
        <f t="shared" si="23"/>
        <v>1.1044972032150777E-3</v>
      </c>
      <c r="AN78" s="8" t="s">
        <v>1050</v>
      </c>
    </row>
    <row r="79" spans="13:40" ht="23">
      <c r="M79" s="9" t="s">
        <v>2442</v>
      </c>
      <c r="N79" s="8" t="s">
        <v>150</v>
      </c>
      <c r="O79" s="8"/>
      <c r="P79" s="8" t="s">
        <v>3691</v>
      </c>
      <c r="Q79" s="8"/>
      <c r="R79" s="8"/>
      <c r="S79" s="8"/>
      <c r="T79" s="8"/>
      <c r="U79" s="8"/>
      <c r="V79" s="8"/>
      <c r="W79" s="9" t="s">
        <v>2442</v>
      </c>
      <c r="X79" s="8">
        <v>25.63</v>
      </c>
      <c r="Y79" s="8">
        <v>5.04</v>
      </c>
      <c r="Z79" s="9">
        <v>4.49</v>
      </c>
      <c r="AA79" s="8">
        <v>3.9</v>
      </c>
      <c r="AB79" s="8">
        <v>19527</v>
      </c>
      <c r="AC79" s="22" t="s">
        <v>2442</v>
      </c>
      <c r="AD79" s="8" t="s">
        <v>4570</v>
      </c>
      <c r="AE79" s="8" t="s">
        <v>3681</v>
      </c>
      <c r="AF79" s="9">
        <f t="shared" si="16"/>
        <v>19.655999999999999</v>
      </c>
      <c r="AG79" s="9">
        <f t="shared" si="17"/>
        <v>18.785</v>
      </c>
      <c r="AH79" s="9">
        <f t="shared" si="18"/>
        <v>1.7798222915896555E-2</v>
      </c>
      <c r="AI79" s="9">
        <f t="shared" si="19"/>
        <v>3.1677673896394527E-4</v>
      </c>
      <c r="AJ79" s="9">
        <f t="shared" si="20"/>
        <v>2.0156815429898653E-2</v>
      </c>
      <c r="AK79" s="9">
        <f t="shared" si="21"/>
        <v>4.062972082750004E-4</v>
      </c>
      <c r="AL79" s="9">
        <f t="shared" si="22"/>
        <v>1.6915573479783421E-2</v>
      </c>
      <c r="AM79" s="9">
        <f t="shared" si="23"/>
        <v>2.8613662614995219E-4</v>
      </c>
      <c r="AN79" s="9" t="s">
        <v>2442</v>
      </c>
    </row>
    <row r="80" spans="13:40" ht="23">
      <c r="M80" s="9" t="s">
        <v>2488</v>
      </c>
      <c r="N80" s="8" t="s">
        <v>150</v>
      </c>
      <c r="O80" s="8"/>
      <c r="P80" s="8" t="s">
        <v>3691</v>
      </c>
      <c r="Q80" s="8"/>
      <c r="R80" s="8"/>
      <c r="S80" s="8"/>
      <c r="T80" s="8"/>
      <c r="U80" s="8"/>
      <c r="V80" s="8"/>
      <c r="W80" s="9" t="s">
        <v>2488</v>
      </c>
      <c r="X80" s="8">
        <v>43.02</v>
      </c>
      <c r="Y80" s="8">
        <v>4.79</v>
      </c>
      <c r="Z80" s="9">
        <v>3.55</v>
      </c>
      <c r="AA80" s="8">
        <v>3.9</v>
      </c>
      <c r="AB80" s="8">
        <v>29316</v>
      </c>
      <c r="AC80" s="22" t="s">
        <v>2488</v>
      </c>
      <c r="AD80" s="8" t="s">
        <v>4570</v>
      </c>
      <c r="AE80" s="8" t="s">
        <v>3681</v>
      </c>
      <c r="AF80" s="9">
        <f t="shared" si="16"/>
        <v>18.681000000000001</v>
      </c>
      <c r="AG80" s="9">
        <f t="shared" si="17"/>
        <v>15.274999999999999</v>
      </c>
      <c r="AH80" s="9">
        <f t="shared" si="18"/>
        <v>1.7798222915896555E-2</v>
      </c>
      <c r="AI80" s="9">
        <f t="shared" si="19"/>
        <v>3.1677673896394527E-4</v>
      </c>
      <c r="AJ80" s="9">
        <f t="shared" si="20"/>
        <v>1.9156973394685431E-2</v>
      </c>
      <c r="AK80" s="9">
        <f t="shared" si="21"/>
        <v>3.6698962964468542E-4</v>
      </c>
      <c r="AL80" s="9">
        <f t="shared" si="22"/>
        <v>1.3754878089097243E-2</v>
      </c>
      <c r="AM80" s="9">
        <f t="shared" si="23"/>
        <v>1.8919667124592742E-4</v>
      </c>
      <c r="AN80" s="9" t="s">
        <v>2488</v>
      </c>
    </row>
    <row r="81" spans="13:40" ht="23">
      <c r="M81" s="9" t="s">
        <v>2407</v>
      </c>
      <c r="N81" s="8" t="s">
        <v>150</v>
      </c>
      <c r="O81" s="8"/>
      <c r="P81" s="8"/>
      <c r="Q81" s="8"/>
      <c r="R81" s="8"/>
      <c r="S81" s="8"/>
      <c r="T81" s="8"/>
      <c r="U81" s="8"/>
      <c r="V81" s="8"/>
      <c r="W81" s="9" t="s">
        <v>2407</v>
      </c>
      <c r="X81" s="8">
        <v>31.12</v>
      </c>
      <c r="Y81" s="8">
        <v>4.16</v>
      </c>
      <c r="Z81" s="9">
        <v>5.26</v>
      </c>
      <c r="AA81" s="8">
        <v>3.5</v>
      </c>
      <c r="AB81" s="8">
        <v>29195</v>
      </c>
      <c r="AC81" s="22" t="s">
        <v>2407</v>
      </c>
      <c r="AD81" s="8" t="s">
        <v>4570</v>
      </c>
      <c r="AE81" s="8" t="s">
        <v>3681</v>
      </c>
      <c r="AF81" s="9">
        <f t="shared" si="16"/>
        <v>14.56</v>
      </c>
      <c r="AG81" s="9">
        <f t="shared" si="17"/>
        <v>19.016666666666666</v>
      </c>
      <c r="AH81" s="9">
        <f t="shared" si="18"/>
        <v>1.5972764155291783E-2</v>
      </c>
      <c r="AI81" s="9">
        <f t="shared" si="19"/>
        <v>2.5512919476057403E-4</v>
      </c>
      <c r="AJ81" s="9">
        <f t="shared" si="20"/>
        <v>1.4930974392517523E-2</v>
      </c>
      <c r="AK81" s="9">
        <f t="shared" si="21"/>
        <v>2.2293399631001404E-4</v>
      </c>
      <c r="AL81" s="9">
        <f t="shared" si="22"/>
        <v>1.7124185378788823E-2</v>
      </c>
      <c r="AM81" s="9">
        <f t="shared" si="23"/>
        <v>2.9323772488712489E-4</v>
      </c>
      <c r="AN81" s="9" t="s">
        <v>2407</v>
      </c>
    </row>
    <row r="82" spans="13:40" ht="23">
      <c r="M82" s="9" t="s">
        <v>3005</v>
      </c>
      <c r="N82" s="8" t="s">
        <v>1717</v>
      </c>
      <c r="O82" s="8"/>
      <c r="P82" s="8"/>
      <c r="Q82" s="8"/>
      <c r="R82" s="8"/>
      <c r="S82" s="8"/>
      <c r="T82" s="8"/>
      <c r="U82" s="8"/>
      <c r="V82" s="8"/>
      <c r="W82" s="9" t="s">
        <v>3005</v>
      </c>
      <c r="X82" s="8">
        <v>37.35</v>
      </c>
      <c r="Y82" s="8">
        <v>3.35</v>
      </c>
      <c r="Z82" s="9">
        <v>3.01</v>
      </c>
      <c r="AA82" s="8">
        <v>3.4</v>
      </c>
      <c r="AB82" s="8">
        <v>26532</v>
      </c>
      <c r="AC82" s="22" t="s">
        <v>3005</v>
      </c>
      <c r="AD82" s="8" t="s">
        <v>4570</v>
      </c>
      <c r="AE82" s="8" t="s">
        <v>3681</v>
      </c>
      <c r="AF82" s="9">
        <f t="shared" si="16"/>
        <v>11.39</v>
      </c>
      <c r="AG82" s="9">
        <f t="shared" si="17"/>
        <v>10.256666666666666</v>
      </c>
      <c r="AH82" s="9">
        <f t="shared" si="18"/>
        <v>1.5516399465140588E-2</v>
      </c>
      <c r="AI82" s="9">
        <f t="shared" si="19"/>
        <v>2.4075865236181511E-4</v>
      </c>
      <c r="AJ82" s="9">
        <f t="shared" si="20"/>
        <v>1.1680205929311441E-2</v>
      </c>
      <c r="AK82" s="9">
        <f t="shared" si="21"/>
        <v>1.3642721055112214E-4</v>
      </c>
      <c r="AL82" s="9">
        <f t="shared" si="22"/>
        <v>9.235954147332727E-3</v>
      </c>
      <c r="AM82" s="9">
        <f t="shared" si="23"/>
        <v>8.5302849011632595E-5</v>
      </c>
      <c r="AN82" s="9" t="s">
        <v>3005</v>
      </c>
    </row>
    <row r="83" spans="13:40" ht="23">
      <c r="M83" s="8" t="s">
        <v>1271</v>
      </c>
      <c r="N83" s="8" t="s">
        <v>150</v>
      </c>
      <c r="O83" s="8"/>
      <c r="P83" s="8"/>
      <c r="Q83" s="8"/>
      <c r="R83" s="8"/>
      <c r="S83" s="8"/>
      <c r="T83" s="8"/>
      <c r="U83" s="8"/>
      <c r="V83" s="8"/>
      <c r="W83" s="8" t="s">
        <v>1271</v>
      </c>
      <c r="X83" s="8">
        <v>68.77</v>
      </c>
      <c r="Y83" s="8">
        <v>2.29</v>
      </c>
      <c r="Z83" s="9">
        <v>0.49</v>
      </c>
      <c r="AA83" s="8">
        <v>3.3</v>
      </c>
      <c r="AB83" s="8">
        <v>45007</v>
      </c>
      <c r="AC83" s="21" t="s">
        <v>1271</v>
      </c>
      <c r="AD83" s="8" t="s">
        <v>4022</v>
      </c>
      <c r="AE83" s="8" t="s">
        <v>3681</v>
      </c>
      <c r="AF83" s="9">
        <f t="shared" si="16"/>
        <v>7.5569999999999995</v>
      </c>
      <c r="AG83" s="9">
        <f t="shared" si="17"/>
        <v>2.6949999999999998</v>
      </c>
      <c r="AH83" s="9">
        <f t="shared" si="18"/>
        <v>1.5060034774989394E-2</v>
      </c>
      <c r="AI83" s="9">
        <f t="shared" si="19"/>
        <v>2.2680464742388983E-4</v>
      </c>
      <c r="AJ83" s="9">
        <f t="shared" si="20"/>
        <v>7.7495448821603636E-3</v>
      </c>
      <c r="AK83" s="9">
        <f t="shared" si="21"/>
        <v>6.0055445880617882E-5</v>
      </c>
      <c r="AL83" s="9">
        <f t="shared" si="22"/>
        <v>2.4268017315952255E-3</v>
      </c>
      <c r="AM83" s="9">
        <f t="shared" si="23"/>
        <v>5.889366644473585E-6</v>
      </c>
      <c r="AN83" s="8" t="s">
        <v>1271</v>
      </c>
    </row>
    <row r="84" spans="13:40" ht="23">
      <c r="M84" s="9" t="s">
        <v>2240</v>
      </c>
      <c r="N84" s="8" t="s">
        <v>150</v>
      </c>
      <c r="O84" s="8"/>
      <c r="P84" s="8"/>
      <c r="Q84" s="8"/>
      <c r="R84" s="8"/>
      <c r="S84" s="8"/>
      <c r="T84" s="8"/>
      <c r="U84" s="8"/>
      <c r="V84" s="8"/>
      <c r="W84" s="9" t="s">
        <v>2240</v>
      </c>
      <c r="X84" s="8">
        <v>27.76</v>
      </c>
      <c r="Y84" s="8">
        <v>4.8899999999999997</v>
      </c>
      <c r="Z84" s="9">
        <v>3.16</v>
      </c>
      <c r="AA84" s="8">
        <v>3.1</v>
      </c>
      <c r="AB84" s="8">
        <v>29073</v>
      </c>
      <c r="AC84" s="22" t="s">
        <v>2240</v>
      </c>
      <c r="AD84" s="8" t="s">
        <v>4041</v>
      </c>
      <c r="AE84" s="8" t="s">
        <v>3681</v>
      </c>
      <c r="AF84" s="9">
        <f t="shared" si="16"/>
        <v>15.158999999999999</v>
      </c>
      <c r="AG84" s="9">
        <f t="shared" si="17"/>
        <v>10.126666666666667</v>
      </c>
      <c r="AH84" s="9">
        <f t="shared" si="18"/>
        <v>1.4147305394687009E-2</v>
      </c>
      <c r="AI84" s="9">
        <f t="shared" si="19"/>
        <v>2.0014624993054016E-4</v>
      </c>
      <c r="AJ84" s="9">
        <f t="shared" si="20"/>
        <v>1.5545236319792108E-2</v>
      </c>
      <c r="AK84" s="9">
        <f t="shared" si="21"/>
        <v>2.4165437223818369E-4</v>
      </c>
      <c r="AL84" s="9">
        <f t="shared" si="22"/>
        <v>9.118891355085092E-3</v>
      </c>
      <c r="AM84" s="9">
        <f t="shared" si="23"/>
        <v>8.3154179545845622E-5</v>
      </c>
      <c r="AN84" s="9" t="s">
        <v>2240</v>
      </c>
    </row>
    <row r="85" spans="13:40" ht="23">
      <c r="M85" s="8" t="s">
        <v>163</v>
      </c>
      <c r="N85" s="8" t="s">
        <v>150</v>
      </c>
      <c r="O85" s="8"/>
      <c r="P85" s="8"/>
      <c r="Q85" s="8"/>
      <c r="R85" s="8"/>
      <c r="S85" s="8"/>
      <c r="T85" s="8"/>
      <c r="U85" s="8"/>
      <c r="V85" s="8"/>
      <c r="W85" s="8" t="s">
        <v>163</v>
      </c>
      <c r="X85" s="8">
        <v>30.21</v>
      </c>
      <c r="Y85" s="8">
        <v>2.84</v>
      </c>
      <c r="Z85" s="9">
        <v>4.03</v>
      </c>
      <c r="AA85" s="8">
        <v>3</v>
      </c>
      <c r="AB85" s="8">
        <v>30645</v>
      </c>
      <c r="AC85" s="21" t="s">
        <v>163</v>
      </c>
      <c r="AD85" s="8" t="s">
        <v>4022</v>
      </c>
      <c r="AE85" s="8" t="s">
        <v>3681</v>
      </c>
      <c r="AF85" s="9">
        <f t="shared" si="16"/>
        <v>8.52</v>
      </c>
      <c r="AG85" s="9">
        <f t="shared" si="17"/>
        <v>12.149999999999999</v>
      </c>
      <c r="AH85" s="9">
        <f t="shared" si="18"/>
        <v>1.3690940704535814E-2</v>
      </c>
      <c r="AI85" s="9">
        <f t="shared" si="19"/>
        <v>1.8744185737511562E-4</v>
      </c>
      <c r="AJ85" s="9">
        <f t="shared" si="20"/>
        <v>8.737081169247889E-3</v>
      </c>
      <c r="AK85" s="9">
        <f t="shared" si="21"/>
        <v>7.6336587358026063E-5</v>
      </c>
      <c r="AL85" s="9">
        <f t="shared" si="22"/>
        <v>1.094086866006753E-2</v>
      </c>
      <c r="AM85" s="9">
        <f t="shared" si="23"/>
        <v>1.1970260703684786E-4</v>
      </c>
      <c r="AN85" s="8" t="s">
        <v>163</v>
      </c>
    </row>
    <row r="86" spans="13:40" ht="23">
      <c r="M86" s="9" t="s">
        <v>3000</v>
      </c>
      <c r="N86" s="8" t="s">
        <v>1717</v>
      </c>
      <c r="O86" s="8"/>
      <c r="P86" s="8"/>
      <c r="Q86" s="8"/>
      <c r="R86" s="8"/>
      <c r="S86" s="8"/>
      <c r="T86" s="8"/>
      <c r="U86" s="8"/>
      <c r="V86" s="8"/>
      <c r="W86" s="9" t="s">
        <v>3000</v>
      </c>
      <c r="X86" s="8">
        <v>13.25</v>
      </c>
      <c r="Y86" s="8">
        <v>7.88</v>
      </c>
      <c r="Z86" s="9">
        <v>4.5599999999999996</v>
      </c>
      <c r="AA86" s="8">
        <v>2.6</v>
      </c>
      <c r="AB86" s="8">
        <v>43742</v>
      </c>
      <c r="AC86" s="22" t="s">
        <v>3000</v>
      </c>
      <c r="AD86" s="8" t="s">
        <v>4570</v>
      </c>
      <c r="AE86" s="8" t="s">
        <v>3681</v>
      </c>
      <c r="AF86" s="9">
        <f t="shared" si="16"/>
        <v>20.488</v>
      </c>
      <c r="AG86" s="9">
        <f t="shared" si="17"/>
        <v>12.826666666666668</v>
      </c>
      <c r="AH86" s="9">
        <f t="shared" si="18"/>
        <v>1.1865481943931038E-2</v>
      </c>
      <c r="AI86" s="9">
        <f t="shared" si="19"/>
        <v>1.4078966176175349E-4</v>
      </c>
      <c r="AJ86" s="9">
        <f t="shared" si="20"/>
        <v>2.1010013966613943E-2</v>
      </c>
      <c r="AK86" s="9">
        <f t="shared" si="21"/>
        <v>4.4142068687731293E-4</v>
      </c>
      <c r="AL86" s="9">
        <f t="shared" si="22"/>
        <v>1.1550195501766766E-2</v>
      </c>
      <c r="AM86" s="9">
        <f t="shared" si="23"/>
        <v>1.3340701612903324E-4</v>
      </c>
      <c r="AN86" s="9" t="s">
        <v>3000</v>
      </c>
    </row>
    <row r="87" spans="13:40" ht="23">
      <c r="M87" s="9" t="s">
        <v>3255</v>
      </c>
      <c r="N87" s="8" t="s">
        <v>1902</v>
      </c>
      <c r="O87" s="8"/>
      <c r="P87" s="8"/>
      <c r="Q87" s="8"/>
      <c r="R87" s="8"/>
      <c r="S87" s="8"/>
      <c r="T87" s="8"/>
      <c r="U87" s="8"/>
      <c r="V87" s="8"/>
      <c r="W87" s="9" t="s">
        <v>3255</v>
      </c>
      <c r="X87" s="8">
        <v>2.4700000000000002</v>
      </c>
      <c r="Y87" s="8">
        <v>2.33</v>
      </c>
      <c r="Z87" s="9">
        <v>0.4</v>
      </c>
      <c r="AA87" s="8">
        <v>2.5</v>
      </c>
      <c r="AB87" s="8">
        <v>65446</v>
      </c>
      <c r="AC87" s="22" t="s">
        <v>3255</v>
      </c>
      <c r="AD87" s="8" t="s">
        <v>4022</v>
      </c>
      <c r="AE87" s="8" t="s">
        <v>3681</v>
      </c>
      <c r="AF87" s="9">
        <f t="shared" si="16"/>
        <v>5.8250000000000002</v>
      </c>
      <c r="AG87" s="9">
        <f t="shared" si="17"/>
        <v>1.6666666666666666E-2</v>
      </c>
      <c r="AH87" s="9">
        <f t="shared" si="18"/>
        <v>1.1409117253779844E-2</v>
      </c>
      <c r="AI87" s="9">
        <f t="shared" si="19"/>
        <v>1.3016795651049694E-4</v>
      </c>
      <c r="AJ87" s="9">
        <f t="shared" si="20"/>
        <v>5.9734152360174835E-3</v>
      </c>
      <c r="AK87" s="9">
        <f t="shared" si="21"/>
        <v>3.5681689581885808E-5</v>
      </c>
      <c r="AL87" s="9">
        <f t="shared" si="22"/>
        <v>1.5008050288158477E-5</v>
      </c>
      <c r="AM87" s="9">
        <f t="shared" si="23"/>
        <v>2.2524157345189374E-10</v>
      </c>
      <c r="AN87" s="9" t="s">
        <v>3255</v>
      </c>
    </row>
    <row r="88" spans="13:40" ht="23">
      <c r="M88" s="8" t="s">
        <v>616</v>
      </c>
      <c r="N88" s="8" t="s">
        <v>150</v>
      </c>
      <c r="O88" s="8"/>
      <c r="P88" s="8"/>
      <c r="Q88" s="8"/>
      <c r="R88" s="8"/>
      <c r="S88" s="8"/>
      <c r="T88" s="8"/>
      <c r="U88" s="8"/>
      <c r="V88" s="8"/>
      <c r="W88" s="8" t="s">
        <v>616</v>
      </c>
      <c r="X88" s="8">
        <v>11.97</v>
      </c>
      <c r="Y88" s="8">
        <v>4.18</v>
      </c>
      <c r="Z88" s="9">
        <v>4.09</v>
      </c>
      <c r="AA88" s="8">
        <v>2.2999999999999998</v>
      </c>
      <c r="AB88" s="8">
        <v>37695</v>
      </c>
      <c r="AC88" s="21" t="s">
        <v>616</v>
      </c>
      <c r="AD88" s="8" t="s">
        <v>4570</v>
      </c>
      <c r="AE88" s="8" t="s">
        <v>3681</v>
      </c>
      <c r="AF88" s="9">
        <f t="shared" si="16"/>
        <v>9.613999999999999</v>
      </c>
      <c r="AG88" s="9">
        <f t="shared" si="17"/>
        <v>9.5449999999999999</v>
      </c>
      <c r="AH88" s="9">
        <f t="shared" si="18"/>
        <v>1.0496387873477456E-2</v>
      </c>
      <c r="AI88" s="9">
        <f t="shared" si="19"/>
        <v>1.101741583904846E-4</v>
      </c>
      <c r="AJ88" s="9">
        <f t="shared" si="20"/>
        <v>9.8589552067076536E-3</v>
      </c>
      <c r="AK88" s="9">
        <f t="shared" si="21"/>
        <v>9.7198997767867948E-5</v>
      </c>
      <c r="AL88" s="9">
        <f t="shared" si="22"/>
        <v>8.5951104000283607E-3</v>
      </c>
      <c r="AM88" s="9">
        <f t="shared" si="23"/>
        <v>7.3875922788675693E-5</v>
      </c>
      <c r="AN88" s="8" t="s">
        <v>616</v>
      </c>
    </row>
    <row r="89" spans="13:40" ht="23">
      <c r="M89" s="8" t="s">
        <v>355</v>
      </c>
      <c r="N89" s="8" t="s">
        <v>150</v>
      </c>
      <c r="O89" s="8"/>
      <c r="P89" s="8"/>
      <c r="Q89" s="8"/>
      <c r="R89" s="8"/>
      <c r="S89" s="8"/>
      <c r="T89" s="8"/>
      <c r="U89" s="8"/>
      <c r="V89" s="8"/>
      <c r="W89" s="8" t="s">
        <v>355</v>
      </c>
      <c r="X89" s="8">
        <v>18.77</v>
      </c>
      <c r="Y89" s="8">
        <v>4.24</v>
      </c>
      <c r="Z89" s="9">
        <v>2.36</v>
      </c>
      <c r="AA89" s="8">
        <v>2.2999999999999998</v>
      </c>
      <c r="AB89" s="8">
        <v>44200</v>
      </c>
      <c r="AC89" s="21" t="s">
        <v>355</v>
      </c>
      <c r="AD89" s="8" t="s">
        <v>4022</v>
      </c>
      <c r="AE89" s="8" t="s">
        <v>3681</v>
      </c>
      <c r="AF89" s="9">
        <f t="shared" si="16"/>
        <v>9.7519999999999989</v>
      </c>
      <c r="AG89" s="9">
        <f t="shared" si="17"/>
        <v>5.9799999999999995</v>
      </c>
      <c r="AH89" s="9">
        <f t="shared" si="18"/>
        <v>1.0496387873477456E-2</v>
      </c>
      <c r="AI89" s="9">
        <f t="shared" si="19"/>
        <v>1.101741583904846E-4</v>
      </c>
      <c r="AJ89" s="9">
        <f t="shared" si="20"/>
        <v>1.0000471310153218E-2</v>
      </c>
      <c r="AK89" s="9">
        <f t="shared" si="21"/>
        <v>1.0000942642519761E-4</v>
      </c>
      <c r="AL89" s="9">
        <f t="shared" si="22"/>
        <v>5.3848884433912612E-3</v>
      </c>
      <c r="AM89" s="9">
        <f t="shared" si="23"/>
        <v>2.899702354776876E-5</v>
      </c>
      <c r="AN89" s="8" t="s">
        <v>355</v>
      </c>
    </row>
    <row r="90" spans="13:40" ht="23">
      <c r="M90" s="8" t="s">
        <v>1933</v>
      </c>
      <c r="N90" s="8" t="s">
        <v>1902</v>
      </c>
      <c r="O90" s="8"/>
      <c r="P90" s="8" t="s">
        <v>3693</v>
      </c>
      <c r="Q90" s="8"/>
      <c r="R90" s="8"/>
      <c r="S90" s="8"/>
      <c r="T90" s="8"/>
      <c r="U90" s="8"/>
      <c r="V90" s="8"/>
      <c r="W90" s="8" t="s">
        <v>1933</v>
      </c>
      <c r="X90" s="8">
        <v>17.46</v>
      </c>
      <c r="Y90" s="8">
        <v>7.76</v>
      </c>
      <c r="Z90" s="9">
        <v>1.04</v>
      </c>
      <c r="AA90" s="8">
        <v>2.2999999999999998</v>
      </c>
      <c r="AB90" s="8">
        <v>71645</v>
      </c>
      <c r="AC90" s="21" t="s">
        <v>1933</v>
      </c>
      <c r="AD90" s="8" t="s">
        <v>4022</v>
      </c>
      <c r="AE90" s="8" t="s">
        <v>3681</v>
      </c>
      <c r="AF90" s="9">
        <f t="shared" si="16"/>
        <v>17.847999999999999</v>
      </c>
      <c r="AG90" s="9">
        <f t="shared" si="17"/>
        <v>2.4533333333333331</v>
      </c>
      <c r="AH90" s="9">
        <f t="shared" si="18"/>
        <v>1.0496387873477456E-2</v>
      </c>
      <c r="AI90" s="9">
        <f t="shared" si="19"/>
        <v>1.101741583904846E-4</v>
      </c>
      <c r="AJ90" s="9">
        <f t="shared" si="20"/>
        <v>1.8302749378959662E-2</v>
      </c>
      <c r="AK90" s="9">
        <f t="shared" si="21"/>
        <v>3.3499063482900828E-4</v>
      </c>
      <c r="AL90" s="9">
        <f t="shared" si="22"/>
        <v>2.209185002416928E-3</v>
      </c>
      <c r="AM90" s="9">
        <f t="shared" si="23"/>
        <v>4.8804983749038819E-6</v>
      </c>
      <c r="AN90" s="8" t="s">
        <v>1933</v>
      </c>
    </row>
    <row r="91" spans="13:40" ht="23">
      <c r="M91" s="8" t="s">
        <v>1782</v>
      </c>
      <c r="N91" s="8" t="s">
        <v>1717</v>
      </c>
      <c r="O91" s="8"/>
      <c r="P91" s="8"/>
      <c r="Q91" s="8"/>
      <c r="R91" s="8"/>
      <c r="S91" s="8"/>
      <c r="T91" s="8"/>
      <c r="U91" s="8"/>
      <c r="V91" s="8"/>
      <c r="W91" s="8" t="s">
        <v>1782</v>
      </c>
      <c r="X91" s="8">
        <v>30.6</v>
      </c>
      <c r="Y91" s="8">
        <v>3.42</v>
      </c>
      <c r="Z91" s="9">
        <v>5.54</v>
      </c>
      <c r="AA91" s="8">
        <v>2.1</v>
      </c>
      <c r="AB91" s="8">
        <v>52066</v>
      </c>
      <c r="AC91" s="21" t="s">
        <v>1782</v>
      </c>
      <c r="AD91" s="8" t="s">
        <v>4570</v>
      </c>
      <c r="AE91" s="8" t="s">
        <v>3681</v>
      </c>
      <c r="AF91" s="9">
        <f t="shared" si="16"/>
        <v>7.1820000000000004</v>
      </c>
      <c r="AG91" s="9">
        <f t="shared" si="17"/>
        <v>12.39</v>
      </c>
      <c r="AH91" s="9">
        <f t="shared" si="18"/>
        <v>9.5836584931750703E-3</v>
      </c>
      <c r="AI91" s="9">
        <f t="shared" si="19"/>
        <v>9.1846510113806665E-5</v>
      </c>
      <c r="AJ91" s="9">
        <f t="shared" si="20"/>
        <v>7.3649902532322018E-3</v>
      </c>
      <c r="AK91" s="9">
        <f t="shared" si="21"/>
        <v>5.4243081430205334E-5</v>
      </c>
      <c r="AL91" s="9">
        <f t="shared" si="22"/>
        <v>1.1156984584217013E-2</v>
      </c>
      <c r="AM91" s="9">
        <f t="shared" si="23"/>
        <v>1.2447830501245607E-4</v>
      </c>
      <c r="AN91" s="8" t="s">
        <v>1782</v>
      </c>
    </row>
    <row r="92" spans="13:40" ht="23">
      <c r="M92" s="9" t="s">
        <v>3007</v>
      </c>
      <c r="N92" s="8" t="s">
        <v>1717</v>
      </c>
      <c r="O92" s="8"/>
      <c r="P92" s="8"/>
      <c r="Q92" s="8"/>
      <c r="R92" s="8"/>
      <c r="S92" s="8"/>
      <c r="T92" s="8"/>
      <c r="U92" s="8"/>
      <c r="V92" s="8"/>
      <c r="W92" s="9" t="s">
        <v>3007</v>
      </c>
      <c r="X92" s="8">
        <v>13.89</v>
      </c>
      <c r="Y92" s="8">
        <v>3.98</v>
      </c>
      <c r="Z92" s="9">
        <v>2.23</v>
      </c>
      <c r="AA92" s="8">
        <v>2.1</v>
      </c>
      <c r="AB92" s="8">
        <v>40211</v>
      </c>
      <c r="AC92" s="22" t="s">
        <v>3007</v>
      </c>
      <c r="AD92" s="8" t="s">
        <v>4627</v>
      </c>
      <c r="AE92" s="8" t="s">
        <v>3681</v>
      </c>
      <c r="AF92" s="9">
        <f t="shared" si="16"/>
        <v>8.3580000000000005</v>
      </c>
      <c r="AG92" s="9">
        <f t="shared" si="17"/>
        <v>5.0049999999999999</v>
      </c>
      <c r="AH92" s="9">
        <f t="shared" si="18"/>
        <v>9.5836584931750703E-3</v>
      </c>
      <c r="AI92" s="9">
        <f t="shared" si="19"/>
        <v>9.1846510113806665E-5</v>
      </c>
      <c r="AJ92" s="9">
        <f t="shared" si="20"/>
        <v>8.5709535695509247E-3</v>
      </c>
      <c r="AK92" s="9">
        <f t="shared" si="21"/>
        <v>7.3461245091397732E-5</v>
      </c>
      <c r="AL92" s="9">
        <f t="shared" si="22"/>
        <v>4.5069175015339906E-3</v>
      </c>
      <c r="AM92" s="9">
        <f t="shared" si="23"/>
        <v>2.0312305365633389E-5</v>
      </c>
      <c r="AN92" s="9" t="s">
        <v>3007</v>
      </c>
    </row>
    <row r="93" spans="13:40" ht="23">
      <c r="M93" s="9" t="s">
        <v>2679</v>
      </c>
      <c r="N93" s="8" t="s">
        <v>150</v>
      </c>
      <c r="O93" s="8"/>
      <c r="P93" s="8"/>
      <c r="Q93" s="8"/>
      <c r="R93" s="8"/>
      <c r="S93" s="8"/>
      <c r="T93" s="8"/>
      <c r="U93" s="8"/>
      <c r="V93" s="8"/>
      <c r="W93" s="9" t="s">
        <v>2679</v>
      </c>
      <c r="X93" s="8">
        <v>35.71</v>
      </c>
      <c r="Y93" s="8">
        <v>2</v>
      </c>
      <c r="Z93" s="9">
        <v>1.54</v>
      </c>
      <c r="AA93" s="8">
        <v>2.1</v>
      </c>
      <c r="AB93" s="8">
        <v>45012</v>
      </c>
      <c r="AC93" s="22" t="s">
        <v>2679</v>
      </c>
      <c r="AD93" s="8" t="s">
        <v>4022</v>
      </c>
      <c r="AE93" s="8" t="s">
        <v>3681</v>
      </c>
      <c r="AF93" s="9">
        <f t="shared" si="16"/>
        <v>4.2</v>
      </c>
      <c r="AG93" s="9">
        <f t="shared" si="17"/>
        <v>3.9899999999999998</v>
      </c>
      <c r="AH93" s="9">
        <f t="shared" si="18"/>
        <v>9.5836584931750703E-3</v>
      </c>
      <c r="AI93" s="9">
        <f t="shared" si="19"/>
        <v>9.1846510113806665E-5</v>
      </c>
      <c r="AJ93" s="9">
        <f t="shared" si="20"/>
        <v>4.307011843995439E-3</v>
      </c>
      <c r="AK93" s="9">
        <f t="shared" si="21"/>
        <v>1.8550351024316992E-5</v>
      </c>
      <c r="AL93" s="9">
        <f t="shared" si="22"/>
        <v>3.5929272389851391E-3</v>
      </c>
      <c r="AM93" s="9">
        <f t="shared" si="23"/>
        <v>1.2909126144641375E-5</v>
      </c>
      <c r="AN93" s="9" t="s">
        <v>2679</v>
      </c>
    </row>
    <row r="94" spans="13:40" ht="23">
      <c r="M94" s="8" t="s">
        <v>1191</v>
      </c>
      <c r="N94" s="8" t="s">
        <v>150</v>
      </c>
      <c r="O94" s="8"/>
      <c r="P94" s="8"/>
      <c r="Q94" s="8"/>
      <c r="R94" s="8"/>
      <c r="S94" s="8"/>
      <c r="T94" s="8"/>
      <c r="U94" s="8"/>
      <c r="V94" s="8"/>
      <c r="W94" s="8" t="s">
        <v>1191</v>
      </c>
      <c r="X94" s="8">
        <v>26.84</v>
      </c>
      <c r="Y94" s="8">
        <v>4.51</v>
      </c>
      <c r="Z94" s="9">
        <v>1.1200000000000001</v>
      </c>
      <c r="AA94" s="8">
        <v>2.1</v>
      </c>
      <c r="AB94" s="8">
        <v>34431</v>
      </c>
      <c r="AC94" s="21" t="s">
        <v>1191</v>
      </c>
      <c r="AD94" s="8" t="s">
        <v>4570</v>
      </c>
      <c r="AE94" s="8" t="s">
        <v>3681</v>
      </c>
      <c r="AF94" s="9">
        <f t="shared" si="16"/>
        <v>9.4710000000000001</v>
      </c>
      <c r="AG94" s="9">
        <f t="shared" si="17"/>
        <v>2.52</v>
      </c>
      <c r="AH94" s="9">
        <f t="shared" si="18"/>
        <v>9.5836584931750703E-3</v>
      </c>
      <c r="AI94" s="9">
        <f t="shared" si="19"/>
        <v>9.1846510113806665E-5</v>
      </c>
      <c r="AJ94" s="9">
        <f t="shared" si="20"/>
        <v>9.7123117082097143E-3</v>
      </c>
      <c r="AK94" s="9">
        <f t="shared" si="21"/>
        <v>9.4328998717427493E-5</v>
      </c>
      <c r="AL94" s="9">
        <f t="shared" si="22"/>
        <v>2.2692172035695618E-3</v>
      </c>
      <c r="AM94" s="9">
        <f t="shared" si="23"/>
        <v>5.1493467169760619E-6</v>
      </c>
      <c r="AN94" s="8" t="s">
        <v>1191</v>
      </c>
    </row>
    <row r="95" spans="13:40" ht="23">
      <c r="M95" s="9" t="s">
        <v>2955</v>
      </c>
      <c r="N95" s="8" t="s">
        <v>1717</v>
      </c>
      <c r="O95" s="8"/>
      <c r="P95" s="8"/>
      <c r="Q95" s="8"/>
      <c r="R95" s="8"/>
      <c r="S95" s="8"/>
      <c r="T95" s="8"/>
      <c r="U95" s="8"/>
      <c r="V95" s="8"/>
      <c r="W95" s="9" t="s">
        <v>2955</v>
      </c>
      <c r="X95" s="8">
        <v>19.36</v>
      </c>
      <c r="Y95" s="8">
        <v>3.6</v>
      </c>
      <c r="Z95" s="9">
        <v>2.31</v>
      </c>
      <c r="AA95" s="8">
        <v>2</v>
      </c>
      <c r="AB95" s="8">
        <v>41950</v>
      </c>
      <c r="AC95" s="22" t="s">
        <v>2955</v>
      </c>
      <c r="AD95" s="8" t="s">
        <v>4570</v>
      </c>
      <c r="AE95" s="8" t="s">
        <v>3681</v>
      </c>
      <c r="AF95" s="9">
        <f t="shared" si="16"/>
        <v>7.2</v>
      </c>
      <c r="AG95" s="9">
        <f t="shared" si="17"/>
        <v>5.0333333333333332</v>
      </c>
      <c r="AH95" s="9">
        <f t="shared" si="18"/>
        <v>9.1272938030238764E-3</v>
      </c>
      <c r="AI95" s="9">
        <f t="shared" si="19"/>
        <v>8.3307492166718059E-5</v>
      </c>
      <c r="AJ95" s="9">
        <f t="shared" si="20"/>
        <v>7.3834488754207532E-3</v>
      </c>
      <c r="AK95" s="9">
        <f t="shared" si="21"/>
        <v>5.4515317295951986E-5</v>
      </c>
      <c r="AL95" s="9">
        <f t="shared" si="22"/>
        <v>4.5324311870238599E-3</v>
      </c>
      <c r="AM95" s="9">
        <f t="shared" si="23"/>
        <v>2.0542932465106517E-5</v>
      </c>
      <c r="AN95" s="9" t="s">
        <v>2955</v>
      </c>
    </row>
    <row r="96" spans="13:40" ht="23">
      <c r="M96" s="9" t="s">
        <v>2352</v>
      </c>
      <c r="N96" s="8" t="s">
        <v>150</v>
      </c>
      <c r="O96" s="8"/>
      <c r="P96" s="8"/>
      <c r="Q96" s="8"/>
      <c r="R96" s="8"/>
      <c r="S96" s="8"/>
      <c r="T96" s="8"/>
      <c r="U96" s="8"/>
      <c r="V96" s="8"/>
      <c r="W96" s="9" t="s">
        <v>2352</v>
      </c>
      <c r="X96" s="8">
        <v>24.66</v>
      </c>
      <c r="Y96" s="8">
        <v>2.4900000000000002</v>
      </c>
      <c r="Z96" s="9">
        <v>2.23</v>
      </c>
      <c r="AA96" s="8">
        <v>2</v>
      </c>
      <c r="AB96" s="8">
        <v>42010</v>
      </c>
      <c r="AC96" s="22" t="s">
        <v>2352</v>
      </c>
      <c r="AD96" s="8" t="s">
        <v>4022</v>
      </c>
      <c r="AE96" s="8" t="s">
        <v>3681</v>
      </c>
      <c r="AF96" s="9">
        <f t="shared" si="16"/>
        <v>4.9800000000000004</v>
      </c>
      <c r="AG96" s="9">
        <f t="shared" si="17"/>
        <v>4.7666666666666666</v>
      </c>
      <c r="AH96" s="9">
        <f t="shared" si="18"/>
        <v>9.1272938030238764E-3</v>
      </c>
      <c r="AI96" s="9">
        <f t="shared" si="19"/>
        <v>8.3307492166718059E-5</v>
      </c>
      <c r="AJ96" s="9">
        <f t="shared" si="20"/>
        <v>5.1068854721660209E-3</v>
      </c>
      <c r="AK96" s="9">
        <f t="shared" si="21"/>
        <v>2.6080279225820364E-5</v>
      </c>
      <c r="AL96" s="9">
        <f t="shared" si="22"/>
        <v>4.2923023824133245E-3</v>
      </c>
      <c r="AM96" s="9">
        <f t="shared" si="23"/>
        <v>1.8423859742071101E-5</v>
      </c>
      <c r="AN96" s="9" t="s">
        <v>2352</v>
      </c>
    </row>
    <row r="97" spans="13:40" ht="23">
      <c r="M97" s="8" t="s">
        <v>265</v>
      </c>
      <c r="N97" s="8" t="s">
        <v>150</v>
      </c>
      <c r="O97" s="8"/>
      <c r="P97" s="8"/>
      <c r="Q97" s="8"/>
      <c r="R97" s="8"/>
      <c r="S97" s="8"/>
      <c r="T97" s="8"/>
      <c r="U97" s="8"/>
      <c r="V97" s="8"/>
      <c r="W97" s="8" t="s">
        <v>265</v>
      </c>
      <c r="X97" s="8">
        <v>47.89</v>
      </c>
      <c r="Y97" s="8">
        <v>2.42</v>
      </c>
      <c r="Z97" s="9">
        <v>1.1000000000000001</v>
      </c>
      <c r="AA97" s="8">
        <v>2</v>
      </c>
      <c r="AB97" s="8">
        <v>43606</v>
      </c>
      <c r="AC97" s="21" t="s">
        <v>265</v>
      </c>
      <c r="AD97" s="8" t="s">
        <v>4022</v>
      </c>
      <c r="AE97" s="8" t="s">
        <v>3681</v>
      </c>
      <c r="AF97" s="9">
        <f t="shared" si="16"/>
        <v>4.84</v>
      </c>
      <c r="AG97" s="9">
        <f t="shared" si="17"/>
        <v>2.0033333333333334</v>
      </c>
      <c r="AH97" s="9">
        <f t="shared" si="18"/>
        <v>9.1272938030238764E-3</v>
      </c>
      <c r="AI97" s="9">
        <f t="shared" si="19"/>
        <v>8.3307492166718059E-5</v>
      </c>
      <c r="AJ97" s="9">
        <f t="shared" si="20"/>
        <v>4.9633184106995052E-3</v>
      </c>
      <c r="AK97" s="9">
        <f t="shared" si="21"/>
        <v>2.4634529645988663E-5</v>
      </c>
      <c r="AL97" s="9">
        <f t="shared" si="22"/>
        <v>1.8039676446366493E-3</v>
      </c>
      <c r="AM97" s="9">
        <f t="shared" si="23"/>
        <v>3.2542992628959E-6</v>
      </c>
      <c r="AN97" s="8" t="s">
        <v>265</v>
      </c>
    </row>
    <row r="98" spans="13:40" ht="23">
      <c r="M98" s="8" t="s">
        <v>1981</v>
      </c>
      <c r="N98" s="8" t="s">
        <v>1964</v>
      </c>
      <c r="O98" s="8"/>
      <c r="P98" s="8"/>
      <c r="Q98" s="8"/>
      <c r="R98" s="8"/>
      <c r="S98" s="8"/>
      <c r="T98" s="8"/>
      <c r="U98" s="8"/>
      <c r="V98" s="8"/>
      <c r="W98" s="8" t="s">
        <v>1981</v>
      </c>
      <c r="X98" s="8">
        <v>39.869999999999997</v>
      </c>
      <c r="Y98" s="8">
        <v>5.78</v>
      </c>
      <c r="Z98" s="9">
        <v>6.05</v>
      </c>
      <c r="AA98" s="8">
        <v>1.7</v>
      </c>
      <c r="AB98" s="8">
        <v>51638</v>
      </c>
      <c r="AC98" s="21" t="s">
        <v>1981</v>
      </c>
      <c r="AD98" s="8" t="s">
        <v>4022</v>
      </c>
      <c r="AE98" s="8" t="s">
        <v>3681</v>
      </c>
      <c r="AF98" s="9">
        <f t="shared" ref="AF98:AF105" si="24">(AA98*Y98)</f>
        <v>9.8260000000000005</v>
      </c>
      <c r="AG98" s="9">
        <f t="shared" ref="AG98:AG105" si="25">((((RIGHT(Z98,2))/60)+(LEFT(Z98,2)))*AA98)</f>
        <v>10.341666666666665</v>
      </c>
      <c r="AH98" s="9">
        <f t="shared" ref="AH98:AH105" si="26">(AA98/$AA$106)*100</f>
        <v>7.7581997325702938E-3</v>
      </c>
      <c r="AI98" s="9">
        <f t="shared" ref="AI98:AI105" si="27">(AH98*AH98)</f>
        <v>6.0189663090453777E-5</v>
      </c>
      <c r="AJ98" s="9">
        <f t="shared" ref="AJ98:AJ105" si="28">(AF98/$AF$106)*100</f>
        <v>1.0076356756928377E-2</v>
      </c>
      <c r="AK98" s="9">
        <f t="shared" ref="AK98:AK105" si="29">(AJ98*AJ98)</f>
        <v>1.0153296549289617E-4</v>
      </c>
      <c r="AL98" s="9">
        <f t="shared" ref="AL98:AL105" si="30">(AG98/$AG$106)*100</f>
        <v>9.3124952038023331E-3</v>
      </c>
      <c r="AM98" s="9">
        <f t="shared" ref="AM98:AM105" si="31">(AL98*AL98)</f>
        <v>8.6722566920841463E-5</v>
      </c>
      <c r="AN98" s="8" t="s">
        <v>1981</v>
      </c>
    </row>
    <row r="99" spans="13:40" ht="23">
      <c r="M99" s="9" t="s">
        <v>2618</v>
      </c>
      <c r="N99" s="8" t="s">
        <v>150</v>
      </c>
      <c r="O99" s="8"/>
      <c r="P99" s="8"/>
      <c r="Q99" s="8"/>
      <c r="R99" s="8"/>
      <c r="S99" s="8"/>
      <c r="T99" s="8"/>
      <c r="U99" s="8"/>
      <c r="V99" s="8"/>
      <c r="W99" s="9" t="s">
        <v>2618</v>
      </c>
      <c r="X99" s="8">
        <v>25.98</v>
      </c>
      <c r="Y99" s="8">
        <v>3.48</v>
      </c>
      <c r="Z99" s="9">
        <v>4.03</v>
      </c>
      <c r="AA99" s="8">
        <v>1.7</v>
      </c>
      <c r="AB99" s="8">
        <v>45091</v>
      </c>
      <c r="AC99" s="22" t="s">
        <v>2618</v>
      </c>
      <c r="AD99" s="8" t="s">
        <v>4570</v>
      </c>
      <c r="AE99" s="8" t="s">
        <v>3681</v>
      </c>
      <c r="AF99" s="9">
        <f t="shared" si="24"/>
        <v>5.9159999999999995</v>
      </c>
      <c r="AG99" s="9">
        <f t="shared" si="25"/>
        <v>6.8849999999999998</v>
      </c>
      <c r="AH99" s="9">
        <f t="shared" si="26"/>
        <v>7.7581997325702938E-3</v>
      </c>
      <c r="AI99" s="9">
        <f t="shared" si="27"/>
        <v>6.0189663090453777E-5</v>
      </c>
      <c r="AJ99" s="9">
        <f t="shared" si="28"/>
        <v>6.0667338259707175E-3</v>
      </c>
      <c r="AK99" s="9">
        <f t="shared" si="29"/>
        <v>3.68052593151773E-5</v>
      </c>
      <c r="AL99" s="9">
        <f t="shared" si="30"/>
        <v>6.1998255740382674E-3</v>
      </c>
      <c r="AM99" s="9">
        <f t="shared" si="31"/>
        <v>3.8437837148498931E-5</v>
      </c>
      <c r="AN99" s="9" t="s">
        <v>2618</v>
      </c>
    </row>
    <row r="100" spans="13:40" ht="23">
      <c r="M100" s="8" t="s">
        <v>529</v>
      </c>
      <c r="N100" s="8" t="s">
        <v>150</v>
      </c>
      <c r="O100" s="8"/>
      <c r="P100" s="8" t="s">
        <v>3693</v>
      </c>
      <c r="Q100" s="8"/>
      <c r="R100" s="8"/>
      <c r="S100" s="8"/>
      <c r="T100" s="8"/>
      <c r="U100" s="8"/>
      <c r="V100" s="8"/>
      <c r="W100" s="8" t="s">
        <v>529</v>
      </c>
      <c r="X100" s="8">
        <v>12.86</v>
      </c>
      <c r="Y100" s="8">
        <v>4.25</v>
      </c>
      <c r="Z100" s="9">
        <v>2.1800000000000002</v>
      </c>
      <c r="AA100" s="8">
        <v>1.7</v>
      </c>
      <c r="AB100" s="8">
        <v>43131</v>
      </c>
      <c r="AC100" s="21" t="s">
        <v>529</v>
      </c>
      <c r="AD100" s="8" t="s">
        <v>4022</v>
      </c>
      <c r="AE100" s="8" t="s">
        <v>3681</v>
      </c>
      <c r="AF100" s="9">
        <f t="shared" si="24"/>
        <v>7.2249999999999996</v>
      </c>
      <c r="AG100" s="9">
        <f t="shared" si="25"/>
        <v>3.9099999999999997</v>
      </c>
      <c r="AH100" s="9">
        <f t="shared" si="26"/>
        <v>7.7581997325702938E-3</v>
      </c>
      <c r="AI100" s="9">
        <f t="shared" si="27"/>
        <v>6.0189663090453777E-5</v>
      </c>
      <c r="AJ100" s="9">
        <f t="shared" si="28"/>
        <v>7.4090858506826304E-3</v>
      </c>
      <c r="AK100" s="9">
        <f t="shared" si="29"/>
        <v>5.4894553142785556E-5</v>
      </c>
      <c r="AL100" s="9">
        <f t="shared" si="30"/>
        <v>3.520888597601979E-3</v>
      </c>
      <c r="AM100" s="9">
        <f t="shared" si="31"/>
        <v>1.2396656516723631E-5</v>
      </c>
      <c r="AN100" s="8" t="s">
        <v>529</v>
      </c>
    </row>
    <row r="101" spans="13:40" ht="23">
      <c r="M101" s="9" t="s">
        <v>2957</v>
      </c>
      <c r="N101" s="8" t="s">
        <v>1717</v>
      </c>
      <c r="O101" s="8"/>
      <c r="P101" s="8"/>
      <c r="Q101" s="8"/>
      <c r="R101" s="8"/>
      <c r="S101" s="8"/>
      <c r="T101" s="8"/>
      <c r="U101" s="8"/>
      <c r="V101" s="8"/>
      <c r="W101" s="9" t="s">
        <v>2957</v>
      </c>
      <c r="X101" s="8">
        <v>37.39</v>
      </c>
      <c r="Y101" s="8">
        <v>2.81</v>
      </c>
      <c r="Z101" s="9">
        <v>2.0699999999999998</v>
      </c>
      <c r="AA101" s="8">
        <v>1.7</v>
      </c>
      <c r="AB101" s="8">
        <v>46603</v>
      </c>
      <c r="AC101" s="22" t="s">
        <v>2957</v>
      </c>
      <c r="AD101" s="8" t="s">
        <v>4570</v>
      </c>
      <c r="AE101" s="8" t="s">
        <v>3681</v>
      </c>
      <c r="AF101" s="9">
        <f t="shared" si="24"/>
        <v>4.7770000000000001</v>
      </c>
      <c r="AG101" s="9">
        <f t="shared" si="25"/>
        <v>3.5983333333333332</v>
      </c>
      <c r="AH101" s="9">
        <f t="shared" si="26"/>
        <v>7.7581997325702938E-3</v>
      </c>
      <c r="AI101" s="9">
        <f t="shared" si="27"/>
        <v>6.0189663090453777E-5</v>
      </c>
      <c r="AJ101" s="9">
        <f t="shared" si="28"/>
        <v>4.8987132330395745E-3</v>
      </c>
      <c r="AK101" s="9">
        <f t="shared" si="29"/>
        <v>2.399739133955704E-5</v>
      </c>
      <c r="AL101" s="9">
        <f t="shared" si="30"/>
        <v>3.2402380572134157E-3</v>
      </c>
      <c r="AM101" s="9">
        <f t="shared" si="31"/>
        <v>1.049914266741417E-5</v>
      </c>
      <c r="AN101" s="9" t="s">
        <v>2957</v>
      </c>
    </row>
    <row r="102" spans="13:40" ht="23">
      <c r="M102" s="8" t="s">
        <v>1680</v>
      </c>
      <c r="N102" s="8" t="s">
        <v>1614</v>
      </c>
      <c r="O102" s="8"/>
      <c r="P102" s="8"/>
      <c r="Q102" s="8"/>
      <c r="R102" s="8"/>
      <c r="S102" s="8"/>
      <c r="T102" s="8"/>
      <c r="U102" s="8"/>
      <c r="V102" s="8"/>
      <c r="W102" s="8" t="s">
        <v>1680</v>
      </c>
      <c r="X102" s="8">
        <v>21.16</v>
      </c>
      <c r="Y102" s="8">
        <v>3.15</v>
      </c>
      <c r="Z102" s="9">
        <v>3.14</v>
      </c>
      <c r="AA102" s="8">
        <v>1.6</v>
      </c>
      <c r="AB102" s="8"/>
      <c r="AC102" s="21" t="s">
        <v>1680</v>
      </c>
      <c r="AD102" s="8" t="s">
        <v>4022</v>
      </c>
      <c r="AE102" s="8" t="s">
        <v>3681</v>
      </c>
      <c r="AF102" s="9">
        <f t="shared" si="24"/>
        <v>5.04</v>
      </c>
      <c r="AG102" s="9">
        <f t="shared" si="25"/>
        <v>5.1733333333333338</v>
      </c>
      <c r="AH102" s="9">
        <f t="shared" si="26"/>
        <v>7.3018350424191008E-3</v>
      </c>
      <c r="AI102" s="9">
        <f t="shared" si="27"/>
        <v>5.3316794986699554E-5</v>
      </c>
      <c r="AJ102" s="9">
        <f t="shared" si="28"/>
        <v>5.1684142127945264E-3</v>
      </c>
      <c r="AK102" s="9">
        <f t="shared" si="29"/>
        <v>2.6712505475016466E-5</v>
      </c>
      <c r="AL102" s="9">
        <f t="shared" si="30"/>
        <v>4.6584988094443922E-3</v>
      </c>
      <c r="AM102" s="9">
        <f t="shared" si="31"/>
        <v>2.1701611157594819E-5</v>
      </c>
      <c r="AN102" s="8" t="s">
        <v>1680</v>
      </c>
    </row>
    <row r="103" spans="13:40" ht="23">
      <c r="M103" s="9" t="s">
        <v>2425</v>
      </c>
      <c r="N103" s="8" t="s">
        <v>150</v>
      </c>
      <c r="O103" s="8"/>
      <c r="P103" s="8"/>
      <c r="Q103" s="8"/>
      <c r="R103" s="8"/>
      <c r="S103" s="8"/>
      <c r="T103" s="8"/>
      <c r="U103" s="8"/>
      <c r="V103" s="8"/>
      <c r="W103" s="9" t="s">
        <v>2425</v>
      </c>
      <c r="X103" s="8">
        <v>27.89</v>
      </c>
      <c r="Y103" s="8">
        <v>3.66</v>
      </c>
      <c r="Z103" s="9">
        <v>1.1599999999999999</v>
      </c>
      <c r="AA103" s="8">
        <v>1.6</v>
      </c>
      <c r="AB103" s="8">
        <v>45507</v>
      </c>
      <c r="AC103" s="22" t="s">
        <v>2425</v>
      </c>
      <c r="AD103" s="8" t="s">
        <v>4627</v>
      </c>
      <c r="AE103" s="8" t="s">
        <v>3681</v>
      </c>
      <c r="AF103" s="9">
        <f t="shared" si="24"/>
        <v>5.8560000000000008</v>
      </c>
      <c r="AG103" s="9">
        <f t="shared" si="25"/>
        <v>2.0266666666666668</v>
      </c>
      <c r="AH103" s="9">
        <f t="shared" si="26"/>
        <v>7.3018350424191008E-3</v>
      </c>
      <c r="AI103" s="9">
        <f t="shared" si="27"/>
        <v>5.3316794986699554E-5</v>
      </c>
      <c r="AJ103" s="9">
        <f t="shared" si="28"/>
        <v>6.0052050853422129E-3</v>
      </c>
      <c r="AK103" s="9">
        <f t="shared" si="29"/>
        <v>3.6062488117019976E-5</v>
      </c>
      <c r="AL103" s="9">
        <f t="shared" si="30"/>
        <v>1.8249789150400712E-3</v>
      </c>
      <c r="AM103" s="9">
        <f t="shared" si="31"/>
        <v>3.3305480403408354E-6</v>
      </c>
      <c r="AN103" s="9" t="s">
        <v>2425</v>
      </c>
    </row>
    <row r="104" spans="13:40" ht="23">
      <c r="M104" s="9" t="s">
        <v>2806</v>
      </c>
      <c r="N104" s="8" t="s">
        <v>1614</v>
      </c>
      <c r="O104" s="8"/>
      <c r="P104" s="8"/>
      <c r="Q104" s="8"/>
      <c r="R104" s="8"/>
      <c r="S104" s="8"/>
      <c r="T104" s="8"/>
      <c r="U104" s="8"/>
      <c r="V104" s="8"/>
      <c r="W104" s="9" t="s">
        <v>2806</v>
      </c>
      <c r="X104" s="8">
        <v>32.65</v>
      </c>
      <c r="Y104" s="8">
        <v>2.5099999999999998</v>
      </c>
      <c r="Z104" s="9">
        <v>4.03</v>
      </c>
      <c r="AA104" s="8">
        <v>1.5</v>
      </c>
      <c r="AB104" s="8">
        <v>58948</v>
      </c>
      <c r="AC104" s="22" t="s">
        <v>2806</v>
      </c>
      <c r="AD104" s="8" t="s">
        <v>4022</v>
      </c>
      <c r="AE104" s="8" t="s">
        <v>3681</v>
      </c>
      <c r="AF104" s="9">
        <f t="shared" si="24"/>
        <v>3.7649999999999997</v>
      </c>
      <c r="AG104" s="9">
        <f t="shared" si="25"/>
        <v>6.0749999999999993</v>
      </c>
      <c r="AH104" s="9">
        <f t="shared" si="26"/>
        <v>6.8454703522679069E-3</v>
      </c>
      <c r="AI104" s="9">
        <f t="shared" si="27"/>
        <v>4.6860464343778904E-5</v>
      </c>
      <c r="AJ104" s="9">
        <f t="shared" si="28"/>
        <v>3.8609284744387687E-3</v>
      </c>
      <c r="AK104" s="9">
        <f t="shared" si="29"/>
        <v>1.4906768684732078E-5</v>
      </c>
      <c r="AL104" s="9">
        <f t="shared" si="30"/>
        <v>5.4704343300337648E-3</v>
      </c>
      <c r="AM104" s="9">
        <f t="shared" si="31"/>
        <v>2.9925651759211965E-5</v>
      </c>
      <c r="AN104" s="9" t="s">
        <v>2806</v>
      </c>
    </row>
    <row r="105" spans="13:40" ht="23">
      <c r="M105" s="8" t="s">
        <v>1376</v>
      </c>
      <c r="N105" s="8" t="s">
        <v>150</v>
      </c>
      <c r="O105" s="8"/>
      <c r="P105" s="8"/>
      <c r="Q105" s="8"/>
      <c r="R105" s="8"/>
      <c r="S105" s="8"/>
      <c r="T105" s="8"/>
      <c r="U105" s="8"/>
      <c r="V105" s="8"/>
      <c r="W105" s="8" t="s">
        <v>1376</v>
      </c>
      <c r="X105" s="8">
        <v>47.15</v>
      </c>
      <c r="Y105" s="8">
        <v>4.67</v>
      </c>
      <c r="Z105" s="9">
        <v>3.24</v>
      </c>
      <c r="AA105" s="8">
        <v>1.4</v>
      </c>
      <c r="AB105" s="8">
        <v>40349</v>
      </c>
      <c r="AC105" s="21" t="s">
        <v>1376</v>
      </c>
      <c r="AD105" s="8" t="s">
        <v>4022</v>
      </c>
      <c r="AE105" s="8" t="s">
        <v>3681</v>
      </c>
      <c r="AF105" s="9">
        <f t="shared" si="24"/>
        <v>6.5379999999999994</v>
      </c>
      <c r="AG105" s="9">
        <f t="shared" si="25"/>
        <v>4.76</v>
      </c>
      <c r="AH105" s="9">
        <f t="shared" si="26"/>
        <v>6.3891056621167121E-3</v>
      </c>
      <c r="AI105" s="9">
        <f t="shared" si="27"/>
        <v>4.0820671161691828E-5</v>
      </c>
      <c r="AJ105" s="9">
        <f t="shared" si="28"/>
        <v>6.7045817704862324E-3</v>
      </c>
      <c r="AK105" s="9">
        <f t="shared" si="29"/>
        <v>4.4951416717136299E-5</v>
      </c>
      <c r="AL105" s="9">
        <f t="shared" si="30"/>
        <v>4.2862991622980608E-3</v>
      </c>
      <c r="AM105" s="9">
        <f t="shared" si="31"/>
        <v>1.8372360508717059E-5</v>
      </c>
      <c r="AN105" s="8" t="s">
        <v>1376</v>
      </c>
    </row>
    <row r="106" spans="13:40" ht="23"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9"/>
      <c r="AA106" s="8">
        <f>SUBTOTAL(109,Table13697[ترافیک کل])</f>
        <v>21912.299999999992</v>
      </c>
      <c r="AB106" s="8"/>
      <c r="AC106" s="21"/>
      <c r="AD106" s="8"/>
      <c r="AE106" s="8"/>
      <c r="AF106" s="9">
        <f>SUBTOTAL(109,Table13697[[مجموع صفحات  مشاهده شده   ]])</f>
        <v>97515.403999999951</v>
      </c>
      <c r="AG106" s="9">
        <f>SUBTOTAL(109,Table13697[[مجموع زمان حضور در سایت ]])</f>
        <v>111051.51133333326</v>
      </c>
      <c r="AH106" s="9">
        <f>SUBTOTAL(109,Table13697[سهم سایت از کل ترافیک طبقه بندی])</f>
        <v>99.999999999999972</v>
      </c>
      <c r="AI106" s="9">
        <f>SUBTOTAL(109,Table13697[شاخص هرفیندال هیرشمن (ترافیک)])</f>
        <v>3639.5768291892682</v>
      </c>
      <c r="AJ106" s="9">
        <f>SUBTOTAL(109,Table13697[سهم سایت از کل صفحات مشاهده شده در طبقه بندی])</f>
        <v>99.999999999999986</v>
      </c>
      <c r="AK106" s="9">
        <f>SUBTOTAL(109,Table13697[شاخص هرفیندال -هیرشمن (صفحات مشاهده شده )])</f>
        <v>3719.8108165929361</v>
      </c>
      <c r="AL106" s="9">
        <f>SUBTOTAL(109,Table13697[سهم سایت از کل زمان حضور در طبقه بندی])</f>
        <v>100.00000000000004</v>
      </c>
      <c r="AM106" s="9">
        <f>SUBTOTAL(109,Table13697[شاخص هرفیندال هیرشمن (زمان حضور)])</f>
        <v>4869.8352193439041</v>
      </c>
      <c r="AN106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{CCE4275F-FF1C-48D0-80EC-A00FADD03243}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{C236FC7C-E7DE-4C83-9731-07A802FB86F3}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{798E8EE3-235A-422F-9484-55C5E122A984}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{FF0C9DAF-98C0-4D82-BF33-9A3A6A462E8E}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{59300972-B4B8-4AA6-9AF7-4BC3EFA0519C}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{28AD7CB0-3869-4A7E-8D7C-1BB20ED8A41F}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E4275F-FF1C-48D0-80EC-A00FADD0324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236FC7C-E7DE-4C83-9731-07A802FB86F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98E8EE3-235A-422F-9484-55C5E122A98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F0C9DAF-98C0-4D82-BF33-9A3A6A462E8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9300972-B4B8-4AA6-9AF7-4BC3EFA051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28AD7CB0-3869-4A7E-8D7C-1BB20ED8A41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59"/>
  <sheetViews>
    <sheetView showGridLines="0" rightToLeft="1" topLeftCell="Z1" zoomScale="70" zoomScaleNormal="70" workbookViewId="0">
      <selection activeCell="AC59" sqref="AC59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33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4818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9" t="s">
        <v>4818</v>
      </c>
      <c r="X2" s="8">
        <v>7.34</v>
      </c>
      <c r="Y2" s="8">
        <v>53.81</v>
      </c>
      <c r="Z2" s="9">
        <v>12.18</v>
      </c>
      <c r="AA2" s="8">
        <v>2636.6</v>
      </c>
      <c r="AB2" s="8">
        <v>29</v>
      </c>
      <c r="AC2" s="22" t="s">
        <v>4818</v>
      </c>
      <c r="AD2" s="8" t="s">
        <v>4643</v>
      </c>
      <c r="AE2" s="8" t="s">
        <v>4494</v>
      </c>
      <c r="AF2" s="9">
        <f t="shared" ref="AF2:AF33" si="0">(AA2*Y2)</f>
        <v>141875.446</v>
      </c>
      <c r="AG2" s="9">
        <f t="shared" ref="AG2:AG33" si="1">((((RIGHT(Z2,2))/60)+(LEFT(Z2,2)))*AA2)</f>
        <v>32430.18</v>
      </c>
      <c r="AH2" s="9">
        <f t="shared" ref="AH2:AH33" si="2">(AA2/$AA$59)*100</f>
        <v>15.323278993403655</v>
      </c>
      <c r="AI2" s="9">
        <f t="shared" ref="AI2:AI33" si="3">(AH2*AH2)</f>
        <v>234.8028791096857</v>
      </c>
      <c r="AJ2" s="9">
        <f t="shared" ref="AJ2:AJ33" si="4">(AF2/$AF$59)*100</f>
        <v>77.51315375644964</v>
      </c>
      <c r="AK2" s="9">
        <f t="shared" ref="AK2:AK33" si="5">(AJ2*AJ2)</f>
        <v>6008.2890052710027</v>
      </c>
      <c r="AL2" s="9">
        <f t="shared" ref="AL2:AL33" si="6">(AG2/$AG$59)*100</f>
        <v>47.193973893179752</v>
      </c>
      <c r="AM2" s="9">
        <f t="shared" ref="AM2:AM33" si="7">(AL2*AL2)</f>
        <v>2227.2711718301321</v>
      </c>
      <c r="AN2" s="9" t="s">
        <v>4818</v>
      </c>
    </row>
    <row r="3" spans="8:40" ht="23">
      <c r="M3" s="9" t="s">
        <v>4269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9" t="s">
        <v>4269</v>
      </c>
      <c r="X3" s="8">
        <v>73.02</v>
      </c>
      <c r="Y3" s="8">
        <v>1.59</v>
      </c>
      <c r="Z3" s="9">
        <v>1.38</v>
      </c>
      <c r="AA3" s="8">
        <v>2294.8000000000002</v>
      </c>
      <c r="AB3" s="8">
        <v>441</v>
      </c>
      <c r="AC3" s="22" t="s">
        <v>4269</v>
      </c>
      <c r="AD3" s="8" t="s">
        <v>4643</v>
      </c>
      <c r="AE3" s="8" t="s">
        <v>4494</v>
      </c>
      <c r="AF3" s="9">
        <f t="shared" si="0"/>
        <v>3648.7320000000004</v>
      </c>
      <c r="AG3" s="9">
        <f t="shared" si="1"/>
        <v>3748.1733333333336</v>
      </c>
      <c r="AH3" s="9">
        <f t="shared" si="2"/>
        <v>13.336820387644204</v>
      </c>
      <c r="AI3" s="9">
        <f t="shared" si="3"/>
        <v>177.87077805228211</v>
      </c>
      <c r="AJ3" s="9">
        <f t="shared" si="4"/>
        <v>1.9934719678842669</v>
      </c>
      <c r="AK3" s="9">
        <f t="shared" si="5"/>
        <v>3.9739304867403717</v>
      </c>
      <c r="AL3" s="9">
        <f t="shared" si="6"/>
        <v>5.4545239786040618</v>
      </c>
      <c r="AM3" s="9">
        <f t="shared" si="7"/>
        <v>29.751831833166683</v>
      </c>
      <c r="AN3" s="9" t="s">
        <v>4269</v>
      </c>
    </row>
    <row r="4" spans="8:40" ht="23">
      <c r="M4" s="9" t="s">
        <v>3266</v>
      </c>
      <c r="N4" s="8" t="s">
        <v>1902</v>
      </c>
      <c r="O4" s="8"/>
      <c r="P4" s="8" t="s">
        <v>3700</v>
      </c>
      <c r="Q4" s="8"/>
      <c r="R4" s="8"/>
      <c r="S4" s="8"/>
      <c r="T4" s="8"/>
      <c r="U4" s="8"/>
      <c r="V4" s="8"/>
      <c r="W4" s="9" t="s">
        <v>3266</v>
      </c>
      <c r="X4" s="8">
        <v>51.26</v>
      </c>
      <c r="Y4" s="8">
        <v>2.14</v>
      </c>
      <c r="Z4" s="9">
        <v>2.41</v>
      </c>
      <c r="AA4" s="8">
        <v>1625.8</v>
      </c>
      <c r="AB4" s="8">
        <v>234</v>
      </c>
      <c r="AC4" s="22" t="s">
        <v>3266</v>
      </c>
      <c r="AD4" s="8" t="s">
        <v>4643</v>
      </c>
      <c r="AE4" s="8" t="s">
        <v>4494</v>
      </c>
      <c r="AF4" s="9">
        <f t="shared" si="0"/>
        <v>3479.212</v>
      </c>
      <c r="AG4" s="9">
        <f t="shared" si="1"/>
        <v>4362.5633333333335</v>
      </c>
      <c r="AH4" s="9">
        <f t="shared" si="2"/>
        <v>9.4487548310231588</v>
      </c>
      <c r="AI4" s="9">
        <f t="shared" si="3"/>
        <v>89.278967856783481</v>
      </c>
      <c r="AJ4" s="9">
        <f t="shared" si="4"/>
        <v>1.9008553087282256</v>
      </c>
      <c r="AK4" s="9">
        <f t="shared" si="5"/>
        <v>3.6132509047202781</v>
      </c>
      <c r="AL4" s="9">
        <f t="shared" si="6"/>
        <v>6.3486141631244903</v>
      </c>
      <c r="AM4" s="9">
        <f t="shared" si="7"/>
        <v>40.304901792224875</v>
      </c>
      <c r="AN4" s="9" t="s">
        <v>3266</v>
      </c>
    </row>
    <row r="5" spans="8:40" ht="23">
      <c r="M5" s="8" t="s">
        <v>1062</v>
      </c>
      <c r="N5" s="8" t="s">
        <v>150</v>
      </c>
      <c r="O5" s="8"/>
      <c r="P5" s="8" t="s">
        <v>4772</v>
      </c>
      <c r="Q5" s="8"/>
      <c r="R5" s="8"/>
      <c r="S5" s="8"/>
      <c r="T5" s="8"/>
      <c r="U5" s="8"/>
      <c r="V5" s="8"/>
      <c r="W5" s="8" t="s">
        <v>1062</v>
      </c>
      <c r="X5" s="8">
        <v>58.77</v>
      </c>
      <c r="Y5" s="8">
        <v>3.22</v>
      </c>
      <c r="Z5" s="9">
        <v>3.4</v>
      </c>
      <c r="AA5" s="8">
        <v>1549.6</v>
      </c>
      <c r="AB5" s="8">
        <v>293</v>
      </c>
      <c r="AC5" s="21" t="s">
        <v>1062</v>
      </c>
      <c r="AD5" s="8" t="s">
        <v>4643</v>
      </c>
      <c r="AE5" s="8" t="s">
        <v>4494</v>
      </c>
      <c r="AF5" s="9">
        <f t="shared" si="0"/>
        <v>4989.7120000000004</v>
      </c>
      <c r="AG5" s="9">
        <f t="shared" si="1"/>
        <v>4659.1306666666669</v>
      </c>
      <c r="AH5" s="9">
        <f t="shared" si="2"/>
        <v>9.0058989335425554</v>
      </c>
      <c r="AI5" s="9">
        <f t="shared" si="3"/>
        <v>81.106215601182939</v>
      </c>
      <c r="AJ5" s="9">
        <f t="shared" si="4"/>
        <v>2.7261117012199696</v>
      </c>
      <c r="AK5" s="9">
        <f t="shared" si="5"/>
        <v>7.4316850075284364</v>
      </c>
      <c r="AL5" s="9">
        <f t="shared" si="6"/>
        <v>6.7801933583957865</v>
      </c>
      <c r="AM5" s="9">
        <f t="shared" si="7"/>
        <v>45.971021977234336</v>
      </c>
      <c r="AN5" s="8" t="s">
        <v>1062</v>
      </c>
    </row>
    <row r="6" spans="8:40" ht="23">
      <c r="M6" s="8" t="s">
        <v>4572</v>
      </c>
      <c r="N6" s="8" t="s">
        <v>150</v>
      </c>
      <c r="O6" s="8"/>
      <c r="P6" s="8" t="s">
        <v>4653</v>
      </c>
      <c r="Q6" s="8"/>
      <c r="R6" s="8"/>
      <c r="S6" s="8"/>
      <c r="T6" s="8"/>
      <c r="U6" s="8"/>
      <c r="V6" s="8"/>
      <c r="W6" s="8" t="s">
        <v>4268</v>
      </c>
      <c r="X6" s="8">
        <v>57.72</v>
      </c>
      <c r="Y6" s="8">
        <v>2</v>
      </c>
      <c r="Z6" s="9">
        <v>1.53</v>
      </c>
      <c r="AA6" s="8">
        <v>1317.8</v>
      </c>
      <c r="AB6" s="8">
        <v>522</v>
      </c>
      <c r="AC6" s="21" t="s">
        <v>4268</v>
      </c>
      <c r="AD6" s="8" t="s">
        <v>4643</v>
      </c>
      <c r="AE6" s="8" t="s">
        <v>4494</v>
      </c>
      <c r="AF6" s="9">
        <f t="shared" si="0"/>
        <v>2635.6</v>
      </c>
      <c r="AG6" s="9">
        <f t="shared" si="1"/>
        <v>2481.8566666666666</v>
      </c>
      <c r="AH6" s="9">
        <f t="shared" si="2"/>
        <v>7.6587336181094354</v>
      </c>
      <c r="AI6" s="9">
        <f t="shared" si="3"/>
        <v>58.656200633159642</v>
      </c>
      <c r="AJ6" s="9">
        <f t="shared" si="4"/>
        <v>1.4399508428012178</v>
      </c>
      <c r="AK6" s="9">
        <f t="shared" si="5"/>
        <v>2.0734584296839373</v>
      </c>
      <c r="AL6" s="9">
        <f t="shared" si="6"/>
        <v>3.6117184281209904</v>
      </c>
      <c r="AM6" s="9">
        <f t="shared" si="7"/>
        <v>13.044510004028758</v>
      </c>
      <c r="AN6" s="8" t="s">
        <v>4268</v>
      </c>
    </row>
    <row r="7" spans="8:40" ht="23">
      <c r="M7" s="9" t="s">
        <v>2698</v>
      </c>
      <c r="N7" s="8" t="s">
        <v>1614</v>
      </c>
      <c r="O7" s="8"/>
      <c r="P7" s="8"/>
      <c r="Q7" s="8"/>
      <c r="R7" s="8"/>
      <c r="S7" s="8"/>
      <c r="T7" s="8"/>
      <c r="U7" s="8"/>
      <c r="V7" s="8"/>
      <c r="W7" s="9" t="s">
        <v>2698</v>
      </c>
      <c r="X7" s="8">
        <v>35.799999999999997</v>
      </c>
      <c r="Y7" s="8">
        <v>3.49</v>
      </c>
      <c r="Z7" s="9">
        <v>4.18</v>
      </c>
      <c r="AA7" s="8">
        <v>727.2</v>
      </c>
      <c r="AB7" s="8">
        <v>508</v>
      </c>
      <c r="AC7" s="22" t="s">
        <v>2698</v>
      </c>
      <c r="AD7" s="8" t="s">
        <v>4643</v>
      </c>
      <c r="AE7" s="8" t="s">
        <v>4494</v>
      </c>
      <c r="AF7" s="9">
        <f t="shared" si="0"/>
        <v>2537.9280000000003</v>
      </c>
      <c r="AG7" s="9">
        <f t="shared" si="1"/>
        <v>3126.96</v>
      </c>
      <c r="AH7" s="9">
        <f t="shared" si="2"/>
        <v>4.2263098247755213</v>
      </c>
      <c r="AI7" s="9">
        <f t="shared" si="3"/>
        <v>17.861694734994099</v>
      </c>
      <c r="AJ7" s="9">
        <f t="shared" si="4"/>
        <v>1.3865880871789382</v>
      </c>
      <c r="AK7" s="9">
        <f t="shared" si="5"/>
        <v>1.9226265235065467</v>
      </c>
      <c r="AL7" s="9">
        <f t="shared" si="6"/>
        <v>4.5505041478344355</v>
      </c>
      <c r="AM7" s="9">
        <f t="shared" si="7"/>
        <v>20.707087999458402</v>
      </c>
      <c r="AN7" s="9" t="s">
        <v>2698</v>
      </c>
    </row>
    <row r="8" spans="8:40" ht="26" customHeight="1">
      <c r="M8" s="9" t="s">
        <v>2929</v>
      </c>
      <c r="N8" s="8" t="s">
        <v>1717</v>
      </c>
      <c r="O8" s="8"/>
      <c r="P8" s="8"/>
      <c r="Q8" s="8"/>
      <c r="R8" s="8"/>
      <c r="S8" s="8"/>
      <c r="T8" s="8"/>
      <c r="U8" s="8"/>
      <c r="V8" s="8"/>
      <c r="W8" s="9" t="s">
        <v>2929</v>
      </c>
      <c r="X8" s="8">
        <v>45.07</v>
      </c>
      <c r="Y8" s="8">
        <v>1.54</v>
      </c>
      <c r="Z8" s="9">
        <v>0.2</v>
      </c>
      <c r="AA8" s="8">
        <v>580.4</v>
      </c>
      <c r="AB8" s="8">
        <v>6719</v>
      </c>
      <c r="AC8" s="22" t="s">
        <v>2929</v>
      </c>
      <c r="AD8" s="8" t="s">
        <v>4643</v>
      </c>
      <c r="AE8" s="8" t="s">
        <v>4494</v>
      </c>
      <c r="AF8" s="9">
        <f t="shared" si="0"/>
        <v>893.81600000000003</v>
      </c>
      <c r="AG8" s="9">
        <f t="shared" si="1"/>
        <v>1.9346666666666668</v>
      </c>
      <c r="AH8" s="9">
        <f t="shared" si="2"/>
        <v>3.373143870049109</v>
      </c>
      <c r="AI8" s="9">
        <f t="shared" si="3"/>
        <v>11.37809956804988</v>
      </c>
      <c r="AJ8" s="9">
        <f t="shared" si="4"/>
        <v>0.48833324575398901</v>
      </c>
      <c r="AK8" s="9">
        <f t="shared" si="5"/>
        <v>0.23846935890862583</v>
      </c>
      <c r="AL8" s="9">
        <f t="shared" si="6"/>
        <v>2.8154209492106353E-3</v>
      </c>
      <c r="AM8" s="9">
        <f t="shared" si="7"/>
        <v>7.9265951212541142E-6</v>
      </c>
      <c r="AN8" s="9" t="s">
        <v>2929</v>
      </c>
    </row>
    <row r="9" spans="8:40" ht="24.5" customHeight="1">
      <c r="M9" s="8" t="s">
        <v>1234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1234</v>
      </c>
      <c r="X9" s="8">
        <v>29.63</v>
      </c>
      <c r="Y9" s="8">
        <v>3.75</v>
      </c>
      <c r="Z9" s="9">
        <v>4.22</v>
      </c>
      <c r="AA9" s="8">
        <v>484</v>
      </c>
      <c r="AB9" s="8">
        <v>367</v>
      </c>
      <c r="AC9" s="21" t="s">
        <v>1234</v>
      </c>
      <c r="AD9" s="8" t="s">
        <v>4643</v>
      </c>
      <c r="AE9" s="8" t="s">
        <v>4494</v>
      </c>
      <c r="AF9" s="9">
        <f t="shared" si="0"/>
        <v>1815</v>
      </c>
      <c r="AG9" s="9">
        <f t="shared" si="1"/>
        <v>2113.4666666666662</v>
      </c>
      <c r="AH9" s="9">
        <f t="shared" si="2"/>
        <v>2.812890477435853</v>
      </c>
      <c r="AI9" s="9">
        <f t="shared" si="3"/>
        <v>7.9123528380493005</v>
      </c>
      <c r="AJ9" s="9">
        <f t="shared" si="4"/>
        <v>0.99161890259683205</v>
      </c>
      <c r="AK9" s="9">
        <f t="shared" si="5"/>
        <v>0.9833080479873455</v>
      </c>
      <c r="AL9" s="9">
        <f t="shared" si="6"/>
        <v>3.0756193980660074</v>
      </c>
      <c r="AM9" s="9">
        <f t="shared" si="7"/>
        <v>9.4594346817599089</v>
      </c>
      <c r="AN9" s="8" t="s">
        <v>1234</v>
      </c>
    </row>
    <row r="10" spans="8:40" ht="23">
      <c r="M10" s="8" t="s">
        <v>1505</v>
      </c>
      <c r="N10" s="8" t="s">
        <v>150</v>
      </c>
      <c r="O10" s="8"/>
      <c r="P10" s="8" t="s">
        <v>3691</v>
      </c>
      <c r="Q10" s="8"/>
      <c r="R10" s="8"/>
      <c r="S10" s="8"/>
      <c r="T10" s="8"/>
      <c r="U10" s="8"/>
      <c r="V10" s="8"/>
      <c r="W10" s="8" t="s">
        <v>1505</v>
      </c>
      <c r="X10" s="8">
        <v>39.71</v>
      </c>
      <c r="Y10" s="8">
        <v>4.3600000000000003</v>
      </c>
      <c r="Z10" s="9">
        <v>3.26</v>
      </c>
      <c r="AA10" s="8">
        <v>474.7</v>
      </c>
      <c r="AB10" s="8">
        <v>624</v>
      </c>
      <c r="AC10" s="21" t="s">
        <v>1505</v>
      </c>
      <c r="AD10" s="8" t="s">
        <v>4643</v>
      </c>
      <c r="AE10" s="8" t="s">
        <v>4494</v>
      </c>
      <c r="AF10" s="9">
        <f t="shared" si="0"/>
        <v>2069.692</v>
      </c>
      <c r="AG10" s="9">
        <f t="shared" si="1"/>
        <v>1629.8033333333335</v>
      </c>
      <c r="AH10" s="9">
        <f t="shared" si="2"/>
        <v>2.7588411356173537</v>
      </c>
      <c r="AI10" s="9">
        <f t="shared" si="3"/>
        <v>7.6112044115744499</v>
      </c>
      <c r="AJ10" s="9">
        <f t="shared" si="4"/>
        <v>1.1307689860900509</v>
      </c>
      <c r="AK10" s="9">
        <f t="shared" si="5"/>
        <v>1.2786384999031217</v>
      </c>
      <c r="AL10" s="9">
        <f t="shared" si="6"/>
        <v>2.3717690115920007</v>
      </c>
      <c r="AM10" s="9">
        <f t="shared" si="7"/>
        <v>5.6252882443480958</v>
      </c>
      <c r="AN10" s="8" t="s">
        <v>1505</v>
      </c>
    </row>
    <row r="11" spans="8:40" ht="23">
      <c r="M11" s="8" t="s">
        <v>819</v>
      </c>
      <c r="N11" s="8" t="s">
        <v>150</v>
      </c>
      <c r="O11" s="8"/>
      <c r="P11" s="8" t="s">
        <v>3692</v>
      </c>
      <c r="Q11" s="8"/>
      <c r="R11" s="8"/>
      <c r="S11" s="8"/>
      <c r="T11" s="8"/>
      <c r="U11" s="8"/>
      <c r="V11" s="8"/>
      <c r="W11" s="8" t="s">
        <v>819</v>
      </c>
      <c r="X11" s="8">
        <v>30.35</v>
      </c>
      <c r="Y11" s="8">
        <v>4.03</v>
      </c>
      <c r="Z11" s="9">
        <v>3.13</v>
      </c>
      <c r="AA11" s="8">
        <v>458.3</v>
      </c>
      <c r="AB11" s="8">
        <v>1125</v>
      </c>
      <c r="AC11" s="21" t="s">
        <v>819</v>
      </c>
      <c r="AD11" s="8" t="s">
        <v>4643</v>
      </c>
      <c r="AE11" s="8" t="s">
        <v>4494</v>
      </c>
      <c r="AF11" s="9">
        <f t="shared" si="0"/>
        <v>1846.9490000000001</v>
      </c>
      <c r="AG11" s="9">
        <f t="shared" si="1"/>
        <v>1474.1983333333335</v>
      </c>
      <c r="AH11" s="9">
        <f t="shared" si="2"/>
        <v>2.6635283177868829</v>
      </c>
      <c r="AI11" s="9">
        <f t="shared" si="3"/>
        <v>7.0943830996526227</v>
      </c>
      <c r="AJ11" s="9">
        <f t="shared" si="4"/>
        <v>1.0090741270150503</v>
      </c>
      <c r="AK11" s="9">
        <f t="shared" si="5"/>
        <v>1.0182305938111857</v>
      </c>
      <c r="AL11" s="9">
        <f t="shared" si="6"/>
        <v>2.1453250539066526</v>
      </c>
      <c r="AM11" s="9">
        <f t="shared" si="7"/>
        <v>4.6024195869195816</v>
      </c>
      <c r="AN11" s="8" t="s">
        <v>819</v>
      </c>
    </row>
    <row r="12" spans="8:40" ht="23">
      <c r="M12" s="8" t="s">
        <v>4819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9" t="s">
        <v>4819</v>
      </c>
      <c r="X12" s="8">
        <v>42.36</v>
      </c>
      <c r="Y12" s="8">
        <v>2.48</v>
      </c>
      <c r="Z12" s="9">
        <v>1.43</v>
      </c>
      <c r="AA12" s="8">
        <v>388</v>
      </c>
      <c r="AB12" s="8">
        <v>1727</v>
      </c>
      <c r="AC12" s="22" t="s">
        <v>4819</v>
      </c>
      <c r="AD12" s="8" t="s">
        <v>4643</v>
      </c>
      <c r="AE12" s="8" t="s">
        <v>4494</v>
      </c>
      <c r="AF12" s="9">
        <f t="shared" si="0"/>
        <v>962.24</v>
      </c>
      <c r="AG12" s="9">
        <f t="shared" si="1"/>
        <v>666.06666666666672</v>
      </c>
      <c r="AH12" s="9">
        <f t="shared" si="2"/>
        <v>2.25496178769651</v>
      </c>
      <c r="AI12" s="9">
        <f t="shared" si="3"/>
        <v>5.0848526639714402</v>
      </c>
      <c r="AJ12" s="9">
        <f t="shared" si="4"/>
        <v>0.52571645886213525</v>
      </c>
      <c r="AK12" s="9">
        <f t="shared" si="5"/>
        <v>0.27637779511854316</v>
      </c>
      <c r="AL12" s="9">
        <f t="shared" si="6"/>
        <v>0.96929258110142869</v>
      </c>
      <c r="AM12" s="9">
        <f t="shared" si="7"/>
        <v>0.93952810777826967</v>
      </c>
      <c r="AN12" s="9" t="s">
        <v>4819</v>
      </c>
    </row>
    <row r="13" spans="8:40" ht="23">
      <c r="M13" s="8" t="s">
        <v>4270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4270</v>
      </c>
      <c r="X13" s="8">
        <v>27.21</v>
      </c>
      <c r="Y13" s="8">
        <v>7.74</v>
      </c>
      <c r="Z13" s="9">
        <v>4.01</v>
      </c>
      <c r="AA13" s="8">
        <v>384.2</v>
      </c>
      <c r="AB13" s="8">
        <v>466</v>
      </c>
      <c r="AC13" s="21" t="s">
        <v>4270</v>
      </c>
      <c r="AD13" s="8" t="s">
        <v>4643</v>
      </c>
      <c r="AE13" s="8" t="s">
        <v>4494</v>
      </c>
      <c r="AF13" s="9">
        <f t="shared" si="0"/>
        <v>2973.7080000000001</v>
      </c>
      <c r="AG13" s="9">
        <f t="shared" si="1"/>
        <v>1543.2033333333334</v>
      </c>
      <c r="AH13" s="9">
        <f t="shared" si="2"/>
        <v>2.2328771103943277</v>
      </c>
      <c r="AI13" s="9">
        <f t="shared" si="3"/>
        <v>4.9857401901229226</v>
      </c>
      <c r="AJ13" s="9">
        <f t="shared" si="4"/>
        <v>1.6246749661726834</v>
      </c>
      <c r="AK13" s="9">
        <f t="shared" si="5"/>
        <v>2.63956874570821</v>
      </c>
      <c r="AL13" s="9">
        <f t="shared" si="6"/>
        <v>2.2457444832314004</v>
      </c>
      <c r="AM13" s="9">
        <f t="shared" si="7"/>
        <v>5.0433682839642699</v>
      </c>
      <c r="AN13" s="8" t="s">
        <v>4270</v>
      </c>
    </row>
    <row r="14" spans="8:40" ht="23">
      <c r="M14" s="9" t="s">
        <v>2796</v>
      </c>
      <c r="N14" s="8" t="s">
        <v>1614</v>
      </c>
      <c r="O14" s="8"/>
      <c r="P14" s="8" t="s">
        <v>3700</v>
      </c>
      <c r="Q14" s="8"/>
      <c r="R14" s="8"/>
      <c r="S14" s="8"/>
      <c r="T14" s="8"/>
      <c r="U14" s="8"/>
      <c r="V14" s="8"/>
      <c r="W14" s="9" t="s">
        <v>2796</v>
      </c>
      <c r="X14" s="8">
        <v>36.119999999999997</v>
      </c>
      <c r="Y14" s="8">
        <v>2.42</v>
      </c>
      <c r="Z14" s="9">
        <v>2.2000000000000002</v>
      </c>
      <c r="AA14" s="8">
        <v>340.4</v>
      </c>
      <c r="AB14" s="8">
        <v>1010</v>
      </c>
      <c r="AC14" s="22" t="s">
        <v>2796</v>
      </c>
      <c r="AD14" s="8" t="s">
        <v>4643</v>
      </c>
      <c r="AE14" s="8" t="s">
        <v>4494</v>
      </c>
      <c r="AF14" s="9">
        <f t="shared" si="0"/>
        <v>823.76799999999992</v>
      </c>
      <c r="AG14" s="9">
        <f t="shared" si="1"/>
        <v>681.93466666666666</v>
      </c>
      <c r="AH14" s="9">
        <f t="shared" si="2"/>
        <v>1.9783221457007525</v>
      </c>
      <c r="AI14" s="9">
        <f t="shared" si="3"/>
        <v>3.9137585121700296</v>
      </c>
      <c r="AJ14" s="9">
        <f t="shared" si="4"/>
        <v>0.4500627659252821</v>
      </c>
      <c r="AK14" s="9">
        <f t="shared" si="5"/>
        <v>0.20255649327231526</v>
      </c>
      <c r="AL14" s="9">
        <f t="shared" si="6"/>
        <v>0.99238446581304518</v>
      </c>
      <c r="AM14" s="9">
        <f t="shared" si="7"/>
        <v>0.98482692798704308</v>
      </c>
      <c r="AN14" s="9" t="s">
        <v>2796</v>
      </c>
    </row>
    <row r="15" spans="8:40" ht="23">
      <c r="M15" s="8" t="s">
        <v>10</v>
      </c>
      <c r="N15" s="8" t="s">
        <v>8</v>
      </c>
      <c r="O15" s="8"/>
      <c r="P15" s="8"/>
      <c r="Q15" s="8"/>
      <c r="R15" s="8"/>
      <c r="S15" s="8"/>
      <c r="T15" s="8"/>
      <c r="U15" s="8"/>
      <c r="V15" s="8"/>
      <c r="W15" s="8" t="s">
        <v>10</v>
      </c>
      <c r="X15" s="8">
        <v>37.229999999999997</v>
      </c>
      <c r="Y15" s="8">
        <v>2.31</v>
      </c>
      <c r="Z15" s="9">
        <v>1.44</v>
      </c>
      <c r="AA15" s="8">
        <v>336.9</v>
      </c>
      <c r="AB15" s="8">
        <v>916</v>
      </c>
      <c r="AC15" s="21" t="s">
        <v>10</v>
      </c>
      <c r="AD15" s="8" t="s">
        <v>4643</v>
      </c>
      <c r="AE15" s="8" t="s">
        <v>4494</v>
      </c>
      <c r="AF15" s="9">
        <f t="shared" si="0"/>
        <v>778.23899999999992</v>
      </c>
      <c r="AG15" s="9">
        <f t="shared" si="1"/>
        <v>583.96</v>
      </c>
      <c r="AH15" s="9">
        <f t="shared" si="2"/>
        <v>1.9579809955540057</v>
      </c>
      <c r="AI15" s="9">
        <f t="shared" si="3"/>
        <v>3.8336895789506555</v>
      </c>
      <c r="AJ15" s="9">
        <f t="shared" si="4"/>
        <v>0.42518815599892884</v>
      </c>
      <c r="AK15" s="9">
        <f t="shared" si="5"/>
        <v>0.18078496800176944</v>
      </c>
      <c r="AL15" s="9">
        <f t="shared" si="6"/>
        <v>0.84980696976277181</v>
      </c>
      <c r="AM15" s="9">
        <f t="shared" si="7"/>
        <v>0.72217188585738457</v>
      </c>
      <c r="AN15" s="8" t="s">
        <v>10</v>
      </c>
    </row>
    <row r="16" spans="8:40" ht="23">
      <c r="M16" s="8" t="s">
        <v>1816</v>
      </c>
      <c r="N16" s="8" t="s">
        <v>1814</v>
      </c>
      <c r="O16" s="8"/>
      <c r="P16" s="8" t="s">
        <v>3691</v>
      </c>
      <c r="Q16" s="8"/>
      <c r="R16" s="8"/>
      <c r="S16" s="8"/>
      <c r="T16" s="8"/>
      <c r="U16" s="8"/>
      <c r="V16" s="8"/>
      <c r="W16" s="8" t="s">
        <v>1816</v>
      </c>
      <c r="X16" s="8">
        <v>27.59</v>
      </c>
      <c r="Y16" s="8">
        <v>1.95</v>
      </c>
      <c r="Z16" s="9">
        <v>1.36</v>
      </c>
      <c r="AA16" s="8">
        <v>314.2</v>
      </c>
      <c r="AB16" s="8">
        <v>1402</v>
      </c>
      <c r="AC16" s="21" t="s">
        <v>1816</v>
      </c>
      <c r="AD16" s="8" t="s">
        <v>4643</v>
      </c>
      <c r="AE16" s="8" t="s">
        <v>4494</v>
      </c>
      <c r="AF16" s="9">
        <f t="shared" si="0"/>
        <v>612.68999999999994</v>
      </c>
      <c r="AG16" s="9">
        <f t="shared" si="1"/>
        <v>502.72</v>
      </c>
      <c r="AH16" s="9">
        <f t="shared" si="2"/>
        <v>1.8260541074593901</v>
      </c>
      <c r="AI16" s="9">
        <f t="shared" si="3"/>
        <v>3.3344736033693101</v>
      </c>
      <c r="AJ16" s="9">
        <f t="shared" si="4"/>
        <v>0.33474103880553879</v>
      </c>
      <c r="AK16" s="9">
        <f t="shared" si="5"/>
        <v>0.11205156306061123</v>
      </c>
      <c r="AL16" s="9">
        <f t="shared" si="6"/>
        <v>0.73158257387345138</v>
      </c>
      <c r="AM16" s="9">
        <f t="shared" si="7"/>
        <v>0.53521306239530397</v>
      </c>
      <c r="AN16" s="8" t="s">
        <v>1816</v>
      </c>
    </row>
    <row r="17" spans="13:40" ht="26.5" customHeight="1">
      <c r="M17" s="8" t="s">
        <v>59</v>
      </c>
      <c r="N17" s="8" t="s">
        <v>24</v>
      </c>
      <c r="O17" s="8"/>
      <c r="P17" s="8"/>
      <c r="Q17" s="8"/>
      <c r="R17" s="8"/>
      <c r="S17" s="8"/>
      <c r="T17" s="8"/>
      <c r="U17" s="8"/>
      <c r="V17" s="8"/>
      <c r="W17" s="8" t="s">
        <v>59</v>
      </c>
      <c r="X17" s="8">
        <v>25.95</v>
      </c>
      <c r="Y17" s="8">
        <v>4.3899999999999997</v>
      </c>
      <c r="Z17" s="9">
        <v>5.09</v>
      </c>
      <c r="AA17" s="8">
        <v>279.2</v>
      </c>
      <c r="AB17" s="8">
        <v>1205</v>
      </c>
      <c r="AC17" s="21" t="s">
        <v>59</v>
      </c>
      <c r="AD17" s="8" t="s">
        <v>4643</v>
      </c>
      <c r="AE17" s="8" t="s">
        <v>4494</v>
      </c>
      <c r="AF17" s="9">
        <f t="shared" si="0"/>
        <v>1225.6879999999999</v>
      </c>
      <c r="AG17" s="9">
        <f t="shared" si="1"/>
        <v>1437.88</v>
      </c>
      <c r="AH17" s="9">
        <f t="shared" si="2"/>
        <v>1.6226426059919217</v>
      </c>
      <c r="AI17" s="9">
        <f t="shared" si="3"/>
        <v>2.6329690267802546</v>
      </c>
      <c r="AJ17" s="9">
        <f t="shared" si="4"/>
        <v>0.66965035233394254</v>
      </c>
      <c r="AK17" s="9">
        <f t="shared" si="5"/>
        <v>0.44843159438097341</v>
      </c>
      <c r="AL17" s="9">
        <f t="shared" si="6"/>
        <v>2.092472850336486</v>
      </c>
      <c r="AM17" s="9">
        <f t="shared" si="7"/>
        <v>4.3784426293952983</v>
      </c>
      <c r="AN17" s="8" t="s">
        <v>59</v>
      </c>
    </row>
    <row r="18" spans="13:40" ht="23">
      <c r="M18" s="8" t="s">
        <v>3925</v>
      </c>
      <c r="N18" s="8" t="s">
        <v>2074</v>
      </c>
      <c r="O18" s="8"/>
      <c r="P18" s="8" t="s">
        <v>4035</v>
      </c>
      <c r="Q18" s="8"/>
      <c r="R18" s="8"/>
      <c r="S18" s="8"/>
      <c r="T18" s="8"/>
      <c r="U18" s="8"/>
      <c r="V18" s="8"/>
      <c r="W18" s="8" t="s">
        <v>2080</v>
      </c>
      <c r="X18" s="8">
        <v>4.09</v>
      </c>
      <c r="Y18" s="8">
        <v>10.29</v>
      </c>
      <c r="Z18" s="9">
        <v>4.3899999999999997</v>
      </c>
      <c r="AA18" s="8">
        <v>276.5</v>
      </c>
      <c r="AB18" s="8">
        <v>1228</v>
      </c>
      <c r="AC18" s="21" t="s">
        <v>2080</v>
      </c>
      <c r="AD18" s="8" t="s">
        <v>4643</v>
      </c>
      <c r="AE18" s="8" t="s">
        <v>4494</v>
      </c>
      <c r="AF18" s="9">
        <f t="shared" si="0"/>
        <v>2845.1849999999999</v>
      </c>
      <c r="AG18" s="9">
        <f t="shared" si="1"/>
        <v>1285.7250000000001</v>
      </c>
      <c r="AH18" s="9">
        <f t="shared" si="2"/>
        <v>1.6069508615930026</v>
      </c>
      <c r="AI18" s="9">
        <f t="shared" si="3"/>
        <v>2.5822910715744936</v>
      </c>
      <c r="AJ18" s="9">
        <f t="shared" si="4"/>
        <v>1.5544568745922684</v>
      </c>
      <c r="AK18" s="9">
        <f t="shared" si="5"/>
        <v>2.4163361749671632</v>
      </c>
      <c r="AL18" s="9">
        <f t="shared" si="6"/>
        <v>1.8710495003052261</v>
      </c>
      <c r="AM18" s="9">
        <f t="shared" si="7"/>
        <v>3.5008262325924364</v>
      </c>
      <c r="AN18" s="8" t="s">
        <v>2080</v>
      </c>
    </row>
    <row r="19" spans="13:40" ht="23">
      <c r="M19" s="9" t="s">
        <v>2605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9" t="s">
        <v>2605</v>
      </c>
      <c r="X19" s="8">
        <v>46.13</v>
      </c>
      <c r="Y19" s="8">
        <v>1.48</v>
      </c>
      <c r="Z19" s="9">
        <v>0.44</v>
      </c>
      <c r="AA19" s="8">
        <v>239.5</v>
      </c>
      <c r="AB19" s="8">
        <v>2700</v>
      </c>
      <c r="AC19" s="22" t="s">
        <v>2605</v>
      </c>
      <c r="AD19" s="8" t="s">
        <v>4643</v>
      </c>
      <c r="AE19" s="8" t="s">
        <v>4494</v>
      </c>
      <c r="AF19" s="9">
        <f t="shared" si="0"/>
        <v>354.46</v>
      </c>
      <c r="AG19" s="9">
        <f t="shared" si="1"/>
        <v>175.63333333333333</v>
      </c>
      <c r="AH19" s="9">
        <f t="shared" si="2"/>
        <v>1.3919158457559644</v>
      </c>
      <c r="AI19" s="9">
        <f t="shared" si="3"/>
        <v>1.9374297216665417</v>
      </c>
      <c r="AJ19" s="9">
        <f t="shared" si="4"/>
        <v>0.19365798138538459</v>
      </c>
      <c r="AK19" s="9">
        <f t="shared" si="5"/>
        <v>3.7503413754261965E-2</v>
      </c>
      <c r="AL19" s="9">
        <f t="shared" si="6"/>
        <v>0.25559016163664433</v>
      </c>
      <c r="AM19" s="9">
        <f t="shared" si="7"/>
        <v>6.5326330725445969E-2</v>
      </c>
      <c r="AN19" s="9" t="s">
        <v>2605</v>
      </c>
    </row>
    <row r="20" spans="13:40" ht="23">
      <c r="M20" s="8" t="s">
        <v>122</v>
      </c>
      <c r="N20" s="8" t="s">
        <v>125</v>
      </c>
      <c r="O20" s="8"/>
      <c r="P20" s="8" t="s">
        <v>3698</v>
      </c>
      <c r="Q20" s="8"/>
      <c r="R20" s="8"/>
      <c r="S20" s="8"/>
      <c r="T20" s="8"/>
      <c r="U20" s="8"/>
      <c r="V20" s="8"/>
      <c r="W20" s="8" t="s">
        <v>122</v>
      </c>
      <c r="X20" s="8">
        <v>30.59</v>
      </c>
      <c r="Y20" s="8">
        <v>2.42</v>
      </c>
      <c r="Z20" s="9">
        <v>1.46</v>
      </c>
      <c r="AA20" s="8">
        <v>227.7</v>
      </c>
      <c r="AB20" s="8">
        <v>1696</v>
      </c>
      <c r="AC20" s="21" t="s">
        <v>122</v>
      </c>
      <c r="AD20" s="8" t="s">
        <v>4643</v>
      </c>
      <c r="AE20" s="8" t="s">
        <v>4494</v>
      </c>
      <c r="AF20" s="9">
        <f t="shared" si="0"/>
        <v>551.03399999999999</v>
      </c>
      <c r="AG20" s="9">
        <f t="shared" si="1"/>
        <v>402.27</v>
      </c>
      <c r="AH20" s="9">
        <f t="shared" si="2"/>
        <v>1.3233371109755034</v>
      </c>
      <c r="AI20" s="9">
        <f t="shared" si="3"/>
        <v>1.7512211092849919</v>
      </c>
      <c r="AJ20" s="9">
        <f t="shared" si="4"/>
        <v>0.30105549882839822</v>
      </c>
      <c r="AK20" s="9">
        <f t="shared" si="5"/>
        <v>9.0634413374815676E-2</v>
      </c>
      <c r="AL20" s="9">
        <f t="shared" si="6"/>
        <v>0.58540285246672752</v>
      </c>
      <c r="AM20" s="9">
        <f t="shared" si="7"/>
        <v>0.34269649967618115</v>
      </c>
      <c r="AN20" s="8" t="s">
        <v>122</v>
      </c>
    </row>
    <row r="21" spans="13:40" ht="23">
      <c r="M21" s="9" t="s">
        <v>3057</v>
      </c>
      <c r="N21" s="8" t="s">
        <v>1814</v>
      </c>
      <c r="O21" s="8"/>
      <c r="P21" s="8" t="s">
        <v>3693</v>
      </c>
      <c r="Q21" s="8"/>
      <c r="R21" s="8"/>
      <c r="S21" s="8"/>
      <c r="T21" s="8"/>
      <c r="U21" s="8"/>
      <c r="V21" s="8"/>
      <c r="W21" s="9" t="s">
        <v>3057</v>
      </c>
      <c r="X21" s="8">
        <v>28.74</v>
      </c>
      <c r="Y21" s="8">
        <v>3.42</v>
      </c>
      <c r="Z21" s="9">
        <v>4.18</v>
      </c>
      <c r="AA21" s="8">
        <v>222.8</v>
      </c>
      <c r="AB21" s="8">
        <v>922</v>
      </c>
      <c r="AC21" s="22" t="s">
        <v>3057</v>
      </c>
      <c r="AD21" s="8" t="s">
        <v>4643</v>
      </c>
      <c r="AE21" s="8" t="s">
        <v>4494</v>
      </c>
      <c r="AF21" s="9">
        <f t="shared" si="0"/>
        <v>761.976</v>
      </c>
      <c r="AG21" s="9">
        <f t="shared" si="1"/>
        <v>958.04</v>
      </c>
      <c r="AH21" s="9">
        <f t="shared" si="2"/>
        <v>1.2948595007700578</v>
      </c>
      <c r="AI21" s="9">
        <f t="shared" si="3"/>
        <v>1.6766611267344835</v>
      </c>
      <c r="AJ21" s="9">
        <f t="shared" si="4"/>
        <v>0.41630292282375958</v>
      </c>
      <c r="AK21" s="9">
        <f t="shared" si="5"/>
        <v>0.17330812355160513</v>
      </c>
      <c r="AL21" s="9">
        <f t="shared" si="6"/>
        <v>1.3941863643255119</v>
      </c>
      <c r="AM21" s="9">
        <f t="shared" si="7"/>
        <v>1.9437556184711891</v>
      </c>
      <c r="AN21" s="9" t="s">
        <v>3057</v>
      </c>
    </row>
    <row r="22" spans="13:40" ht="23">
      <c r="M22" s="9" t="s">
        <v>3214</v>
      </c>
      <c r="N22" s="8" t="s">
        <v>1902</v>
      </c>
      <c r="O22" s="8"/>
      <c r="P22" s="8"/>
      <c r="Q22" s="8"/>
      <c r="R22" s="8"/>
      <c r="S22" s="8"/>
      <c r="T22" s="8"/>
      <c r="U22" s="8"/>
      <c r="V22" s="8"/>
      <c r="W22" s="9" t="s">
        <v>3214</v>
      </c>
      <c r="X22" s="8">
        <v>50.17</v>
      </c>
      <c r="Y22" s="8">
        <v>1.43</v>
      </c>
      <c r="Z22" s="9">
        <v>1.48</v>
      </c>
      <c r="AA22" s="8">
        <v>215.5</v>
      </c>
      <c r="AB22" s="8">
        <v>4373</v>
      </c>
      <c r="AC22" s="22" t="s">
        <v>3214</v>
      </c>
      <c r="AD22" s="8" t="s">
        <v>4643</v>
      </c>
      <c r="AE22" s="8" t="s">
        <v>4494</v>
      </c>
      <c r="AF22" s="9">
        <f t="shared" si="0"/>
        <v>308.16499999999996</v>
      </c>
      <c r="AG22" s="9">
        <f t="shared" si="1"/>
        <v>387.90000000000003</v>
      </c>
      <c r="AH22" s="9">
        <f t="shared" si="2"/>
        <v>1.2524336733211285</v>
      </c>
      <c r="AI22" s="9">
        <f t="shared" si="3"/>
        <v>1.5685901060686553</v>
      </c>
      <c r="AJ22" s="9">
        <f t="shared" si="4"/>
        <v>0.16836487003788028</v>
      </c>
      <c r="AK22" s="9">
        <f t="shared" si="5"/>
        <v>2.8346729462872318E-2</v>
      </c>
      <c r="AL22" s="9">
        <f t="shared" si="6"/>
        <v>0.56449093015100205</v>
      </c>
      <c r="AM22" s="9">
        <f t="shared" si="7"/>
        <v>0.31865001022274347</v>
      </c>
      <c r="AN22" s="9" t="s">
        <v>3214</v>
      </c>
    </row>
    <row r="23" spans="13:40" ht="23">
      <c r="M23" s="8" t="s">
        <v>28</v>
      </c>
      <c r="N23" s="8" t="s">
        <v>24</v>
      </c>
      <c r="O23" s="8"/>
      <c r="P23" s="8" t="s">
        <v>3694</v>
      </c>
      <c r="Q23" s="8"/>
      <c r="R23" s="8"/>
      <c r="S23" s="8"/>
      <c r="T23" s="8"/>
      <c r="U23" s="8"/>
      <c r="V23" s="8"/>
      <c r="W23" s="8" t="s">
        <v>28</v>
      </c>
      <c r="X23" s="8">
        <v>26.48</v>
      </c>
      <c r="Y23" s="8">
        <v>3.35</v>
      </c>
      <c r="Z23" s="9">
        <v>2.54</v>
      </c>
      <c r="AA23" s="8">
        <v>204.4</v>
      </c>
      <c r="AB23" s="8">
        <v>964</v>
      </c>
      <c r="AC23" s="21" t="s">
        <v>28</v>
      </c>
      <c r="AD23" s="8" t="s">
        <v>4643</v>
      </c>
      <c r="AE23" s="8" t="s">
        <v>4494</v>
      </c>
      <c r="AF23" s="9">
        <f t="shared" si="0"/>
        <v>684.74</v>
      </c>
      <c r="AG23" s="9">
        <f t="shared" si="1"/>
        <v>592.76</v>
      </c>
      <c r="AH23" s="9">
        <f t="shared" si="2"/>
        <v>1.1879231685700173</v>
      </c>
      <c r="AI23" s="9">
        <f t="shared" si="3"/>
        <v>1.4111614544254298</v>
      </c>
      <c r="AJ23" s="9">
        <f t="shared" si="4"/>
        <v>0.37410530433286765</v>
      </c>
      <c r="AK23" s="9">
        <f t="shared" si="5"/>
        <v>0.13995477872998752</v>
      </c>
      <c r="AL23" s="9">
        <f t="shared" si="6"/>
        <v>0.86261315740218614</v>
      </c>
      <c r="AM23" s="9">
        <f t="shared" si="7"/>
        <v>0.7441014593233688</v>
      </c>
      <c r="AN23" s="8" t="s">
        <v>28</v>
      </c>
    </row>
    <row r="24" spans="13:40" ht="24.5" customHeight="1">
      <c r="M24" s="9" t="s">
        <v>2726</v>
      </c>
      <c r="N24" s="8" t="s">
        <v>1614</v>
      </c>
      <c r="O24" s="8"/>
      <c r="P24" s="8" t="s">
        <v>3691</v>
      </c>
      <c r="Q24" s="8"/>
      <c r="R24" s="8"/>
      <c r="S24" s="8"/>
      <c r="T24" s="8"/>
      <c r="U24" s="8"/>
      <c r="V24" s="8"/>
      <c r="W24" s="9" t="s">
        <v>2726</v>
      </c>
      <c r="X24" s="8">
        <v>29.26</v>
      </c>
      <c r="Y24" s="8">
        <v>1.51</v>
      </c>
      <c r="Z24" s="9">
        <v>0.55000000000000004</v>
      </c>
      <c r="AA24" s="8">
        <v>191.3</v>
      </c>
      <c r="AB24" s="8">
        <v>4020</v>
      </c>
      <c r="AC24" s="22" t="s">
        <v>2726</v>
      </c>
      <c r="AD24" s="8" t="s">
        <v>4643</v>
      </c>
      <c r="AE24" s="8" t="s">
        <v>4494</v>
      </c>
      <c r="AF24" s="9">
        <f t="shared" si="0"/>
        <v>288.863</v>
      </c>
      <c r="AG24" s="9">
        <f t="shared" si="1"/>
        <v>175.35833333333335</v>
      </c>
      <c r="AH24" s="9">
        <f t="shared" si="2"/>
        <v>1.1117891494493362</v>
      </c>
      <c r="AI24" s="9">
        <f t="shared" si="3"/>
        <v>1.2360751128332783</v>
      </c>
      <c r="AJ24" s="9">
        <f t="shared" si="4"/>
        <v>0.15781928984067695</v>
      </c>
      <c r="AK24" s="9">
        <f t="shared" si="5"/>
        <v>2.4906928245815599E-2</v>
      </c>
      <c r="AL24" s="9">
        <f t="shared" si="6"/>
        <v>0.25518996827291263</v>
      </c>
      <c r="AM24" s="9">
        <f t="shared" si="7"/>
        <v>6.5121919907130149E-2</v>
      </c>
      <c r="AN24" s="9" t="s">
        <v>2726</v>
      </c>
    </row>
    <row r="25" spans="13:40" ht="23">
      <c r="M25" s="8" t="s">
        <v>3919</v>
      </c>
      <c r="N25" s="8" t="s">
        <v>24</v>
      </c>
      <c r="O25" s="8"/>
      <c r="P25" s="8" t="s">
        <v>3691</v>
      </c>
      <c r="Q25" s="8"/>
      <c r="R25" s="8"/>
      <c r="S25" s="8"/>
      <c r="T25" s="8"/>
      <c r="U25" s="8"/>
      <c r="V25" s="8"/>
      <c r="W25" s="8" t="s">
        <v>30</v>
      </c>
      <c r="X25" s="8">
        <v>29.85</v>
      </c>
      <c r="Y25" s="8">
        <v>1.68</v>
      </c>
      <c r="Z25" s="9">
        <v>1.17</v>
      </c>
      <c r="AA25" s="8">
        <v>190.3</v>
      </c>
      <c r="AB25" s="8">
        <v>2051</v>
      </c>
      <c r="AC25" s="21" t="s">
        <v>30</v>
      </c>
      <c r="AD25" s="8" t="s">
        <v>4643</v>
      </c>
      <c r="AE25" s="8" t="s">
        <v>4494</v>
      </c>
      <c r="AF25" s="9">
        <f t="shared" si="0"/>
        <v>319.70400000000001</v>
      </c>
      <c r="AG25" s="9">
        <f t="shared" si="1"/>
        <v>244.21833333333333</v>
      </c>
      <c r="AH25" s="9">
        <f t="shared" si="2"/>
        <v>1.1059773922645513</v>
      </c>
      <c r="AI25" s="9">
        <f t="shared" si="3"/>
        <v>1.2231859922002972</v>
      </c>
      <c r="AJ25" s="9">
        <f t="shared" si="4"/>
        <v>0.1746691623337838</v>
      </c>
      <c r="AK25" s="9">
        <f t="shared" si="5"/>
        <v>3.0509316270385715E-2</v>
      </c>
      <c r="AL25" s="9">
        <f t="shared" si="6"/>
        <v>0.35539838655132977</v>
      </c>
      <c r="AM25" s="9">
        <f t="shared" si="7"/>
        <v>0.12630801316328841</v>
      </c>
      <c r="AN25" s="8" t="s">
        <v>30</v>
      </c>
    </row>
    <row r="26" spans="13:40" ht="23">
      <c r="M26" s="9" t="s">
        <v>2842</v>
      </c>
      <c r="N26" s="8" t="s">
        <v>1614</v>
      </c>
      <c r="O26" s="8"/>
      <c r="P26" s="8" t="s">
        <v>3691</v>
      </c>
      <c r="Q26" s="8"/>
      <c r="R26" s="8"/>
      <c r="S26" s="8"/>
      <c r="T26" s="8"/>
      <c r="U26" s="8"/>
      <c r="V26" s="8"/>
      <c r="W26" s="9" t="s">
        <v>2842</v>
      </c>
      <c r="X26" s="8">
        <v>35.19</v>
      </c>
      <c r="Y26" s="8">
        <v>2.44</v>
      </c>
      <c r="Z26" s="9">
        <v>2.2799999999999998</v>
      </c>
      <c r="AA26" s="8">
        <v>157.69999999999999</v>
      </c>
      <c r="AB26" s="8">
        <v>2242</v>
      </c>
      <c r="AC26" s="22" t="s">
        <v>2842</v>
      </c>
      <c r="AD26" s="8" t="s">
        <v>4643</v>
      </c>
      <c r="AE26" s="8" t="s">
        <v>4494</v>
      </c>
      <c r="AF26" s="9">
        <f t="shared" si="0"/>
        <v>384.78799999999995</v>
      </c>
      <c r="AG26" s="9">
        <f t="shared" si="1"/>
        <v>388.99333333333334</v>
      </c>
      <c r="AH26" s="9">
        <f t="shared" si="2"/>
        <v>0.91651410804056599</v>
      </c>
      <c r="AI26" s="9">
        <f t="shared" si="3"/>
        <v>0.83999811023739424</v>
      </c>
      <c r="AJ26" s="9">
        <f t="shared" si="4"/>
        <v>0.2102275781225508</v>
      </c>
      <c r="AK26" s="9">
        <f t="shared" si="5"/>
        <v>4.41956346032732E-2</v>
      </c>
      <c r="AL26" s="9">
        <f t="shared" si="6"/>
        <v>0.56608200194862623</v>
      </c>
      <c r="AM26" s="9">
        <f t="shared" si="7"/>
        <v>0.32044883293016446</v>
      </c>
      <c r="AN26" s="9" t="s">
        <v>2842</v>
      </c>
    </row>
    <row r="27" spans="13:40" ht="23">
      <c r="M27" s="9" t="s">
        <v>4271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9" t="s">
        <v>4271</v>
      </c>
      <c r="X27" s="8">
        <v>40.869999999999997</v>
      </c>
      <c r="Y27" s="8">
        <v>2.2200000000000002</v>
      </c>
      <c r="Z27" s="9">
        <v>1.38</v>
      </c>
      <c r="AA27" s="8">
        <v>153.5</v>
      </c>
      <c r="AB27" s="8">
        <v>2237</v>
      </c>
      <c r="AC27" s="22" t="s">
        <v>4271</v>
      </c>
      <c r="AD27" s="8" t="s">
        <v>4643</v>
      </c>
      <c r="AE27" s="8" t="s">
        <v>4494</v>
      </c>
      <c r="AF27" s="9">
        <f t="shared" si="0"/>
        <v>340.77000000000004</v>
      </c>
      <c r="AG27" s="9">
        <f t="shared" si="1"/>
        <v>250.71666666666667</v>
      </c>
      <c r="AH27" s="9">
        <f t="shared" si="2"/>
        <v>0.89210472786446993</v>
      </c>
      <c r="AI27" s="9">
        <f t="shared" si="3"/>
        <v>0.79585084547813989</v>
      </c>
      <c r="AJ27" s="9">
        <f t="shared" si="4"/>
        <v>0.18617849776194076</v>
      </c>
      <c r="AK27" s="9">
        <f t="shared" si="5"/>
        <v>3.4662433028892978E-2</v>
      </c>
      <c r="AL27" s="9">
        <f t="shared" si="6"/>
        <v>0.36485507700702607</v>
      </c>
      <c r="AM27" s="9">
        <f t="shared" si="7"/>
        <v>0.13311922721780292</v>
      </c>
      <c r="AN27" s="9" t="s">
        <v>4271</v>
      </c>
    </row>
    <row r="28" spans="13:40" ht="23">
      <c r="M28" s="8" t="s">
        <v>173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173</v>
      </c>
      <c r="X28" s="8">
        <v>29.14</v>
      </c>
      <c r="Y28" s="8">
        <v>1.08</v>
      </c>
      <c r="Z28" s="9">
        <v>0.04</v>
      </c>
      <c r="AA28" s="8">
        <v>133.1</v>
      </c>
      <c r="AB28" s="8">
        <v>16401</v>
      </c>
      <c r="AC28" s="21" t="s">
        <v>173</v>
      </c>
      <c r="AD28" s="8" t="s">
        <v>4643</v>
      </c>
      <c r="AE28" s="8" t="s">
        <v>4494</v>
      </c>
      <c r="AF28" s="9">
        <f t="shared" si="0"/>
        <v>143.74799999999999</v>
      </c>
      <c r="AG28" s="9">
        <f t="shared" si="1"/>
        <v>8.8733333333333331</v>
      </c>
      <c r="AH28" s="9">
        <f t="shared" si="2"/>
        <v>0.77354488129485943</v>
      </c>
      <c r="AI28" s="9">
        <f t="shared" si="3"/>
        <v>0.59837168337747815</v>
      </c>
      <c r="AJ28" s="9">
        <f t="shared" si="4"/>
        <v>7.8536217085669088E-2</v>
      </c>
      <c r="AK28" s="9">
        <f t="shared" si="5"/>
        <v>6.1679373941273411E-3</v>
      </c>
      <c r="AL28" s="9">
        <f t="shared" si="6"/>
        <v>1.2912905869742782E-2</v>
      </c>
      <c r="AM28" s="9">
        <f t="shared" si="7"/>
        <v>1.6674313800083758E-4</v>
      </c>
      <c r="AN28" s="8" t="s">
        <v>173</v>
      </c>
    </row>
    <row r="29" spans="13:40" ht="23.5" customHeight="1">
      <c r="M29" s="8" t="s">
        <v>2089</v>
      </c>
      <c r="N29" s="8" t="s">
        <v>2084</v>
      </c>
      <c r="O29" s="8"/>
      <c r="P29" s="8" t="s">
        <v>3691</v>
      </c>
      <c r="Q29" s="8"/>
      <c r="R29" s="8"/>
      <c r="S29" s="8"/>
      <c r="T29" s="8"/>
      <c r="U29" s="8"/>
      <c r="V29" s="8"/>
      <c r="W29" s="8" t="s">
        <v>2089</v>
      </c>
      <c r="X29" s="8">
        <v>23.07</v>
      </c>
      <c r="Y29" s="8">
        <v>3.12</v>
      </c>
      <c r="Z29" s="9">
        <v>2.14</v>
      </c>
      <c r="AA29" s="8">
        <v>128</v>
      </c>
      <c r="AB29" s="8">
        <v>2102</v>
      </c>
      <c r="AC29" s="21" t="s">
        <v>2089</v>
      </c>
      <c r="AD29" s="8" t="s">
        <v>4643</v>
      </c>
      <c r="AE29" s="8" t="s">
        <v>4494</v>
      </c>
      <c r="AF29" s="9">
        <f t="shared" si="0"/>
        <v>399.36</v>
      </c>
      <c r="AG29" s="9">
        <f t="shared" si="1"/>
        <v>285.86666666666667</v>
      </c>
      <c r="AH29" s="9">
        <f t="shared" si="2"/>
        <v>0.74390491965245686</v>
      </c>
      <c r="AI29" s="9">
        <f t="shared" si="3"/>
        <v>0.55339452948312828</v>
      </c>
      <c r="AJ29" s="9">
        <f t="shared" si="4"/>
        <v>0.21818893936147152</v>
      </c>
      <c r="AK29" s="9">
        <f t="shared" si="5"/>
        <v>4.7606413259683893E-2</v>
      </c>
      <c r="AL29" s="9">
        <f t="shared" si="6"/>
        <v>0.41600706513491398</v>
      </c>
      <c r="AM29" s="9">
        <f t="shared" si="7"/>
        <v>0.17306187824216457</v>
      </c>
      <c r="AN29" s="8" t="s">
        <v>2089</v>
      </c>
    </row>
    <row r="30" spans="13:40" ht="23">
      <c r="M30" s="8" t="s">
        <v>29</v>
      </c>
      <c r="N30" s="8" t="s">
        <v>24</v>
      </c>
      <c r="O30" s="8"/>
      <c r="P30" s="8" t="s">
        <v>3691</v>
      </c>
      <c r="Q30" s="8"/>
      <c r="R30" s="8"/>
      <c r="S30" s="8"/>
      <c r="T30" s="8"/>
      <c r="U30" s="8"/>
      <c r="V30" s="8"/>
      <c r="W30" s="8" t="s">
        <v>29</v>
      </c>
      <c r="X30" s="8">
        <v>30.53</v>
      </c>
      <c r="Y30" s="8">
        <v>4.8600000000000003</v>
      </c>
      <c r="Z30" s="9">
        <v>4.2300000000000004</v>
      </c>
      <c r="AA30" s="8">
        <v>88.9</v>
      </c>
      <c r="AB30" s="8">
        <v>1701</v>
      </c>
      <c r="AC30" s="21" t="s">
        <v>29</v>
      </c>
      <c r="AD30" s="8" t="s">
        <v>4643</v>
      </c>
      <c r="AE30" s="8" t="s">
        <v>4494</v>
      </c>
      <c r="AF30" s="9">
        <f t="shared" si="0"/>
        <v>432.05400000000003</v>
      </c>
      <c r="AG30" s="9">
        <f t="shared" si="1"/>
        <v>389.6783333333334</v>
      </c>
      <c r="AH30" s="9">
        <f t="shared" si="2"/>
        <v>0.51666521372737051</v>
      </c>
      <c r="AI30" s="9">
        <f t="shared" si="3"/>
        <v>0.26694294307594946</v>
      </c>
      <c r="AJ30" s="9">
        <f t="shared" si="4"/>
        <v>0.23605119192428189</v>
      </c>
      <c r="AK30" s="9">
        <f t="shared" si="5"/>
        <v>5.5720165208874163E-2</v>
      </c>
      <c r="AL30" s="9">
        <f t="shared" si="6"/>
        <v>0.56707884723646718</v>
      </c>
      <c r="AM30" s="9">
        <f t="shared" si="7"/>
        <v>0.32157841898304046</v>
      </c>
      <c r="AN30" s="8" t="s">
        <v>29</v>
      </c>
    </row>
    <row r="31" spans="13:40" ht="20.5" customHeight="1">
      <c r="M31" s="8" t="s">
        <v>1405</v>
      </c>
      <c r="N31" s="8" t="s">
        <v>150</v>
      </c>
      <c r="O31" s="8"/>
      <c r="P31" s="8" t="s">
        <v>3709</v>
      </c>
      <c r="Q31" s="8"/>
      <c r="R31" s="8"/>
      <c r="S31" s="8"/>
      <c r="T31" s="8"/>
      <c r="U31" s="8"/>
      <c r="V31" s="8"/>
      <c r="W31" s="8" t="s">
        <v>1405</v>
      </c>
      <c r="X31" s="8">
        <v>24.87</v>
      </c>
      <c r="Y31" s="8">
        <v>2.77</v>
      </c>
      <c r="Z31" s="9">
        <v>2.23</v>
      </c>
      <c r="AA31" s="8">
        <v>78.3</v>
      </c>
      <c r="AB31" s="8">
        <v>2694</v>
      </c>
      <c r="AC31" s="21" t="s">
        <v>1405</v>
      </c>
      <c r="AD31" s="8" t="s">
        <v>4643</v>
      </c>
      <c r="AE31" s="8" t="s">
        <v>4494</v>
      </c>
      <c r="AF31" s="9">
        <f t="shared" si="0"/>
        <v>216.89099999999999</v>
      </c>
      <c r="AG31" s="9">
        <f t="shared" si="1"/>
        <v>186.61499999999998</v>
      </c>
      <c r="AH31" s="9">
        <f t="shared" si="2"/>
        <v>0.45506058756865136</v>
      </c>
      <c r="AI31" s="9">
        <f t="shared" si="3"/>
        <v>0.20708013835832623</v>
      </c>
      <c r="AJ31" s="9">
        <f t="shared" si="4"/>
        <v>0.11849763934056722</v>
      </c>
      <c r="AK31" s="9">
        <f t="shared" si="5"/>
        <v>1.4041690529287143E-2</v>
      </c>
      <c r="AL31" s="9">
        <f t="shared" si="6"/>
        <v>0.27157121662833006</v>
      </c>
      <c r="AM31" s="9">
        <f t="shared" si="7"/>
        <v>7.3750925700991371E-2</v>
      </c>
      <c r="AN31" s="8" t="s">
        <v>1405</v>
      </c>
    </row>
    <row r="32" spans="13:40" ht="20.5" customHeight="1">
      <c r="M32" s="8" t="s">
        <v>376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376</v>
      </c>
      <c r="X32" s="8">
        <v>25.02</v>
      </c>
      <c r="Y32" s="8">
        <v>2.06</v>
      </c>
      <c r="Z32" s="9">
        <v>1.35</v>
      </c>
      <c r="AA32" s="8">
        <v>77.099999999999994</v>
      </c>
      <c r="AB32" s="8">
        <v>3411</v>
      </c>
      <c r="AC32" s="21" t="s">
        <v>376</v>
      </c>
      <c r="AD32" s="8" t="s">
        <v>4643</v>
      </c>
      <c r="AE32" s="8" t="s">
        <v>4494</v>
      </c>
      <c r="AF32" s="9">
        <f t="shared" si="0"/>
        <v>158.82599999999999</v>
      </c>
      <c r="AG32" s="9">
        <f t="shared" si="1"/>
        <v>122.075</v>
      </c>
      <c r="AH32" s="9">
        <f t="shared" si="2"/>
        <v>0.44808647894690956</v>
      </c>
      <c r="AI32" s="9">
        <f t="shared" si="3"/>
        <v>0.20078149261503922</v>
      </c>
      <c r="AJ32" s="9">
        <f t="shared" si="4"/>
        <v>8.6774029655010701E-2</v>
      </c>
      <c r="AK32" s="9">
        <f t="shared" si="5"/>
        <v>7.5297322225686769E-3</v>
      </c>
      <c r="AL32" s="9">
        <f t="shared" si="6"/>
        <v>0.17764947228198913</v>
      </c>
      <c r="AM32" s="9">
        <f t="shared" si="7"/>
        <v>3.1559335002069221E-2</v>
      </c>
      <c r="AN32" s="8" t="s">
        <v>376</v>
      </c>
    </row>
    <row r="33" spans="13:40" ht="23">
      <c r="M33" s="9" t="s">
        <v>2975</v>
      </c>
      <c r="N33" s="8" t="s">
        <v>1717</v>
      </c>
      <c r="O33" s="8"/>
      <c r="P33" s="8"/>
      <c r="Q33" s="8"/>
      <c r="R33" s="8"/>
      <c r="S33" s="8"/>
      <c r="T33" s="8"/>
      <c r="U33" s="8"/>
      <c r="V33" s="8"/>
      <c r="W33" s="9" t="s">
        <v>2975</v>
      </c>
      <c r="X33" s="8">
        <v>22.74</v>
      </c>
      <c r="Y33" s="8">
        <v>3.73</v>
      </c>
      <c r="Z33" s="9">
        <v>1.27</v>
      </c>
      <c r="AA33" s="8">
        <v>69.400000000000006</v>
      </c>
      <c r="AB33" s="8">
        <v>5936</v>
      </c>
      <c r="AC33" s="22" t="s">
        <v>2975</v>
      </c>
      <c r="AD33" s="8" t="s">
        <v>4643</v>
      </c>
      <c r="AE33" s="8" t="s">
        <v>4494</v>
      </c>
      <c r="AF33" s="9">
        <f t="shared" si="0"/>
        <v>258.86200000000002</v>
      </c>
      <c r="AG33" s="9">
        <f t="shared" si="1"/>
        <v>100.63000000000001</v>
      </c>
      <c r="AH33" s="9">
        <f t="shared" si="2"/>
        <v>0.40333594862406652</v>
      </c>
      <c r="AI33" s="9">
        <f t="shared" si="3"/>
        <v>0.16267988745247564</v>
      </c>
      <c r="AJ33" s="9">
        <f t="shared" si="4"/>
        <v>0.14142834840992902</v>
      </c>
      <c r="AK33" s="9">
        <f t="shared" si="5"/>
        <v>2.0001977733960272E-2</v>
      </c>
      <c r="AL33" s="9">
        <f t="shared" si="6"/>
        <v>0.14644166615389365</v>
      </c>
      <c r="AM33" s="9">
        <f t="shared" si="7"/>
        <v>2.1445161585928438E-2</v>
      </c>
      <c r="AN33" s="9" t="s">
        <v>2975</v>
      </c>
    </row>
    <row r="34" spans="13:40" ht="28.5" customHeight="1">
      <c r="M34" s="9" t="s">
        <v>2833</v>
      </c>
      <c r="N34" s="8" t="s">
        <v>1614</v>
      </c>
      <c r="O34" s="8"/>
      <c r="P34" s="8"/>
      <c r="Q34" s="8"/>
      <c r="R34" s="8"/>
      <c r="S34" s="8"/>
      <c r="T34" s="8"/>
      <c r="U34" s="8"/>
      <c r="V34" s="8"/>
      <c r="W34" s="9" t="s">
        <v>2833</v>
      </c>
      <c r="X34" s="8">
        <v>56.4</v>
      </c>
      <c r="Y34" s="8">
        <v>1.32</v>
      </c>
      <c r="Z34" s="9">
        <v>2.16</v>
      </c>
      <c r="AA34" s="8">
        <v>56.6</v>
      </c>
      <c r="AB34" s="8">
        <v>28047</v>
      </c>
      <c r="AC34" s="22" t="s">
        <v>2833</v>
      </c>
      <c r="AD34" s="8" t="s">
        <v>4643</v>
      </c>
      <c r="AE34" s="8" t="s">
        <v>4494</v>
      </c>
      <c r="AF34" s="9">
        <f t="shared" ref="AF34:AF58" si="8">(AA34*Y34)</f>
        <v>74.712000000000003</v>
      </c>
      <c r="AG34" s="9">
        <f t="shared" ref="AG34:AG58" si="9">((((RIGHT(Z34,2))/60)+(LEFT(Z34,2)))*AA34)</f>
        <v>128.29333333333332</v>
      </c>
      <c r="AH34" s="9">
        <f t="shared" ref="AH34:AH58" si="10">(AA34/$AA$59)*100</f>
        <v>0.3289454566588208</v>
      </c>
      <c r="AI34" s="9">
        <f t="shared" ref="AI34:AI58" si="11">(AH34*AH34)</f>
        <v>0.10820511345648015</v>
      </c>
      <c r="AJ34" s="9">
        <f t="shared" ref="AJ34:AJ58" si="12">(AF34/$AF$59)*100</f>
        <v>4.0818639917804142E-2</v>
      </c>
      <c r="AK34" s="9">
        <f t="shared" ref="AK34:AK58" si="13">(AJ34*AJ34)</f>
        <v>1.6661613647393537E-3</v>
      </c>
      <c r="AL34" s="9">
        <f t="shared" ref="AL34:AL58" si="14">(AG34/$AG$59)*100</f>
        <v>0.18669869313097678</v>
      </c>
      <c r="AM34" s="9">
        <f t="shared" ref="AM34:AM58" si="15">(AL34*AL34)</f>
        <v>3.4856402016814635E-2</v>
      </c>
      <c r="AN34" s="9" t="s">
        <v>2833</v>
      </c>
    </row>
    <row r="35" spans="13:40" ht="23">
      <c r="M35" s="9" t="s">
        <v>2745</v>
      </c>
      <c r="N35" s="8" t="s">
        <v>1614</v>
      </c>
      <c r="O35" s="8"/>
      <c r="P35" s="8"/>
      <c r="Q35" s="8"/>
      <c r="R35" s="8"/>
      <c r="S35" s="8"/>
      <c r="T35" s="8"/>
      <c r="U35" s="8"/>
      <c r="V35" s="8"/>
      <c r="W35" s="9" t="s">
        <v>2745</v>
      </c>
      <c r="X35" s="8">
        <v>13.27</v>
      </c>
      <c r="Y35" s="8">
        <v>2.41</v>
      </c>
      <c r="Z35" s="9">
        <v>1.27</v>
      </c>
      <c r="AA35" s="8">
        <v>44.4</v>
      </c>
      <c r="AB35" s="8">
        <v>19245</v>
      </c>
      <c r="AC35" s="22" t="s">
        <v>2745</v>
      </c>
      <c r="AD35" s="8" t="s">
        <v>4643</v>
      </c>
      <c r="AE35" s="8" t="s">
        <v>4494</v>
      </c>
      <c r="AF35" s="9">
        <f t="shared" si="8"/>
        <v>107.004</v>
      </c>
      <c r="AG35" s="9">
        <f t="shared" si="9"/>
        <v>64.38</v>
      </c>
      <c r="AH35" s="9">
        <f t="shared" si="10"/>
        <v>0.25804201900444595</v>
      </c>
      <c r="AI35" s="9">
        <f t="shared" si="11"/>
        <v>6.6585683571890847E-2</v>
      </c>
      <c r="AJ35" s="9">
        <f t="shared" si="12"/>
        <v>5.8461261186485626E-2</v>
      </c>
      <c r="AK35" s="9">
        <f t="shared" si="13"/>
        <v>3.4177190595144906E-3</v>
      </c>
      <c r="AL35" s="9">
        <f t="shared" si="14"/>
        <v>9.3688904571078924E-2</v>
      </c>
      <c r="AM35" s="9">
        <f t="shared" si="15"/>
        <v>8.7776108397287327E-3</v>
      </c>
      <c r="AN35" s="9" t="s">
        <v>2745</v>
      </c>
    </row>
    <row r="36" spans="13:40" ht="23">
      <c r="M36" s="8" t="s">
        <v>905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8" t="s">
        <v>905</v>
      </c>
      <c r="X36" s="8">
        <v>33.299999999999997</v>
      </c>
      <c r="Y36" s="8">
        <v>9.9700000000000006</v>
      </c>
      <c r="Z36" s="9">
        <v>9.1199999999999992</v>
      </c>
      <c r="AA36" s="8">
        <v>23.1</v>
      </c>
      <c r="AB36" s="8">
        <v>4523</v>
      </c>
      <c r="AC36" s="21" t="s">
        <v>905</v>
      </c>
      <c r="AD36" s="8" t="s">
        <v>4643</v>
      </c>
      <c r="AE36" s="8" t="s">
        <v>4494</v>
      </c>
      <c r="AF36" s="9">
        <f t="shared" si="8"/>
        <v>230.30700000000002</v>
      </c>
      <c r="AG36" s="9">
        <f t="shared" si="9"/>
        <v>212.52</v>
      </c>
      <c r="AH36" s="9">
        <f t="shared" si="10"/>
        <v>0.13425159096852934</v>
      </c>
      <c r="AI36" s="9">
        <f t="shared" si="11"/>
        <v>1.8023489677581311E-2</v>
      </c>
      <c r="AJ36" s="9">
        <f t="shared" si="12"/>
        <v>0.12582742402224165</v>
      </c>
      <c r="AK36" s="9">
        <f t="shared" si="13"/>
        <v>1.5832540636072995E-2</v>
      </c>
      <c r="AL36" s="9">
        <f t="shared" si="14"/>
        <v>0.30926943149185609</v>
      </c>
      <c r="AM36" s="9">
        <f t="shared" si="15"/>
        <v>9.5647581255295877E-2</v>
      </c>
      <c r="AN36" s="8" t="s">
        <v>905</v>
      </c>
    </row>
    <row r="37" spans="13:40" ht="23">
      <c r="M37" s="8" t="s">
        <v>3880</v>
      </c>
      <c r="N37" s="8" t="s">
        <v>1990</v>
      </c>
      <c r="O37" s="8"/>
      <c r="P37" s="8"/>
      <c r="Q37" s="8"/>
      <c r="R37" s="8"/>
      <c r="S37" s="8"/>
      <c r="T37" s="8"/>
      <c r="U37" s="8"/>
      <c r="V37" s="8"/>
      <c r="W37" s="9" t="s">
        <v>3385</v>
      </c>
      <c r="X37" s="8">
        <v>6.76</v>
      </c>
      <c r="Y37" s="8">
        <v>2.97</v>
      </c>
      <c r="Z37" s="9">
        <v>0.49</v>
      </c>
      <c r="AA37" s="8">
        <v>21.4</v>
      </c>
      <c r="AB37" s="8">
        <v>17791</v>
      </c>
      <c r="AC37" s="22" t="s">
        <v>3385</v>
      </c>
      <c r="AD37" s="8" t="s">
        <v>4643</v>
      </c>
      <c r="AE37" s="8" t="s">
        <v>4494</v>
      </c>
      <c r="AF37" s="9">
        <f t="shared" si="8"/>
        <v>63.558</v>
      </c>
      <c r="AG37" s="9">
        <f t="shared" si="9"/>
        <v>17.476666666666667</v>
      </c>
      <c r="AH37" s="9">
        <f t="shared" si="10"/>
        <v>0.12437160375439514</v>
      </c>
      <c r="AI37" s="9">
        <f t="shared" si="11"/>
        <v>1.5468295820440275E-2</v>
      </c>
      <c r="AJ37" s="9">
        <f t="shared" si="12"/>
        <v>3.4724691025481792E-2</v>
      </c>
      <c r="AK37" s="9">
        <f t="shared" si="13"/>
        <v>1.2058041668151758E-3</v>
      </c>
      <c r="AL37" s="9">
        <f t="shared" si="14"/>
        <v>2.5432894618730804E-2</v>
      </c>
      <c r="AM37" s="9">
        <f t="shared" si="15"/>
        <v>6.4683212868746624E-4</v>
      </c>
      <c r="AN37" s="9" t="s">
        <v>3385</v>
      </c>
    </row>
    <row r="38" spans="13:40" ht="23">
      <c r="M38" s="9" t="s">
        <v>2436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9" t="s">
        <v>2436</v>
      </c>
      <c r="X38" s="8">
        <v>35.659999999999997</v>
      </c>
      <c r="Y38" s="8">
        <v>3.81</v>
      </c>
      <c r="Z38" s="9">
        <v>4.26</v>
      </c>
      <c r="AA38" s="8">
        <v>21</v>
      </c>
      <c r="AB38" s="8">
        <v>5154</v>
      </c>
      <c r="AC38" s="22" t="s">
        <v>2436</v>
      </c>
      <c r="AD38" s="8" t="s">
        <v>4643</v>
      </c>
      <c r="AE38" s="8" t="s">
        <v>4494</v>
      </c>
      <c r="AF38" s="9">
        <f t="shared" si="8"/>
        <v>80.010000000000005</v>
      </c>
      <c r="AG38" s="9">
        <f t="shared" si="9"/>
        <v>93.100000000000009</v>
      </c>
      <c r="AH38" s="9">
        <f t="shared" si="10"/>
        <v>0.12204690088048122</v>
      </c>
      <c r="AI38" s="9">
        <f t="shared" si="11"/>
        <v>1.4895446014530007E-2</v>
      </c>
      <c r="AJ38" s="9">
        <f t="shared" si="12"/>
        <v>4.3713183689681842E-2</v>
      </c>
      <c r="AK38" s="9">
        <f t="shared" si="13"/>
        <v>1.9108424282878666E-3</v>
      </c>
      <c r="AL38" s="9">
        <f t="shared" si="14"/>
        <v>0.13548364423062206</v>
      </c>
      <c r="AM38" s="9">
        <f t="shared" si="15"/>
        <v>1.8355817854009773E-2</v>
      </c>
      <c r="AN38" s="9" t="s">
        <v>2436</v>
      </c>
    </row>
    <row r="39" spans="13:40" ht="24.5" customHeight="1">
      <c r="M39" s="8" t="s">
        <v>4821</v>
      </c>
      <c r="N39" s="8" t="s">
        <v>150</v>
      </c>
      <c r="O39" s="8"/>
      <c r="P39" s="8" t="s">
        <v>4657</v>
      </c>
      <c r="Q39" s="8"/>
      <c r="R39" s="8"/>
      <c r="S39" s="8"/>
      <c r="T39" s="8"/>
      <c r="U39" s="8"/>
      <c r="V39" s="8"/>
      <c r="W39" s="8" t="s">
        <v>4821</v>
      </c>
      <c r="X39" s="8">
        <v>33.659999999999997</v>
      </c>
      <c r="Y39" s="8">
        <v>4.4000000000000004</v>
      </c>
      <c r="Z39" s="9">
        <v>5.3</v>
      </c>
      <c r="AA39" s="8">
        <v>17.399999999999999</v>
      </c>
      <c r="AB39" s="8">
        <v>5876</v>
      </c>
      <c r="AC39" s="21" t="s">
        <v>4821</v>
      </c>
      <c r="AD39" s="8" t="s">
        <v>4643</v>
      </c>
      <c r="AE39" s="8" t="s">
        <v>4494</v>
      </c>
      <c r="AF39" s="9">
        <f t="shared" si="8"/>
        <v>76.56</v>
      </c>
      <c r="AG39" s="9">
        <f t="shared" si="9"/>
        <v>87.086999999999989</v>
      </c>
      <c r="AH39" s="9">
        <f t="shared" si="10"/>
        <v>0.10112457501525586</v>
      </c>
      <c r="AI39" s="9">
        <f t="shared" si="11"/>
        <v>1.022617967201611E-2</v>
      </c>
      <c r="AJ39" s="9">
        <f t="shared" si="12"/>
        <v>4.1828288254993642E-2</v>
      </c>
      <c r="AK39" s="9">
        <f t="shared" si="13"/>
        <v>1.7496056983428391E-3</v>
      </c>
      <c r="AL39" s="9">
        <f t="shared" si="14"/>
        <v>0.12673323442655404</v>
      </c>
      <c r="AM39" s="9">
        <f t="shared" si="15"/>
        <v>1.6061312708215904E-2</v>
      </c>
      <c r="AN39" s="8" t="s">
        <v>4821</v>
      </c>
    </row>
    <row r="40" spans="13:40" ht="24.5" customHeight="1">
      <c r="M40" s="8" t="s">
        <v>1072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8" t="s">
        <v>1072</v>
      </c>
      <c r="X40" s="8">
        <v>39.92</v>
      </c>
      <c r="Y40" s="8">
        <v>1.86</v>
      </c>
      <c r="Z40" s="9">
        <v>0.5</v>
      </c>
      <c r="AA40" s="8">
        <v>16.899999999999999</v>
      </c>
      <c r="AB40" s="8">
        <v>9734</v>
      </c>
      <c r="AC40" s="21" t="s">
        <v>1072</v>
      </c>
      <c r="AD40" s="8" t="s">
        <v>4643</v>
      </c>
      <c r="AE40" s="8" t="s">
        <v>4494</v>
      </c>
      <c r="AF40" s="9">
        <f t="shared" si="8"/>
        <v>31.433999999999997</v>
      </c>
      <c r="AG40" s="9">
        <f t="shared" si="9"/>
        <v>0.14083333333333331</v>
      </c>
      <c r="AH40" s="9">
        <f t="shared" si="10"/>
        <v>9.8218696422863433E-2</v>
      </c>
      <c r="AI40" s="9">
        <f t="shared" si="11"/>
        <v>9.6469123270066064E-3</v>
      </c>
      <c r="AJ40" s="9">
        <f t="shared" si="12"/>
        <v>1.7173855969272074E-2</v>
      </c>
      <c r="AK40" s="9">
        <f t="shared" si="13"/>
        <v>2.9494132885330207E-4</v>
      </c>
      <c r="AL40" s="9">
        <f t="shared" si="14"/>
        <v>2.0494751051714215E-4</v>
      </c>
      <c r="AM40" s="9">
        <f t="shared" si="15"/>
        <v>4.2003482067174091E-8</v>
      </c>
      <c r="AN40" s="8" t="s">
        <v>1072</v>
      </c>
    </row>
    <row r="41" spans="13:40" ht="23">
      <c r="M41" s="8" t="s">
        <v>278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8" t="s">
        <v>278</v>
      </c>
      <c r="X41" s="8">
        <v>32.909999999999997</v>
      </c>
      <c r="Y41" s="8">
        <v>3.44</v>
      </c>
      <c r="Z41" s="9">
        <v>3.18</v>
      </c>
      <c r="AA41" s="8">
        <v>16.7</v>
      </c>
      <c r="AB41" s="8">
        <v>7342</v>
      </c>
      <c r="AC41" s="21" t="s">
        <v>278</v>
      </c>
      <c r="AD41" s="8" t="s">
        <v>4643</v>
      </c>
      <c r="AE41" s="8" t="s">
        <v>4494</v>
      </c>
      <c r="AF41" s="9">
        <f t="shared" si="8"/>
        <v>57.447999999999993</v>
      </c>
      <c r="AG41" s="9">
        <f t="shared" si="9"/>
        <v>55.109999999999992</v>
      </c>
      <c r="AH41" s="9">
        <f t="shared" si="10"/>
        <v>9.7056344985906484E-2</v>
      </c>
      <c r="AI41" s="9">
        <f t="shared" si="11"/>
        <v>9.4199341020232939E-3</v>
      </c>
      <c r="AJ41" s="9">
        <f t="shared" si="12"/>
        <v>3.138651389332385E-2</v>
      </c>
      <c r="AK41" s="9">
        <f t="shared" si="13"/>
        <v>9.8511325437581113E-4</v>
      </c>
      <c r="AL41" s="9">
        <f t="shared" si="14"/>
        <v>8.0198750091832222E-2</v>
      </c>
      <c r="AM41" s="9">
        <f t="shared" si="15"/>
        <v>6.4318395162921592E-3</v>
      </c>
      <c r="AN41" s="8" t="s">
        <v>278</v>
      </c>
    </row>
    <row r="42" spans="13:40" ht="22.5" customHeight="1">
      <c r="M42" s="8" t="s">
        <v>1628</v>
      </c>
      <c r="N42" s="8" t="s">
        <v>1614</v>
      </c>
      <c r="O42" s="8"/>
      <c r="P42" s="8"/>
      <c r="Q42" s="8"/>
      <c r="R42" s="8"/>
      <c r="S42" s="8"/>
      <c r="T42" s="8"/>
      <c r="U42" s="8"/>
      <c r="V42" s="8"/>
      <c r="W42" s="8" t="s">
        <v>1628</v>
      </c>
      <c r="X42" s="8">
        <v>16.95</v>
      </c>
      <c r="Y42" s="8">
        <v>1.55</v>
      </c>
      <c r="Z42" s="9">
        <v>0.46</v>
      </c>
      <c r="AA42" s="8">
        <v>16.399999999999999</v>
      </c>
      <c r="AB42" s="8">
        <v>27704</v>
      </c>
      <c r="AC42" s="21" t="s">
        <v>1628</v>
      </c>
      <c r="AD42" s="8" t="s">
        <v>4643</v>
      </c>
      <c r="AE42" s="8" t="s">
        <v>4494</v>
      </c>
      <c r="AF42" s="9">
        <f t="shared" si="8"/>
        <v>25.419999999999998</v>
      </c>
      <c r="AG42" s="9">
        <f t="shared" si="9"/>
        <v>12.573333333333332</v>
      </c>
      <c r="AH42" s="9">
        <f t="shared" si="10"/>
        <v>9.5312817830471033E-2</v>
      </c>
      <c r="AI42" s="9">
        <f t="shared" si="11"/>
        <v>9.0845332427845569E-3</v>
      </c>
      <c r="AJ42" s="9">
        <f t="shared" si="12"/>
        <v>1.3888128101383729E-2</v>
      </c>
      <c r="AK42" s="9">
        <f t="shared" si="13"/>
        <v>1.9288010216044442E-4</v>
      </c>
      <c r="AL42" s="9">
        <f t="shared" si="14"/>
        <v>1.829732567267835E-2</v>
      </c>
      <c r="AM42" s="9">
        <f t="shared" si="15"/>
        <v>3.3479212677205421E-4</v>
      </c>
      <c r="AN42" s="8" t="s">
        <v>1628</v>
      </c>
    </row>
    <row r="43" spans="13:40" ht="23">
      <c r="M43" s="8" t="s">
        <v>3878</v>
      </c>
      <c r="N43" s="8" t="s">
        <v>1814</v>
      </c>
      <c r="O43" s="8"/>
      <c r="P43" s="8"/>
      <c r="Q43" s="8"/>
      <c r="R43" s="8"/>
      <c r="S43" s="8"/>
      <c r="T43" s="8"/>
      <c r="U43" s="8"/>
      <c r="V43" s="8"/>
      <c r="W43" s="9" t="s">
        <v>3056</v>
      </c>
      <c r="X43" s="8">
        <v>37.42</v>
      </c>
      <c r="Y43" s="8">
        <v>3.27</v>
      </c>
      <c r="Z43" s="9">
        <v>2.5299999999999998</v>
      </c>
      <c r="AA43" s="8">
        <v>14.2</v>
      </c>
      <c r="AB43" s="8">
        <v>9857</v>
      </c>
      <c r="AC43" s="22" t="s">
        <v>3056</v>
      </c>
      <c r="AD43" s="8" t="s">
        <v>4643</v>
      </c>
      <c r="AE43" s="8" t="s">
        <v>4494</v>
      </c>
      <c r="AF43" s="9">
        <f t="shared" si="8"/>
        <v>46.433999999999997</v>
      </c>
      <c r="AG43" s="9">
        <f t="shared" si="9"/>
        <v>40.943333333333328</v>
      </c>
      <c r="AH43" s="9">
        <f t="shared" si="10"/>
        <v>8.2526952023944444E-2</v>
      </c>
      <c r="AI43" s="9">
        <f t="shared" si="11"/>
        <v>6.8106978103624283E-3</v>
      </c>
      <c r="AJ43" s="9">
        <f t="shared" si="12"/>
        <v>2.5369053511394651E-2</v>
      </c>
      <c r="AK43" s="9">
        <f t="shared" si="13"/>
        <v>6.4358887606400525E-4</v>
      </c>
      <c r="AL43" s="9">
        <f t="shared" si="14"/>
        <v>5.9582728323835675E-2</v>
      </c>
      <c r="AM43" s="9">
        <f t="shared" si="15"/>
        <v>3.5501015145120102E-3</v>
      </c>
      <c r="AN43" s="9" t="s">
        <v>3056</v>
      </c>
    </row>
    <row r="44" spans="13:40" ht="21" customHeight="1">
      <c r="M44" s="8" t="s">
        <v>3906</v>
      </c>
      <c r="N44" s="8" t="s">
        <v>150</v>
      </c>
      <c r="O44" s="8"/>
      <c r="P44" s="8"/>
      <c r="Q44" s="8"/>
      <c r="R44" s="8"/>
      <c r="S44" s="8"/>
      <c r="T44" s="8"/>
      <c r="U44" s="8"/>
      <c r="V44" s="8"/>
      <c r="W44" s="8" t="s">
        <v>1367</v>
      </c>
      <c r="X44" s="8">
        <v>17.79</v>
      </c>
      <c r="Y44" s="8">
        <v>3.3</v>
      </c>
      <c r="Z44" s="9">
        <v>3.09</v>
      </c>
      <c r="AA44" s="8">
        <v>14</v>
      </c>
      <c r="AB44" s="8">
        <v>12045</v>
      </c>
      <c r="AC44" s="21" t="s">
        <v>1367</v>
      </c>
      <c r="AD44" s="8" t="s">
        <v>4643</v>
      </c>
      <c r="AE44" s="8" t="s">
        <v>4494</v>
      </c>
      <c r="AF44" s="9">
        <f t="shared" si="8"/>
        <v>46.199999999999996</v>
      </c>
      <c r="AG44" s="9">
        <f t="shared" si="9"/>
        <v>44.1</v>
      </c>
      <c r="AH44" s="9">
        <f t="shared" si="10"/>
        <v>8.1364600586987482E-2</v>
      </c>
      <c r="AI44" s="9">
        <f t="shared" si="11"/>
        <v>6.6201982286800036E-3</v>
      </c>
      <c r="AJ44" s="9">
        <f t="shared" si="12"/>
        <v>2.5241208429737538E-2</v>
      </c>
      <c r="AK44" s="9">
        <f t="shared" si="13"/>
        <v>6.3711860299345334E-4</v>
      </c>
      <c r="AL44" s="9">
        <f t="shared" si="14"/>
        <v>6.4176463056610455E-2</v>
      </c>
      <c r="AM44" s="9">
        <f t="shared" si="15"/>
        <v>4.1186184104564866E-3</v>
      </c>
      <c r="AN44" s="8" t="s">
        <v>1367</v>
      </c>
    </row>
    <row r="45" spans="13:40" ht="24.5" customHeight="1">
      <c r="M45" s="8" t="s">
        <v>1068</v>
      </c>
      <c r="N45" s="8" t="s">
        <v>150</v>
      </c>
      <c r="O45" s="8"/>
      <c r="P45" s="8" t="s">
        <v>3700</v>
      </c>
      <c r="Q45" s="8"/>
      <c r="R45" s="8"/>
      <c r="S45" s="8"/>
      <c r="T45" s="8"/>
      <c r="U45" s="8"/>
      <c r="V45" s="8"/>
      <c r="W45" s="8" t="s">
        <v>1068</v>
      </c>
      <c r="X45" s="8">
        <v>31.28</v>
      </c>
      <c r="Y45" s="8">
        <v>11.27</v>
      </c>
      <c r="Z45" s="9">
        <v>12.38</v>
      </c>
      <c r="AA45" s="8">
        <v>13.2</v>
      </c>
      <c r="AB45" s="8">
        <v>6269</v>
      </c>
      <c r="AC45" s="21" t="s">
        <v>1068</v>
      </c>
      <c r="AD45" s="8" t="s">
        <v>4643</v>
      </c>
      <c r="AE45" s="8" t="s">
        <v>4494</v>
      </c>
      <c r="AF45" s="9">
        <f t="shared" si="8"/>
        <v>148.76399999999998</v>
      </c>
      <c r="AG45" s="9">
        <f t="shared" si="9"/>
        <v>166.76</v>
      </c>
      <c r="AH45" s="9">
        <f t="shared" si="10"/>
        <v>7.6715194839159617E-2</v>
      </c>
      <c r="AI45" s="9">
        <f t="shared" si="11"/>
        <v>5.8852211192102228E-3</v>
      </c>
      <c r="AJ45" s="9">
        <f t="shared" si="12"/>
        <v>8.1276691143754867E-2</v>
      </c>
      <c r="AK45" s="9">
        <f t="shared" si="13"/>
        <v>6.6059005232773213E-3</v>
      </c>
      <c r="AL45" s="9">
        <f t="shared" si="14"/>
        <v>0.24267725576690152</v>
      </c>
      <c r="AM45" s="9">
        <f t="shared" si="15"/>
        <v>5.8892250466554136E-2</v>
      </c>
      <c r="AN45" s="8" t="s">
        <v>1068</v>
      </c>
    </row>
    <row r="46" spans="13:40" ht="23">
      <c r="M46" s="8" t="s">
        <v>4064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4064</v>
      </c>
      <c r="X46" s="8">
        <v>40.159999999999997</v>
      </c>
      <c r="Y46" s="8">
        <v>3.46</v>
      </c>
      <c r="Z46" s="9">
        <v>3.32</v>
      </c>
      <c r="AA46" s="8">
        <v>12.3</v>
      </c>
      <c r="AB46" s="8">
        <v>9364</v>
      </c>
      <c r="AC46" s="21" t="s">
        <v>4064</v>
      </c>
      <c r="AD46" s="8" t="s">
        <v>4643</v>
      </c>
      <c r="AE46" s="8" t="s">
        <v>4494</v>
      </c>
      <c r="AF46" s="9">
        <f t="shared" si="8"/>
        <v>42.558</v>
      </c>
      <c r="AG46" s="9">
        <f t="shared" si="9"/>
        <v>43.46</v>
      </c>
      <c r="AH46" s="9">
        <f t="shared" si="10"/>
        <v>7.1484613372853292E-2</v>
      </c>
      <c r="AI46" s="9">
        <f t="shared" si="11"/>
        <v>5.1100499490663162E-3</v>
      </c>
      <c r="AJ46" s="9">
        <f t="shared" si="12"/>
        <v>2.3251414466510179E-2</v>
      </c>
      <c r="AK46" s="9">
        <f t="shared" si="13"/>
        <v>5.4062827469343881E-4</v>
      </c>
      <c r="AL46" s="9">
        <f t="shared" si="14"/>
        <v>6.3245103955562126E-2</v>
      </c>
      <c r="AM46" s="9">
        <f t="shared" si="15"/>
        <v>3.9999431743498598E-3</v>
      </c>
      <c r="AN46" s="8" t="s">
        <v>4064</v>
      </c>
    </row>
    <row r="47" spans="13:40" ht="22" customHeight="1">
      <c r="M47" s="9" t="s">
        <v>2506</v>
      </c>
      <c r="N47" s="8" t="s">
        <v>150</v>
      </c>
      <c r="O47" s="8"/>
      <c r="P47" s="8"/>
      <c r="Q47" s="8"/>
      <c r="R47" s="8"/>
      <c r="S47" s="8"/>
      <c r="T47" s="8"/>
      <c r="U47" s="8"/>
      <c r="V47" s="8"/>
      <c r="W47" s="9" t="s">
        <v>2506</v>
      </c>
      <c r="X47" s="8">
        <v>32.25</v>
      </c>
      <c r="Y47" s="8">
        <v>4.26</v>
      </c>
      <c r="Z47" s="9">
        <v>2.29</v>
      </c>
      <c r="AA47" s="8">
        <v>11.3</v>
      </c>
      <c r="AB47" s="8">
        <v>10773</v>
      </c>
      <c r="AC47" s="22" t="s">
        <v>2506</v>
      </c>
      <c r="AD47" s="8" t="s">
        <v>4643</v>
      </c>
      <c r="AE47" s="8" t="s">
        <v>4494</v>
      </c>
      <c r="AF47" s="9">
        <f t="shared" si="8"/>
        <v>48.137999999999998</v>
      </c>
      <c r="AG47" s="9">
        <f t="shared" si="9"/>
        <v>28.061666666666667</v>
      </c>
      <c r="AH47" s="9">
        <f t="shared" si="10"/>
        <v>6.5672856188068465E-2</v>
      </c>
      <c r="AI47" s="9">
        <f t="shared" si="11"/>
        <v>4.3129240398987224E-3</v>
      </c>
      <c r="AJ47" s="9">
        <f t="shared" si="12"/>
        <v>2.630002795217978E-2</v>
      </c>
      <c r="AK47" s="9">
        <f t="shared" si="13"/>
        <v>6.9169147028543768E-4</v>
      </c>
      <c r="AL47" s="9">
        <f t="shared" si="14"/>
        <v>4.0836701000912703E-2</v>
      </c>
      <c r="AM47" s="9">
        <f t="shared" si="15"/>
        <v>1.6676361486379445E-3</v>
      </c>
      <c r="AN47" s="9" t="s">
        <v>2506</v>
      </c>
    </row>
    <row r="48" spans="13:40" ht="26" customHeight="1">
      <c r="M48" s="9" t="s">
        <v>2588</v>
      </c>
      <c r="N48" s="8" t="s">
        <v>150</v>
      </c>
      <c r="O48" s="8"/>
      <c r="P48" s="8"/>
      <c r="Q48" s="8"/>
      <c r="R48" s="8"/>
      <c r="S48" s="8"/>
      <c r="T48" s="8"/>
      <c r="U48" s="8"/>
      <c r="V48" s="8"/>
      <c r="W48" s="9" t="s">
        <v>2588</v>
      </c>
      <c r="X48" s="8">
        <v>0.54</v>
      </c>
      <c r="Y48" s="8">
        <v>5.83</v>
      </c>
      <c r="Z48" s="9">
        <v>0.21</v>
      </c>
      <c r="AA48" s="8">
        <v>11</v>
      </c>
      <c r="AB48" s="8">
        <v>167413</v>
      </c>
      <c r="AC48" s="22" t="s">
        <v>2588</v>
      </c>
      <c r="AD48" s="8" t="s">
        <v>4643</v>
      </c>
      <c r="AE48" s="8" t="s">
        <v>4494</v>
      </c>
      <c r="AF48" s="9">
        <f t="shared" si="8"/>
        <v>64.13</v>
      </c>
      <c r="AG48" s="9">
        <f t="shared" si="9"/>
        <v>3.8499999999999996</v>
      </c>
      <c r="AH48" s="9">
        <f t="shared" si="10"/>
        <v>6.3929329032633014E-2</v>
      </c>
      <c r="AI48" s="9">
        <f t="shared" si="11"/>
        <v>4.0869591105626548E-3</v>
      </c>
      <c r="AJ48" s="9">
        <f t="shared" si="12"/>
        <v>3.5037201225088056E-2</v>
      </c>
      <c r="AK48" s="9">
        <f t="shared" si="13"/>
        <v>1.2276054696873119E-3</v>
      </c>
      <c r="AL48" s="9">
        <f t="shared" si="14"/>
        <v>5.6027070922437684E-3</v>
      </c>
      <c r="AM48" s="9">
        <f t="shared" si="15"/>
        <v>3.1390326761478623E-5</v>
      </c>
      <c r="AN48" s="9" t="s">
        <v>2588</v>
      </c>
    </row>
    <row r="49" spans="13:40" ht="24" customHeight="1">
      <c r="M49" s="8" t="s">
        <v>115</v>
      </c>
      <c r="N49" s="8" t="s">
        <v>90</v>
      </c>
      <c r="O49" s="8"/>
      <c r="P49" s="8"/>
      <c r="Q49" s="8"/>
      <c r="R49" s="8"/>
      <c r="S49" s="8"/>
      <c r="T49" s="8"/>
      <c r="U49" s="8"/>
      <c r="V49" s="8"/>
      <c r="W49" s="8" t="s">
        <v>115</v>
      </c>
      <c r="X49" s="8">
        <v>27.99</v>
      </c>
      <c r="Y49" s="8">
        <v>2.1800000000000002</v>
      </c>
      <c r="Z49" s="9">
        <v>2.2799999999999998</v>
      </c>
      <c r="AA49" s="8">
        <v>10.1</v>
      </c>
      <c r="AB49" s="8">
        <v>11674</v>
      </c>
      <c r="AC49" s="21" t="s">
        <v>115</v>
      </c>
      <c r="AD49" s="8" t="s">
        <v>4643</v>
      </c>
      <c r="AE49" s="8" t="s">
        <v>4494</v>
      </c>
      <c r="AF49" s="9">
        <f t="shared" si="8"/>
        <v>22.018000000000001</v>
      </c>
      <c r="AG49" s="9">
        <f t="shared" si="9"/>
        <v>24.913333333333334</v>
      </c>
      <c r="AH49" s="9">
        <f t="shared" si="10"/>
        <v>5.8698747566326676E-2</v>
      </c>
      <c r="AI49" s="9">
        <f t="shared" si="11"/>
        <v>3.4455429658553417E-3</v>
      </c>
      <c r="AJ49" s="9">
        <f t="shared" si="12"/>
        <v>1.2029457298830331E-2</v>
      </c>
      <c r="AK49" s="9">
        <f t="shared" si="13"/>
        <v>1.447078429043823E-4</v>
      </c>
      <c r="AL49" s="9">
        <f t="shared" si="14"/>
        <v>3.6255093339766176E-2</v>
      </c>
      <c r="AM49" s="9">
        <f t="shared" si="15"/>
        <v>1.3144317930751576E-3</v>
      </c>
      <c r="AN49" s="8" t="s">
        <v>115</v>
      </c>
    </row>
    <row r="50" spans="13:40" ht="23">
      <c r="M50" s="8" t="s">
        <v>938</v>
      </c>
      <c r="N50" s="8" t="s">
        <v>150</v>
      </c>
      <c r="O50" s="8"/>
      <c r="P50" s="8"/>
      <c r="Q50" s="8"/>
      <c r="R50" s="8"/>
      <c r="S50" s="8"/>
      <c r="T50" s="8"/>
      <c r="U50" s="8"/>
      <c r="V50" s="8"/>
      <c r="W50" s="8" t="s">
        <v>938</v>
      </c>
      <c r="X50" s="8">
        <v>35.76</v>
      </c>
      <c r="Y50" s="8">
        <v>3.38</v>
      </c>
      <c r="Z50" s="9">
        <v>3.31</v>
      </c>
      <c r="AA50" s="8">
        <v>7.4</v>
      </c>
      <c r="AB50" s="8">
        <v>16590</v>
      </c>
      <c r="AC50" s="21" t="s">
        <v>938</v>
      </c>
      <c r="AD50" s="8" t="s">
        <v>4643</v>
      </c>
      <c r="AE50" s="8" t="s">
        <v>4494</v>
      </c>
      <c r="AF50" s="9">
        <f t="shared" si="8"/>
        <v>25.012</v>
      </c>
      <c r="AG50" s="9">
        <f t="shared" si="9"/>
        <v>26.023333333333333</v>
      </c>
      <c r="AH50" s="9">
        <f t="shared" si="10"/>
        <v>4.3007003167407666E-2</v>
      </c>
      <c r="AI50" s="9">
        <f t="shared" si="11"/>
        <v>1.8496023214414131E-3</v>
      </c>
      <c r="AJ50" s="9">
        <f t="shared" si="12"/>
        <v>1.3665218728237997E-2</v>
      </c>
      <c r="AK50" s="9">
        <f t="shared" si="13"/>
        <v>1.8673820289058651E-4</v>
      </c>
      <c r="AL50" s="9">
        <f t="shared" si="14"/>
        <v>3.7870419280646841E-2</v>
      </c>
      <c r="AM50" s="9">
        <f t="shared" si="15"/>
        <v>1.4341686564919879E-3</v>
      </c>
      <c r="AN50" s="8" t="s">
        <v>938</v>
      </c>
    </row>
    <row r="51" spans="13:40" ht="24.5" customHeight="1">
      <c r="M51" s="8" t="s">
        <v>3839</v>
      </c>
      <c r="N51" s="8" t="s">
        <v>2074</v>
      </c>
      <c r="O51" s="8"/>
      <c r="P51" s="8" t="s">
        <v>4300</v>
      </c>
      <c r="Q51" s="8"/>
      <c r="R51" s="8"/>
      <c r="S51" s="8"/>
      <c r="T51" s="8"/>
      <c r="U51" s="8"/>
      <c r="V51" s="8"/>
      <c r="W51" s="9" t="s">
        <v>3584</v>
      </c>
      <c r="X51" s="8">
        <v>9.5299999999999994</v>
      </c>
      <c r="Y51" s="8">
        <v>21.29</v>
      </c>
      <c r="Z51" s="9">
        <v>27.43</v>
      </c>
      <c r="AA51" s="8">
        <v>6.6</v>
      </c>
      <c r="AB51" s="8">
        <v>9327</v>
      </c>
      <c r="AC51" s="22" t="s">
        <v>3584</v>
      </c>
      <c r="AD51" s="8" t="s">
        <v>4643</v>
      </c>
      <c r="AE51" s="8" t="s">
        <v>4494</v>
      </c>
      <c r="AF51" s="9">
        <f t="shared" si="8"/>
        <v>140.51399999999998</v>
      </c>
      <c r="AG51" s="9">
        <f t="shared" si="9"/>
        <v>182.92999999999998</v>
      </c>
      <c r="AH51" s="9">
        <f t="shared" si="10"/>
        <v>3.8357597419579809E-2</v>
      </c>
      <c r="AI51" s="9">
        <f t="shared" si="11"/>
        <v>1.4713052798025557E-3</v>
      </c>
      <c r="AJ51" s="9">
        <f t="shared" si="12"/>
        <v>7.6769332495587456E-2</v>
      </c>
      <c r="AK51" s="9">
        <f t="shared" si="13"/>
        <v>5.8935304118180598E-3</v>
      </c>
      <c r="AL51" s="9">
        <f t="shared" si="14"/>
        <v>0.26620862555432534</v>
      </c>
      <c r="AM51" s="9">
        <f t="shared" si="15"/>
        <v>7.0867032319523002E-2</v>
      </c>
      <c r="AN51" s="9" t="s">
        <v>3584</v>
      </c>
    </row>
    <row r="52" spans="13:40" ht="20.5" customHeight="1">
      <c r="M52" s="8" t="s">
        <v>4820</v>
      </c>
      <c r="N52" s="8" t="s">
        <v>150</v>
      </c>
      <c r="O52" s="8"/>
      <c r="P52" s="8"/>
      <c r="Q52" s="8"/>
      <c r="R52" s="8"/>
      <c r="S52" s="8"/>
      <c r="T52" s="8"/>
      <c r="U52" s="8"/>
      <c r="V52" s="8"/>
      <c r="W52" s="8" t="s">
        <v>4820</v>
      </c>
      <c r="X52" s="8">
        <v>26.72</v>
      </c>
      <c r="Y52" s="8">
        <v>4.8600000000000003</v>
      </c>
      <c r="Z52" s="9">
        <v>7.36</v>
      </c>
      <c r="AA52" s="8">
        <v>6.3</v>
      </c>
      <c r="AB52" s="8">
        <v>14809</v>
      </c>
      <c r="AC52" s="21" t="s">
        <v>4820</v>
      </c>
      <c r="AD52" s="8" t="s">
        <v>4643</v>
      </c>
      <c r="AE52" s="8" t="s">
        <v>4494</v>
      </c>
      <c r="AF52" s="9">
        <f t="shared" si="8"/>
        <v>30.618000000000002</v>
      </c>
      <c r="AG52" s="9">
        <f t="shared" si="9"/>
        <v>47.879999999999995</v>
      </c>
      <c r="AH52" s="9">
        <f t="shared" si="10"/>
        <v>3.6614070264144358E-2</v>
      </c>
      <c r="AI52" s="9">
        <f t="shared" si="11"/>
        <v>1.3405901413077001E-3</v>
      </c>
      <c r="AJ52" s="9">
        <f t="shared" si="12"/>
        <v>1.6728037222980607E-2</v>
      </c>
      <c r="AK52" s="9">
        <f t="shared" si="13"/>
        <v>2.7982722933342477E-4</v>
      </c>
      <c r="AL52" s="9">
        <f t="shared" si="14"/>
        <v>6.9677302747177039E-2</v>
      </c>
      <c r="AM52" s="9">
        <f t="shared" si="15"/>
        <v>4.854926518121765E-3</v>
      </c>
      <c r="AN52" s="8" t="s">
        <v>4820</v>
      </c>
    </row>
    <row r="53" spans="13:40" ht="23">
      <c r="M53" s="9" t="s">
        <v>3589</v>
      </c>
      <c r="N53" s="8" t="s">
        <v>2074</v>
      </c>
      <c r="O53" s="8"/>
      <c r="P53" s="8"/>
      <c r="Q53" s="8"/>
      <c r="R53" s="8"/>
      <c r="S53" s="8"/>
      <c r="T53" s="8"/>
      <c r="U53" s="8"/>
      <c r="V53" s="8"/>
      <c r="W53" s="9" t="s">
        <v>3589</v>
      </c>
      <c r="X53" s="8">
        <v>43.21</v>
      </c>
      <c r="Y53" s="8">
        <v>2.5</v>
      </c>
      <c r="Z53" s="9">
        <v>2.04</v>
      </c>
      <c r="AA53" s="8">
        <v>6</v>
      </c>
      <c r="AB53" s="8">
        <v>19832</v>
      </c>
      <c r="AC53" s="22" t="s">
        <v>3589</v>
      </c>
      <c r="AD53" s="8" t="s">
        <v>4643</v>
      </c>
      <c r="AE53" s="8" t="s">
        <v>4494</v>
      </c>
      <c r="AF53" s="9">
        <f t="shared" si="8"/>
        <v>15</v>
      </c>
      <c r="AG53" s="9">
        <f t="shared" si="9"/>
        <v>12.400000000000002</v>
      </c>
      <c r="AH53" s="9">
        <f t="shared" si="10"/>
        <v>3.4870543108708921E-2</v>
      </c>
      <c r="AI53" s="9">
        <f t="shared" si="11"/>
        <v>1.2159547766963273E-3</v>
      </c>
      <c r="AJ53" s="9">
        <f t="shared" si="12"/>
        <v>8.1951975421225773E-3</v>
      </c>
      <c r="AK53" s="9">
        <f t="shared" si="13"/>
        <v>6.7161262754411927E-5</v>
      </c>
      <c r="AL53" s="9">
        <f t="shared" si="14"/>
        <v>1.8045082582811105E-2</v>
      </c>
      <c r="AM53" s="9">
        <f t="shared" si="15"/>
        <v>3.2562500542047273E-4</v>
      </c>
      <c r="AN53" s="9" t="s">
        <v>3589</v>
      </c>
    </row>
    <row r="54" spans="13:40" ht="23">
      <c r="M54" s="8" t="s">
        <v>1937</v>
      </c>
      <c r="N54" s="8" t="s">
        <v>1902</v>
      </c>
      <c r="O54" s="8"/>
      <c r="P54" s="8"/>
      <c r="Q54" s="8"/>
      <c r="R54" s="8"/>
      <c r="S54" s="8"/>
      <c r="T54" s="8"/>
      <c r="U54" s="8"/>
      <c r="V54" s="8"/>
      <c r="W54" s="8" t="s">
        <v>1937</v>
      </c>
      <c r="X54" s="8">
        <v>55.21</v>
      </c>
      <c r="Y54" s="8">
        <v>1.51</v>
      </c>
      <c r="Z54" s="9">
        <v>0.21</v>
      </c>
      <c r="AA54" s="8">
        <v>4.0999999999999996</v>
      </c>
      <c r="AB54" s="8">
        <v>29087</v>
      </c>
      <c r="AC54" s="21" t="s">
        <v>1937</v>
      </c>
      <c r="AD54" s="8" t="s">
        <v>4643</v>
      </c>
      <c r="AE54" s="8" t="s">
        <v>4494</v>
      </c>
      <c r="AF54" s="9">
        <f t="shared" si="8"/>
        <v>6.1909999999999998</v>
      </c>
      <c r="AG54" s="9">
        <f t="shared" si="9"/>
        <v>1.4349999999999998</v>
      </c>
      <c r="AH54" s="9">
        <f t="shared" si="10"/>
        <v>2.3828204457617758E-2</v>
      </c>
      <c r="AI54" s="9">
        <f t="shared" si="11"/>
        <v>5.6778332767403481E-4</v>
      </c>
      <c r="AJ54" s="9">
        <f t="shared" si="12"/>
        <v>3.3824311988853921E-3</v>
      </c>
      <c r="AK54" s="9">
        <f t="shared" si="13"/>
        <v>1.144084081519327E-5</v>
      </c>
      <c r="AL54" s="9">
        <f t="shared" si="14"/>
        <v>2.0882817343817681E-3</v>
      </c>
      <c r="AM54" s="9">
        <f t="shared" si="15"/>
        <v>4.3609206021525252E-6</v>
      </c>
      <c r="AN54" s="8" t="s">
        <v>1937</v>
      </c>
    </row>
    <row r="55" spans="13:40" ht="23">
      <c r="M55" s="8" t="s">
        <v>3930</v>
      </c>
      <c r="N55" s="8" t="s">
        <v>150</v>
      </c>
      <c r="O55" s="8"/>
      <c r="P55" s="8"/>
      <c r="Q55" s="8"/>
      <c r="R55" s="8"/>
      <c r="S55" s="8"/>
      <c r="T55" s="8"/>
      <c r="U55" s="8"/>
      <c r="V55" s="8"/>
      <c r="W55" s="8" t="s">
        <v>982</v>
      </c>
      <c r="X55" s="8">
        <v>52.5</v>
      </c>
      <c r="Y55" s="8">
        <v>2.56</v>
      </c>
      <c r="Z55" s="9">
        <v>1.26</v>
      </c>
      <c r="AA55" s="8">
        <v>3.4</v>
      </c>
      <c r="AB55" s="8">
        <v>31546</v>
      </c>
      <c r="AC55" s="21" t="s">
        <v>982</v>
      </c>
      <c r="AD55" s="8" t="s">
        <v>4643</v>
      </c>
      <c r="AE55" s="8" t="s">
        <v>4494</v>
      </c>
      <c r="AF55" s="9">
        <f t="shared" si="8"/>
        <v>8.7040000000000006</v>
      </c>
      <c r="AG55" s="9">
        <f t="shared" si="9"/>
        <v>4.8733333333333331</v>
      </c>
      <c r="AH55" s="9">
        <f t="shared" si="10"/>
        <v>1.9759974428268386E-2</v>
      </c>
      <c r="AI55" s="9">
        <f t="shared" si="11"/>
        <v>3.904565894058205E-4</v>
      </c>
      <c r="AJ55" s="9">
        <f t="shared" si="12"/>
        <v>4.7553999604423285E-3</v>
      </c>
      <c r="AK55" s="9">
        <f t="shared" si="13"/>
        <v>2.2613828783774901E-5</v>
      </c>
      <c r="AL55" s="9">
        <f t="shared" si="14"/>
        <v>7.0919114881908135E-3</v>
      </c>
      <c r="AM55" s="9">
        <f t="shared" si="15"/>
        <v>5.029520855633284E-5</v>
      </c>
      <c r="AN55" s="8" t="s">
        <v>982</v>
      </c>
    </row>
    <row r="56" spans="13:40" ht="23">
      <c r="M56" s="8" t="s">
        <v>857</v>
      </c>
      <c r="N56" s="8" t="s">
        <v>150</v>
      </c>
      <c r="O56" s="8"/>
      <c r="P56" s="8"/>
      <c r="Q56" s="8"/>
      <c r="R56" s="8"/>
      <c r="S56" s="8"/>
      <c r="T56" s="8"/>
      <c r="U56" s="8"/>
      <c r="V56" s="8"/>
      <c r="W56" s="8" t="s">
        <v>857</v>
      </c>
      <c r="X56" s="8">
        <v>49.89</v>
      </c>
      <c r="Y56" s="8">
        <v>4.54</v>
      </c>
      <c r="Z56" s="9">
        <v>1.1499999999999999</v>
      </c>
      <c r="AA56" s="8">
        <v>3</v>
      </c>
      <c r="AB56" s="8">
        <v>31599</v>
      </c>
      <c r="AC56" s="21" t="s">
        <v>857</v>
      </c>
      <c r="AD56" s="8" t="s">
        <v>4643</v>
      </c>
      <c r="AE56" s="8" t="s">
        <v>4494</v>
      </c>
      <c r="AF56" s="9">
        <f t="shared" si="8"/>
        <v>13.620000000000001</v>
      </c>
      <c r="AG56" s="9">
        <f t="shared" si="9"/>
        <v>3.75</v>
      </c>
      <c r="AH56" s="9">
        <f t="shared" si="10"/>
        <v>1.743527155435446E-2</v>
      </c>
      <c r="AI56" s="9">
        <f t="shared" si="11"/>
        <v>3.0398869417408181E-4</v>
      </c>
      <c r="AJ56" s="9">
        <f t="shared" si="12"/>
        <v>7.4412393682473021E-3</v>
      </c>
      <c r="AK56" s="9">
        <f t="shared" si="13"/>
        <v>5.5372043335553507E-5</v>
      </c>
      <c r="AL56" s="9">
        <f t="shared" si="14"/>
        <v>5.4571822327049695E-3</v>
      </c>
      <c r="AM56" s="9">
        <f t="shared" si="15"/>
        <v>2.9780837920950798E-5</v>
      </c>
      <c r="AN56" s="8" t="s">
        <v>857</v>
      </c>
    </row>
    <row r="57" spans="13:40" ht="23">
      <c r="M57" s="9" t="s">
        <v>2445</v>
      </c>
      <c r="N57" s="8" t="s">
        <v>150</v>
      </c>
      <c r="O57" s="8"/>
      <c r="P57" s="8"/>
      <c r="Q57" s="8"/>
      <c r="R57" s="8"/>
      <c r="S57" s="8"/>
      <c r="T57" s="8"/>
      <c r="U57" s="8"/>
      <c r="V57" s="8"/>
      <c r="W57" s="9" t="s">
        <v>2445</v>
      </c>
      <c r="X57" s="8">
        <v>34.9</v>
      </c>
      <c r="Y57" s="8">
        <v>3.81</v>
      </c>
      <c r="Z57" s="9">
        <v>6.3</v>
      </c>
      <c r="AA57" s="8">
        <v>2.1</v>
      </c>
      <c r="AB57" s="8">
        <v>36145</v>
      </c>
      <c r="AC57" s="22" t="s">
        <v>2445</v>
      </c>
      <c r="AD57" s="8" t="s">
        <v>4643</v>
      </c>
      <c r="AE57" s="8" t="s">
        <v>4494</v>
      </c>
      <c r="AF57" s="9">
        <f t="shared" si="8"/>
        <v>8.0010000000000012</v>
      </c>
      <c r="AG57" s="9">
        <f t="shared" si="9"/>
        <v>12.6105</v>
      </c>
      <c r="AH57" s="9">
        <f t="shared" si="10"/>
        <v>1.2204690088048122E-2</v>
      </c>
      <c r="AI57" s="9">
        <f t="shared" si="11"/>
        <v>1.4895446014530006E-4</v>
      </c>
      <c r="AJ57" s="9">
        <f t="shared" si="12"/>
        <v>4.371318368968184E-3</v>
      </c>
      <c r="AK57" s="9">
        <f t="shared" si="13"/>
        <v>1.9108424282878664E-5</v>
      </c>
      <c r="AL57" s="9">
        <f t="shared" si="14"/>
        <v>1.8351412412140274E-2</v>
      </c>
      <c r="AM57" s="9">
        <f t="shared" si="15"/>
        <v>3.3677433752045611E-4</v>
      </c>
      <c r="AN57" s="9" t="s">
        <v>2445</v>
      </c>
    </row>
    <row r="58" spans="13:40" ht="23">
      <c r="M58" s="8" t="s">
        <v>1582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8" t="s">
        <v>1582</v>
      </c>
      <c r="X58" s="8">
        <v>39.44</v>
      </c>
      <c r="Y58" s="8">
        <v>2.5499999999999998</v>
      </c>
      <c r="Z58" s="9">
        <v>1.49</v>
      </c>
      <c r="AA58" s="8">
        <v>1.5</v>
      </c>
      <c r="AB58" s="8">
        <v>46169</v>
      </c>
      <c r="AC58" s="21" t="s">
        <v>1582</v>
      </c>
      <c r="AD58" s="8" t="s">
        <v>4643</v>
      </c>
      <c r="AE58" s="8" t="s">
        <v>4494</v>
      </c>
      <c r="AF58" s="9">
        <f t="shared" si="8"/>
        <v>3.8249999999999997</v>
      </c>
      <c r="AG58" s="9">
        <f t="shared" si="9"/>
        <v>2.7250000000000001</v>
      </c>
      <c r="AH58" s="9">
        <f t="shared" si="10"/>
        <v>8.7176357771772302E-3</v>
      </c>
      <c r="AI58" s="9">
        <f t="shared" si="11"/>
        <v>7.5997173543520453E-5</v>
      </c>
      <c r="AJ58" s="9">
        <f t="shared" si="12"/>
        <v>2.0897753732412572E-3</v>
      </c>
      <c r="AK58" s="9">
        <f t="shared" si="13"/>
        <v>4.3671611106056362E-6</v>
      </c>
      <c r="AL58" s="9">
        <f t="shared" si="14"/>
        <v>3.9655524224322782E-3</v>
      </c>
      <c r="AM58" s="9">
        <f t="shared" si="15"/>
        <v>1.5725606015058508E-5</v>
      </c>
      <c r="AN58" s="8" t="s">
        <v>1582</v>
      </c>
    </row>
    <row r="59" spans="13:40" ht="23"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5"/>
      <c r="AA59" s="24">
        <f>SUBTOTAL(109,Table136[ترافیک کل])</f>
        <v>17206.5</v>
      </c>
      <c r="AB59" s="24"/>
      <c r="AC59" s="21"/>
      <c r="AD59" s="24"/>
      <c r="AE59" s="24"/>
      <c r="AF59" s="25">
        <f>SUBTOTAL(109,Table136[[مجموع صفحات  مشاهده شده   ]])</f>
        <v>183034.02599999998</v>
      </c>
      <c r="AG59" s="25">
        <f>SUBTOTAL(109,Table136[[مجموع زمان حضور در سایت ]])</f>
        <v>68716.781666666677</v>
      </c>
      <c r="AH59" s="25">
        <f>SUBTOTAL(109,Table136[سهم سایت از کل ترافیک طبقه بندی])</f>
        <v>99.999999999999972</v>
      </c>
      <c r="AI59" s="25">
        <f>SUBTOTAL(109,Table136[شاخص هرفیندال هیرشمن (ترافیک)])</f>
        <v>734.67516661951788</v>
      </c>
      <c r="AJ59" s="25">
        <f>SUBTOTAL(109,Table136[سهم سایت از کل صفحات مشاهده شده در طبقه بندی])</f>
        <v>99.999999999999972</v>
      </c>
      <c r="AK59" s="25">
        <f>SUBTOTAL(109,Table136[شاخص هرفیندال -هیرشمن (صفحات مشاهده شده )])</f>
        <v>6037.8980871541753</v>
      </c>
      <c r="AL59" s="25">
        <f>SUBTOTAL(109,Table136[سهم سایت از کل زمان حضور در طبقه بندی])</f>
        <v>99.999999999999986</v>
      </c>
      <c r="AM59" s="25">
        <f>SUBTOTAL(109,Table136[شاخص هرفیندال هیرشمن (زمان حضور)])</f>
        <v>2417.8557486718214</v>
      </c>
      <c r="AN59" s="25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{0C637C54-6214-489D-8B5D-AB97C5C292CF}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{79C20337-875B-4445-B012-C0376A0CA150}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{7D8D1B80-A957-4158-9FCC-4B4575551E94}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{2DBEB0C2-11B5-447F-AB70-DA1F32946B65}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{79369397-4CE7-42A6-807F-783094458689}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{347D0BB1-70A8-4A8E-9CBC-14A94E178B3E}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C637C54-6214-489D-8B5D-AB97C5C292C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9C20337-875B-4445-B012-C0376A0CA15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D8D1B80-A957-4158-9FCC-4B4575551E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DBEB0C2-11B5-447F-AB70-DA1F32946B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9369397-4CE7-42A6-807F-7830944586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347D0BB1-70A8-4A8E-9CBC-14A94E178B3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7"/>
  <sheetViews>
    <sheetView showGridLines="0" rightToLeft="1" topLeftCell="Z1" zoomScale="70" zoomScaleNormal="70" workbookViewId="0">
      <selection activeCell="AC2" sqref="AC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5.6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8" t="s">
        <v>228</v>
      </c>
      <c r="N2" s="8" t="s">
        <v>150</v>
      </c>
      <c r="O2" s="8"/>
      <c r="P2" s="8" t="s">
        <v>3691</v>
      </c>
      <c r="Q2" s="8"/>
      <c r="R2" s="8"/>
      <c r="S2" s="8"/>
      <c r="T2" s="8"/>
      <c r="U2" s="8"/>
      <c r="V2" s="8"/>
      <c r="W2" s="8" t="s">
        <v>228</v>
      </c>
      <c r="X2" s="8">
        <v>44.29</v>
      </c>
      <c r="Y2" s="8">
        <v>3.16</v>
      </c>
      <c r="Z2" s="9">
        <v>3.14</v>
      </c>
      <c r="AA2" s="8">
        <v>944.1</v>
      </c>
      <c r="AB2" s="8">
        <v>524</v>
      </c>
      <c r="AC2" s="21" t="s">
        <v>228</v>
      </c>
      <c r="AD2" s="8" t="s">
        <v>4028</v>
      </c>
      <c r="AE2" s="8" t="s">
        <v>3681</v>
      </c>
      <c r="AF2" s="9">
        <f t="shared" ref="AF2:AF16" si="0">(AA2*Y2)</f>
        <v>2983.3560000000002</v>
      </c>
      <c r="AG2" s="9">
        <f t="shared" ref="AG2:AG16" si="1">((((RIGHT(Z2,2))/60)+(LEFT(Z2,2)))*AA2)</f>
        <v>3052.59</v>
      </c>
      <c r="AH2" s="9">
        <f t="shared" ref="AH2:AH16" si="2">(AA2/$AA$17)*100</f>
        <v>28.927291111315377</v>
      </c>
      <c r="AI2" s="9">
        <f t="shared" ref="AI2:AI16" si="3">(AH2*AH2)</f>
        <v>836.78817103878566</v>
      </c>
      <c r="AJ2" s="9">
        <f t="shared" ref="AJ2:AJ16" si="4">(AF2/$AF$17)*100</f>
        <v>35.469462510945412</v>
      </c>
      <c r="AK2" s="9">
        <f t="shared" ref="AK2:AK16" si="5">(AJ2*AJ2)</f>
        <v>1258.082770815362</v>
      </c>
      <c r="AL2" s="9">
        <f t="shared" ref="AL2:AL16" si="6">(AG2/$AG$17)*100</f>
        <v>39.488113738282657</v>
      </c>
      <c r="AM2" s="9">
        <f t="shared" ref="AM2:AM16" si="7">(AL2*AL2)</f>
        <v>1559.3111266075475</v>
      </c>
      <c r="AN2" s="8" t="s">
        <v>228</v>
      </c>
    </row>
    <row r="3" spans="8:40" ht="23">
      <c r="H3" s="8"/>
      <c r="I3" s="8"/>
      <c r="J3" s="8"/>
      <c r="K3" s="8"/>
      <c r="L3" s="8"/>
      <c r="M3" s="9" t="s">
        <v>3498</v>
      </c>
      <c r="N3" s="8" t="s">
        <v>2032</v>
      </c>
      <c r="O3" s="8"/>
      <c r="P3" s="8"/>
      <c r="Q3" s="8"/>
      <c r="R3" s="8"/>
      <c r="S3" s="8"/>
      <c r="T3" s="8"/>
      <c r="U3" s="8"/>
      <c r="V3" s="8"/>
      <c r="W3" s="9" t="s">
        <v>3498</v>
      </c>
      <c r="X3" s="8">
        <v>52.76</v>
      </c>
      <c r="Y3" s="8">
        <v>1.93</v>
      </c>
      <c r="Z3" s="9">
        <v>1.37</v>
      </c>
      <c r="AA3" s="8">
        <v>498</v>
      </c>
      <c r="AB3" s="8">
        <v>1648</v>
      </c>
      <c r="AC3" s="22" t="s">
        <v>3498</v>
      </c>
      <c r="AD3" s="8" t="s">
        <v>4028</v>
      </c>
      <c r="AE3" s="8" t="s">
        <v>3681</v>
      </c>
      <c r="AF3" s="9">
        <f t="shared" si="0"/>
        <v>961.14</v>
      </c>
      <c r="AG3" s="9">
        <f t="shared" si="1"/>
        <v>805.1</v>
      </c>
      <c r="AH3" s="9">
        <f t="shared" si="2"/>
        <v>15.258755400312529</v>
      </c>
      <c r="AI3" s="9">
        <f t="shared" si="3"/>
        <v>232.82961636656677</v>
      </c>
      <c r="AJ3" s="9">
        <f t="shared" si="4"/>
        <v>11.427103972093869</v>
      </c>
      <c r="AK3" s="9">
        <f t="shared" si="5"/>
        <v>130.57870518904349</v>
      </c>
      <c r="AL3" s="9">
        <f t="shared" si="6"/>
        <v>10.414723356458406</v>
      </c>
      <c r="AM3" s="9">
        <f t="shared" si="7"/>
        <v>108.46646259156026</v>
      </c>
      <c r="AN3" s="9" t="s">
        <v>3498</v>
      </c>
    </row>
    <row r="4" spans="8:40" ht="23">
      <c r="H4" s="8"/>
      <c r="I4" s="8"/>
      <c r="J4" s="8"/>
      <c r="K4" s="8"/>
      <c r="L4" s="8"/>
      <c r="M4" s="8" t="s">
        <v>932</v>
      </c>
      <c r="N4" s="8" t="s">
        <v>150</v>
      </c>
      <c r="O4" s="8"/>
      <c r="P4" s="8" t="s">
        <v>3700</v>
      </c>
      <c r="Q4" s="8"/>
      <c r="R4" s="8"/>
      <c r="S4" s="8"/>
      <c r="T4" s="8"/>
      <c r="U4" s="8"/>
      <c r="V4" s="8"/>
      <c r="W4" s="8" t="s">
        <v>932</v>
      </c>
      <c r="X4" s="8">
        <v>47.37</v>
      </c>
      <c r="Y4" s="8">
        <v>1.82</v>
      </c>
      <c r="Z4" s="9">
        <v>2.11</v>
      </c>
      <c r="AA4" s="8">
        <v>374.9</v>
      </c>
      <c r="AB4" s="8">
        <v>3121</v>
      </c>
      <c r="AC4" s="21" t="s">
        <v>932</v>
      </c>
      <c r="AD4" s="8" t="s">
        <v>4028</v>
      </c>
      <c r="AE4" s="8" t="s">
        <v>3681</v>
      </c>
      <c r="AF4" s="9">
        <f t="shared" si="0"/>
        <v>682.31799999999998</v>
      </c>
      <c r="AG4" s="9">
        <f t="shared" si="1"/>
        <v>818.53166666666652</v>
      </c>
      <c r="AH4" s="9">
        <f t="shared" si="2"/>
        <v>11.486962649753348</v>
      </c>
      <c r="AI4" s="9">
        <f t="shared" si="3"/>
        <v>131.95031091682847</v>
      </c>
      <c r="AJ4" s="9">
        <f t="shared" si="4"/>
        <v>8.1121571550774547</v>
      </c>
      <c r="AK4" s="9">
        <f t="shared" si="5"/>
        <v>65.807093708674344</v>
      </c>
      <c r="AL4" s="9">
        <f t="shared" si="6"/>
        <v>10.588474558233957</v>
      </c>
      <c r="AM4" s="9">
        <f t="shared" si="7"/>
        <v>112.11579347036778</v>
      </c>
      <c r="AN4" s="8" t="s">
        <v>932</v>
      </c>
    </row>
    <row r="5" spans="8:40" ht="23">
      <c r="H5" s="8"/>
      <c r="I5" s="8"/>
      <c r="J5" s="8"/>
      <c r="K5" s="8"/>
      <c r="L5" s="8"/>
      <c r="M5" s="9" t="s">
        <v>3398</v>
      </c>
      <c r="N5" s="8" t="s">
        <v>1990</v>
      </c>
      <c r="O5" s="8"/>
      <c r="P5" s="8"/>
      <c r="Q5" s="8"/>
      <c r="R5" s="8"/>
      <c r="S5" s="8"/>
      <c r="T5" s="8"/>
      <c r="U5" s="8"/>
      <c r="V5" s="8"/>
      <c r="W5" s="9" t="s">
        <v>3398</v>
      </c>
      <c r="X5" s="8">
        <v>27.61</v>
      </c>
      <c r="Y5" s="8">
        <v>3.47</v>
      </c>
      <c r="Z5" s="9">
        <v>2.4900000000000002</v>
      </c>
      <c r="AA5" s="8">
        <v>348.7</v>
      </c>
      <c r="AB5" s="8">
        <v>1578</v>
      </c>
      <c r="AC5" s="22" t="s">
        <v>3398</v>
      </c>
      <c r="AD5" s="8" t="s">
        <v>4217</v>
      </c>
      <c r="AE5" s="8" t="s">
        <v>3681</v>
      </c>
      <c r="AF5" s="9">
        <f t="shared" si="0"/>
        <v>1209.989</v>
      </c>
      <c r="AG5" s="9">
        <f t="shared" si="1"/>
        <v>982.17166666666651</v>
      </c>
      <c r="AH5" s="9">
        <f t="shared" si="2"/>
        <v>10.684192787327266</v>
      </c>
      <c r="AI5" s="9">
        <f t="shared" si="3"/>
        <v>114.15197551677598</v>
      </c>
      <c r="AJ5" s="9">
        <f t="shared" si="4"/>
        <v>14.385698345807988</v>
      </c>
      <c r="AK5" s="9">
        <f t="shared" si="5"/>
        <v>206.9483168965827</v>
      </c>
      <c r="AL5" s="9">
        <f t="shared" si="6"/>
        <v>12.705311386020385</v>
      </c>
      <c r="AM5" s="9">
        <f t="shared" si="7"/>
        <v>161.42493741573924</v>
      </c>
      <c r="AN5" s="9" t="s">
        <v>3398</v>
      </c>
    </row>
    <row r="6" spans="8:40" ht="23">
      <c r="H6" s="8"/>
      <c r="I6" s="8"/>
      <c r="J6" s="8"/>
      <c r="K6" s="8"/>
      <c r="L6" s="8"/>
      <c r="M6" s="8" t="s">
        <v>873</v>
      </c>
      <c r="N6" s="8" t="s">
        <v>150</v>
      </c>
      <c r="O6" s="8"/>
      <c r="P6" s="8" t="s">
        <v>3691</v>
      </c>
      <c r="Q6" s="8"/>
      <c r="R6" s="8"/>
      <c r="S6" s="8"/>
      <c r="T6" s="8"/>
      <c r="U6" s="8"/>
      <c r="V6" s="8"/>
      <c r="W6" s="8" t="s">
        <v>873</v>
      </c>
      <c r="X6" s="8">
        <v>40.729999999999997</v>
      </c>
      <c r="Y6" s="8">
        <v>2.5499999999999998</v>
      </c>
      <c r="Z6" s="9">
        <v>3.54</v>
      </c>
      <c r="AA6" s="8">
        <v>244.2</v>
      </c>
      <c r="AB6" s="8">
        <v>2714</v>
      </c>
      <c r="AC6" s="21" t="s">
        <v>873</v>
      </c>
      <c r="AD6" s="8" t="s">
        <v>4028</v>
      </c>
      <c r="AE6" s="8" t="s">
        <v>3681</v>
      </c>
      <c r="AF6" s="9">
        <f t="shared" si="0"/>
        <v>622.70999999999992</v>
      </c>
      <c r="AG6" s="9">
        <f t="shared" si="1"/>
        <v>952.37999999999988</v>
      </c>
      <c r="AH6" s="9">
        <f t="shared" si="2"/>
        <v>7.4823053589484321</v>
      </c>
      <c r="AI6" s="9">
        <f t="shared" si="3"/>
        <v>55.984893484548422</v>
      </c>
      <c r="AJ6" s="9">
        <f t="shared" si="4"/>
        <v>7.4034707893361764</v>
      </c>
      <c r="AK6" s="9">
        <f t="shared" si="5"/>
        <v>54.81137972855403</v>
      </c>
      <c r="AL6" s="9">
        <f t="shared" si="6"/>
        <v>12.319928245216563</v>
      </c>
      <c r="AM6" s="9">
        <f t="shared" si="7"/>
        <v>151.78063196728485</v>
      </c>
      <c r="AN6" s="8" t="s">
        <v>873</v>
      </c>
    </row>
    <row r="7" spans="8:40" ht="23">
      <c r="H7" s="8"/>
      <c r="I7" s="8"/>
      <c r="J7" s="8"/>
      <c r="K7" s="8"/>
      <c r="L7" s="8"/>
      <c r="M7" s="9" t="s">
        <v>2281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9" t="s">
        <v>2281</v>
      </c>
      <c r="X7" s="8">
        <v>21.97</v>
      </c>
      <c r="Y7" s="8">
        <v>2.41</v>
      </c>
      <c r="Z7" s="9">
        <v>1.44</v>
      </c>
      <c r="AA7" s="8">
        <v>210.6</v>
      </c>
      <c r="AB7" s="8">
        <v>2815</v>
      </c>
      <c r="AC7" s="22" t="s">
        <v>2281</v>
      </c>
      <c r="AD7" s="8" t="s">
        <v>4028</v>
      </c>
      <c r="AE7" s="8" t="s">
        <v>3681</v>
      </c>
      <c r="AF7" s="9">
        <f t="shared" si="0"/>
        <v>507.54599999999999</v>
      </c>
      <c r="AG7" s="9">
        <f t="shared" si="1"/>
        <v>365.04</v>
      </c>
      <c r="AH7" s="9">
        <f t="shared" si="2"/>
        <v>6.4527989704936122</v>
      </c>
      <c r="AI7" s="9">
        <f t="shared" si="3"/>
        <v>41.638614553603418</v>
      </c>
      <c r="AJ7" s="9">
        <f t="shared" si="4"/>
        <v>6.0342727517534955</v>
      </c>
      <c r="AK7" s="9">
        <f t="shared" si="5"/>
        <v>36.412447642554703</v>
      </c>
      <c r="AL7" s="9">
        <f t="shared" si="6"/>
        <v>4.7221346591002069</v>
      </c>
      <c r="AM7" s="9">
        <f t="shared" si="7"/>
        <v>22.298555738675429</v>
      </c>
      <c r="AN7" s="9" t="s">
        <v>2281</v>
      </c>
    </row>
    <row r="8" spans="8:40" ht="23">
      <c r="H8" s="8"/>
      <c r="I8" s="8"/>
      <c r="J8" s="8"/>
      <c r="K8" s="8"/>
      <c r="L8" s="8"/>
      <c r="M8" s="8" t="s">
        <v>971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971</v>
      </c>
      <c r="X8" s="8">
        <v>22.47</v>
      </c>
      <c r="Y8" s="8">
        <v>1.79</v>
      </c>
      <c r="Z8" s="9">
        <v>1.1000000000000001</v>
      </c>
      <c r="AA8" s="8">
        <v>177.3</v>
      </c>
      <c r="AB8" s="8">
        <v>13798</v>
      </c>
      <c r="AC8" s="21" t="s">
        <v>971</v>
      </c>
      <c r="AD8" s="8" t="s">
        <v>4028</v>
      </c>
      <c r="AE8" s="8" t="s">
        <v>3681</v>
      </c>
      <c r="AF8" s="9">
        <f t="shared" si="0"/>
        <v>317.36700000000002</v>
      </c>
      <c r="AG8" s="9">
        <f t="shared" si="1"/>
        <v>177.59550000000002</v>
      </c>
      <c r="AH8" s="9">
        <f t="shared" si="2"/>
        <v>5.4324846033642809</v>
      </c>
      <c r="AI8" s="9">
        <f t="shared" si="3"/>
        <v>29.511888965789968</v>
      </c>
      <c r="AJ8" s="9">
        <f t="shared" si="4"/>
        <v>3.773212753929204</v>
      </c>
      <c r="AK8" s="9">
        <f t="shared" si="5"/>
        <v>14.237134486414007</v>
      </c>
      <c r="AL8" s="9">
        <f t="shared" si="6"/>
        <v>2.2973643048713313</v>
      </c>
      <c r="AM8" s="9">
        <f t="shared" si="7"/>
        <v>5.2778827492969347</v>
      </c>
      <c r="AN8" s="8" t="s">
        <v>971</v>
      </c>
    </row>
    <row r="9" spans="8:40" ht="23">
      <c r="H9" s="8"/>
      <c r="I9" s="8"/>
      <c r="J9" s="8"/>
      <c r="K9" s="8"/>
      <c r="L9" s="8"/>
      <c r="M9" s="8" t="s">
        <v>953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953</v>
      </c>
      <c r="X9" s="8">
        <v>16.739999999999998</v>
      </c>
      <c r="Y9" s="8">
        <v>1.76</v>
      </c>
      <c r="Z9" s="9">
        <v>0.37</v>
      </c>
      <c r="AA9" s="8">
        <v>162.1</v>
      </c>
      <c r="AB9" s="8">
        <v>8850</v>
      </c>
      <c r="AC9" s="21" t="s">
        <v>953</v>
      </c>
      <c r="AD9" s="8" t="s">
        <v>4217</v>
      </c>
      <c r="AE9" s="8" t="s">
        <v>3681</v>
      </c>
      <c r="AF9" s="9">
        <f t="shared" si="0"/>
        <v>285.29599999999999</v>
      </c>
      <c r="AG9" s="9">
        <f t="shared" si="1"/>
        <v>99.961666666666673</v>
      </c>
      <c r="AH9" s="9">
        <f t="shared" si="2"/>
        <v>4.9667555228728126</v>
      </c>
      <c r="AI9" s="9">
        <f t="shared" si="3"/>
        <v>24.668660423987586</v>
      </c>
      <c r="AJ9" s="9">
        <f t="shared" si="4"/>
        <v>3.3919169473983941</v>
      </c>
      <c r="AK9" s="9">
        <f t="shared" si="5"/>
        <v>11.50510057804844</v>
      </c>
      <c r="AL9" s="9">
        <f t="shared" si="6"/>
        <v>1.2930978817337511</v>
      </c>
      <c r="AM9" s="9">
        <f t="shared" si="7"/>
        <v>1.6721021317443141</v>
      </c>
      <c r="AN9" s="8" t="s">
        <v>953</v>
      </c>
    </row>
    <row r="10" spans="8:40" ht="23">
      <c r="H10" s="8"/>
      <c r="I10" s="8"/>
      <c r="J10" s="8"/>
      <c r="K10" s="8"/>
      <c r="L10" s="8"/>
      <c r="M10" s="8" t="s">
        <v>1764</v>
      </c>
      <c r="N10" s="8" t="s">
        <v>1717</v>
      </c>
      <c r="O10" s="8"/>
      <c r="P10" s="8" t="s">
        <v>3691</v>
      </c>
      <c r="Q10" s="8"/>
      <c r="R10" s="8"/>
      <c r="S10" s="8"/>
      <c r="T10" s="8"/>
      <c r="U10" s="8"/>
      <c r="V10" s="8"/>
      <c r="W10" s="8" t="s">
        <v>1764</v>
      </c>
      <c r="X10" s="8">
        <v>24.78</v>
      </c>
      <c r="Y10" s="8">
        <v>2.12</v>
      </c>
      <c r="Z10" s="9">
        <v>1.58</v>
      </c>
      <c r="AA10" s="8">
        <v>114.5</v>
      </c>
      <c r="AB10" s="8">
        <v>4982</v>
      </c>
      <c r="AC10" s="21" t="s">
        <v>1764</v>
      </c>
      <c r="AD10" s="8" t="s">
        <v>4028</v>
      </c>
      <c r="AE10" s="8" t="s">
        <v>3681</v>
      </c>
      <c r="AF10" s="9">
        <f t="shared" si="0"/>
        <v>242.74</v>
      </c>
      <c r="AG10" s="9">
        <f t="shared" si="1"/>
        <v>225.18333333333334</v>
      </c>
      <c r="AH10" s="9">
        <f t="shared" si="2"/>
        <v>3.5082881392284833</v>
      </c>
      <c r="AI10" s="9">
        <f t="shared" si="3"/>
        <v>12.308085667851254</v>
      </c>
      <c r="AJ10" s="9">
        <f t="shared" si="4"/>
        <v>2.885963770299921</v>
      </c>
      <c r="AK10" s="9">
        <f t="shared" si="5"/>
        <v>8.3287868834837351</v>
      </c>
      <c r="AL10" s="9">
        <f t="shared" si="6"/>
        <v>2.9129575470771649</v>
      </c>
      <c r="AM10" s="9">
        <f t="shared" si="7"/>
        <v>8.4853216710738142</v>
      </c>
      <c r="AN10" s="8" t="s">
        <v>1764</v>
      </c>
    </row>
    <row r="11" spans="8:40" ht="23">
      <c r="H11" s="8"/>
      <c r="I11" s="8"/>
      <c r="J11" s="8"/>
      <c r="K11" s="8"/>
      <c r="L11" s="8"/>
      <c r="M11" s="9" t="s">
        <v>3003</v>
      </c>
      <c r="N11" s="8" t="s">
        <v>1717</v>
      </c>
      <c r="O11" s="8"/>
      <c r="P11" s="8" t="s">
        <v>4661</v>
      </c>
      <c r="Q11" s="8"/>
      <c r="R11" s="8"/>
      <c r="S11" s="8"/>
      <c r="T11" s="8"/>
      <c r="U11" s="8"/>
      <c r="V11" s="8"/>
      <c r="W11" s="9" t="s">
        <v>3003</v>
      </c>
      <c r="X11" s="8">
        <v>6.05</v>
      </c>
      <c r="Y11" s="8">
        <v>4.1900000000000004</v>
      </c>
      <c r="Z11" s="9">
        <v>0.55000000000000004</v>
      </c>
      <c r="AA11" s="8">
        <v>77.5</v>
      </c>
      <c r="AB11" s="8">
        <v>6326</v>
      </c>
      <c r="AC11" s="22" t="s">
        <v>3003</v>
      </c>
      <c r="AD11" s="8" t="s">
        <v>4217</v>
      </c>
      <c r="AE11" s="8" t="s">
        <v>3681</v>
      </c>
      <c r="AF11" s="9">
        <f t="shared" si="0"/>
        <v>324.72500000000002</v>
      </c>
      <c r="AG11" s="9">
        <f t="shared" si="1"/>
        <v>71.041666666666657</v>
      </c>
      <c r="AH11" s="9">
        <f t="shared" si="2"/>
        <v>2.3746055090847809</v>
      </c>
      <c r="AI11" s="9">
        <f t="shared" si="3"/>
        <v>5.6387513237757911</v>
      </c>
      <c r="AJ11" s="9">
        <f t="shared" si="4"/>
        <v>3.8606928619537024</v>
      </c>
      <c r="AK11" s="9">
        <f t="shared" si="5"/>
        <v>14.904949374340269</v>
      </c>
      <c r="AL11" s="9">
        <f t="shared" si="6"/>
        <v>0.91899056653218947</v>
      </c>
      <c r="AM11" s="9">
        <f t="shared" si="7"/>
        <v>0.84454366137515458</v>
      </c>
      <c r="AN11" s="9" t="s">
        <v>3003</v>
      </c>
    </row>
    <row r="12" spans="8:40" ht="23">
      <c r="H12" s="8"/>
      <c r="I12" s="8"/>
      <c r="J12" s="8"/>
      <c r="K12" s="8"/>
      <c r="L12" s="8"/>
      <c r="M12" s="8" t="s">
        <v>621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621</v>
      </c>
      <c r="X12" s="8">
        <v>15.07</v>
      </c>
      <c r="Y12" s="8">
        <v>2.11</v>
      </c>
      <c r="Z12" s="9">
        <v>1.0900000000000001</v>
      </c>
      <c r="AA12" s="8">
        <v>75.5</v>
      </c>
      <c r="AB12" s="8">
        <v>5247</v>
      </c>
      <c r="AC12" s="21" t="s">
        <v>621</v>
      </c>
      <c r="AD12" s="8" t="s">
        <v>4028</v>
      </c>
      <c r="AE12" s="8" t="s">
        <v>3681</v>
      </c>
      <c r="AF12" s="9">
        <f t="shared" si="0"/>
        <v>159.30499999999998</v>
      </c>
      <c r="AG12" s="9">
        <f t="shared" si="1"/>
        <v>86.824999999999989</v>
      </c>
      <c r="AH12" s="9">
        <f t="shared" si="2"/>
        <v>2.3133253669148512</v>
      </c>
      <c r="AI12" s="9">
        <f t="shared" si="3"/>
        <v>5.3514742532117312</v>
      </c>
      <c r="AJ12" s="9">
        <f t="shared" si="4"/>
        <v>1.8939954619248116</v>
      </c>
      <c r="AK12" s="9">
        <f t="shared" si="5"/>
        <v>3.5872188097917803</v>
      </c>
      <c r="AL12" s="9">
        <f t="shared" si="6"/>
        <v>1.1231627815482561</v>
      </c>
      <c r="AM12" s="9">
        <f t="shared" si="7"/>
        <v>1.2614946338552158</v>
      </c>
      <c r="AN12" s="8" t="s">
        <v>621</v>
      </c>
    </row>
    <row r="13" spans="8:40" ht="23">
      <c r="H13" s="8"/>
      <c r="I13" s="8"/>
      <c r="J13" s="8"/>
      <c r="K13" s="8"/>
      <c r="L13" s="8"/>
      <c r="M13" s="8" t="s">
        <v>436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436</v>
      </c>
      <c r="X13" s="8">
        <v>24.36</v>
      </c>
      <c r="Y13" s="8">
        <v>1.24</v>
      </c>
      <c r="Z13" s="9">
        <v>0.23</v>
      </c>
      <c r="AA13" s="8">
        <v>23.3</v>
      </c>
      <c r="AB13" s="8">
        <v>49896</v>
      </c>
      <c r="AC13" s="21" t="s">
        <v>436</v>
      </c>
      <c r="AD13" s="8" t="s">
        <v>4028</v>
      </c>
      <c r="AE13" s="8" t="s">
        <v>3681</v>
      </c>
      <c r="AF13" s="9">
        <f t="shared" si="0"/>
        <v>28.891999999999999</v>
      </c>
      <c r="AG13" s="9">
        <f t="shared" si="1"/>
        <v>8.9316666666666684</v>
      </c>
      <c r="AH13" s="9">
        <f t="shared" si="2"/>
        <v>0.71391365627968262</v>
      </c>
      <c r="AI13" s="9">
        <f t="shared" si="3"/>
        <v>0.50967270862262481</v>
      </c>
      <c r="AJ13" s="9">
        <f t="shared" si="4"/>
        <v>0.34350031000867309</v>
      </c>
      <c r="AK13" s="9">
        <f t="shared" si="5"/>
        <v>0.11799246297605452</v>
      </c>
      <c r="AL13" s="9">
        <f t="shared" si="6"/>
        <v>0.11553948260518487</v>
      </c>
      <c r="AM13" s="9">
        <f t="shared" si="7"/>
        <v>1.3349372040673818E-2</v>
      </c>
      <c r="AN13" s="8" t="s">
        <v>436</v>
      </c>
    </row>
    <row r="14" spans="8:40" ht="23">
      <c r="H14" s="8"/>
      <c r="I14" s="8"/>
      <c r="J14" s="8"/>
      <c r="K14" s="8"/>
      <c r="L14" s="8"/>
      <c r="M14" s="9" t="s">
        <v>3238</v>
      </c>
      <c r="N14" s="8" t="s">
        <v>1902</v>
      </c>
      <c r="O14" s="8"/>
      <c r="P14" s="8" t="s">
        <v>3691</v>
      </c>
      <c r="Q14" s="8"/>
      <c r="R14" s="8"/>
      <c r="S14" s="8"/>
      <c r="T14" s="8"/>
      <c r="U14" s="8"/>
      <c r="V14" s="8"/>
      <c r="W14" s="9" t="s">
        <v>3238</v>
      </c>
      <c r="X14" s="8">
        <v>42.45</v>
      </c>
      <c r="Y14" s="8">
        <v>3.13</v>
      </c>
      <c r="Z14" s="9">
        <v>2.46</v>
      </c>
      <c r="AA14" s="8">
        <v>6.8</v>
      </c>
      <c r="AB14" s="8">
        <v>16863</v>
      </c>
      <c r="AC14" s="22" t="s">
        <v>3238</v>
      </c>
      <c r="AD14" s="8" t="s">
        <v>4028</v>
      </c>
      <c r="AE14" s="8" t="s">
        <v>3681</v>
      </c>
      <c r="AF14" s="9">
        <f t="shared" si="0"/>
        <v>21.283999999999999</v>
      </c>
      <c r="AG14" s="9">
        <f t="shared" si="1"/>
        <v>18.813333333333333</v>
      </c>
      <c r="AH14" s="9">
        <f t="shared" si="2"/>
        <v>0.20835248337776144</v>
      </c>
      <c r="AI14" s="9">
        <f t="shared" si="3"/>
        <v>4.3410757329680354E-2</v>
      </c>
      <c r="AJ14" s="9">
        <f t="shared" si="4"/>
        <v>0.25304792323911801</v>
      </c>
      <c r="AK14" s="9">
        <f t="shared" si="5"/>
        <v>6.403325145563056E-2</v>
      </c>
      <c r="AL14" s="9">
        <f t="shared" si="6"/>
        <v>0.24336810592411393</v>
      </c>
      <c r="AM14" s="9">
        <f t="shared" si="7"/>
        <v>5.9228034981090735E-2</v>
      </c>
      <c r="AN14" s="9" t="s">
        <v>3238</v>
      </c>
    </row>
    <row r="15" spans="8:40" ht="23">
      <c r="H15" s="8"/>
      <c r="I15" s="8"/>
      <c r="J15" s="8"/>
      <c r="K15" s="8"/>
      <c r="L15" s="8"/>
      <c r="M15" s="9" t="s">
        <v>2667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9" t="s">
        <v>2667</v>
      </c>
      <c r="X15" s="8">
        <v>5.49</v>
      </c>
      <c r="Y15" s="8">
        <v>16.190000000000001</v>
      </c>
      <c r="Z15" s="9">
        <v>15.08</v>
      </c>
      <c r="AA15" s="8">
        <v>3.1</v>
      </c>
      <c r="AB15" s="8"/>
      <c r="AC15" s="22" t="s">
        <v>2667</v>
      </c>
      <c r="AD15" s="8" t="s">
        <v>4028</v>
      </c>
      <c r="AE15" s="8" t="s">
        <v>3681</v>
      </c>
      <c r="AF15" s="9">
        <f t="shared" si="0"/>
        <v>50.189000000000007</v>
      </c>
      <c r="AG15" s="9">
        <f t="shared" si="1"/>
        <v>46.913333333333334</v>
      </c>
      <c r="AH15" s="9">
        <f t="shared" si="2"/>
        <v>9.4984220363391242E-2</v>
      </c>
      <c r="AI15" s="9">
        <f t="shared" si="3"/>
        <v>9.0220021180412672E-3</v>
      </c>
      <c r="AJ15" s="9">
        <f t="shared" si="4"/>
        <v>0.59670279174253416</v>
      </c>
      <c r="AK15" s="9">
        <f t="shared" si="5"/>
        <v>0.35605422167333411</v>
      </c>
      <c r="AL15" s="9">
        <f t="shared" si="6"/>
        <v>0.60686795229907509</v>
      </c>
      <c r="AM15" s="9">
        <f t="shared" si="7"/>
        <v>0.36828871152767245</v>
      </c>
      <c r="AN15" s="9" t="s">
        <v>2667</v>
      </c>
    </row>
    <row r="16" spans="8:40" ht="23">
      <c r="H16" s="8"/>
      <c r="I16" s="8"/>
      <c r="J16" s="8"/>
      <c r="K16" s="8"/>
      <c r="L16" s="8"/>
      <c r="M16" s="8" t="s">
        <v>80</v>
      </c>
      <c r="N16" s="8" t="s">
        <v>82</v>
      </c>
      <c r="O16" s="8"/>
      <c r="P16" s="8"/>
      <c r="Q16" s="8"/>
      <c r="R16" s="8"/>
      <c r="S16" s="8"/>
      <c r="T16" s="8"/>
      <c r="U16" s="8"/>
      <c r="V16" s="8"/>
      <c r="W16" s="8" t="s">
        <v>80</v>
      </c>
      <c r="X16" s="8">
        <v>17.440000000000001</v>
      </c>
      <c r="Y16" s="8">
        <v>4.58</v>
      </c>
      <c r="Z16" s="9">
        <v>6.14</v>
      </c>
      <c r="AA16" s="8">
        <v>3.1</v>
      </c>
      <c r="AB16" s="8">
        <v>24402</v>
      </c>
      <c r="AC16" s="21" t="s">
        <v>80</v>
      </c>
      <c r="AD16" s="8" t="s">
        <v>4028</v>
      </c>
      <c r="AE16" s="8" t="s">
        <v>3681</v>
      </c>
      <c r="AF16" s="9">
        <f t="shared" si="0"/>
        <v>14.198</v>
      </c>
      <c r="AG16" s="9">
        <f t="shared" si="1"/>
        <v>19.323333333333334</v>
      </c>
      <c r="AH16" s="9">
        <f t="shared" si="2"/>
        <v>9.4984220363391242E-2</v>
      </c>
      <c r="AI16" s="9">
        <f t="shared" si="3"/>
        <v>9.0220021180412672E-3</v>
      </c>
      <c r="AJ16" s="9">
        <f t="shared" si="4"/>
        <v>0.16880165448924064</v>
      </c>
      <c r="AK16" s="9">
        <f t="shared" si="5"/>
        <v>2.8493998558304975E-2</v>
      </c>
      <c r="AL16" s="9">
        <f t="shared" si="6"/>
        <v>0.24996543409675559</v>
      </c>
      <c r="AM16" s="9">
        <f t="shared" si="7"/>
        <v>6.2482718243179462E-2</v>
      </c>
      <c r="AN16" s="8" t="s">
        <v>80</v>
      </c>
    </row>
    <row r="17" spans="8:40" ht="23"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5"/>
      <c r="AA17" s="24">
        <f>SUBTOTAL(109,Table136105[ترافیک کل])</f>
        <v>3263.7</v>
      </c>
      <c r="AB17" s="24"/>
      <c r="AC17" s="24"/>
      <c r="AD17" s="24"/>
      <c r="AE17" s="24"/>
      <c r="AF17" s="25">
        <f>SUBTOTAL(109,Table136105[[مجموع صفحات  مشاهده شده   ]])</f>
        <v>8411.0550000000003</v>
      </c>
      <c r="AG17" s="25">
        <f>SUBTOTAL(109,Table136105[[مجموع زمان حضور در سایت ]])</f>
        <v>7730.4021666666667</v>
      </c>
      <c r="AH17" s="25">
        <f>SUBTOTAL(109,Table136105[سهم سایت از کل ترافیک طبقه بندی])</f>
        <v>100.00000000000003</v>
      </c>
      <c r="AI17" s="25">
        <f>SUBTOTAL(109,Table136105[شاخص هرفیندال هیرشمن (ترافیک)])</f>
        <v>1491.3935699819133</v>
      </c>
      <c r="AJ17" s="25">
        <f>SUBTOTAL(109,Table136105[سهم سایت از کل صفحات مشاهده شده در طبقه بندی])</f>
        <v>100.00000000000003</v>
      </c>
      <c r="AK17" s="25">
        <f>SUBTOTAL(109,Table136105[شاخص هرفیندال -هیرشمن (صفحات مشاهده شده )])</f>
        <v>1805.7704780475128</v>
      </c>
      <c r="AL17" s="25">
        <f>SUBTOTAL(109,Table136105[سهم سایت از کل زمان حضور در طبقه بندی])</f>
        <v>100</v>
      </c>
      <c r="AM17" s="25">
        <f>SUBTOTAL(109,Table136105[شاخص هرفیندال هیرشمن (زمان حضور)])</f>
        <v>2133.4422014753141</v>
      </c>
      <c r="AN17" s="25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{24E41601-6BA5-485E-9633-0C8C90FC7BDA}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{79D21014-8BA2-4DE9-AE01-996FAEA4C48C}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{81FA33EB-63C8-464F-8550-97B2B678593B}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{3C9E6425-DA32-498D-B932-B03DE3BA67E1}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{5222250C-2949-48B8-B3D9-4DFA120D3D54}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{98E37747-0664-4F93-A0CD-E2009548C8A5}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4E41601-6BA5-485E-9633-0C8C90FC7BD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9D21014-8BA2-4DE9-AE01-996FAEA4C48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1FA33EB-63C8-464F-8550-97B2B678593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C9E6425-DA32-498D-B932-B03DE3BA67E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222250C-2949-48B8-B3D9-4DFA120D3D5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98E37747-0664-4F93-A0CD-E2009548C8A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95"/>
  <sheetViews>
    <sheetView showGridLines="0" rightToLeft="1" topLeftCell="AB1" zoomScale="70" zoomScaleNormal="70" workbookViewId="0">
      <selection activeCell="AC95" sqref="AC95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30.582031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30.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9" t="s">
        <v>3567</v>
      </c>
      <c r="N2" s="8" t="s">
        <v>2066</v>
      </c>
      <c r="O2" s="8"/>
      <c r="P2" s="8"/>
      <c r="Q2" s="8"/>
      <c r="R2" s="8"/>
      <c r="S2" s="8"/>
      <c r="T2" s="8"/>
      <c r="U2" s="8"/>
      <c r="V2" s="8"/>
      <c r="W2" s="9" t="s">
        <v>3567</v>
      </c>
      <c r="X2" s="8">
        <v>65.94</v>
      </c>
      <c r="Y2" s="8">
        <v>1.58</v>
      </c>
      <c r="Z2" s="9">
        <v>2.06</v>
      </c>
      <c r="AA2" s="8">
        <v>876.5</v>
      </c>
      <c r="AB2" s="8">
        <v>2108</v>
      </c>
      <c r="AC2" s="22" t="s">
        <v>3567</v>
      </c>
      <c r="AD2" s="8" t="s">
        <v>4012</v>
      </c>
      <c r="AE2" s="8" t="s">
        <v>3681</v>
      </c>
      <c r="AF2" s="9">
        <f t="shared" ref="AF2:AF33" si="0">(AA2*Y2)</f>
        <v>1384.8700000000001</v>
      </c>
      <c r="AG2" s="9">
        <f t="shared" ref="AG2:AG33" si="1">((((RIGHT(Z2,2))/60)+(LEFT(Z2,2)))*AA2)</f>
        <v>1840.65</v>
      </c>
      <c r="AH2" s="9">
        <f t="shared" ref="AH2:AH33" si="2">(AA2/$AA$95)*100</f>
        <v>15.228117724729842</v>
      </c>
      <c r="AI2" s="9">
        <f t="shared" ref="AI2:AI33" si="3">(AH2*AH2)</f>
        <v>231.89556943823118</v>
      </c>
      <c r="AJ2" s="9">
        <f t="shared" ref="AJ2:AJ33" si="4">(AF2/$AF$95)*100</f>
        <v>12.096701989731777</v>
      </c>
      <c r="AK2" s="9">
        <f t="shared" ref="AK2:AK33" si="5">(AJ2*AJ2)</f>
        <v>146.33019902838072</v>
      </c>
      <c r="AL2" s="9">
        <f t="shared" ref="AL2:AL33" si="6">(AG2/$AG$95)*100</f>
        <v>19.27959913991679</v>
      </c>
      <c r="AM2" s="9">
        <f t="shared" ref="AM2:AM33" si="7">(AL2*AL2)</f>
        <v>371.70294299588022</v>
      </c>
      <c r="AN2" s="22" t="s">
        <v>3567</v>
      </c>
    </row>
    <row r="3" spans="8:40" ht="23">
      <c r="H3" s="19"/>
      <c r="I3" s="19"/>
      <c r="J3" s="19"/>
      <c r="K3" s="19"/>
      <c r="L3" s="19"/>
      <c r="M3" s="8" t="s">
        <v>1917</v>
      </c>
      <c r="N3" s="8" t="s">
        <v>1902</v>
      </c>
      <c r="O3" s="8"/>
      <c r="P3" s="8"/>
      <c r="Q3" s="8"/>
      <c r="R3" s="8"/>
      <c r="S3" s="8"/>
      <c r="T3" s="8"/>
      <c r="U3" s="8"/>
      <c r="V3" s="8"/>
      <c r="W3" s="8" t="s">
        <v>1917</v>
      </c>
      <c r="X3" s="8">
        <v>66.06</v>
      </c>
      <c r="Y3" s="8">
        <v>1.1499999999999999</v>
      </c>
      <c r="Z3" s="9">
        <v>0.12</v>
      </c>
      <c r="AA3" s="8">
        <v>721.1</v>
      </c>
      <c r="AB3" s="8">
        <v>6866</v>
      </c>
      <c r="AC3" s="21" t="s">
        <v>1917</v>
      </c>
      <c r="AD3" s="8" t="s">
        <v>4012</v>
      </c>
      <c r="AE3" s="8" t="s">
        <v>3681</v>
      </c>
      <c r="AF3" s="20">
        <f t="shared" si="0"/>
        <v>829.26499999999999</v>
      </c>
      <c r="AG3" s="9">
        <f t="shared" si="1"/>
        <v>144.22</v>
      </c>
      <c r="AH3" s="9">
        <f t="shared" si="2"/>
        <v>12.528232391674488</v>
      </c>
      <c r="AI3" s="20">
        <f t="shared" si="3"/>
        <v>156.95660685980184</v>
      </c>
      <c r="AJ3" s="9">
        <f t="shared" si="4"/>
        <v>7.2435474633105787</v>
      </c>
      <c r="AK3" s="20">
        <f t="shared" si="5"/>
        <v>52.468979853233122</v>
      </c>
      <c r="AL3" s="9">
        <f t="shared" si="6"/>
        <v>1.5106097237165128</v>
      </c>
      <c r="AM3" s="20">
        <f t="shared" si="7"/>
        <v>2.2819417373868793</v>
      </c>
      <c r="AN3" s="21" t="s">
        <v>1917</v>
      </c>
    </row>
    <row r="4" spans="8:40" ht="23">
      <c r="H4" s="8"/>
      <c r="I4" s="8"/>
      <c r="J4" s="8"/>
      <c r="K4" s="8"/>
      <c r="L4" s="8"/>
      <c r="M4" s="8" t="s">
        <v>734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734</v>
      </c>
      <c r="X4" s="8">
        <v>68.28</v>
      </c>
      <c r="Y4" s="8">
        <v>1.61</v>
      </c>
      <c r="Z4" s="9">
        <v>2.48</v>
      </c>
      <c r="AA4" s="8">
        <v>509.7</v>
      </c>
      <c r="AB4" s="8">
        <v>592</v>
      </c>
      <c r="AC4" s="21" t="s">
        <v>734</v>
      </c>
      <c r="AD4" s="8" t="s">
        <v>4012</v>
      </c>
      <c r="AE4" s="8" t="s">
        <v>3681</v>
      </c>
      <c r="AF4" s="9">
        <f t="shared" si="0"/>
        <v>820.61700000000008</v>
      </c>
      <c r="AG4" s="9">
        <f t="shared" si="1"/>
        <v>1427.1599999999999</v>
      </c>
      <c r="AH4" s="9">
        <f t="shared" si="2"/>
        <v>8.855415407067655</v>
      </c>
      <c r="AI4" s="9">
        <f t="shared" si="3"/>
        <v>78.418382031731198</v>
      </c>
      <c r="AJ4" s="9">
        <f t="shared" si="4"/>
        <v>7.1680080416990197</v>
      </c>
      <c r="AK4" s="9">
        <f t="shared" si="5"/>
        <v>51.380339285861815</v>
      </c>
      <c r="AL4" s="9">
        <f t="shared" si="6"/>
        <v>14.948563120921218</v>
      </c>
      <c r="AM4" s="9">
        <f t="shared" si="7"/>
        <v>223.45953938016589</v>
      </c>
      <c r="AN4" s="21" t="s">
        <v>734</v>
      </c>
    </row>
    <row r="5" spans="8:40" ht="23">
      <c r="H5" s="19"/>
      <c r="I5" s="19"/>
      <c r="J5" s="19"/>
      <c r="K5" s="19"/>
      <c r="L5" s="19"/>
      <c r="M5" s="8" t="s">
        <v>379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379</v>
      </c>
      <c r="X5" s="8">
        <v>37.93</v>
      </c>
      <c r="Y5" s="8">
        <v>1.45</v>
      </c>
      <c r="Z5" s="9">
        <v>0.54</v>
      </c>
      <c r="AA5" s="8">
        <v>334.8</v>
      </c>
      <c r="AB5" s="8">
        <v>3874</v>
      </c>
      <c r="AC5" s="21" t="s">
        <v>379</v>
      </c>
      <c r="AD5" s="8" t="s">
        <v>4012</v>
      </c>
      <c r="AE5" s="8" t="s">
        <v>3681</v>
      </c>
      <c r="AF5" s="20">
        <f t="shared" si="0"/>
        <v>485.46</v>
      </c>
      <c r="AG5" s="9">
        <f t="shared" si="1"/>
        <v>301.32</v>
      </c>
      <c r="AH5" s="9">
        <f t="shared" si="2"/>
        <v>5.8167413739184841</v>
      </c>
      <c r="AI5" s="20">
        <f t="shared" si="3"/>
        <v>33.834480211055094</v>
      </c>
      <c r="AJ5" s="9">
        <f t="shared" si="4"/>
        <v>4.2404449139162432</v>
      </c>
      <c r="AK5" s="20">
        <f t="shared" si="5"/>
        <v>17.981373067958135</v>
      </c>
      <c r="AL5" s="9">
        <f t="shared" si="6"/>
        <v>3.1561289831525423</v>
      </c>
      <c r="AM5" s="20">
        <f t="shared" si="7"/>
        <v>9.9611501582955011</v>
      </c>
      <c r="AN5" s="21" t="s">
        <v>379</v>
      </c>
    </row>
    <row r="6" spans="8:40" ht="23">
      <c r="H6" s="8"/>
      <c r="I6" s="8"/>
      <c r="J6" s="8"/>
      <c r="K6" s="8"/>
      <c r="L6" s="8"/>
      <c r="M6" s="9" t="s">
        <v>2728</v>
      </c>
      <c r="N6" s="8" t="s">
        <v>1614</v>
      </c>
      <c r="O6" s="8"/>
      <c r="P6" s="8" t="s">
        <v>3691</v>
      </c>
      <c r="Q6" s="8"/>
      <c r="R6" s="8"/>
      <c r="S6" s="8"/>
      <c r="T6" s="8"/>
      <c r="U6" s="8"/>
      <c r="V6" s="8"/>
      <c r="W6" s="9" t="s">
        <v>2728</v>
      </c>
      <c r="X6" s="8">
        <v>37.94</v>
      </c>
      <c r="Y6" s="8">
        <v>1.59</v>
      </c>
      <c r="Z6" s="9">
        <v>1.27</v>
      </c>
      <c r="AA6" s="8">
        <v>298.2</v>
      </c>
      <c r="AB6" s="8">
        <v>2922</v>
      </c>
      <c r="AC6" s="22" t="s">
        <v>2728</v>
      </c>
      <c r="AD6" s="8" t="s">
        <v>4012</v>
      </c>
      <c r="AE6" s="8" t="s">
        <v>3681</v>
      </c>
      <c r="AF6" s="9">
        <f t="shared" si="0"/>
        <v>474.13800000000003</v>
      </c>
      <c r="AG6" s="9">
        <f t="shared" si="1"/>
        <v>432.39</v>
      </c>
      <c r="AH6" s="9">
        <f t="shared" si="2"/>
        <v>5.1808610445116239</v>
      </c>
      <c r="AI6" s="9">
        <f t="shared" si="3"/>
        <v>26.841321162538076</v>
      </c>
      <c r="AJ6" s="9">
        <f t="shared" si="4"/>
        <v>4.1415483677222014</v>
      </c>
      <c r="AK6" s="9">
        <f t="shared" si="5"/>
        <v>17.152422882182432</v>
      </c>
      <c r="AL6" s="9">
        <f t="shared" si="6"/>
        <v>4.529001098583989</v>
      </c>
      <c r="AM6" s="9">
        <f t="shared" si="7"/>
        <v>20.511850950974978</v>
      </c>
      <c r="AN6" s="22" t="s">
        <v>2728</v>
      </c>
    </row>
    <row r="7" spans="8:40" ht="23">
      <c r="H7" s="19"/>
      <c r="I7" s="19"/>
      <c r="J7" s="19"/>
      <c r="K7" s="19"/>
      <c r="L7" s="19"/>
      <c r="M7" s="9" t="s">
        <v>2710</v>
      </c>
      <c r="N7" s="8" t="s">
        <v>1614</v>
      </c>
      <c r="O7" s="8"/>
      <c r="P7" s="8"/>
      <c r="Q7" s="8"/>
      <c r="R7" s="8"/>
      <c r="S7" s="8"/>
      <c r="T7" s="8"/>
      <c r="U7" s="8"/>
      <c r="V7" s="8"/>
      <c r="W7" s="9" t="s">
        <v>2710</v>
      </c>
      <c r="X7" s="8">
        <v>29.65</v>
      </c>
      <c r="Y7" s="8">
        <v>4.95</v>
      </c>
      <c r="Z7" s="9">
        <v>4.51</v>
      </c>
      <c r="AA7" s="8">
        <v>278.5</v>
      </c>
      <c r="AB7" s="8">
        <v>1941</v>
      </c>
      <c r="AC7" s="22" t="s">
        <v>2710</v>
      </c>
      <c r="AD7" s="8" t="s">
        <v>4012</v>
      </c>
      <c r="AE7" s="8" t="s">
        <v>3681</v>
      </c>
      <c r="AF7" s="20">
        <f t="shared" si="0"/>
        <v>1378.575</v>
      </c>
      <c r="AG7" s="9">
        <f t="shared" si="1"/>
        <v>1350.7249999999999</v>
      </c>
      <c r="AH7" s="9">
        <f t="shared" si="2"/>
        <v>4.8385975885194075</v>
      </c>
      <c r="AI7" s="20">
        <f t="shared" si="3"/>
        <v>23.412026623625824</v>
      </c>
      <c r="AJ7" s="9">
        <f t="shared" si="4"/>
        <v>12.041715789564712</v>
      </c>
      <c r="AK7" s="20">
        <f t="shared" si="5"/>
        <v>145.0029191566521</v>
      </c>
      <c r="AL7" s="9">
        <f t="shared" si="6"/>
        <v>14.147956726300004</v>
      </c>
      <c r="AM7" s="20">
        <f t="shared" si="7"/>
        <v>200.16467952925751</v>
      </c>
      <c r="AN7" s="22" t="s">
        <v>2710</v>
      </c>
    </row>
    <row r="8" spans="8:40" ht="23">
      <c r="H8" s="8"/>
      <c r="I8" s="8"/>
      <c r="J8" s="8"/>
      <c r="K8" s="8"/>
      <c r="L8" s="8"/>
      <c r="M8" s="8" t="s">
        <v>1794</v>
      </c>
      <c r="N8" s="8" t="s">
        <v>1717</v>
      </c>
      <c r="O8" s="8"/>
      <c r="P8" s="8" t="s">
        <v>3691</v>
      </c>
      <c r="Q8" s="8"/>
      <c r="R8" s="8"/>
      <c r="S8" s="8"/>
      <c r="T8" s="8"/>
      <c r="U8" s="8"/>
      <c r="V8" s="8"/>
      <c r="W8" s="8" t="s">
        <v>1794</v>
      </c>
      <c r="X8" s="8">
        <v>27.21</v>
      </c>
      <c r="Y8" s="8">
        <v>1.69</v>
      </c>
      <c r="Z8" s="9">
        <v>1.1499999999999999</v>
      </c>
      <c r="AA8" s="8">
        <v>250.9</v>
      </c>
      <c r="AB8" s="8">
        <v>7362</v>
      </c>
      <c r="AC8" s="21" t="s">
        <v>1794</v>
      </c>
      <c r="AD8" s="8" t="s">
        <v>4012</v>
      </c>
      <c r="AE8" s="8" t="s">
        <v>3681</v>
      </c>
      <c r="AF8" s="9">
        <f t="shared" si="0"/>
        <v>424.02100000000002</v>
      </c>
      <c r="AG8" s="9">
        <f t="shared" si="1"/>
        <v>313.625</v>
      </c>
      <c r="AH8" s="9">
        <f t="shared" si="2"/>
        <v>4.3590812745404648</v>
      </c>
      <c r="AI8" s="9">
        <f t="shared" si="3"/>
        <v>19.001589558049321</v>
      </c>
      <c r="AJ8" s="9">
        <f t="shared" si="4"/>
        <v>3.7037813472658501</v>
      </c>
      <c r="AK8" s="9">
        <f t="shared" si="5"/>
        <v>13.717996268354435</v>
      </c>
      <c r="AL8" s="9">
        <f t="shared" si="6"/>
        <v>3.2850157717417234</v>
      </c>
      <c r="AM8" s="9">
        <f t="shared" si="7"/>
        <v>10.791328620591871</v>
      </c>
      <c r="AN8" s="21" t="s">
        <v>1794</v>
      </c>
    </row>
    <row r="9" spans="8:40" ht="23">
      <c r="H9" s="8"/>
      <c r="I9" s="8"/>
      <c r="J9" s="8"/>
      <c r="K9" s="8"/>
      <c r="L9" s="8"/>
      <c r="M9" s="9" t="s">
        <v>2871</v>
      </c>
      <c r="N9" s="8" t="s">
        <v>1717</v>
      </c>
      <c r="O9" s="8"/>
      <c r="P9" s="8" t="s">
        <v>3691</v>
      </c>
      <c r="Q9" s="8"/>
      <c r="R9" s="8"/>
      <c r="S9" s="8"/>
      <c r="T9" s="8"/>
      <c r="U9" s="8"/>
      <c r="V9" s="8"/>
      <c r="W9" s="9" t="s">
        <v>2871</v>
      </c>
      <c r="X9" s="8">
        <v>31.34</v>
      </c>
      <c r="Y9" s="8">
        <v>2.75</v>
      </c>
      <c r="Z9" s="9">
        <v>2.2799999999999998</v>
      </c>
      <c r="AA9" s="8">
        <v>149.4</v>
      </c>
      <c r="AB9" s="8">
        <v>1967</v>
      </c>
      <c r="AC9" s="22" t="s">
        <v>2871</v>
      </c>
      <c r="AD9" s="8" t="s">
        <v>4012</v>
      </c>
      <c r="AE9" s="8" t="s">
        <v>3681</v>
      </c>
      <c r="AF9" s="9">
        <f t="shared" si="0"/>
        <v>410.85</v>
      </c>
      <c r="AG9" s="9">
        <f t="shared" si="1"/>
        <v>368.52000000000004</v>
      </c>
      <c r="AH9" s="9">
        <f t="shared" si="2"/>
        <v>2.5956426561034096</v>
      </c>
      <c r="AI9" s="9">
        <f t="shared" si="3"/>
        <v>6.7373607981835635</v>
      </c>
      <c r="AJ9" s="9">
        <f t="shared" si="4"/>
        <v>3.5887339696009732</v>
      </c>
      <c r="AK9" s="9">
        <f t="shared" si="5"/>
        <v>12.879011504567959</v>
      </c>
      <c r="AL9" s="9">
        <f t="shared" si="6"/>
        <v>3.8600048216891509</v>
      </c>
      <c r="AM9" s="9">
        <f t="shared" si="7"/>
        <v>14.899637223463493</v>
      </c>
      <c r="AN9" s="22" t="s">
        <v>2871</v>
      </c>
    </row>
    <row r="10" spans="8:40" ht="23">
      <c r="H10" s="8"/>
      <c r="I10" s="8"/>
      <c r="J10" s="8"/>
      <c r="K10" s="8"/>
      <c r="L10" s="8"/>
      <c r="M10" s="9" t="s">
        <v>2188</v>
      </c>
      <c r="N10" s="8" t="s">
        <v>150</v>
      </c>
      <c r="O10" s="8"/>
      <c r="P10" s="8" t="s">
        <v>3691</v>
      </c>
      <c r="Q10" s="8"/>
      <c r="R10" s="8"/>
      <c r="S10" s="8"/>
      <c r="T10" s="8"/>
      <c r="U10" s="8"/>
      <c r="V10" s="8"/>
      <c r="W10" s="9" t="s">
        <v>2188</v>
      </c>
      <c r="X10" s="8">
        <v>17.79</v>
      </c>
      <c r="Y10" s="8">
        <v>2.4300000000000002</v>
      </c>
      <c r="Z10" s="9">
        <v>0.51</v>
      </c>
      <c r="AA10" s="8">
        <v>147.9</v>
      </c>
      <c r="AB10" s="8">
        <v>5603</v>
      </c>
      <c r="AC10" s="22" t="s">
        <v>2188</v>
      </c>
      <c r="AD10" s="8" t="s">
        <v>4012</v>
      </c>
      <c r="AE10" s="8" t="s">
        <v>3681</v>
      </c>
      <c r="AF10" s="9">
        <f t="shared" si="0"/>
        <v>359.39700000000005</v>
      </c>
      <c r="AG10" s="9">
        <f t="shared" si="1"/>
        <v>125.715</v>
      </c>
      <c r="AH10" s="9">
        <f t="shared" si="2"/>
        <v>2.5695819868654235</v>
      </c>
      <c r="AI10" s="9">
        <f t="shared" si="3"/>
        <v>6.6027515872232572</v>
      </c>
      <c r="AJ10" s="9">
        <f t="shared" si="4"/>
        <v>3.1392971217541228</v>
      </c>
      <c r="AK10" s="9">
        <f t="shared" si="5"/>
        <v>9.8551864186537195</v>
      </c>
      <c r="AL10" s="9">
        <f t="shared" si="6"/>
        <v>1.3167820095480616</v>
      </c>
      <c r="AM10" s="9">
        <f t="shared" si="7"/>
        <v>1.7339148606694312</v>
      </c>
      <c r="AN10" s="22" t="s">
        <v>2188</v>
      </c>
    </row>
    <row r="11" spans="8:40" ht="23">
      <c r="H11" s="8"/>
      <c r="I11" s="8"/>
      <c r="J11" s="8"/>
      <c r="K11" s="8"/>
      <c r="L11" s="8"/>
      <c r="M11" s="8" t="s">
        <v>988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988</v>
      </c>
      <c r="X11" s="8">
        <v>39.22</v>
      </c>
      <c r="Y11" s="8">
        <v>1.31</v>
      </c>
      <c r="Z11" s="9">
        <v>0.14000000000000001</v>
      </c>
      <c r="AA11" s="8">
        <v>146.80000000000001</v>
      </c>
      <c r="AB11" s="8">
        <v>6637</v>
      </c>
      <c r="AC11" s="21" t="s">
        <v>988</v>
      </c>
      <c r="AD11" s="8" t="s">
        <v>4012</v>
      </c>
      <c r="AE11" s="8" t="s">
        <v>3681</v>
      </c>
      <c r="AF11" s="9">
        <f t="shared" si="0"/>
        <v>192.30800000000002</v>
      </c>
      <c r="AG11" s="9">
        <f t="shared" si="1"/>
        <v>34.253333333333337</v>
      </c>
      <c r="AH11" s="9">
        <f t="shared" si="2"/>
        <v>2.550470829424234</v>
      </c>
      <c r="AI11" s="9">
        <f t="shared" si="3"/>
        <v>6.5049014517439403</v>
      </c>
      <c r="AJ11" s="9">
        <f t="shared" si="4"/>
        <v>1.6797912917756459</v>
      </c>
      <c r="AK11" s="9">
        <f t="shared" si="5"/>
        <v>2.8216987839252932</v>
      </c>
      <c r="AL11" s="9">
        <f t="shared" si="6"/>
        <v>0.35878115658741017</v>
      </c>
      <c r="AM11" s="9">
        <f t="shared" si="7"/>
        <v>0.12872391832219973</v>
      </c>
      <c r="AN11" s="21" t="s">
        <v>988</v>
      </c>
    </row>
    <row r="12" spans="8:40" ht="23">
      <c r="H12" s="8"/>
      <c r="I12" s="8"/>
      <c r="J12" s="8"/>
      <c r="K12" s="8"/>
      <c r="L12" s="8"/>
      <c r="M12" s="8" t="s">
        <v>2019</v>
      </c>
      <c r="N12" s="8" t="s">
        <v>2017</v>
      </c>
      <c r="O12" s="8"/>
      <c r="P12" s="8"/>
      <c r="Q12" s="8"/>
      <c r="R12" s="8"/>
      <c r="S12" s="8"/>
      <c r="T12" s="8"/>
      <c r="U12" s="8"/>
      <c r="V12" s="8"/>
      <c r="W12" s="8" t="s">
        <v>2019</v>
      </c>
      <c r="X12" s="8">
        <v>37.729999999999997</v>
      </c>
      <c r="Y12" s="8">
        <v>1.1599999999999999</v>
      </c>
      <c r="Z12" s="9">
        <v>0.43</v>
      </c>
      <c r="AA12" s="8">
        <v>124</v>
      </c>
      <c r="AB12" s="8">
        <v>10760</v>
      </c>
      <c r="AC12" s="21" t="s">
        <v>2019</v>
      </c>
      <c r="AD12" s="8" t="s">
        <v>4012</v>
      </c>
      <c r="AE12" s="8" t="s">
        <v>3681</v>
      </c>
      <c r="AF12" s="9">
        <f t="shared" si="0"/>
        <v>143.84</v>
      </c>
      <c r="AG12" s="9">
        <f t="shared" si="1"/>
        <v>88.866666666666674</v>
      </c>
      <c r="AH12" s="9">
        <f t="shared" si="2"/>
        <v>2.154348657006846</v>
      </c>
      <c r="AI12" s="9">
        <f t="shared" si="3"/>
        <v>4.6412181359472005</v>
      </c>
      <c r="AJ12" s="9">
        <f t="shared" si="4"/>
        <v>1.2564281226418499</v>
      </c>
      <c r="AK12" s="9">
        <f t="shared" si="5"/>
        <v>1.5786116273653235</v>
      </c>
      <c r="AL12" s="9">
        <f t="shared" si="6"/>
        <v>0.93081993330287605</v>
      </c>
      <c r="AM12" s="9">
        <f t="shared" si="7"/>
        <v>0.86642574823397056</v>
      </c>
      <c r="AN12" s="21" t="s">
        <v>2019</v>
      </c>
    </row>
    <row r="13" spans="8:40" ht="23">
      <c r="H13" s="19"/>
      <c r="I13" s="19"/>
      <c r="J13" s="19"/>
      <c r="K13" s="19"/>
      <c r="L13" s="19"/>
      <c r="M13" s="9" t="s">
        <v>3115</v>
      </c>
      <c r="N13" s="8" t="s">
        <v>1862</v>
      </c>
      <c r="O13" s="8"/>
      <c r="P13" s="8" t="s">
        <v>3693</v>
      </c>
      <c r="Q13" s="8"/>
      <c r="R13" s="8"/>
      <c r="S13" s="8"/>
      <c r="T13" s="8"/>
      <c r="U13" s="8"/>
      <c r="V13" s="8"/>
      <c r="W13" s="9" t="s">
        <v>3115</v>
      </c>
      <c r="X13" s="8">
        <v>14.38</v>
      </c>
      <c r="Y13" s="8">
        <v>1.88</v>
      </c>
      <c r="Z13" s="9">
        <v>0.47</v>
      </c>
      <c r="AA13" s="8">
        <v>122.9</v>
      </c>
      <c r="AB13" s="8">
        <v>7087</v>
      </c>
      <c r="AC13" s="22" t="s">
        <v>3115</v>
      </c>
      <c r="AD13" s="8" t="s">
        <v>4012</v>
      </c>
      <c r="AE13" s="8" t="s">
        <v>3681</v>
      </c>
      <c r="AF13" s="20">
        <f t="shared" si="0"/>
        <v>231.05199999999999</v>
      </c>
      <c r="AG13" s="9">
        <f t="shared" si="1"/>
        <v>96.271666666666675</v>
      </c>
      <c r="AH13" s="9">
        <f t="shared" si="2"/>
        <v>2.135237499565656</v>
      </c>
      <c r="AI13" s="20">
        <f t="shared" si="3"/>
        <v>4.5592391795513949</v>
      </c>
      <c r="AJ13" s="9">
        <f t="shared" si="4"/>
        <v>2.0182162861001438</v>
      </c>
      <c r="AK13" s="20">
        <f t="shared" si="5"/>
        <v>4.0731969774798573</v>
      </c>
      <c r="AL13" s="9">
        <f t="shared" si="6"/>
        <v>1.0083824419987628</v>
      </c>
      <c r="AM13" s="20">
        <f t="shared" si="7"/>
        <v>1.0168351493313883</v>
      </c>
      <c r="AN13" s="22" t="s">
        <v>3115</v>
      </c>
    </row>
    <row r="14" spans="8:40" ht="23">
      <c r="H14" s="8"/>
      <c r="I14" s="8"/>
      <c r="J14" s="8"/>
      <c r="K14" s="8"/>
      <c r="L14" s="8"/>
      <c r="M14" s="8" t="s">
        <v>1690</v>
      </c>
      <c r="N14" s="8" t="s">
        <v>1614</v>
      </c>
      <c r="O14" s="8"/>
      <c r="P14" s="8"/>
      <c r="Q14" s="8"/>
      <c r="R14" s="8"/>
      <c r="S14" s="8"/>
      <c r="T14" s="8"/>
      <c r="U14" s="8"/>
      <c r="V14" s="8"/>
      <c r="W14" s="8" t="s">
        <v>1690</v>
      </c>
      <c r="X14" s="8">
        <v>19.68</v>
      </c>
      <c r="Y14" s="8">
        <v>2</v>
      </c>
      <c r="Z14" s="9">
        <v>0.31</v>
      </c>
      <c r="AA14" s="8">
        <v>112.6</v>
      </c>
      <c r="AB14" s="8">
        <v>13247</v>
      </c>
      <c r="AC14" s="21" t="s">
        <v>1690</v>
      </c>
      <c r="AD14" s="8" t="s">
        <v>4012</v>
      </c>
      <c r="AE14" s="8" t="s">
        <v>3681</v>
      </c>
      <c r="AF14" s="9">
        <f t="shared" si="0"/>
        <v>225.2</v>
      </c>
      <c r="AG14" s="9">
        <f t="shared" si="1"/>
        <v>58.176666666666669</v>
      </c>
      <c r="AH14" s="9">
        <f t="shared" si="2"/>
        <v>1.9562875707981517</v>
      </c>
      <c r="AI14" s="9">
        <f t="shared" si="3"/>
        <v>3.8270610596593335</v>
      </c>
      <c r="AJ14" s="9">
        <f t="shared" si="4"/>
        <v>1.9670996469615165</v>
      </c>
      <c r="AK14" s="9">
        <f t="shared" si="5"/>
        <v>3.869481021076123</v>
      </c>
      <c r="AL14" s="9">
        <f t="shared" si="6"/>
        <v>0.60936235168548747</v>
      </c>
      <c r="AM14" s="9">
        <f t="shared" si="7"/>
        <v>0.3713224756516677</v>
      </c>
      <c r="AN14" s="21" t="s">
        <v>1690</v>
      </c>
    </row>
    <row r="15" spans="8:40" ht="23">
      <c r="H15" s="8"/>
      <c r="I15" s="8"/>
      <c r="J15" s="8"/>
      <c r="K15" s="8"/>
      <c r="L15" s="8"/>
      <c r="M15" s="9" t="s">
        <v>2604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9" t="s">
        <v>2604</v>
      </c>
      <c r="X15" s="8">
        <v>40.81</v>
      </c>
      <c r="Y15" s="8">
        <v>3.1</v>
      </c>
      <c r="Z15" s="9">
        <v>2.44</v>
      </c>
      <c r="AA15" s="8">
        <v>110.1</v>
      </c>
      <c r="AB15" s="8">
        <v>1756</v>
      </c>
      <c r="AC15" s="22" t="s">
        <v>2604</v>
      </c>
      <c r="AD15" s="8" t="s">
        <v>4012</v>
      </c>
      <c r="AE15" s="8" t="s">
        <v>3681</v>
      </c>
      <c r="AF15" s="9">
        <f t="shared" si="0"/>
        <v>341.31</v>
      </c>
      <c r="AG15" s="9">
        <f t="shared" si="1"/>
        <v>300.94</v>
      </c>
      <c r="AH15" s="9">
        <f t="shared" si="2"/>
        <v>1.912853122068175</v>
      </c>
      <c r="AI15" s="9">
        <f t="shared" si="3"/>
        <v>3.6590070666059646</v>
      </c>
      <c r="AJ15" s="9">
        <f t="shared" si="4"/>
        <v>2.9813089720445616</v>
      </c>
      <c r="AK15" s="9">
        <f t="shared" si="5"/>
        <v>8.888203186793401</v>
      </c>
      <c r="AL15" s="9">
        <f t="shared" si="6"/>
        <v>3.1521487328751032</v>
      </c>
      <c r="AM15" s="9">
        <f t="shared" si="7"/>
        <v>9.9360416341661182</v>
      </c>
      <c r="AN15" s="22" t="s">
        <v>2604</v>
      </c>
    </row>
    <row r="16" spans="8:40" ht="23">
      <c r="H16" s="8"/>
      <c r="I16" s="8"/>
      <c r="J16" s="8"/>
      <c r="K16" s="8"/>
      <c r="L16" s="8"/>
      <c r="M16" s="9" t="s">
        <v>2557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9" t="s">
        <v>2557</v>
      </c>
      <c r="X16" s="8">
        <v>18.02</v>
      </c>
      <c r="Y16" s="8">
        <v>1.32</v>
      </c>
      <c r="Z16" s="9">
        <v>0.23</v>
      </c>
      <c r="AA16" s="8">
        <v>97.4</v>
      </c>
      <c r="AB16" s="8">
        <v>6021</v>
      </c>
      <c r="AC16" s="22" t="s">
        <v>2557</v>
      </c>
      <c r="AD16" s="8" t="s">
        <v>4012</v>
      </c>
      <c r="AE16" s="8" t="s">
        <v>3681</v>
      </c>
      <c r="AF16" s="9">
        <f t="shared" si="0"/>
        <v>128.56800000000001</v>
      </c>
      <c r="AG16" s="9">
        <f t="shared" si="1"/>
        <v>37.336666666666673</v>
      </c>
      <c r="AH16" s="9">
        <f t="shared" si="2"/>
        <v>1.6922061225198934</v>
      </c>
      <c r="AI16" s="9">
        <f t="shared" si="3"/>
        <v>2.8635615610938125</v>
      </c>
      <c r="AJ16" s="9">
        <f t="shared" si="4"/>
        <v>1.1230287185193086</v>
      </c>
      <c r="AK16" s="9">
        <f t="shared" si="5"/>
        <v>1.2611935026191206</v>
      </c>
      <c r="AL16" s="9">
        <f t="shared" si="6"/>
        <v>0.39107704699645596</v>
      </c>
      <c r="AM16" s="9">
        <f t="shared" si="7"/>
        <v>0.15294125668746822</v>
      </c>
      <c r="AN16" s="22" t="s">
        <v>2557</v>
      </c>
    </row>
    <row r="17" spans="8:40" ht="23">
      <c r="H17" s="8"/>
      <c r="I17" s="8"/>
      <c r="J17" s="8"/>
      <c r="K17" s="8"/>
      <c r="L17" s="8"/>
      <c r="M17" s="8" t="s">
        <v>456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456</v>
      </c>
      <c r="X17" s="8">
        <v>35.270000000000003</v>
      </c>
      <c r="Y17" s="8">
        <v>1.27</v>
      </c>
      <c r="Z17" s="9">
        <v>0.24</v>
      </c>
      <c r="AA17" s="8">
        <v>94.7</v>
      </c>
      <c r="AB17" s="8">
        <v>7882</v>
      </c>
      <c r="AC17" s="21" t="s">
        <v>456</v>
      </c>
      <c r="AD17" s="8" t="s">
        <v>4012</v>
      </c>
      <c r="AE17" s="8" t="s">
        <v>3681</v>
      </c>
      <c r="AF17" s="9">
        <f t="shared" si="0"/>
        <v>120.26900000000001</v>
      </c>
      <c r="AG17" s="9">
        <f t="shared" si="1"/>
        <v>37.880000000000003</v>
      </c>
      <c r="AH17" s="9">
        <f t="shared" si="2"/>
        <v>1.6452969178915187</v>
      </c>
      <c r="AI17" s="9">
        <f t="shared" si="3"/>
        <v>2.7070019480233305</v>
      </c>
      <c r="AJ17" s="9">
        <f t="shared" si="4"/>
        <v>1.050537777266495</v>
      </c>
      <c r="AK17" s="9">
        <f t="shared" si="5"/>
        <v>1.1036296214640278</v>
      </c>
      <c r="AL17" s="9">
        <f t="shared" si="6"/>
        <v>0.39676810660367157</v>
      </c>
      <c r="AM17" s="9">
        <f t="shared" si="7"/>
        <v>0.15742493041786249</v>
      </c>
      <c r="AN17" s="21" t="s">
        <v>456</v>
      </c>
    </row>
    <row r="18" spans="8:40" ht="23">
      <c r="H18" s="19"/>
      <c r="I18" s="19"/>
      <c r="J18" s="19"/>
      <c r="K18" s="19"/>
      <c r="L18" s="19"/>
      <c r="M18" s="8" t="s">
        <v>2083</v>
      </c>
      <c r="N18" s="8" t="s">
        <v>2074</v>
      </c>
      <c r="O18" s="8"/>
      <c r="P18" s="8" t="s">
        <v>3691</v>
      </c>
      <c r="Q18" s="8"/>
      <c r="R18" s="8"/>
      <c r="S18" s="8"/>
      <c r="T18" s="8"/>
      <c r="U18" s="8"/>
      <c r="V18" s="8"/>
      <c r="W18" s="8" t="s">
        <v>2083</v>
      </c>
      <c r="X18" s="8">
        <v>22.09</v>
      </c>
      <c r="Y18" s="8">
        <v>1.98</v>
      </c>
      <c r="Z18" s="9">
        <v>3.15</v>
      </c>
      <c r="AA18" s="8">
        <v>86.7</v>
      </c>
      <c r="AB18" s="8">
        <v>11523</v>
      </c>
      <c r="AC18" s="21" t="s">
        <v>2083</v>
      </c>
      <c r="AD18" s="8" t="s">
        <v>4012</v>
      </c>
      <c r="AE18" s="8" t="s">
        <v>3681</v>
      </c>
      <c r="AF18" s="20">
        <f t="shared" si="0"/>
        <v>171.666</v>
      </c>
      <c r="AG18" s="9">
        <f t="shared" si="1"/>
        <v>281.77500000000003</v>
      </c>
      <c r="AH18" s="9">
        <f t="shared" si="2"/>
        <v>1.5063066819555933</v>
      </c>
      <c r="AI18" s="20">
        <f t="shared" si="3"/>
        <v>2.2689598201040688</v>
      </c>
      <c r="AJ18" s="9">
        <f t="shared" si="4"/>
        <v>1.4994854706718284</v>
      </c>
      <c r="AK18" s="20">
        <f t="shared" si="5"/>
        <v>2.2484566767559144</v>
      </c>
      <c r="AL18" s="9">
        <f t="shared" si="6"/>
        <v>2.9514079524353103</v>
      </c>
      <c r="AM18" s="20">
        <f t="shared" si="7"/>
        <v>8.7108089016983907</v>
      </c>
      <c r="AN18" s="21" t="s">
        <v>2083</v>
      </c>
    </row>
    <row r="19" spans="8:40" ht="23">
      <c r="H19" s="8"/>
      <c r="I19" s="8"/>
      <c r="J19" s="8"/>
      <c r="K19" s="8"/>
      <c r="L19" s="8"/>
      <c r="M19" s="8" t="s">
        <v>1649</v>
      </c>
      <c r="N19" s="8" t="s">
        <v>1614</v>
      </c>
      <c r="O19" s="8"/>
      <c r="P19" s="8"/>
      <c r="Q19" s="8"/>
      <c r="R19" s="8"/>
      <c r="S19" s="8"/>
      <c r="T19" s="8"/>
      <c r="U19" s="8"/>
      <c r="V19" s="8"/>
      <c r="W19" s="8" t="s">
        <v>1649</v>
      </c>
      <c r="X19" s="8">
        <v>19.739999999999998</v>
      </c>
      <c r="Y19" s="8">
        <v>1.52</v>
      </c>
      <c r="Z19" s="9">
        <v>0.01</v>
      </c>
      <c r="AA19" s="8">
        <v>77.400000000000006</v>
      </c>
      <c r="AB19" s="8">
        <v>59705</v>
      </c>
      <c r="AC19" s="21" t="s">
        <v>1649</v>
      </c>
      <c r="AD19" s="8" t="s">
        <v>4012</v>
      </c>
      <c r="AE19" s="8" t="s">
        <v>3681</v>
      </c>
      <c r="AF19" s="9">
        <f t="shared" si="0"/>
        <v>117.64800000000001</v>
      </c>
      <c r="AG19" s="9">
        <f t="shared" si="1"/>
        <v>1.29</v>
      </c>
      <c r="AH19" s="9">
        <f t="shared" si="2"/>
        <v>1.3447305326800798</v>
      </c>
      <c r="AI19" s="9">
        <f t="shared" si="3"/>
        <v>1.8083002055220512</v>
      </c>
      <c r="AJ19" s="9">
        <f t="shared" si="4"/>
        <v>1.0276436024233062</v>
      </c>
      <c r="AK19" s="9">
        <f t="shared" si="5"/>
        <v>1.0560513736015502</v>
      </c>
      <c r="AL19" s="9">
        <f t="shared" si="6"/>
        <v>1.3511902257622393E-2</v>
      </c>
      <c r="AM19" s="9">
        <f t="shared" si="7"/>
        <v>1.8257150261954112E-4</v>
      </c>
      <c r="AN19" s="21" t="s">
        <v>1649</v>
      </c>
    </row>
    <row r="20" spans="8:40" ht="23">
      <c r="H20" s="19"/>
      <c r="I20" s="19"/>
      <c r="J20" s="19"/>
      <c r="K20" s="19"/>
      <c r="L20" s="19"/>
      <c r="M20" s="9" t="s">
        <v>2704</v>
      </c>
      <c r="N20" s="8" t="s">
        <v>1614</v>
      </c>
      <c r="O20" s="8"/>
      <c r="P20" s="8"/>
      <c r="Q20" s="8"/>
      <c r="R20" s="8"/>
      <c r="S20" s="8"/>
      <c r="T20" s="8"/>
      <c r="U20" s="8"/>
      <c r="V20" s="8"/>
      <c r="W20" s="9" t="s">
        <v>2704</v>
      </c>
      <c r="X20" s="8">
        <v>36.619999999999997</v>
      </c>
      <c r="Y20" s="8">
        <v>1.28</v>
      </c>
      <c r="Z20" s="9">
        <v>0.18</v>
      </c>
      <c r="AA20" s="8">
        <v>75.8</v>
      </c>
      <c r="AB20" s="8">
        <v>10015</v>
      </c>
      <c r="AC20" s="22" t="s">
        <v>2704</v>
      </c>
      <c r="AD20" s="8" t="s">
        <v>4012</v>
      </c>
      <c r="AE20" s="8" t="s">
        <v>3681</v>
      </c>
      <c r="AF20" s="20">
        <f t="shared" si="0"/>
        <v>97.024000000000001</v>
      </c>
      <c r="AG20" s="9">
        <f t="shared" si="1"/>
        <v>22.74</v>
      </c>
      <c r="AH20" s="9">
        <f t="shared" si="2"/>
        <v>1.3169324854928945</v>
      </c>
      <c r="AI20" s="20">
        <f t="shared" si="3"/>
        <v>1.7343111713464929</v>
      </c>
      <c r="AJ20" s="9">
        <f t="shared" si="4"/>
        <v>0.84749500953283396</v>
      </c>
      <c r="AK20" s="20">
        <f t="shared" si="5"/>
        <v>0.71824779118305837</v>
      </c>
      <c r="AL20" s="9">
        <f t="shared" si="6"/>
        <v>0.2381865560762273</v>
      </c>
      <c r="AM20" s="20">
        <f t="shared" si="7"/>
        <v>5.6732835495453771E-2</v>
      </c>
      <c r="AN20" s="22" t="s">
        <v>2704</v>
      </c>
    </row>
    <row r="21" spans="8:40" ht="23">
      <c r="H21" s="19"/>
      <c r="I21" s="19"/>
      <c r="J21" s="19"/>
      <c r="K21" s="19"/>
      <c r="L21" s="19"/>
      <c r="M21" s="8" t="s">
        <v>362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362</v>
      </c>
      <c r="X21" s="8">
        <v>45.68</v>
      </c>
      <c r="Y21" s="8">
        <v>2.42</v>
      </c>
      <c r="Z21" s="9">
        <v>2.37</v>
      </c>
      <c r="AA21" s="8">
        <v>71.5</v>
      </c>
      <c r="AB21" s="8">
        <v>3633</v>
      </c>
      <c r="AC21" s="21" t="s">
        <v>362</v>
      </c>
      <c r="AD21" s="8" t="s">
        <v>4012</v>
      </c>
      <c r="AE21" s="8" t="s">
        <v>3681</v>
      </c>
      <c r="AF21" s="20">
        <f t="shared" si="0"/>
        <v>173.03</v>
      </c>
      <c r="AG21" s="9">
        <f t="shared" si="1"/>
        <v>187.09166666666667</v>
      </c>
      <c r="AH21" s="9">
        <f t="shared" si="2"/>
        <v>1.2422252336773345</v>
      </c>
      <c r="AI21" s="20">
        <f t="shared" si="3"/>
        <v>1.5431235311847082</v>
      </c>
      <c r="AJ21" s="9">
        <f t="shared" si="4"/>
        <v>1.5113998752830873</v>
      </c>
      <c r="AK21" s="20">
        <f t="shared" si="5"/>
        <v>2.2843295830057317</v>
      </c>
      <c r="AL21" s="9">
        <f t="shared" si="6"/>
        <v>1.9596622583067207</v>
      </c>
      <c r="AM21" s="20">
        <f t="shared" si="7"/>
        <v>3.8402761666317966</v>
      </c>
      <c r="AN21" s="21" t="s">
        <v>362</v>
      </c>
    </row>
    <row r="22" spans="8:40" ht="23">
      <c r="H22" s="19"/>
      <c r="I22" s="19"/>
      <c r="J22" s="19"/>
      <c r="K22" s="19"/>
      <c r="L22" s="19"/>
      <c r="M22" s="8" t="s">
        <v>70</v>
      </c>
      <c r="N22" s="8" t="s">
        <v>23</v>
      </c>
      <c r="O22" s="8"/>
      <c r="P22" s="8"/>
      <c r="Q22" s="8"/>
      <c r="R22" s="8"/>
      <c r="S22" s="8"/>
      <c r="T22" s="8"/>
      <c r="U22" s="8"/>
      <c r="V22" s="8"/>
      <c r="W22" s="8" t="s">
        <v>70</v>
      </c>
      <c r="X22" s="8">
        <v>14.33</v>
      </c>
      <c r="Y22" s="8">
        <v>2.8</v>
      </c>
      <c r="Z22" s="9">
        <v>0.11</v>
      </c>
      <c r="AA22" s="8">
        <v>70.3</v>
      </c>
      <c r="AB22" s="8">
        <v>17619</v>
      </c>
      <c r="AC22" s="21" t="s">
        <v>70</v>
      </c>
      <c r="AD22" s="8" t="s">
        <v>4012</v>
      </c>
      <c r="AE22" s="8" t="s">
        <v>3681</v>
      </c>
      <c r="AF22" s="20">
        <f t="shared" si="0"/>
        <v>196.83999999999997</v>
      </c>
      <c r="AG22" s="9">
        <f t="shared" si="1"/>
        <v>12.888333333333332</v>
      </c>
      <c r="AH22" s="9">
        <f t="shared" si="2"/>
        <v>1.2213766982869456</v>
      </c>
      <c r="AI22" s="20">
        <f t="shared" si="3"/>
        <v>1.4917610391183205</v>
      </c>
      <c r="AJ22" s="9">
        <f t="shared" si="4"/>
        <v>1.7193778619356348</v>
      </c>
      <c r="AK22" s="20">
        <f t="shared" si="5"/>
        <v>2.9562602321143547</v>
      </c>
      <c r="AL22" s="9">
        <f t="shared" si="6"/>
        <v>0.13499682190981133</v>
      </c>
      <c r="AM22" s="20">
        <f t="shared" si="7"/>
        <v>1.8224141925749317E-2</v>
      </c>
      <c r="AN22" s="21" t="s">
        <v>70</v>
      </c>
    </row>
    <row r="23" spans="8:40" ht="23">
      <c r="H23" s="19"/>
      <c r="I23" s="19"/>
      <c r="J23" s="19"/>
      <c r="K23" s="19"/>
      <c r="L23" s="19"/>
      <c r="M23" s="9" t="s">
        <v>3368</v>
      </c>
      <c r="N23" s="8" t="s">
        <v>1964</v>
      </c>
      <c r="O23" s="8"/>
      <c r="P23" s="8" t="s">
        <v>3700</v>
      </c>
      <c r="Q23" s="8"/>
      <c r="R23" s="8"/>
      <c r="S23" s="8"/>
      <c r="T23" s="8"/>
      <c r="U23" s="8"/>
      <c r="V23" s="8"/>
      <c r="W23" s="9" t="s">
        <v>3368</v>
      </c>
      <c r="X23" s="8">
        <v>24.88</v>
      </c>
      <c r="Y23" s="8">
        <v>1.74</v>
      </c>
      <c r="Z23" s="9">
        <v>1.17</v>
      </c>
      <c r="AA23" s="8">
        <v>69.2</v>
      </c>
      <c r="AB23" s="8">
        <v>5245</v>
      </c>
      <c r="AC23" s="22" t="s">
        <v>3368</v>
      </c>
      <c r="AD23" s="8" t="s">
        <v>4012</v>
      </c>
      <c r="AE23" s="8" t="s">
        <v>3681</v>
      </c>
      <c r="AF23" s="20">
        <f t="shared" si="0"/>
        <v>120.408</v>
      </c>
      <c r="AG23" s="9">
        <f t="shared" si="1"/>
        <v>88.806666666666658</v>
      </c>
      <c r="AH23" s="9">
        <f t="shared" si="2"/>
        <v>1.2022655408457559</v>
      </c>
      <c r="AI23" s="20">
        <f t="shared" si="3"/>
        <v>1.4454424307051379</v>
      </c>
      <c r="AJ23" s="9">
        <f t="shared" si="4"/>
        <v>1.0517519284695485</v>
      </c>
      <c r="AK23" s="20">
        <f t="shared" si="5"/>
        <v>1.1061821190394141</v>
      </c>
      <c r="AL23" s="9">
        <f t="shared" si="6"/>
        <v>0.93019147273275404</v>
      </c>
      <c r="AM23" s="20">
        <f t="shared" si="7"/>
        <v>0.86525617594472992</v>
      </c>
      <c r="AN23" s="22" t="s">
        <v>3368</v>
      </c>
    </row>
    <row r="24" spans="8:40" ht="23">
      <c r="H24" s="19"/>
      <c r="I24" s="19"/>
      <c r="J24" s="19"/>
      <c r="K24" s="19"/>
      <c r="L24" s="19"/>
      <c r="M24" s="9" t="s">
        <v>2427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9" t="s">
        <v>2427</v>
      </c>
      <c r="X24" s="8">
        <v>28.97</v>
      </c>
      <c r="Y24" s="8">
        <v>1.42</v>
      </c>
      <c r="Z24" s="9">
        <v>0.38</v>
      </c>
      <c r="AA24" s="8">
        <v>65.3</v>
      </c>
      <c r="AB24" s="8">
        <v>10522</v>
      </c>
      <c r="AC24" s="22" t="s">
        <v>2427</v>
      </c>
      <c r="AD24" s="8" t="s">
        <v>4012</v>
      </c>
      <c r="AE24" s="8" t="s">
        <v>3681</v>
      </c>
      <c r="AF24" s="20">
        <f t="shared" si="0"/>
        <v>92.725999999999985</v>
      </c>
      <c r="AG24" s="9">
        <f t="shared" si="1"/>
        <v>41.356666666666662</v>
      </c>
      <c r="AH24" s="9">
        <f t="shared" si="2"/>
        <v>1.134507800826992</v>
      </c>
      <c r="AI24" s="20">
        <f t="shared" si="3"/>
        <v>1.2871079501372977</v>
      </c>
      <c r="AJ24" s="9">
        <f t="shared" si="4"/>
        <v>0.80995240614633035</v>
      </c>
      <c r="AK24" s="20">
        <f t="shared" si="5"/>
        <v>0.65602290022223009</v>
      </c>
      <c r="AL24" s="9">
        <f t="shared" si="6"/>
        <v>0.43318390519462796</v>
      </c>
      <c r="AM24" s="20">
        <f t="shared" si="7"/>
        <v>0.18764829571966843</v>
      </c>
      <c r="AN24" s="22" t="s">
        <v>2427</v>
      </c>
    </row>
    <row r="25" spans="8:40" ht="23">
      <c r="H25" s="19"/>
      <c r="I25" s="19"/>
      <c r="J25" s="19"/>
      <c r="K25" s="19"/>
      <c r="L25" s="19"/>
      <c r="M25" s="9" t="s">
        <v>2227</v>
      </c>
      <c r="N25" s="8" t="s">
        <v>150</v>
      </c>
      <c r="O25" s="8"/>
      <c r="P25" s="8" t="s">
        <v>3691</v>
      </c>
      <c r="Q25" s="8"/>
      <c r="R25" s="8"/>
      <c r="S25" s="8"/>
      <c r="T25" s="8"/>
      <c r="U25" s="8"/>
      <c r="V25" s="8"/>
      <c r="W25" s="9" t="s">
        <v>2227</v>
      </c>
      <c r="X25" s="8">
        <v>42.82</v>
      </c>
      <c r="Y25" s="8">
        <v>1.6</v>
      </c>
      <c r="Z25" s="9">
        <v>0.46</v>
      </c>
      <c r="AA25" s="8">
        <v>60.1</v>
      </c>
      <c r="AB25" s="8">
        <v>14148</v>
      </c>
      <c r="AC25" s="22" t="s">
        <v>2227</v>
      </c>
      <c r="AD25" s="8" t="s">
        <v>4012</v>
      </c>
      <c r="AE25" s="8" t="s">
        <v>3681</v>
      </c>
      <c r="AF25" s="20">
        <f t="shared" si="0"/>
        <v>96.160000000000011</v>
      </c>
      <c r="AG25" s="9">
        <f t="shared" si="1"/>
        <v>46.076666666666668</v>
      </c>
      <c r="AH25" s="9">
        <f t="shared" si="2"/>
        <v>1.0441641474686407</v>
      </c>
      <c r="AI25" s="20">
        <f t="shared" si="3"/>
        <v>1.0902787668589133</v>
      </c>
      <c r="AJ25" s="9">
        <f t="shared" si="4"/>
        <v>0.83994805529227123</v>
      </c>
      <c r="AK25" s="20">
        <f t="shared" si="5"/>
        <v>0.7055127355892683</v>
      </c>
      <c r="AL25" s="9">
        <f t="shared" si="6"/>
        <v>0.48262280337755648</v>
      </c>
      <c r="AM25" s="20">
        <f t="shared" si="7"/>
        <v>0.23292477034001155</v>
      </c>
      <c r="AN25" s="22" t="s">
        <v>2227</v>
      </c>
    </row>
    <row r="26" spans="8:40" ht="23">
      <c r="H26" s="19"/>
      <c r="I26" s="19"/>
      <c r="J26" s="19"/>
      <c r="K26" s="19"/>
      <c r="L26" s="19"/>
      <c r="M26" s="9" t="s">
        <v>3644</v>
      </c>
      <c r="N26" s="8" t="s">
        <v>2100</v>
      </c>
      <c r="O26" s="8"/>
      <c r="P26" s="8"/>
      <c r="Q26" s="8"/>
      <c r="R26" s="8"/>
      <c r="S26" s="8"/>
      <c r="T26" s="8"/>
      <c r="U26" s="8"/>
      <c r="V26" s="8"/>
      <c r="W26" s="9" t="s">
        <v>3644</v>
      </c>
      <c r="X26" s="8">
        <v>1.05</v>
      </c>
      <c r="Y26" s="8">
        <v>6.87</v>
      </c>
      <c r="Z26" s="9">
        <v>1.39</v>
      </c>
      <c r="AA26" s="8">
        <v>58.8</v>
      </c>
      <c r="AB26" s="8">
        <v>60609</v>
      </c>
      <c r="AC26" s="22" t="s">
        <v>3644</v>
      </c>
      <c r="AD26" s="8" t="s">
        <v>4012</v>
      </c>
      <c r="AE26" s="8" t="s">
        <v>3681</v>
      </c>
      <c r="AF26" s="20">
        <f t="shared" si="0"/>
        <v>403.95599999999996</v>
      </c>
      <c r="AG26" s="9">
        <f t="shared" si="1"/>
        <v>97.02</v>
      </c>
      <c r="AH26" s="9">
        <f t="shared" si="2"/>
        <v>1.0215782341290527</v>
      </c>
      <c r="AI26" s="20">
        <f t="shared" si="3"/>
        <v>1.0436220884462335</v>
      </c>
      <c r="AJ26" s="9">
        <f t="shared" si="4"/>
        <v>3.5285155638898154</v>
      </c>
      <c r="AK26" s="20">
        <f t="shared" si="5"/>
        <v>12.450422084612661</v>
      </c>
      <c r="AL26" s="9">
        <f t="shared" si="6"/>
        <v>1.0162207418872284</v>
      </c>
      <c r="AM26" s="20">
        <f t="shared" si="7"/>
        <v>1.0327045962418289</v>
      </c>
      <c r="AN26" s="22" t="s">
        <v>3644</v>
      </c>
    </row>
    <row r="27" spans="8:40" ht="23">
      <c r="H27" s="8"/>
      <c r="I27" s="8"/>
      <c r="J27" s="8"/>
      <c r="K27" s="8"/>
      <c r="L27" s="8"/>
      <c r="M27" s="9" t="s">
        <v>3052</v>
      </c>
      <c r="N27" s="8" t="s">
        <v>1814</v>
      </c>
      <c r="O27" s="8"/>
      <c r="P27" s="8" t="s">
        <v>3691</v>
      </c>
      <c r="Q27" s="8"/>
      <c r="R27" s="8"/>
      <c r="S27" s="8"/>
      <c r="T27" s="8"/>
      <c r="U27" s="8"/>
      <c r="V27" s="8"/>
      <c r="W27" s="9" t="s">
        <v>3052</v>
      </c>
      <c r="X27" s="8">
        <v>30.67</v>
      </c>
      <c r="Y27" s="8">
        <v>2.0299999999999998</v>
      </c>
      <c r="Z27" s="9">
        <v>1.41</v>
      </c>
      <c r="AA27" s="8">
        <v>50.9</v>
      </c>
      <c r="AB27" s="8">
        <v>4202</v>
      </c>
      <c r="AC27" s="22" t="s">
        <v>3052</v>
      </c>
      <c r="AD27" s="8" t="s">
        <v>4012</v>
      </c>
      <c r="AE27" s="8" t="s">
        <v>3681</v>
      </c>
      <c r="AF27" s="9">
        <f t="shared" si="0"/>
        <v>103.32699999999998</v>
      </c>
      <c r="AG27" s="9">
        <f t="shared" si="1"/>
        <v>85.681666666666672</v>
      </c>
      <c r="AH27" s="9">
        <f t="shared" si="2"/>
        <v>0.8843253761423262</v>
      </c>
      <c r="AI27" s="9">
        <f t="shared" si="3"/>
        <v>0.78203137088926677</v>
      </c>
      <c r="AJ27" s="9">
        <f t="shared" si="4"/>
        <v>0.9025510889058288</v>
      </c>
      <c r="AK27" s="9">
        <f t="shared" si="5"/>
        <v>0.81459846808509728</v>
      </c>
      <c r="AL27" s="9">
        <f t="shared" si="6"/>
        <v>0.89745915137223464</v>
      </c>
      <c r="AM27" s="9">
        <f t="shared" si="7"/>
        <v>0.80543292838177161</v>
      </c>
      <c r="AN27" s="22" t="s">
        <v>3052</v>
      </c>
    </row>
    <row r="28" spans="8:40" ht="23">
      <c r="H28" s="19"/>
      <c r="I28" s="19"/>
      <c r="J28" s="19"/>
      <c r="K28" s="19"/>
      <c r="L28" s="19"/>
      <c r="M28" s="9" t="s">
        <v>3324</v>
      </c>
      <c r="N28" s="8" t="s">
        <v>1939</v>
      </c>
      <c r="O28" s="8"/>
      <c r="P28" s="8"/>
      <c r="Q28" s="8"/>
      <c r="R28" s="8"/>
      <c r="S28" s="8"/>
      <c r="T28" s="8"/>
      <c r="U28" s="8"/>
      <c r="V28" s="8"/>
      <c r="W28" s="9" t="s">
        <v>3324</v>
      </c>
      <c r="X28" s="8">
        <v>49.59</v>
      </c>
      <c r="Y28" s="8">
        <v>1.1499999999999999</v>
      </c>
      <c r="Z28" s="9">
        <v>7.0000000000000007E-2</v>
      </c>
      <c r="AA28" s="8">
        <v>49.4</v>
      </c>
      <c r="AB28" s="8">
        <v>39577</v>
      </c>
      <c r="AC28" s="22" t="s">
        <v>3324</v>
      </c>
      <c r="AD28" s="8" t="s">
        <v>4012</v>
      </c>
      <c r="AE28" s="8" t="s">
        <v>3681</v>
      </c>
      <c r="AF28" s="20">
        <f t="shared" si="0"/>
        <v>56.809999999999995</v>
      </c>
      <c r="AG28" s="9">
        <f t="shared" si="1"/>
        <v>5.7633333333333336</v>
      </c>
      <c r="AH28" s="9">
        <f t="shared" si="2"/>
        <v>0.8582647069043402</v>
      </c>
      <c r="AI28" s="20">
        <f t="shared" si="3"/>
        <v>0.73661830711759302</v>
      </c>
      <c r="AJ28" s="9">
        <f t="shared" si="4"/>
        <v>0.49622971111848924</v>
      </c>
      <c r="AK28" s="20">
        <f t="shared" si="5"/>
        <v>0.24624392619673929</v>
      </c>
      <c r="AL28" s="9">
        <f t="shared" si="6"/>
        <v>6.0367129207827178E-2</v>
      </c>
      <c r="AM28" s="20">
        <f t="shared" si="7"/>
        <v>3.6441902887945012E-3</v>
      </c>
      <c r="AN28" s="22" t="s">
        <v>3324</v>
      </c>
    </row>
    <row r="29" spans="8:40" ht="23">
      <c r="H29" s="19"/>
      <c r="I29" s="19"/>
      <c r="J29" s="19"/>
      <c r="K29" s="19"/>
      <c r="L29" s="19"/>
      <c r="M29" s="8" t="s">
        <v>1547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1547</v>
      </c>
      <c r="X29" s="8">
        <v>30.97</v>
      </c>
      <c r="Y29" s="8">
        <v>1.54</v>
      </c>
      <c r="Z29" s="9">
        <v>0.57999999999999996</v>
      </c>
      <c r="AA29" s="8">
        <v>48.9</v>
      </c>
      <c r="AB29" s="8">
        <v>7572</v>
      </c>
      <c r="AC29" s="21" t="s">
        <v>1547</v>
      </c>
      <c r="AD29" s="8" t="s">
        <v>4012</v>
      </c>
      <c r="AE29" s="8" t="s">
        <v>3681</v>
      </c>
      <c r="AF29" s="20">
        <f t="shared" si="0"/>
        <v>75.305999999999997</v>
      </c>
      <c r="AG29" s="9">
        <f t="shared" si="1"/>
        <v>47.269999999999996</v>
      </c>
      <c r="AH29" s="9">
        <f t="shared" si="2"/>
        <v>0.84957781715834479</v>
      </c>
      <c r="AI29" s="20">
        <f t="shared" si="3"/>
        <v>0.72178246740753793</v>
      </c>
      <c r="AJ29" s="9">
        <f t="shared" si="4"/>
        <v>0.65779043523127878</v>
      </c>
      <c r="AK29" s="20">
        <f t="shared" si="5"/>
        <v>0.43268825668175515</v>
      </c>
      <c r="AL29" s="9">
        <f t="shared" si="6"/>
        <v>0.49512218582776002</v>
      </c>
      <c r="AM29" s="20">
        <f t="shared" si="7"/>
        <v>0.24514597889885892</v>
      </c>
      <c r="AN29" s="21" t="s">
        <v>1547</v>
      </c>
    </row>
    <row r="30" spans="8:40" ht="23">
      <c r="H30" s="8"/>
      <c r="I30" s="8"/>
      <c r="J30" s="8"/>
      <c r="K30" s="8"/>
      <c r="L30" s="8"/>
      <c r="M30" s="9" t="s">
        <v>2560</v>
      </c>
      <c r="N30" s="8" t="s">
        <v>150</v>
      </c>
      <c r="O30" s="8"/>
      <c r="P30" s="8" t="s">
        <v>4667</v>
      </c>
      <c r="Q30" s="8"/>
      <c r="R30" s="8"/>
      <c r="S30" s="8"/>
      <c r="T30" s="8"/>
      <c r="U30" s="8"/>
      <c r="V30" s="8"/>
      <c r="W30" s="9" t="s">
        <v>2560</v>
      </c>
      <c r="X30" s="8">
        <v>25.72</v>
      </c>
      <c r="Y30" s="8">
        <v>3.21</v>
      </c>
      <c r="Z30" s="9">
        <v>2.4500000000000002</v>
      </c>
      <c r="AA30" s="8">
        <v>47.4</v>
      </c>
      <c r="AB30" s="8">
        <v>6457</v>
      </c>
      <c r="AC30" s="22" t="s">
        <v>2560</v>
      </c>
      <c r="AD30" s="8" t="s">
        <v>4012</v>
      </c>
      <c r="AE30" s="8" t="s">
        <v>3681</v>
      </c>
      <c r="AF30" s="9">
        <f t="shared" si="0"/>
        <v>152.154</v>
      </c>
      <c r="AG30" s="9">
        <f t="shared" si="1"/>
        <v>130.35</v>
      </c>
      <c r="AH30" s="9">
        <f t="shared" si="2"/>
        <v>0.82351714792035879</v>
      </c>
      <c r="AI30" s="9">
        <f t="shared" si="3"/>
        <v>0.67818049291888216</v>
      </c>
      <c r="AJ30" s="9">
        <f t="shared" si="4"/>
        <v>1.3290500874057845</v>
      </c>
      <c r="AK30" s="9">
        <f t="shared" si="5"/>
        <v>1.7663741348333233</v>
      </c>
      <c r="AL30" s="9">
        <f t="shared" si="6"/>
        <v>1.3653305885899838</v>
      </c>
      <c r="AM30" s="9">
        <f t="shared" si="7"/>
        <v>1.8641276161394715</v>
      </c>
      <c r="AN30" s="22" t="s">
        <v>2560</v>
      </c>
    </row>
    <row r="31" spans="8:40" ht="23">
      <c r="H31" s="19"/>
      <c r="I31" s="19"/>
      <c r="J31" s="19"/>
      <c r="K31" s="19"/>
      <c r="L31" s="19"/>
      <c r="M31" s="9" t="s">
        <v>2585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9" t="s">
        <v>2585</v>
      </c>
      <c r="X31" s="8">
        <v>21.76</v>
      </c>
      <c r="Y31" s="8">
        <v>2.19</v>
      </c>
      <c r="Z31" s="9">
        <v>1.1599999999999999</v>
      </c>
      <c r="AA31" s="8">
        <v>40.9</v>
      </c>
      <c r="AB31" s="8">
        <v>13992</v>
      </c>
      <c r="AC31" s="22" t="s">
        <v>2585</v>
      </c>
      <c r="AD31" s="8" t="s">
        <v>4012</v>
      </c>
      <c r="AE31" s="8" t="s">
        <v>3681</v>
      </c>
      <c r="AF31" s="20">
        <f t="shared" si="0"/>
        <v>89.570999999999998</v>
      </c>
      <c r="AG31" s="9">
        <f t="shared" si="1"/>
        <v>51.806666666666665</v>
      </c>
      <c r="AH31" s="9">
        <f t="shared" si="2"/>
        <v>0.71058758122241927</v>
      </c>
      <c r="AI31" s="20">
        <f t="shared" si="3"/>
        <v>0.50493471058752826</v>
      </c>
      <c r="AJ31" s="9">
        <f t="shared" si="4"/>
        <v>0.78239379430723821</v>
      </c>
      <c r="AK31" s="20">
        <f t="shared" si="5"/>
        <v>0.61214004937047695</v>
      </c>
      <c r="AL31" s="9">
        <f t="shared" si="6"/>
        <v>0.54264078782420466</v>
      </c>
      <c r="AM31" s="20">
        <f t="shared" si="7"/>
        <v>0.29445902461047352</v>
      </c>
      <c r="AN31" s="22" t="s">
        <v>2585</v>
      </c>
    </row>
    <row r="32" spans="8:40" ht="23">
      <c r="H32" s="19"/>
      <c r="I32" s="19"/>
      <c r="J32" s="19"/>
      <c r="K32" s="19"/>
      <c r="L32" s="19"/>
      <c r="M32" s="9" t="s">
        <v>2822</v>
      </c>
      <c r="N32" s="8" t="s">
        <v>1614</v>
      </c>
      <c r="O32" s="8"/>
      <c r="P32" s="8"/>
      <c r="Q32" s="8"/>
      <c r="R32" s="8"/>
      <c r="S32" s="8"/>
      <c r="T32" s="8"/>
      <c r="U32" s="8"/>
      <c r="V32" s="8"/>
      <c r="W32" s="9" t="s">
        <v>2822</v>
      </c>
      <c r="X32" s="8">
        <v>79.27</v>
      </c>
      <c r="Y32" s="8">
        <v>1.05</v>
      </c>
      <c r="Z32" s="9">
        <v>0.04</v>
      </c>
      <c r="AA32" s="8">
        <v>34.700000000000003</v>
      </c>
      <c r="AB32" s="8">
        <v>51522</v>
      </c>
      <c r="AC32" s="22" t="s">
        <v>2822</v>
      </c>
      <c r="AD32" s="8" t="s">
        <v>4012</v>
      </c>
      <c r="AE32" s="8" t="s">
        <v>3681</v>
      </c>
      <c r="AF32" s="20">
        <f t="shared" si="0"/>
        <v>36.435000000000002</v>
      </c>
      <c r="AG32" s="9">
        <f t="shared" si="1"/>
        <v>2.3133333333333335</v>
      </c>
      <c r="AH32" s="9">
        <f t="shared" si="2"/>
        <v>0.60287014837207709</v>
      </c>
      <c r="AI32" s="20">
        <f t="shared" si="3"/>
        <v>0.36345241579817023</v>
      </c>
      <c r="AJ32" s="9">
        <f t="shared" si="4"/>
        <v>0.31825610851262376</v>
      </c>
      <c r="AK32" s="20">
        <f t="shared" si="5"/>
        <v>0.10128695060559895</v>
      </c>
      <c r="AL32" s="9">
        <f t="shared" si="6"/>
        <v>2.4230646425813802E-2</v>
      </c>
      <c r="AM32" s="20">
        <f t="shared" si="7"/>
        <v>5.8712422621280322E-4</v>
      </c>
      <c r="AN32" s="22" t="s">
        <v>2822</v>
      </c>
    </row>
    <row r="33" spans="8:40" ht="23">
      <c r="H33" s="19"/>
      <c r="I33" s="19"/>
      <c r="J33" s="19"/>
      <c r="K33" s="19"/>
      <c r="L33" s="19"/>
      <c r="M33" s="8" t="s">
        <v>1245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8" t="s">
        <v>1245</v>
      </c>
      <c r="X33" s="8">
        <v>44.24</v>
      </c>
      <c r="Y33" s="8">
        <v>1.52</v>
      </c>
      <c r="Z33" s="9">
        <v>0.53</v>
      </c>
      <c r="AA33" s="8">
        <v>32.9</v>
      </c>
      <c r="AB33" s="8">
        <v>14585</v>
      </c>
      <c r="AC33" s="21" t="s">
        <v>1245</v>
      </c>
      <c r="AD33" s="8" t="s">
        <v>4012</v>
      </c>
      <c r="AE33" s="8" t="s">
        <v>3681</v>
      </c>
      <c r="AF33" s="20">
        <f t="shared" si="0"/>
        <v>50.007999999999996</v>
      </c>
      <c r="AG33" s="9">
        <f t="shared" si="1"/>
        <v>29.061666666666664</v>
      </c>
      <c r="AH33" s="9">
        <f t="shared" si="2"/>
        <v>0.57159734528649375</v>
      </c>
      <c r="AI33" s="20">
        <f t="shared" si="3"/>
        <v>0.32672352513856717</v>
      </c>
      <c r="AJ33" s="9">
        <f t="shared" si="4"/>
        <v>0.43681491627553959</v>
      </c>
      <c r="AK33" s="20">
        <f t="shared" si="5"/>
        <v>0.19080727108080667</v>
      </c>
      <c r="AL33" s="9">
        <f t="shared" si="6"/>
        <v>0.3044018600338006</v>
      </c>
      <c r="AM33" s="20">
        <f t="shared" si="7"/>
        <v>9.2660492392037525E-2</v>
      </c>
      <c r="AN33" s="21" t="s">
        <v>1245</v>
      </c>
    </row>
    <row r="34" spans="8:40" ht="23">
      <c r="H34" s="19"/>
      <c r="I34" s="19"/>
      <c r="J34" s="19"/>
      <c r="K34" s="19"/>
      <c r="L34" s="19"/>
      <c r="M34" s="8" t="s">
        <v>642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8" t="s">
        <v>642</v>
      </c>
      <c r="X34" s="8">
        <v>9.4700000000000006</v>
      </c>
      <c r="Y34" s="8">
        <v>8.1300000000000008</v>
      </c>
      <c r="Z34" s="9">
        <v>10.130000000000001</v>
      </c>
      <c r="AA34" s="8">
        <v>31.3</v>
      </c>
      <c r="AB34" s="8">
        <v>25766</v>
      </c>
      <c r="AC34" s="21" t="s">
        <v>642</v>
      </c>
      <c r="AD34" s="8" t="s">
        <v>4012</v>
      </c>
      <c r="AE34" s="8" t="s">
        <v>3681</v>
      </c>
      <c r="AF34" s="20">
        <f t="shared" ref="AF34:AF65" si="8">(AA34*Y34)</f>
        <v>254.46900000000002</v>
      </c>
      <c r="AG34" s="9">
        <f t="shared" ref="AG34:AG65" si="9">((((RIGHT(Z34,2))/60)+(LEFT(Z34,2)))*AA34)</f>
        <v>319.78166666666669</v>
      </c>
      <c r="AH34" s="9">
        <f t="shared" ref="AH34:AH65" si="10">(AA34/$AA$95)*100</f>
        <v>0.54379929809930871</v>
      </c>
      <c r="AI34" s="20">
        <f t="shared" ref="AI34:AI65" si="11">(AH34*AH34)</f>
        <v>0.29571767661330084</v>
      </c>
      <c r="AJ34" s="9">
        <f t="shared" ref="AJ34:AJ65" si="12">(AF34/$AF$95)*100</f>
        <v>2.2227614567613245</v>
      </c>
      <c r="AK34" s="20">
        <f t="shared" ref="AK34:AK65" si="13">(AJ34*AJ34)</f>
        <v>4.9406684936637255</v>
      </c>
      <c r="AL34" s="9">
        <f t="shared" ref="AL34:AL65" si="14">(AG34/$AG$95)*100</f>
        <v>3.349502809131462</v>
      </c>
      <c r="AM34" s="20">
        <f t="shared" ref="AM34:AM65" si="15">(AL34*AL34)</f>
        <v>11.219169068379555</v>
      </c>
      <c r="AN34" s="21" t="s">
        <v>642</v>
      </c>
    </row>
    <row r="35" spans="8:40" ht="23">
      <c r="H35" s="19"/>
      <c r="I35" s="19"/>
      <c r="J35" s="19"/>
      <c r="K35" s="19"/>
      <c r="L35" s="19"/>
      <c r="M35" s="8" t="s">
        <v>256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8" t="s">
        <v>256</v>
      </c>
      <c r="X35" s="8">
        <v>32.57</v>
      </c>
      <c r="Y35" s="8">
        <v>1.25</v>
      </c>
      <c r="Z35" s="9">
        <v>0.2</v>
      </c>
      <c r="AA35" s="8">
        <v>30.4</v>
      </c>
      <c r="AB35" s="8">
        <v>22373</v>
      </c>
      <c r="AC35" s="21" t="s">
        <v>256</v>
      </c>
      <c r="AD35" s="8" t="s">
        <v>4012</v>
      </c>
      <c r="AE35" s="8" t="s">
        <v>3681</v>
      </c>
      <c r="AF35" s="20">
        <f t="shared" si="8"/>
        <v>38</v>
      </c>
      <c r="AG35" s="9">
        <f t="shared" si="9"/>
        <v>0.10133333333333333</v>
      </c>
      <c r="AH35" s="9">
        <f t="shared" si="10"/>
        <v>0.52816289655651705</v>
      </c>
      <c r="AI35" s="20">
        <f t="shared" si="11"/>
        <v>0.27895604529897011</v>
      </c>
      <c r="AJ35" s="9">
        <f t="shared" si="12"/>
        <v>0.33192622817290252</v>
      </c>
      <c r="AK35" s="20">
        <f t="shared" si="13"/>
        <v>0.11017502094908975</v>
      </c>
      <c r="AL35" s="9">
        <f t="shared" si="14"/>
        <v>1.0614000739837745E-3</v>
      </c>
      <c r="AM35" s="20">
        <f t="shared" si="15"/>
        <v>1.126570117052762E-6</v>
      </c>
      <c r="AN35" s="21" t="s">
        <v>256</v>
      </c>
    </row>
    <row r="36" spans="8:40" ht="23">
      <c r="H36" s="19"/>
      <c r="I36" s="19"/>
      <c r="J36" s="19"/>
      <c r="K36" s="19"/>
      <c r="L36" s="19"/>
      <c r="M36" s="8" t="s">
        <v>921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8" t="s">
        <v>921</v>
      </c>
      <c r="X36" s="8">
        <v>23.96</v>
      </c>
      <c r="Y36" s="8">
        <v>5.87</v>
      </c>
      <c r="Z36" s="9">
        <v>7.36</v>
      </c>
      <c r="AA36" s="8">
        <v>26.9</v>
      </c>
      <c r="AB36" s="8">
        <v>3935</v>
      </c>
      <c r="AC36" s="21" t="s">
        <v>921</v>
      </c>
      <c r="AD36" s="8" t="s">
        <v>4012</v>
      </c>
      <c r="AE36" s="8" t="s">
        <v>3681</v>
      </c>
      <c r="AF36" s="20">
        <f t="shared" si="8"/>
        <v>157.90299999999999</v>
      </c>
      <c r="AG36" s="9">
        <f t="shared" si="9"/>
        <v>204.43999999999997</v>
      </c>
      <c r="AH36" s="9">
        <f t="shared" si="10"/>
        <v>0.46735466833454964</v>
      </c>
      <c r="AI36" s="20">
        <f t="shared" si="11"/>
        <v>0.21842038601409688</v>
      </c>
      <c r="AJ36" s="9">
        <f t="shared" si="12"/>
        <v>1.379267031768048</v>
      </c>
      <c r="AK36" s="20">
        <f t="shared" si="13"/>
        <v>1.9023775449222415</v>
      </c>
      <c r="AL36" s="9">
        <f t="shared" si="14"/>
        <v>2.1413746492622647</v>
      </c>
      <c r="AM36" s="20">
        <f t="shared" si="15"/>
        <v>4.5854853885030868</v>
      </c>
      <c r="AN36" s="21" t="s">
        <v>921</v>
      </c>
    </row>
    <row r="37" spans="8:40" ht="23">
      <c r="H37" s="19"/>
      <c r="I37" s="19"/>
      <c r="J37" s="19"/>
      <c r="K37" s="19"/>
      <c r="L37" s="19"/>
      <c r="M37" s="8" t="s">
        <v>996</v>
      </c>
      <c r="N37" s="8" t="s">
        <v>150</v>
      </c>
      <c r="O37" s="8"/>
      <c r="P37" s="8" t="s">
        <v>3704</v>
      </c>
      <c r="Q37" s="8"/>
      <c r="R37" s="8"/>
      <c r="S37" s="8"/>
      <c r="T37" s="8"/>
      <c r="U37" s="8"/>
      <c r="V37" s="8"/>
      <c r="W37" s="8" t="s">
        <v>996</v>
      </c>
      <c r="X37" s="8">
        <v>31.46</v>
      </c>
      <c r="Y37" s="8">
        <v>2.63</v>
      </c>
      <c r="Z37" s="9">
        <v>2.5099999999999998</v>
      </c>
      <c r="AA37" s="8">
        <v>22.8</v>
      </c>
      <c r="AB37" s="8">
        <v>5604</v>
      </c>
      <c r="AC37" s="21" t="s">
        <v>996</v>
      </c>
      <c r="AD37" s="8" t="s">
        <v>4012</v>
      </c>
      <c r="AE37" s="8" t="s">
        <v>3681</v>
      </c>
      <c r="AF37" s="20">
        <f t="shared" si="8"/>
        <v>59.963999999999999</v>
      </c>
      <c r="AG37" s="9">
        <f t="shared" si="9"/>
        <v>64.98</v>
      </c>
      <c r="AH37" s="9">
        <f t="shared" si="10"/>
        <v>0.39612217241738779</v>
      </c>
      <c r="AI37" s="20">
        <f t="shared" si="11"/>
        <v>0.1569127754806707</v>
      </c>
      <c r="AJ37" s="9">
        <f t="shared" si="12"/>
        <v>0.52377958805684011</v>
      </c>
      <c r="AK37" s="20">
        <f t="shared" si="13"/>
        <v>0.27434505686499311</v>
      </c>
      <c r="AL37" s="9">
        <f t="shared" si="14"/>
        <v>0.68062279744209553</v>
      </c>
      <c r="AM37" s="20">
        <f t="shared" si="15"/>
        <v>0.4632473923979038</v>
      </c>
      <c r="AN37" s="21" t="s">
        <v>996</v>
      </c>
    </row>
    <row r="38" spans="8:40" ht="23">
      <c r="H38" s="19"/>
      <c r="I38" s="19"/>
      <c r="J38" s="19"/>
      <c r="K38" s="19"/>
      <c r="L38" s="19"/>
      <c r="M38" s="8" t="s">
        <v>1456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8" t="s">
        <v>1456</v>
      </c>
      <c r="X38" s="8">
        <v>69.900000000000006</v>
      </c>
      <c r="Y38" s="8">
        <v>1.98</v>
      </c>
      <c r="Z38" s="9">
        <v>1.45</v>
      </c>
      <c r="AA38" s="8">
        <v>20.100000000000001</v>
      </c>
      <c r="AB38" s="8">
        <v>20443</v>
      </c>
      <c r="AC38" s="21" t="s">
        <v>1456</v>
      </c>
      <c r="AD38" s="8" t="s">
        <v>4012</v>
      </c>
      <c r="AE38" s="8" t="s">
        <v>3681</v>
      </c>
      <c r="AF38" s="20">
        <f t="shared" si="8"/>
        <v>39.798000000000002</v>
      </c>
      <c r="AG38" s="9">
        <f t="shared" si="9"/>
        <v>35.175000000000004</v>
      </c>
      <c r="AH38" s="9">
        <f t="shared" si="10"/>
        <v>0.34921296778901295</v>
      </c>
      <c r="AI38" s="20">
        <f t="shared" si="11"/>
        <v>0.1219496968720102</v>
      </c>
      <c r="AJ38" s="9">
        <f t="shared" si="12"/>
        <v>0.34763157970592562</v>
      </c>
      <c r="AK38" s="20">
        <f t="shared" si="13"/>
        <v>0.12084771520883732</v>
      </c>
      <c r="AL38" s="9">
        <f t="shared" si="14"/>
        <v>0.36843500923400602</v>
      </c>
      <c r="AM38" s="20">
        <f t="shared" si="15"/>
        <v>0.1357443560292621</v>
      </c>
      <c r="AN38" s="21" t="s">
        <v>1456</v>
      </c>
    </row>
    <row r="39" spans="8:40" ht="23">
      <c r="H39" s="19"/>
      <c r="I39" s="19"/>
      <c r="J39" s="19"/>
      <c r="K39" s="19"/>
      <c r="L39" s="19"/>
      <c r="M39" s="9" t="s">
        <v>2810</v>
      </c>
      <c r="N39" s="8" t="s">
        <v>1614</v>
      </c>
      <c r="O39" s="8"/>
      <c r="P39" s="8"/>
      <c r="Q39" s="8"/>
      <c r="R39" s="8"/>
      <c r="S39" s="8"/>
      <c r="T39" s="8"/>
      <c r="U39" s="8"/>
      <c r="V39" s="8"/>
      <c r="W39" s="9" t="s">
        <v>2810</v>
      </c>
      <c r="X39" s="8">
        <v>47.48</v>
      </c>
      <c r="Y39" s="8">
        <v>3.09</v>
      </c>
      <c r="Z39" s="9">
        <v>2.37</v>
      </c>
      <c r="AA39" s="8">
        <v>19.7</v>
      </c>
      <c r="AB39" s="8">
        <v>9374</v>
      </c>
      <c r="AC39" s="22" t="s">
        <v>2810</v>
      </c>
      <c r="AD39" s="8" t="s">
        <v>4012</v>
      </c>
      <c r="AE39" s="8" t="s">
        <v>3681</v>
      </c>
      <c r="AF39" s="20">
        <f t="shared" si="8"/>
        <v>60.872999999999998</v>
      </c>
      <c r="AG39" s="9">
        <f t="shared" si="9"/>
        <v>51.548333333333332</v>
      </c>
      <c r="AH39" s="9">
        <f t="shared" si="10"/>
        <v>0.34226345599221664</v>
      </c>
      <c r="AI39" s="20">
        <f t="shared" si="11"/>
        <v>0.11714427330773601</v>
      </c>
      <c r="AJ39" s="9">
        <f t="shared" si="12"/>
        <v>0.53171961283076563</v>
      </c>
      <c r="AK39" s="20">
        <f t="shared" si="13"/>
        <v>0.28272574666889932</v>
      </c>
      <c r="AL39" s="9">
        <f t="shared" si="14"/>
        <v>0.53993491592506848</v>
      </c>
      <c r="AM39" s="20">
        <f t="shared" si="15"/>
        <v>0.29152971343501077</v>
      </c>
      <c r="AN39" s="22" t="s">
        <v>2810</v>
      </c>
    </row>
    <row r="40" spans="8:40" ht="23">
      <c r="H40" s="19"/>
      <c r="I40" s="19"/>
      <c r="J40" s="19"/>
      <c r="K40" s="19"/>
      <c r="L40" s="19"/>
      <c r="M40" s="8" t="s">
        <v>2068</v>
      </c>
      <c r="N40" s="8" t="s">
        <v>2066</v>
      </c>
      <c r="O40" s="8"/>
      <c r="P40" s="8"/>
      <c r="Q40" s="8"/>
      <c r="R40" s="8"/>
      <c r="S40" s="8"/>
      <c r="T40" s="8"/>
      <c r="U40" s="8"/>
      <c r="V40" s="8"/>
      <c r="W40" s="8" t="s">
        <v>2068</v>
      </c>
      <c r="X40" s="8">
        <v>20.13</v>
      </c>
      <c r="Y40" s="8">
        <v>1.63</v>
      </c>
      <c r="Z40" s="9">
        <v>0.42</v>
      </c>
      <c r="AA40" s="8">
        <v>16.600000000000001</v>
      </c>
      <c r="AB40" s="8">
        <v>20201</v>
      </c>
      <c r="AC40" s="21" t="s">
        <v>2068</v>
      </c>
      <c r="AD40" s="8" t="s">
        <v>4012</v>
      </c>
      <c r="AE40" s="8" t="s">
        <v>3681</v>
      </c>
      <c r="AF40" s="20">
        <f t="shared" si="8"/>
        <v>27.058</v>
      </c>
      <c r="AG40" s="9">
        <f t="shared" si="9"/>
        <v>11.620000000000001</v>
      </c>
      <c r="AH40" s="9">
        <f t="shared" si="10"/>
        <v>0.28840473956704554</v>
      </c>
      <c r="AI40" s="20">
        <f t="shared" si="11"/>
        <v>8.3177293804735361E-2</v>
      </c>
      <c r="AJ40" s="9">
        <f t="shared" si="12"/>
        <v>0.23634894426058936</v>
      </c>
      <c r="AK40" s="20">
        <f t="shared" si="13"/>
        <v>5.5860823453095176E-2</v>
      </c>
      <c r="AL40" s="9">
        <f t="shared" si="14"/>
        <v>0.12171186374695521</v>
      </c>
      <c r="AM40" s="20">
        <f t="shared" si="15"/>
        <v>1.481377777675739E-2</v>
      </c>
      <c r="AN40" s="21" t="s">
        <v>2068</v>
      </c>
    </row>
    <row r="41" spans="8:40" ht="23">
      <c r="H41" s="19"/>
      <c r="I41" s="19"/>
      <c r="J41" s="19"/>
      <c r="K41" s="19"/>
      <c r="L41" s="19"/>
      <c r="M41" s="9" t="s">
        <v>2901</v>
      </c>
      <c r="N41" s="8" t="s">
        <v>1717</v>
      </c>
      <c r="O41" s="8"/>
      <c r="P41" s="8" t="s">
        <v>3693</v>
      </c>
      <c r="Q41" s="8"/>
      <c r="R41" s="8"/>
      <c r="S41" s="8"/>
      <c r="T41" s="8"/>
      <c r="U41" s="8"/>
      <c r="V41" s="8"/>
      <c r="W41" s="9" t="s">
        <v>2901</v>
      </c>
      <c r="X41" s="8">
        <v>11.7</v>
      </c>
      <c r="Y41" s="8">
        <v>6.47</v>
      </c>
      <c r="Z41" s="9">
        <v>7.47</v>
      </c>
      <c r="AA41" s="8">
        <v>15.7</v>
      </c>
      <c r="AB41" s="8">
        <v>8367</v>
      </c>
      <c r="AC41" s="22" t="s">
        <v>2901</v>
      </c>
      <c r="AD41" s="8" t="s">
        <v>4012</v>
      </c>
      <c r="AE41" s="8" t="s">
        <v>3681</v>
      </c>
      <c r="AF41" s="20">
        <f t="shared" si="8"/>
        <v>101.57899999999999</v>
      </c>
      <c r="AG41" s="9">
        <f t="shared" si="9"/>
        <v>122.19833333333332</v>
      </c>
      <c r="AH41" s="9">
        <f t="shared" si="10"/>
        <v>0.27276833802425388</v>
      </c>
      <c r="AI41" s="20">
        <f t="shared" si="11"/>
        <v>7.4402566228513628E-2</v>
      </c>
      <c r="AJ41" s="9">
        <f t="shared" si="12"/>
        <v>0.88728248240987528</v>
      </c>
      <c r="AK41" s="20">
        <f t="shared" si="13"/>
        <v>0.78727020359143063</v>
      </c>
      <c r="AL41" s="9">
        <f t="shared" si="14"/>
        <v>1.2799472372436902</v>
      </c>
      <c r="AM41" s="20">
        <f t="shared" si="15"/>
        <v>1.6382649301277554</v>
      </c>
      <c r="AN41" s="22" t="s">
        <v>2901</v>
      </c>
    </row>
    <row r="42" spans="8:40" ht="23">
      <c r="H42" s="19"/>
      <c r="I42" s="19"/>
      <c r="J42" s="19"/>
      <c r="K42" s="19"/>
      <c r="L42" s="19"/>
      <c r="M42" s="9"/>
      <c r="N42" s="8"/>
      <c r="O42" s="8"/>
      <c r="P42" s="8" t="s">
        <v>4662</v>
      </c>
      <c r="Q42" s="8"/>
      <c r="R42" s="8"/>
      <c r="S42" s="8"/>
      <c r="T42" s="8"/>
      <c r="U42" s="8"/>
      <c r="V42" s="8"/>
      <c r="W42" s="9" t="s">
        <v>4323</v>
      </c>
      <c r="X42" s="8">
        <v>19.829999999999998</v>
      </c>
      <c r="Y42" s="8">
        <v>3.2</v>
      </c>
      <c r="Z42" s="9">
        <v>2.2999999999999998</v>
      </c>
      <c r="AA42" s="8">
        <v>14.8</v>
      </c>
      <c r="AB42" s="8">
        <v>10799</v>
      </c>
      <c r="AC42" s="22" t="s">
        <v>4323</v>
      </c>
      <c r="AD42" s="8" t="s">
        <v>4012</v>
      </c>
      <c r="AE42" s="8" t="s">
        <v>3681</v>
      </c>
      <c r="AF42" s="20">
        <f t="shared" si="8"/>
        <v>47.360000000000007</v>
      </c>
      <c r="AG42" s="9">
        <f t="shared" si="9"/>
        <v>29.673999999999999</v>
      </c>
      <c r="AH42" s="9">
        <f t="shared" si="10"/>
        <v>0.25713193648146226</v>
      </c>
      <c r="AI42" s="20">
        <f t="shared" si="11"/>
        <v>6.6116832758706751E-2</v>
      </c>
      <c r="AJ42" s="9">
        <f t="shared" si="12"/>
        <v>0.4136848991123333</v>
      </c>
      <c r="AK42" s="20">
        <f t="shared" si="13"/>
        <v>0.17113519575358138</v>
      </c>
      <c r="AL42" s="9">
        <f t="shared" si="14"/>
        <v>0.3108156492966565</v>
      </c>
      <c r="AM42" s="20">
        <f t="shared" si="15"/>
        <v>9.6606367847702171E-2</v>
      </c>
      <c r="AN42" s="22" t="s">
        <v>4323</v>
      </c>
    </row>
    <row r="43" spans="8:40" ht="23">
      <c r="H43" s="19"/>
      <c r="I43" s="19"/>
      <c r="J43" s="19"/>
      <c r="K43" s="19"/>
      <c r="L43" s="19"/>
      <c r="M43" s="9" t="s">
        <v>2564</v>
      </c>
      <c r="N43" s="8" t="s">
        <v>150</v>
      </c>
      <c r="O43" s="8"/>
      <c r="P43" s="8" t="s">
        <v>3700</v>
      </c>
      <c r="Q43" s="8"/>
      <c r="R43" s="8"/>
      <c r="S43" s="8"/>
      <c r="T43" s="8"/>
      <c r="U43" s="8"/>
      <c r="V43" s="8"/>
      <c r="W43" s="9" t="s">
        <v>2564</v>
      </c>
      <c r="X43" s="8">
        <v>43.59</v>
      </c>
      <c r="Y43" s="8">
        <v>1.1299999999999999</v>
      </c>
      <c r="Z43" s="9">
        <v>0.18</v>
      </c>
      <c r="AA43" s="8">
        <v>14.1</v>
      </c>
      <c r="AB43" s="8">
        <v>45392</v>
      </c>
      <c r="AC43" s="22" t="s">
        <v>2564</v>
      </c>
      <c r="AD43" s="8" t="s">
        <v>4012</v>
      </c>
      <c r="AE43" s="8" t="s">
        <v>3681</v>
      </c>
      <c r="AF43" s="20">
        <f t="shared" si="8"/>
        <v>15.932999999999998</v>
      </c>
      <c r="AG43" s="9">
        <f t="shared" si="9"/>
        <v>4.2299999999999995</v>
      </c>
      <c r="AH43" s="9">
        <f t="shared" si="10"/>
        <v>0.24497029083706875</v>
      </c>
      <c r="AI43" s="20">
        <f t="shared" si="11"/>
        <v>6.0010443392798055E-2</v>
      </c>
      <c r="AJ43" s="9">
        <f t="shared" si="12"/>
        <v>0.13917317351260144</v>
      </c>
      <c r="AK43" s="20">
        <f t="shared" si="13"/>
        <v>1.9369172225568668E-2</v>
      </c>
      <c r="AL43" s="9">
        <f t="shared" si="14"/>
        <v>4.4306470193599005E-2</v>
      </c>
      <c r="AM43" s="20">
        <f t="shared" si="15"/>
        <v>1.9630633010162771E-3</v>
      </c>
      <c r="AN43" s="22" t="s">
        <v>2564</v>
      </c>
    </row>
    <row r="44" spans="8:40" ht="23">
      <c r="H44" s="19"/>
      <c r="I44" s="19"/>
      <c r="J44" s="19"/>
      <c r="K44" s="19"/>
      <c r="L44" s="19"/>
      <c r="M44" s="8" t="s">
        <v>1620</v>
      </c>
      <c r="N44" s="8" t="s">
        <v>1614</v>
      </c>
      <c r="O44" s="8"/>
      <c r="P44" s="8"/>
      <c r="Q44" s="8"/>
      <c r="R44" s="8"/>
      <c r="S44" s="8"/>
      <c r="T44" s="8"/>
      <c r="U44" s="8"/>
      <c r="V44" s="8"/>
      <c r="W44" s="8" t="s">
        <v>1620</v>
      </c>
      <c r="X44" s="8">
        <v>11.59</v>
      </c>
      <c r="Y44" s="8">
        <v>1.06</v>
      </c>
      <c r="Z44" s="9">
        <v>0.03</v>
      </c>
      <c r="AA44" s="8">
        <v>12.3</v>
      </c>
      <c r="AB44" s="8">
        <v>54352</v>
      </c>
      <c r="AC44" s="21" t="s">
        <v>1620</v>
      </c>
      <c r="AD44" s="8" t="s">
        <v>4012</v>
      </c>
      <c r="AE44" s="8" t="s">
        <v>3681</v>
      </c>
      <c r="AF44" s="20">
        <f t="shared" si="8"/>
        <v>13.038000000000002</v>
      </c>
      <c r="AG44" s="9">
        <f t="shared" si="9"/>
        <v>0.6150000000000001</v>
      </c>
      <c r="AH44" s="9">
        <f t="shared" si="10"/>
        <v>0.21369748775148553</v>
      </c>
      <c r="AI44" s="20">
        <f t="shared" si="11"/>
        <v>4.5666616271296312E-2</v>
      </c>
      <c r="AJ44" s="9">
        <f t="shared" si="12"/>
        <v>0.11388563586627115</v>
      </c>
      <c r="AK44" s="20">
        <f t="shared" si="13"/>
        <v>1.2969938056664906E-2</v>
      </c>
      <c r="AL44" s="9">
        <f t="shared" si="14"/>
        <v>6.4417208437502127E-3</v>
      </c>
      <c r="AM44" s="20">
        <f t="shared" si="15"/>
        <v>4.149576742880595E-5</v>
      </c>
      <c r="AN44" s="21" t="s">
        <v>1620</v>
      </c>
    </row>
    <row r="45" spans="8:40" ht="23">
      <c r="H45" s="19"/>
      <c r="I45" s="19"/>
      <c r="J45" s="19"/>
      <c r="K45" s="19"/>
      <c r="L45" s="19"/>
      <c r="M45" s="9" t="s">
        <v>3420</v>
      </c>
      <c r="N45" s="8" t="s">
        <v>2003</v>
      </c>
      <c r="O45" s="8"/>
      <c r="P45" s="8"/>
      <c r="Q45" s="8"/>
      <c r="R45" s="8"/>
      <c r="S45" s="8"/>
      <c r="T45" s="8"/>
      <c r="U45" s="8"/>
      <c r="V45" s="8"/>
      <c r="W45" s="9" t="s">
        <v>3420</v>
      </c>
      <c r="X45" s="8">
        <v>74.400000000000006</v>
      </c>
      <c r="Y45" s="8">
        <v>1.1599999999999999</v>
      </c>
      <c r="Z45" s="9">
        <v>0.33</v>
      </c>
      <c r="AA45" s="8">
        <v>12</v>
      </c>
      <c r="AB45" s="8">
        <v>25129</v>
      </c>
      <c r="AC45" s="22" t="s">
        <v>3420</v>
      </c>
      <c r="AD45" s="8" t="s">
        <v>4012</v>
      </c>
      <c r="AE45" s="8" t="s">
        <v>3681</v>
      </c>
      <c r="AF45" s="20">
        <f t="shared" si="8"/>
        <v>13.919999999999998</v>
      </c>
      <c r="AG45" s="9">
        <f t="shared" si="9"/>
        <v>6.6000000000000005</v>
      </c>
      <c r="AH45" s="9">
        <f t="shared" si="10"/>
        <v>0.20848535390388831</v>
      </c>
      <c r="AI45" s="20">
        <f t="shared" si="11"/>
        <v>4.3466142792429559E-2</v>
      </c>
      <c r="AJ45" s="9">
        <f t="shared" si="12"/>
        <v>0.12158981832017901</v>
      </c>
      <c r="AK45" s="20">
        <f t="shared" si="13"/>
        <v>1.4784083919134139E-2</v>
      </c>
      <c r="AL45" s="9">
        <f t="shared" si="14"/>
        <v>6.9130662713416904E-2</v>
      </c>
      <c r="AM45" s="20">
        <f t="shared" si="15"/>
        <v>4.7790485271962104E-3</v>
      </c>
      <c r="AN45" s="22" t="s">
        <v>3420</v>
      </c>
    </row>
    <row r="46" spans="8:40" ht="23">
      <c r="H46" s="19"/>
      <c r="I46" s="19"/>
      <c r="J46" s="19"/>
      <c r="K46" s="19"/>
      <c r="L46" s="19"/>
      <c r="M46" s="8" t="s">
        <v>65</v>
      </c>
      <c r="N46" s="8" t="s">
        <v>24</v>
      </c>
      <c r="O46" s="8"/>
      <c r="P46" s="8"/>
      <c r="Q46" s="8"/>
      <c r="R46" s="8"/>
      <c r="S46" s="8"/>
      <c r="T46" s="8"/>
      <c r="U46" s="8"/>
      <c r="V46" s="8"/>
      <c r="W46" s="8" t="s">
        <v>65</v>
      </c>
      <c r="X46" s="8">
        <v>32.61</v>
      </c>
      <c r="Y46" s="8">
        <v>7.3</v>
      </c>
      <c r="Z46" s="9">
        <v>7.55</v>
      </c>
      <c r="AA46" s="8">
        <v>11.8</v>
      </c>
      <c r="AB46" s="8">
        <v>6755</v>
      </c>
      <c r="AC46" s="21" t="s">
        <v>65</v>
      </c>
      <c r="AD46" s="8" t="s">
        <v>4012</v>
      </c>
      <c r="AE46" s="8" t="s">
        <v>3681</v>
      </c>
      <c r="AF46" s="20">
        <f t="shared" si="8"/>
        <v>86.14</v>
      </c>
      <c r="AG46" s="9">
        <f t="shared" si="9"/>
        <v>93.416666666666671</v>
      </c>
      <c r="AH46" s="9">
        <f t="shared" si="10"/>
        <v>0.20501059800549018</v>
      </c>
      <c r="AI46" s="20">
        <f t="shared" si="11"/>
        <v>4.2029345294568692E-2</v>
      </c>
      <c r="AJ46" s="9">
        <f t="shared" si="12"/>
        <v>0.75242434986352169</v>
      </c>
      <c r="AK46" s="20">
        <f t="shared" si="13"/>
        <v>0.56614240226754331</v>
      </c>
      <c r="AL46" s="9">
        <f t="shared" si="14"/>
        <v>0.97847819320379215</v>
      </c>
      <c r="AM46" s="20">
        <f t="shared" si="15"/>
        <v>0.95741957457535765</v>
      </c>
      <c r="AN46" s="21" t="s">
        <v>65</v>
      </c>
    </row>
    <row r="47" spans="8:40" ht="23">
      <c r="H47" s="19"/>
      <c r="I47" s="19"/>
      <c r="J47" s="19"/>
      <c r="K47" s="19"/>
      <c r="L47" s="19"/>
      <c r="M47" s="9" t="s">
        <v>2823</v>
      </c>
      <c r="N47" s="8" t="s">
        <v>1614</v>
      </c>
      <c r="O47" s="8"/>
      <c r="P47" s="8"/>
      <c r="Q47" s="8"/>
      <c r="R47" s="8"/>
      <c r="S47" s="8"/>
      <c r="T47" s="8"/>
      <c r="U47" s="8"/>
      <c r="V47" s="8"/>
      <c r="W47" s="9" t="s">
        <v>2823</v>
      </c>
      <c r="X47" s="8">
        <v>5.79</v>
      </c>
      <c r="Y47" s="8">
        <v>2.76</v>
      </c>
      <c r="Z47" s="9">
        <v>6.19</v>
      </c>
      <c r="AA47" s="8">
        <v>11</v>
      </c>
      <c r="AB47" s="8">
        <v>130467</v>
      </c>
      <c r="AC47" s="22" t="s">
        <v>2823</v>
      </c>
      <c r="AD47" s="8" t="s">
        <v>4012</v>
      </c>
      <c r="AE47" s="8" t="s">
        <v>3681</v>
      </c>
      <c r="AF47" s="20">
        <f t="shared" si="8"/>
        <v>30.36</v>
      </c>
      <c r="AG47" s="9">
        <f t="shared" si="9"/>
        <v>69.483333333333334</v>
      </c>
      <c r="AH47" s="9">
        <f t="shared" si="10"/>
        <v>0.19111157441189763</v>
      </c>
      <c r="AI47" s="20">
        <f t="shared" si="11"/>
        <v>3.6523633874194286E-2</v>
      </c>
      <c r="AJ47" s="9">
        <f t="shared" si="12"/>
        <v>0.26519158650866625</v>
      </c>
      <c r="AK47" s="20">
        <f t="shared" si="13"/>
        <v>7.0326577554983422E-2</v>
      </c>
      <c r="AL47" s="9">
        <f t="shared" si="14"/>
        <v>0.72779225467736131</v>
      </c>
      <c r="AM47" s="20">
        <f t="shared" si="15"/>
        <v>0.52968156596835714</v>
      </c>
      <c r="AN47" s="22" t="s">
        <v>2823</v>
      </c>
    </row>
    <row r="48" spans="8:40" ht="23">
      <c r="H48" s="19"/>
      <c r="I48" s="19"/>
      <c r="J48" s="19"/>
      <c r="K48" s="19"/>
      <c r="L48" s="19"/>
      <c r="M48" s="8" t="s">
        <v>1172</v>
      </c>
      <c r="N48" s="8" t="s">
        <v>150</v>
      </c>
      <c r="O48" s="8"/>
      <c r="P48" s="8" t="s">
        <v>3692</v>
      </c>
      <c r="Q48" s="8"/>
      <c r="R48" s="8"/>
      <c r="S48" s="8"/>
      <c r="T48" s="8"/>
      <c r="U48" s="8"/>
      <c r="V48" s="8"/>
      <c r="W48" s="8" t="s">
        <v>1172</v>
      </c>
      <c r="X48" s="8">
        <v>46.69</v>
      </c>
      <c r="Y48" s="8">
        <v>3.64</v>
      </c>
      <c r="Z48" s="9">
        <v>1.33</v>
      </c>
      <c r="AA48" s="8">
        <v>9.9</v>
      </c>
      <c r="AB48" s="8">
        <v>15362</v>
      </c>
      <c r="AC48" s="21" t="s">
        <v>1172</v>
      </c>
      <c r="AD48" s="8" t="s">
        <v>4012</v>
      </c>
      <c r="AE48" s="8" t="s">
        <v>3681</v>
      </c>
      <c r="AF48" s="20">
        <f t="shared" si="8"/>
        <v>36.036000000000001</v>
      </c>
      <c r="AG48" s="9">
        <f t="shared" si="9"/>
        <v>15.345000000000001</v>
      </c>
      <c r="AH48" s="9">
        <f t="shared" si="10"/>
        <v>0.17200041697070786</v>
      </c>
      <c r="AI48" s="20">
        <f t="shared" si="11"/>
        <v>2.9584143438097371E-2</v>
      </c>
      <c r="AJ48" s="9">
        <f t="shared" si="12"/>
        <v>0.31477088311680829</v>
      </c>
      <c r="AK48" s="20">
        <f t="shared" si="13"/>
        <v>9.9080708858135386E-2</v>
      </c>
      <c r="AL48" s="9">
        <f t="shared" si="14"/>
        <v>0.16072879080869429</v>
      </c>
      <c r="AM48" s="20">
        <f t="shared" si="15"/>
        <v>2.5833744194825009E-2</v>
      </c>
      <c r="AN48" s="21" t="s">
        <v>1172</v>
      </c>
    </row>
    <row r="49" spans="8:40" ht="23">
      <c r="H49" s="19"/>
      <c r="I49" s="19"/>
      <c r="J49" s="19"/>
      <c r="K49" s="19"/>
      <c r="L49" s="19"/>
      <c r="M49" s="9" t="s">
        <v>2637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9" t="s">
        <v>2637</v>
      </c>
      <c r="X49" s="8">
        <v>48.87</v>
      </c>
      <c r="Y49" s="8">
        <v>1.6</v>
      </c>
      <c r="Z49" s="9">
        <v>0.4</v>
      </c>
      <c r="AA49" s="8">
        <v>9.8000000000000007</v>
      </c>
      <c r="AB49" s="8">
        <v>20969</v>
      </c>
      <c r="AC49" s="22" t="s">
        <v>2637</v>
      </c>
      <c r="AD49" s="8" t="s">
        <v>4012</v>
      </c>
      <c r="AE49" s="8" t="s">
        <v>3681</v>
      </c>
      <c r="AF49" s="20">
        <f t="shared" si="8"/>
        <v>15.680000000000001</v>
      </c>
      <c r="AG49" s="9">
        <f t="shared" si="9"/>
        <v>6.533333333333334E-2</v>
      </c>
      <c r="AH49" s="9">
        <f t="shared" si="10"/>
        <v>0.1702630390215088</v>
      </c>
      <c r="AI49" s="20">
        <f t="shared" si="11"/>
        <v>2.8989502456839827E-2</v>
      </c>
      <c r="AJ49" s="9">
        <f t="shared" si="12"/>
        <v>0.13696324362502926</v>
      </c>
      <c r="AK49" s="20">
        <f t="shared" si="13"/>
        <v>1.8758930104289119E-2</v>
      </c>
      <c r="AL49" s="9">
        <f t="shared" si="14"/>
        <v>6.8432373191059162E-4</v>
      </c>
      <c r="AM49" s="20">
        <f t="shared" si="15"/>
        <v>4.6829897005603928E-7</v>
      </c>
      <c r="AN49" s="22" t="s">
        <v>2637</v>
      </c>
    </row>
    <row r="50" spans="8:40" ht="23">
      <c r="H50" s="19"/>
      <c r="I50" s="19"/>
      <c r="J50" s="19"/>
      <c r="K50" s="19"/>
      <c r="L50" s="19"/>
      <c r="M50" s="8" t="s">
        <v>1882</v>
      </c>
      <c r="N50" s="8" t="s">
        <v>1869</v>
      </c>
      <c r="O50" s="8"/>
      <c r="P50" s="8"/>
      <c r="Q50" s="8"/>
      <c r="R50" s="8"/>
      <c r="S50" s="8"/>
      <c r="T50" s="8"/>
      <c r="U50" s="8"/>
      <c r="V50" s="8"/>
      <c r="W50" s="8" t="s">
        <v>1882</v>
      </c>
      <c r="X50" s="8">
        <v>42.11</v>
      </c>
      <c r="Y50" s="8">
        <v>2.0699999999999998</v>
      </c>
      <c r="Z50" s="9">
        <v>1.43</v>
      </c>
      <c r="AA50" s="8">
        <v>9.3000000000000007</v>
      </c>
      <c r="AB50" s="8">
        <v>14603</v>
      </c>
      <c r="AC50" s="21" t="s">
        <v>1882</v>
      </c>
      <c r="AD50" s="8" t="s">
        <v>4012</v>
      </c>
      <c r="AE50" s="8" t="s">
        <v>3681</v>
      </c>
      <c r="AF50" s="20">
        <f t="shared" si="8"/>
        <v>19.251000000000001</v>
      </c>
      <c r="AG50" s="9">
        <f t="shared" si="9"/>
        <v>15.965000000000002</v>
      </c>
      <c r="AH50" s="9">
        <f t="shared" si="10"/>
        <v>0.16157614927551345</v>
      </c>
      <c r="AI50" s="20">
        <f t="shared" si="11"/>
        <v>2.6106852014703006E-2</v>
      </c>
      <c r="AJ50" s="9">
        <f t="shared" si="12"/>
        <v>0.16815557417254071</v>
      </c>
      <c r="AK50" s="20">
        <f t="shared" si="13"/>
        <v>2.8276297125296838E-2</v>
      </c>
      <c r="AL50" s="9">
        <f t="shared" si="14"/>
        <v>0.16722288336662136</v>
      </c>
      <c r="AM50" s="20">
        <f t="shared" si="15"/>
        <v>2.7963492721446652E-2</v>
      </c>
      <c r="AN50" s="21" t="s">
        <v>1882</v>
      </c>
    </row>
    <row r="51" spans="8:40" ht="23">
      <c r="H51" s="19"/>
      <c r="I51" s="19"/>
      <c r="J51" s="19"/>
      <c r="K51" s="19"/>
      <c r="L51" s="19"/>
      <c r="M51" s="8" t="s">
        <v>1130</v>
      </c>
      <c r="N51" s="8" t="s">
        <v>150</v>
      </c>
      <c r="O51" s="8"/>
      <c r="P51" s="8"/>
      <c r="Q51" s="8"/>
      <c r="R51" s="8"/>
      <c r="S51" s="8"/>
      <c r="T51" s="8"/>
      <c r="U51" s="8"/>
      <c r="V51" s="8"/>
      <c r="W51" s="8" t="s">
        <v>1130</v>
      </c>
      <c r="X51" s="8">
        <v>8.2799999999999994</v>
      </c>
      <c r="Y51" s="8">
        <v>1.63</v>
      </c>
      <c r="Z51" s="9">
        <v>1.02</v>
      </c>
      <c r="AA51" s="8">
        <v>8.8000000000000007</v>
      </c>
      <c r="AB51" s="8">
        <v>27575</v>
      </c>
      <c r="AC51" s="21" t="s">
        <v>1130</v>
      </c>
      <c r="AD51" s="8" t="s">
        <v>4012</v>
      </c>
      <c r="AE51" s="8" t="s">
        <v>3681</v>
      </c>
      <c r="AF51" s="20">
        <f t="shared" si="8"/>
        <v>14.343999999999999</v>
      </c>
      <c r="AG51" s="9">
        <f t="shared" si="9"/>
        <v>9.0933333333333355</v>
      </c>
      <c r="AH51" s="9">
        <f t="shared" si="10"/>
        <v>0.1528892595295181</v>
      </c>
      <c r="AI51" s="20">
        <f t="shared" si="11"/>
        <v>2.337512567948434E-2</v>
      </c>
      <c r="AJ51" s="9">
        <f t="shared" si="12"/>
        <v>0.12529341623452928</v>
      </c>
      <c r="AK51" s="20">
        <f t="shared" si="13"/>
        <v>1.5698440151719003E-2</v>
      </c>
      <c r="AL51" s="9">
        <f t="shared" si="14"/>
        <v>9.5246690849596638E-2</v>
      </c>
      <c r="AM51" s="20">
        <f t="shared" si="15"/>
        <v>9.0719321177986367E-3</v>
      </c>
      <c r="AN51" s="21" t="s">
        <v>1130</v>
      </c>
    </row>
    <row r="52" spans="8:40" ht="23">
      <c r="H52" s="19"/>
      <c r="I52" s="19"/>
      <c r="J52" s="19"/>
      <c r="K52" s="19"/>
      <c r="L52" s="19"/>
      <c r="M52" s="9" t="s">
        <v>3639</v>
      </c>
      <c r="N52" s="8" t="s">
        <v>2100</v>
      </c>
      <c r="O52" s="8"/>
      <c r="P52" s="8"/>
      <c r="Q52" s="8"/>
      <c r="R52" s="8"/>
      <c r="S52" s="8"/>
      <c r="T52" s="8"/>
      <c r="U52" s="8"/>
      <c r="V52" s="8"/>
      <c r="W52" s="9" t="s">
        <v>3639</v>
      </c>
      <c r="X52" s="8">
        <v>60.02</v>
      </c>
      <c r="Y52" s="8">
        <v>1.55</v>
      </c>
      <c r="Z52" s="9">
        <v>0.36</v>
      </c>
      <c r="AA52" s="8">
        <v>8.5</v>
      </c>
      <c r="AB52" s="8">
        <v>53967</v>
      </c>
      <c r="AC52" s="22" t="s">
        <v>3639</v>
      </c>
      <c r="AD52" s="8" t="s">
        <v>4012</v>
      </c>
      <c r="AE52" s="8" t="s">
        <v>3681</v>
      </c>
      <c r="AF52" s="20">
        <f t="shared" si="8"/>
        <v>13.175000000000001</v>
      </c>
      <c r="AG52" s="9">
        <f t="shared" si="9"/>
        <v>5.0999999999999996</v>
      </c>
      <c r="AH52" s="9">
        <f t="shared" si="10"/>
        <v>0.1476771256819209</v>
      </c>
      <c r="AI52" s="20">
        <f t="shared" si="11"/>
        <v>2.1808533449673862E-2</v>
      </c>
      <c r="AJ52" s="9">
        <f t="shared" si="12"/>
        <v>0.11508231726784185</v>
      </c>
      <c r="AK52" s="20">
        <f t="shared" si="13"/>
        <v>1.3243939747736209E-2</v>
      </c>
      <c r="AL52" s="9">
        <f t="shared" si="14"/>
        <v>5.3419148460367605E-2</v>
      </c>
      <c r="AM52" s="20">
        <f t="shared" si="15"/>
        <v>2.8536054222307945E-3</v>
      </c>
      <c r="AN52" s="22" t="s">
        <v>3639</v>
      </c>
    </row>
    <row r="53" spans="8:40" ht="23">
      <c r="H53" s="19"/>
      <c r="I53" s="19"/>
      <c r="J53" s="19"/>
      <c r="K53" s="19"/>
      <c r="L53" s="19"/>
      <c r="M53" s="8" t="s">
        <v>22</v>
      </c>
      <c r="N53" s="8" t="s">
        <v>23</v>
      </c>
      <c r="O53" s="8"/>
      <c r="P53" s="8"/>
      <c r="Q53" s="8"/>
      <c r="R53" s="8"/>
      <c r="S53" s="8"/>
      <c r="T53" s="8"/>
      <c r="U53" s="8"/>
      <c r="V53" s="8"/>
      <c r="W53" s="8" t="s">
        <v>22</v>
      </c>
      <c r="X53" s="8">
        <v>28.22</v>
      </c>
      <c r="Y53" s="8">
        <v>2.69</v>
      </c>
      <c r="Z53" s="9">
        <v>2.16</v>
      </c>
      <c r="AA53" s="8">
        <v>8.1</v>
      </c>
      <c r="AB53" s="8">
        <v>14097</v>
      </c>
      <c r="AC53" s="21" t="s">
        <v>22</v>
      </c>
      <c r="AD53" s="8" t="s">
        <v>4012</v>
      </c>
      <c r="AE53" s="8" t="s">
        <v>3681</v>
      </c>
      <c r="AF53" s="20">
        <f t="shared" si="8"/>
        <v>21.788999999999998</v>
      </c>
      <c r="AG53" s="9">
        <f t="shared" si="9"/>
        <v>18.36</v>
      </c>
      <c r="AH53" s="9">
        <f t="shared" si="10"/>
        <v>0.14072761388512461</v>
      </c>
      <c r="AI53" s="20">
        <f t="shared" si="11"/>
        <v>1.9804261309800716E-2</v>
      </c>
      <c r="AJ53" s="9">
        <f t="shared" si="12"/>
        <v>0.19032475225419399</v>
      </c>
      <c r="AK53" s="20">
        <f t="shared" si="13"/>
        <v>3.6223511320620322E-2</v>
      </c>
      <c r="AL53" s="9">
        <f t="shared" si="14"/>
        <v>0.19230893445732336</v>
      </c>
      <c r="AM53" s="20">
        <f t="shared" si="15"/>
        <v>3.6982726272111091E-2</v>
      </c>
      <c r="AN53" s="21" t="s">
        <v>22</v>
      </c>
    </row>
    <row r="54" spans="8:40" ht="23">
      <c r="H54" s="19"/>
      <c r="I54" s="19"/>
      <c r="J54" s="19"/>
      <c r="K54" s="19"/>
      <c r="L54" s="19"/>
      <c r="M54" s="8" t="s">
        <v>32</v>
      </c>
      <c r="N54" s="8" t="s">
        <v>24</v>
      </c>
      <c r="O54" s="8"/>
      <c r="P54" s="8" t="s">
        <v>4161</v>
      </c>
      <c r="Q54" s="8"/>
      <c r="R54" s="8"/>
      <c r="S54" s="8"/>
      <c r="T54" s="8"/>
      <c r="U54" s="8"/>
      <c r="V54" s="8"/>
      <c r="W54" s="8" t="s">
        <v>32</v>
      </c>
      <c r="X54" s="8">
        <v>10.050000000000001</v>
      </c>
      <c r="Y54" s="8">
        <v>3.67</v>
      </c>
      <c r="Z54" s="9">
        <v>5.59</v>
      </c>
      <c r="AA54" s="8">
        <v>7.3</v>
      </c>
      <c r="AB54" s="8">
        <v>19394</v>
      </c>
      <c r="AC54" s="21" t="s">
        <v>32</v>
      </c>
      <c r="AD54" s="8" t="s">
        <v>4012</v>
      </c>
      <c r="AE54" s="8" t="s">
        <v>3681</v>
      </c>
      <c r="AF54" s="20">
        <f t="shared" si="8"/>
        <v>26.791</v>
      </c>
      <c r="AG54" s="9">
        <f t="shared" si="9"/>
        <v>43.678333333333335</v>
      </c>
      <c r="AH54" s="9">
        <f t="shared" si="10"/>
        <v>0.12682859029153204</v>
      </c>
      <c r="AI54" s="20">
        <f t="shared" si="11"/>
        <v>1.6085491315337295E-2</v>
      </c>
      <c r="AJ54" s="9">
        <f t="shared" si="12"/>
        <v>0.23401672576263766</v>
      </c>
      <c r="AK54" s="20">
        <f t="shared" si="13"/>
        <v>5.4763827936665559E-2</v>
      </c>
      <c r="AL54" s="9">
        <f t="shared" si="14"/>
        <v>0.4575018378107365</v>
      </c>
      <c r="AM54" s="20">
        <f t="shared" si="15"/>
        <v>0.20930793160020145</v>
      </c>
      <c r="AN54" s="21" t="s">
        <v>32</v>
      </c>
    </row>
    <row r="55" spans="8:40" ht="23">
      <c r="H55" s="19"/>
      <c r="I55" s="19"/>
      <c r="J55" s="19"/>
      <c r="K55" s="19"/>
      <c r="L55" s="19"/>
      <c r="M55" s="8" t="s">
        <v>283</v>
      </c>
      <c r="N55" s="8" t="s">
        <v>150</v>
      </c>
      <c r="O55" s="8"/>
      <c r="P55" s="8"/>
      <c r="Q55" s="8"/>
      <c r="R55" s="8"/>
      <c r="S55" s="8"/>
      <c r="T55" s="8"/>
      <c r="U55" s="8"/>
      <c r="V55" s="8"/>
      <c r="W55" s="8" t="s">
        <v>283</v>
      </c>
      <c r="X55" s="8">
        <v>27.08</v>
      </c>
      <c r="Y55" s="8">
        <v>8.57</v>
      </c>
      <c r="Z55" s="9">
        <v>8.16</v>
      </c>
      <c r="AA55" s="8">
        <v>7</v>
      </c>
      <c r="AB55" s="8">
        <v>14948</v>
      </c>
      <c r="AC55" s="21" t="s">
        <v>283</v>
      </c>
      <c r="AD55" s="8" t="s">
        <v>4012</v>
      </c>
      <c r="AE55" s="8" t="s">
        <v>3681</v>
      </c>
      <c r="AF55" s="20">
        <f t="shared" si="8"/>
        <v>59.99</v>
      </c>
      <c r="AG55" s="9">
        <f t="shared" si="9"/>
        <v>57.866666666666674</v>
      </c>
      <c r="AH55" s="9">
        <f t="shared" si="10"/>
        <v>0.12161645644393484</v>
      </c>
      <c r="AI55" s="20">
        <f t="shared" si="11"/>
        <v>1.4790562477979502E-2</v>
      </c>
      <c r="AJ55" s="9">
        <f t="shared" si="12"/>
        <v>0.52400669547611634</v>
      </c>
      <c r="AK55" s="20">
        <f t="shared" si="13"/>
        <v>0.27458301690379933</v>
      </c>
      <c r="AL55" s="9">
        <f t="shared" si="14"/>
        <v>0.60611530540652403</v>
      </c>
      <c r="AM55" s="20">
        <f t="shared" si="15"/>
        <v>0.3673757634480439</v>
      </c>
      <c r="AN55" s="21" t="s">
        <v>283</v>
      </c>
    </row>
    <row r="56" spans="8:40" ht="23">
      <c r="H56" s="19"/>
      <c r="I56" s="19"/>
      <c r="J56" s="19"/>
      <c r="K56" s="19"/>
      <c r="L56" s="19"/>
      <c r="M56" s="9" t="s">
        <v>2572</v>
      </c>
      <c r="N56" s="8" t="s">
        <v>150</v>
      </c>
      <c r="O56" s="8"/>
      <c r="P56" s="8"/>
      <c r="Q56" s="8"/>
      <c r="R56" s="8"/>
      <c r="S56" s="8"/>
      <c r="T56" s="8"/>
      <c r="U56" s="8"/>
      <c r="V56" s="8"/>
      <c r="W56" s="9" t="s">
        <v>2572</v>
      </c>
      <c r="X56" s="8">
        <v>35.46</v>
      </c>
      <c r="Y56" s="8">
        <v>2.09</v>
      </c>
      <c r="Z56" s="9">
        <v>1.28</v>
      </c>
      <c r="AA56" s="8">
        <v>6.1</v>
      </c>
      <c r="AB56" s="8">
        <v>23630</v>
      </c>
      <c r="AC56" s="22" t="s">
        <v>2572</v>
      </c>
      <c r="AD56" s="8" t="s">
        <v>4012</v>
      </c>
      <c r="AE56" s="8" t="s">
        <v>3681</v>
      </c>
      <c r="AF56" s="20">
        <f t="shared" si="8"/>
        <v>12.748999999999999</v>
      </c>
      <c r="AG56" s="9">
        <f t="shared" si="9"/>
        <v>8.9466666666666672</v>
      </c>
      <c r="AH56" s="9">
        <f t="shared" si="10"/>
        <v>0.10598005490114321</v>
      </c>
      <c r="AI56" s="20">
        <f t="shared" si="11"/>
        <v>1.1231772036849328E-2</v>
      </c>
      <c r="AJ56" s="9">
        <f t="shared" si="12"/>
        <v>0.11136124955200878</v>
      </c>
      <c r="AK56" s="20">
        <f t="shared" si="13"/>
        <v>1.2401327901784776E-2</v>
      </c>
      <c r="AL56" s="9">
        <f t="shared" si="14"/>
        <v>9.3710453900409579E-2</v>
      </c>
      <c r="AM56" s="20">
        <f t="shared" si="15"/>
        <v>8.7816491702207896E-3</v>
      </c>
      <c r="AN56" s="22" t="s">
        <v>2572</v>
      </c>
    </row>
    <row r="57" spans="8:40" ht="23">
      <c r="H57" s="19"/>
      <c r="I57" s="19"/>
      <c r="J57" s="19"/>
      <c r="K57" s="19"/>
      <c r="L57" s="19"/>
      <c r="M57" s="9" t="s">
        <v>3582</v>
      </c>
      <c r="N57" s="8" t="s">
        <v>2074</v>
      </c>
      <c r="O57" s="8"/>
      <c r="P57" s="8"/>
      <c r="Q57" s="8"/>
      <c r="R57" s="8"/>
      <c r="S57" s="8"/>
      <c r="T57" s="8"/>
      <c r="U57" s="8"/>
      <c r="V57" s="8"/>
      <c r="W57" s="9" t="s">
        <v>3582</v>
      </c>
      <c r="X57" s="8">
        <v>54.91</v>
      </c>
      <c r="Y57" s="8">
        <v>2</v>
      </c>
      <c r="Z57" s="9">
        <v>1.34</v>
      </c>
      <c r="AA57" s="8">
        <v>5.9</v>
      </c>
      <c r="AB57" s="8">
        <v>22018</v>
      </c>
      <c r="AC57" s="22" t="s">
        <v>3582</v>
      </c>
      <c r="AD57" s="8" t="s">
        <v>4012</v>
      </c>
      <c r="AE57" s="8" t="s">
        <v>3681</v>
      </c>
      <c r="AF57" s="20">
        <f t="shared" si="8"/>
        <v>11.8</v>
      </c>
      <c r="AG57" s="9">
        <f t="shared" si="9"/>
        <v>9.2433333333333341</v>
      </c>
      <c r="AH57" s="9">
        <f t="shared" si="10"/>
        <v>0.10250529900274509</v>
      </c>
      <c r="AI57" s="20">
        <f t="shared" si="11"/>
        <v>1.0507336323642173E-2</v>
      </c>
      <c r="AJ57" s="9">
        <f t="shared" si="12"/>
        <v>0.10307182874842763</v>
      </c>
      <c r="AK57" s="20">
        <f t="shared" si="13"/>
        <v>1.0623801881545193E-2</v>
      </c>
      <c r="AL57" s="9">
        <f t="shared" si="14"/>
        <v>9.6817842274901547E-2</v>
      </c>
      <c r="AM57" s="20">
        <f t="shared" si="15"/>
        <v>9.3736945827677127E-3</v>
      </c>
      <c r="AN57" s="22" t="s">
        <v>3582</v>
      </c>
    </row>
    <row r="58" spans="8:40" ht="23">
      <c r="H58" s="19"/>
      <c r="I58" s="19"/>
      <c r="J58" s="19"/>
      <c r="K58" s="19"/>
      <c r="L58" s="19"/>
      <c r="M58" s="9" t="s">
        <v>3325</v>
      </c>
      <c r="N58" s="8" t="s">
        <v>1939</v>
      </c>
      <c r="O58" s="8"/>
      <c r="P58" s="8"/>
      <c r="Q58" s="8"/>
      <c r="R58" s="8"/>
      <c r="S58" s="8"/>
      <c r="T58" s="8"/>
      <c r="U58" s="8"/>
      <c r="V58" s="8"/>
      <c r="W58" s="9" t="s">
        <v>3325</v>
      </c>
      <c r="X58" s="8">
        <v>82.07</v>
      </c>
      <c r="Y58" s="8">
        <v>1.43</v>
      </c>
      <c r="Z58" s="9">
        <v>0.2</v>
      </c>
      <c r="AA58" s="8">
        <v>5.9</v>
      </c>
      <c r="AB58" s="8">
        <v>36801</v>
      </c>
      <c r="AC58" s="22" t="s">
        <v>3325</v>
      </c>
      <c r="AD58" s="8" t="s">
        <v>4012</v>
      </c>
      <c r="AE58" s="8" t="s">
        <v>3681</v>
      </c>
      <c r="AF58" s="20">
        <f t="shared" si="8"/>
        <v>8.4369999999999994</v>
      </c>
      <c r="AG58" s="9">
        <f t="shared" si="9"/>
        <v>1.9666666666666669E-2</v>
      </c>
      <c r="AH58" s="9">
        <f t="shared" si="10"/>
        <v>0.10250529900274509</v>
      </c>
      <c r="AI58" s="20">
        <f t="shared" si="11"/>
        <v>1.0507336323642173E-2</v>
      </c>
      <c r="AJ58" s="9">
        <f t="shared" si="12"/>
        <v>7.3696357555125741E-2</v>
      </c>
      <c r="AK58" s="20">
        <f t="shared" si="13"/>
        <v>5.4311531168929391E-3</v>
      </c>
      <c r="AL58" s="9">
        <f t="shared" si="14"/>
        <v>2.0599540909553522E-4</v>
      </c>
      <c r="AM58" s="20">
        <f t="shared" si="15"/>
        <v>4.2434108568436912E-8</v>
      </c>
      <c r="AN58" s="22" t="s">
        <v>3325</v>
      </c>
    </row>
    <row r="59" spans="8:40" ht="23">
      <c r="H59" s="19"/>
      <c r="I59" s="19"/>
      <c r="J59" s="19"/>
      <c r="K59" s="19"/>
      <c r="L59" s="19"/>
      <c r="M59" s="8" t="s">
        <v>939</v>
      </c>
      <c r="N59" s="8" t="s">
        <v>150</v>
      </c>
      <c r="O59" s="8"/>
      <c r="P59" s="8"/>
      <c r="Q59" s="8"/>
      <c r="R59" s="8"/>
      <c r="S59" s="8"/>
      <c r="T59" s="8"/>
      <c r="U59" s="8"/>
      <c r="V59" s="8"/>
      <c r="W59" s="8" t="s">
        <v>939</v>
      </c>
      <c r="X59" s="8">
        <v>47.65</v>
      </c>
      <c r="Y59" s="8">
        <v>1.7</v>
      </c>
      <c r="Z59" s="9">
        <v>0.36</v>
      </c>
      <c r="AA59" s="8">
        <v>5.5</v>
      </c>
      <c r="AB59" s="8">
        <v>30112</v>
      </c>
      <c r="AC59" s="21" t="s">
        <v>939</v>
      </c>
      <c r="AD59" s="8" t="s">
        <v>4012</v>
      </c>
      <c r="AE59" s="8" t="s">
        <v>3681</v>
      </c>
      <c r="AF59" s="20">
        <f t="shared" si="8"/>
        <v>9.35</v>
      </c>
      <c r="AG59" s="9">
        <f t="shared" si="9"/>
        <v>3.3</v>
      </c>
      <c r="AH59" s="9">
        <f t="shared" si="10"/>
        <v>9.5555787205948817E-2</v>
      </c>
      <c r="AI59" s="20">
        <f t="shared" si="11"/>
        <v>9.1309084685485715E-3</v>
      </c>
      <c r="AJ59" s="9">
        <f t="shared" si="12"/>
        <v>8.1671321932016802E-2</v>
      </c>
      <c r="AK59" s="20">
        <f t="shared" si="13"/>
        <v>6.670204826123129E-3</v>
      </c>
      <c r="AL59" s="9">
        <f t="shared" si="14"/>
        <v>3.4565331356708445E-2</v>
      </c>
      <c r="AM59" s="20">
        <f t="shared" si="15"/>
        <v>1.1947621317990522E-3</v>
      </c>
      <c r="AN59" s="21" t="s">
        <v>939</v>
      </c>
    </row>
    <row r="60" spans="8:40" ht="23">
      <c r="H60" s="19"/>
      <c r="I60" s="19"/>
      <c r="J60" s="19"/>
      <c r="K60" s="19"/>
      <c r="L60" s="19"/>
      <c r="M60" s="9" t="s">
        <v>3456</v>
      </c>
      <c r="N60" s="8" t="s">
        <v>2003</v>
      </c>
      <c r="O60" s="8"/>
      <c r="P60" s="8"/>
      <c r="Q60" s="8"/>
      <c r="R60" s="8"/>
      <c r="S60" s="8"/>
      <c r="T60" s="8"/>
      <c r="U60" s="8"/>
      <c r="V60" s="8"/>
      <c r="W60" s="9" t="s">
        <v>3456</v>
      </c>
      <c r="X60" s="8">
        <v>41.89</v>
      </c>
      <c r="Y60" s="8">
        <v>1.54</v>
      </c>
      <c r="Z60" s="9">
        <v>1.07</v>
      </c>
      <c r="AA60" s="8">
        <v>5.2</v>
      </c>
      <c r="AB60" s="8">
        <v>43869</v>
      </c>
      <c r="AC60" s="22" t="s">
        <v>3456</v>
      </c>
      <c r="AD60" s="8" t="s">
        <v>4012</v>
      </c>
      <c r="AE60" s="8" t="s">
        <v>3681</v>
      </c>
      <c r="AF60" s="20">
        <f t="shared" si="8"/>
        <v>8.0080000000000009</v>
      </c>
      <c r="AG60" s="9">
        <f t="shared" si="9"/>
        <v>5.8066666666666666</v>
      </c>
      <c r="AH60" s="9">
        <f t="shared" si="10"/>
        <v>9.0343653358351594E-2</v>
      </c>
      <c r="AI60" s="20">
        <f t="shared" si="11"/>
        <v>8.1619757021339934E-3</v>
      </c>
      <c r="AJ60" s="9">
        <f t="shared" si="12"/>
        <v>6.9949085137068504E-2</v>
      </c>
      <c r="AK60" s="20">
        <f t="shared" si="13"/>
        <v>4.8928745115128574E-3</v>
      </c>
      <c r="AL60" s="9">
        <f t="shared" si="14"/>
        <v>6.0821017397359713E-2</v>
      </c>
      <c r="AM60" s="20">
        <f t="shared" si="15"/>
        <v>3.6991961572499328E-3</v>
      </c>
      <c r="AN60" s="22" t="s">
        <v>3456</v>
      </c>
    </row>
    <row r="61" spans="8:40" ht="23">
      <c r="H61" s="19"/>
      <c r="I61" s="19"/>
      <c r="J61" s="19"/>
      <c r="K61" s="19"/>
      <c r="L61" s="19"/>
      <c r="M61" s="8" t="s">
        <v>549</v>
      </c>
      <c r="N61" s="8" t="s">
        <v>150</v>
      </c>
      <c r="O61" s="8"/>
      <c r="P61" s="8" t="s">
        <v>3691</v>
      </c>
      <c r="Q61" s="8"/>
      <c r="R61" s="8"/>
      <c r="S61" s="8"/>
      <c r="T61" s="8"/>
      <c r="U61" s="8"/>
      <c r="V61" s="8"/>
      <c r="W61" s="8" t="s">
        <v>549</v>
      </c>
      <c r="X61" s="8">
        <v>19.7</v>
      </c>
      <c r="Y61" s="8">
        <v>3.8</v>
      </c>
      <c r="Z61" s="9">
        <v>4.38</v>
      </c>
      <c r="AA61" s="8">
        <v>5.0999999999999996</v>
      </c>
      <c r="AB61" s="8">
        <v>35206</v>
      </c>
      <c r="AC61" s="21" t="s">
        <v>549</v>
      </c>
      <c r="AD61" s="8" t="s">
        <v>4012</v>
      </c>
      <c r="AE61" s="8" t="s">
        <v>3681</v>
      </c>
      <c r="AF61" s="20">
        <f t="shared" si="8"/>
        <v>19.38</v>
      </c>
      <c r="AG61" s="9">
        <f t="shared" si="9"/>
        <v>23.629999999999995</v>
      </c>
      <c r="AH61" s="9">
        <f t="shared" si="10"/>
        <v>8.860627540915253E-2</v>
      </c>
      <c r="AI61" s="20">
        <f t="shared" si="11"/>
        <v>7.8510720418825883E-3</v>
      </c>
      <c r="AJ61" s="9">
        <f t="shared" si="12"/>
        <v>0.16928237636818028</v>
      </c>
      <c r="AK61" s="20">
        <f t="shared" si="13"/>
        <v>2.8656522948858239E-2</v>
      </c>
      <c r="AL61" s="9">
        <f t="shared" si="14"/>
        <v>0.24750872119970319</v>
      </c>
      <c r="AM61" s="20">
        <f t="shared" si="15"/>
        <v>6.1260567069912404E-2</v>
      </c>
      <c r="AN61" s="21" t="s">
        <v>549</v>
      </c>
    </row>
    <row r="62" spans="8:40" ht="23">
      <c r="H62" s="19"/>
      <c r="I62" s="19"/>
      <c r="J62" s="19"/>
      <c r="K62" s="19"/>
      <c r="L62" s="19"/>
      <c r="M62" s="8" t="s">
        <v>1777</v>
      </c>
      <c r="N62" s="8" t="s">
        <v>1717</v>
      </c>
      <c r="O62" s="8"/>
      <c r="P62" s="8" t="s">
        <v>3691</v>
      </c>
      <c r="Q62" s="8"/>
      <c r="R62" s="8"/>
      <c r="S62" s="8"/>
      <c r="T62" s="8"/>
      <c r="U62" s="8"/>
      <c r="V62" s="8"/>
      <c r="W62" s="8" t="s">
        <v>1777</v>
      </c>
      <c r="X62" s="8">
        <v>36.31</v>
      </c>
      <c r="Y62" s="8">
        <v>2.39</v>
      </c>
      <c r="Z62" s="9">
        <v>1.27</v>
      </c>
      <c r="AA62" s="8">
        <v>4.8</v>
      </c>
      <c r="AB62" s="8">
        <v>23109</v>
      </c>
      <c r="AC62" s="21" t="s">
        <v>1777</v>
      </c>
      <c r="AD62" s="8" t="s">
        <v>4012</v>
      </c>
      <c r="AE62" s="8" t="s">
        <v>3681</v>
      </c>
      <c r="AF62" s="20">
        <f t="shared" si="8"/>
        <v>11.472</v>
      </c>
      <c r="AG62" s="9">
        <f t="shared" si="9"/>
        <v>6.96</v>
      </c>
      <c r="AH62" s="9">
        <f t="shared" si="10"/>
        <v>8.3394141561555321E-2</v>
      </c>
      <c r="AI62" s="20">
        <f t="shared" si="11"/>
        <v>6.9545828467887285E-3</v>
      </c>
      <c r="AJ62" s="9">
        <f t="shared" si="12"/>
        <v>0.10020678130525099</v>
      </c>
      <c r="AK62" s="20">
        <f t="shared" si="13"/>
        <v>1.0041399019558398E-2</v>
      </c>
      <c r="AL62" s="9">
        <f t="shared" si="14"/>
        <v>7.2901426134148725E-2</v>
      </c>
      <c r="AM62" s="20">
        <f t="shared" si="15"/>
        <v>5.3146179323927427E-3</v>
      </c>
      <c r="AN62" s="21" t="s">
        <v>1777</v>
      </c>
    </row>
    <row r="63" spans="8:40" ht="23">
      <c r="H63" s="19"/>
      <c r="I63" s="19"/>
      <c r="J63" s="19"/>
      <c r="K63" s="19"/>
      <c r="L63" s="19"/>
      <c r="M63" s="8" t="s">
        <v>1224</v>
      </c>
      <c r="N63" s="8" t="s">
        <v>150</v>
      </c>
      <c r="O63" s="8"/>
      <c r="P63" s="8"/>
      <c r="Q63" s="8"/>
      <c r="R63" s="8"/>
      <c r="S63" s="8"/>
      <c r="T63" s="8"/>
      <c r="U63" s="8"/>
      <c r="V63" s="8"/>
      <c r="W63" s="8" t="s">
        <v>1224</v>
      </c>
      <c r="X63" s="8">
        <v>11.1</v>
      </c>
      <c r="Y63" s="8">
        <v>1.78</v>
      </c>
      <c r="Z63" s="9">
        <v>0.41</v>
      </c>
      <c r="AA63" s="8">
        <v>4.8</v>
      </c>
      <c r="AB63" s="8">
        <v>45450</v>
      </c>
      <c r="AC63" s="21" t="s">
        <v>1224</v>
      </c>
      <c r="AD63" s="8" t="s">
        <v>4012</v>
      </c>
      <c r="AE63" s="8" t="s">
        <v>3681</v>
      </c>
      <c r="AF63" s="20">
        <f t="shared" si="8"/>
        <v>8.5440000000000005</v>
      </c>
      <c r="AG63" s="9">
        <f t="shared" si="9"/>
        <v>3.28</v>
      </c>
      <c r="AH63" s="9">
        <f t="shared" si="10"/>
        <v>8.3394141561555321E-2</v>
      </c>
      <c r="AI63" s="20">
        <f t="shared" si="11"/>
        <v>6.9545828467887285E-3</v>
      </c>
      <c r="AJ63" s="9">
        <f t="shared" si="12"/>
        <v>7.4630991934454716E-2</v>
      </c>
      <c r="AK63" s="20">
        <f t="shared" si="13"/>
        <v>5.5697849571206444E-3</v>
      </c>
      <c r="AL63" s="9">
        <f t="shared" si="14"/>
        <v>3.435584450000112E-2</v>
      </c>
      <c r="AM63" s="20">
        <f t="shared" si="15"/>
        <v>1.1803240513082573E-3</v>
      </c>
      <c r="AN63" s="21" t="s">
        <v>1224</v>
      </c>
    </row>
    <row r="64" spans="8:40" ht="23">
      <c r="H64" s="19"/>
      <c r="I64" s="19"/>
      <c r="J64" s="19"/>
      <c r="K64" s="19"/>
      <c r="L64" s="19"/>
      <c r="M64" s="8" t="s">
        <v>625</v>
      </c>
      <c r="N64" s="8" t="s">
        <v>150</v>
      </c>
      <c r="O64" s="8"/>
      <c r="P64" s="8"/>
      <c r="Q64" s="8"/>
      <c r="R64" s="8"/>
      <c r="S64" s="8"/>
      <c r="T64" s="8"/>
      <c r="U64" s="8"/>
      <c r="V64" s="8"/>
      <c r="W64" s="8" t="s">
        <v>625</v>
      </c>
      <c r="X64" s="8">
        <v>22.02</v>
      </c>
      <c r="Y64" s="8">
        <v>4.12</v>
      </c>
      <c r="Z64" s="9">
        <v>3.3</v>
      </c>
      <c r="AA64" s="8">
        <v>4.2</v>
      </c>
      <c r="AB64" s="8">
        <v>23592</v>
      </c>
      <c r="AC64" s="21" t="s">
        <v>625</v>
      </c>
      <c r="AD64" s="8" t="s">
        <v>4012</v>
      </c>
      <c r="AE64" s="8" t="s">
        <v>3681</v>
      </c>
      <c r="AF64" s="20">
        <f t="shared" si="8"/>
        <v>17.304000000000002</v>
      </c>
      <c r="AG64" s="9">
        <f t="shared" si="9"/>
        <v>12.621</v>
      </c>
      <c r="AH64" s="9">
        <f t="shared" si="10"/>
        <v>7.2969873866360904E-2</v>
      </c>
      <c r="AI64" s="20">
        <f t="shared" si="11"/>
        <v>5.32460249207262E-3</v>
      </c>
      <c r="AJ64" s="9">
        <f t="shared" si="12"/>
        <v>0.15114872242905014</v>
      </c>
      <c r="AK64" s="20">
        <f t="shared" si="13"/>
        <v>2.2845936291934047E-2</v>
      </c>
      <c r="AL64" s="9">
        <f t="shared" si="14"/>
        <v>0.1321966809251568</v>
      </c>
      <c r="AM64" s="20">
        <f t="shared" si="15"/>
        <v>1.7475962447627714E-2</v>
      </c>
      <c r="AN64" s="21" t="s">
        <v>625</v>
      </c>
    </row>
    <row r="65" spans="8:40" ht="23">
      <c r="H65" s="19"/>
      <c r="I65" s="19"/>
      <c r="J65" s="19"/>
      <c r="K65" s="19"/>
      <c r="L65" s="19"/>
      <c r="M65" s="9" t="s">
        <v>3158</v>
      </c>
      <c r="N65" s="8" t="s">
        <v>1869</v>
      </c>
      <c r="O65" s="8"/>
      <c r="P65" s="8"/>
      <c r="Q65" s="8"/>
      <c r="R65" s="8"/>
      <c r="S65" s="8"/>
      <c r="T65" s="8"/>
      <c r="U65" s="8"/>
      <c r="V65" s="8"/>
      <c r="W65" s="9" t="s">
        <v>3158</v>
      </c>
      <c r="X65" s="8">
        <v>46.54</v>
      </c>
      <c r="Y65" s="8">
        <v>2.52</v>
      </c>
      <c r="Z65" s="9">
        <v>1.35</v>
      </c>
      <c r="AA65" s="8">
        <v>4.0999999999999996</v>
      </c>
      <c r="AB65" s="8">
        <v>30362</v>
      </c>
      <c r="AC65" s="22" t="s">
        <v>3158</v>
      </c>
      <c r="AD65" s="8" t="s">
        <v>4012</v>
      </c>
      <c r="AE65" s="8" t="s">
        <v>3681</v>
      </c>
      <c r="AF65" s="20">
        <f t="shared" si="8"/>
        <v>10.331999999999999</v>
      </c>
      <c r="AG65" s="9">
        <f t="shared" si="9"/>
        <v>6.4916666666666671</v>
      </c>
      <c r="AH65" s="9">
        <f t="shared" si="10"/>
        <v>7.1232495917161825E-2</v>
      </c>
      <c r="AI65" s="20">
        <f t="shared" si="11"/>
        <v>5.0740684745884763E-3</v>
      </c>
      <c r="AJ65" s="9">
        <f t="shared" si="12"/>
        <v>9.0248994460063889E-2</v>
      </c>
      <c r="AK65" s="20">
        <f t="shared" si="13"/>
        <v>8.144881001052642E-3</v>
      </c>
      <c r="AL65" s="9">
        <f t="shared" si="14"/>
        <v>6.7995942239585563E-2</v>
      </c>
      <c r="AM65" s="20">
        <f t="shared" si="15"/>
        <v>4.6234481610490565E-3</v>
      </c>
      <c r="AN65" s="22" t="s">
        <v>3158</v>
      </c>
    </row>
    <row r="66" spans="8:40" ht="23">
      <c r="H66" s="19"/>
      <c r="I66" s="19"/>
      <c r="J66" s="19"/>
      <c r="K66" s="19"/>
      <c r="L66" s="19"/>
      <c r="M66" s="9" t="s">
        <v>3098</v>
      </c>
      <c r="N66" s="8" t="s">
        <v>1814</v>
      </c>
      <c r="O66" s="8"/>
      <c r="P66" s="8"/>
      <c r="Q66" s="8"/>
      <c r="R66" s="8"/>
      <c r="S66" s="8"/>
      <c r="T66" s="8"/>
      <c r="U66" s="8"/>
      <c r="V66" s="8"/>
      <c r="W66" s="9" t="s">
        <v>3098</v>
      </c>
      <c r="X66" s="8">
        <v>34.36</v>
      </c>
      <c r="Y66" s="8">
        <v>3.27</v>
      </c>
      <c r="Z66" s="9">
        <v>1.53</v>
      </c>
      <c r="AA66" s="8">
        <v>3.7</v>
      </c>
      <c r="AB66" s="8">
        <v>24232</v>
      </c>
      <c r="AC66" s="22" t="s">
        <v>3098</v>
      </c>
      <c r="AD66" s="8" t="s">
        <v>4012</v>
      </c>
      <c r="AE66" s="8" t="s">
        <v>3681</v>
      </c>
      <c r="AF66" s="20">
        <f t="shared" ref="AF66:AF94" si="16">(AA66*Y66)</f>
        <v>12.099</v>
      </c>
      <c r="AG66" s="9">
        <f t="shared" ref="AG66:AG94" si="17">((((RIGHT(Z66,2))/60)+(LEFT(Z66,2)))*AA66)</f>
        <v>6.9683333333333337</v>
      </c>
      <c r="AH66" s="9">
        <f t="shared" ref="AH66:AH94" si="18">(AA66/$AA$95)*100</f>
        <v>6.4282984120365566E-2</v>
      </c>
      <c r="AI66" s="20">
        <f t="shared" ref="AI66:AI94" si="19">(AH66*AH66)</f>
        <v>4.1323020474191719E-3</v>
      </c>
      <c r="AJ66" s="9">
        <f t="shared" ref="AJ66:AJ94" si="20">(AF66/$AF$95)*100</f>
        <v>0.10568356407010387</v>
      </c>
      <c r="AK66" s="20">
        <f t="shared" ref="AK66:AK94" si="21">(AJ66*AJ66)</f>
        <v>1.1169015714559751E-2</v>
      </c>
      <c r="AL66" s="9">
        <f t="shared" ref="AL66:AL94" si="22">(AG66/$AG$95)*100</f>
        <v>7.2988712324443455E-2</v>
      </c>
      <c r="AM66" s="20">
        <f t="shared" ref="AM66:AM94" si="23">(AL66*AL66)</f>
        <v>5.3273521267803636E-3</v>
      </c>
      <c r="AN66" s="22" t="s">
        <v>3098</v>
      </c>
    </row>
    <row r="67" spans="8:40" ht="23">
      <c r="H67" s="19"/>
      <c r="I67" s="19"/>
      <c r="J67" s="19"/>
      <c r="K67" s="19"/>
      <c r="L67" s="19"/>
      <c r="M67" s="9" t="s">
        <v>3044</v>
      </c>
      <c r="N67" s="8" t="s">
        <v>1814</v>
      </c>
      <c r="O67" s="8"/>
      <c r="P67" s="8"/>
      <c r="Q67" s="8"/>
      <c r="R67" s="8"/>
      <c r="S67" s="8"/>
      <c r="T67" s="8"/>
      <c r="U67" s="8"/>
      <c r="V67" s="8"/>
      <c r="W67" s="9" t="s">
        <v>3044</v>
      </c>
      <c r="X67" s="8">
        <v>51.04</v>
      </c>
      <c r="Y67" s="8">
        <v>2.4300000000000002</v>
      </c>
      <c r="Z67" s="9">
        <v>2.1</v>
      </c>
      <c r="AA67" s="8">
        <v>3.4</v>
      </c>
      <c r="AB67" s="8">
        <v>43078</v>
      </c>
      <c r="AC67" s="22" t="s">
        <v>3044</v>
      </c>
      <c r="AD67" s="8" t="s">
        <v>4012</v>
      </c>
      <c r="AE67" s="8" t="s">
        <v>3681</v>
      </c>
      <c r="AF67" s="20">
        <f t="shared" si="16"/>
        <v>8.2620000000000005</v>
      </c>
      <c r="AG67" s="9">
        <f t="shared" si="17"/>
        <v>6.8056666666666654</v>
      </c>
      <c r="AH67" s="9">
        <f t="shared" si="18"/>
        <v>5.9070850272768351E-2</v>
      </c>
      <c r="AI67" s="20">
        <f t="shared" si="19"/>
        <v>3.4893653519478167E-3</v>
      </c>
      <c r="AJ67" s="9">
        <f t="shared" si="20"/>
        <v>7.2167749925382121E-2</v>
      </c>
      <c r="AK67" s="20">
        <f t="shared" si="21"/>
        <v>5.208184129292491E-3</v>
      </c>
      <c r="AL67" s="9">
        <f t="shared" si="22"/>
        <v>7.1284885889890529E-2</v>
      </c>
      <c r="AM67" s="20">
        <f t="shared" si="23"/>
        <v>5.0815349563347141E-3</v>
      </c>
      <c r="AN67" s="22" t="s">
        <v>3044</v>
      </c>
    </row>
    <row r="68" spans="8:40" ht="23">
      <c r="H68" s="19"/>
      <c r="I68" s="19"/>
      <c r="J68" s="19"/>
      <c r="K68" s="19"/>
      <c r="L68" s="19"/>
      <c r="M68" s="9" t="s">
        <v>3026</v>
      </c>
      <c r="N68" s="8" t="s">
        <v>1814</v>
      </c>
      <c r="O68" s="8"/>
      <c r="P68" s="8"/>
      <c r="Q68" s="8"/>
      <c r="R68" s="8"/>
      <c r="S68" s="8"/>
      <c r="T68" s="8"/>
      <c r="U68" s="8"/>
      <c r="V68" s="8"/>
      <c r="W68" s="9" t="s">
        <v>3026</v>
      </c>
      <c r="X68" s="8">
        <v>42.39</v>
      </c>
      <c r="Y68" s="8">
        <v>2.2000000000000002</v>
      </c>
      <c r="Z68" s="9">
        <v>1.31</v>
      </c>
      <c r="AA68" s="8">
        <v>3.1</v>
      </c>
      <c r="AB68" s="8">
        <v>40157</v>
      </c>
      <c r="AC68" s="22" t="s">
        <v>3026</v>
      </c>
      <c r="AD68" s="8" t="s">
        <v>4012</v>
      </c>
      <c r="AE68" s="8" t="s">
        <v>3681</v>
      </c>
      <c r="AF68" s="20">
        <f t="shared" si="16"/>
        <v>6.8200000000000012</v>
      </c>
      <c r="AG68" s="9">
        <f t="shared" si="17"/>
        <v>4.7016666666666662</v>
      </c>
      <c r="AH68" s="9">
        <f t="shared" si="18"/>
        <v>5.3858716425171149E-2</v>
      </c>
      <c r="AI68" s="20">
        <f t="shared" si="19"/>
        <v>2.9007613349670007E-3</v>
      </c>
      <c r="AJ68" s="9">
        <f t="shared" si="20"/>
        <v>5.957202305629461E-2</v>
      </c>
      <c r="AK68" s="20">
        <f t="shared" si="21"/>
        <v>3.5488259310196965E-3</v>
      </c>
      <c r="AL68" s="9">
        <f t="shared" si="22"/>
        <v>4.9246868564280059E-2</v>
      </c>
      <c r="AM68" s="20">
        <f t="shared" si="23"/>
        <v>2.4252540633874753E-3</v>
      </c>
      <c r="AN68" s="22" t="s">
        <v>3026</v>
      </c>
    </row>
    <row r="69" spans="8:40" ht="23">
      <c r="H69" s="19"/>
      <c r="I69" s="19"/>
      <c r="J69" s="19"/>
      <c r="K69" s="19"/>
      <c r="L69" s="19"/>
      <c r="M69" s="8" t="s">
        <v>1706</v>
      </c>
      <c r="N69" s="8" t="s">
        <v>1614</v>
      </c>
      <c r="O69" s="8"/>
      <c r="P69" s="8"/>
      <c r="Q69" s="8"/>
      <c r="R69" s="8"/>
      <c r="S69" s="8"/>
      <c r="T69" s="8"/>
      <c r="U69" s="8"/>
      <c r="V69" s="8"/>
      <c r="W69" s="8" t="s">
        <v>1706</v>
      </c>
      <c r="X69" s="8">
        <v>44.92</v>
      </c>
      <c r="Y69" s="8">
        <v>2.59</v>
      </c>
      <c r="Z69" s="9">
        <v>2.23</v>
      </c>
      <c r="AA69" s="8">
        <v>3</v>
      </c>
      <c r="AB69" s="8">
        <v>29132</v>
      </c>
      <c r="AC69" s="21" t="s">
        <v>1706</v>
      </c>
      <c r="AD69" s="8" t="s">
        <v>4012</v>
      </c>
      <c r="AE69" s="8" t="s">
        <v>3681</v>
      </c>
      <c r="AF69" s="20">
        <f t="shared" si="16"/>
        <v>7.77</v>
      </c>
      <c r="AG69" s="9">
        <f t="shared" si="17"/>
        <v>7.15</v>
      </c>
      <c r="AH69" s="9">
        <f t="shared" si="18"/>
        <v>5.2121338475972077E-2</v>
      </c>
      <c r="AI69" s="20">
        <f t="shared" si="19"/>
        <v>2.7166339245268474E-3</v>
      </c>
      <c r="AJ69" s="9">
        <f t="shared" si="20"/>
        <v>6.787017876061717E-2</v>
      </c>
      <c r="AK69" s="20">
        <f t="shared" si="21"/>
        <v>4.6063611649981304E-3</v>
      </c>
      <c r="AL69" s="9">
        <f t="shared" si="22"/>
        <v>7.4891551272868312E-2</v>
      </c>
      <c r="AM69" s="20">
        <f t="shared" si="23"/>
        <v>5.6087444520566635E-3</v>
      </c>
      <c r="AN69" s="21" t="s">
        <v>1706</v>
      </c>
    </row>
    <row r="70" spans="8:40" ht="23">
      <c r="H70" s="19"/>
      <c r="I70" s="19"/>
      <c r="J70" s="19"/>
      <c r="K70" s="19"/>
      <c r="L70" s="19"/>
      <c r="M70" s="9" t="s">
        <v>3123</v>
      </c>
      <c r="N70" s="8" t="s">
        <v>1862</v>
      </c>
      <c r="O70" s="8"/>
      <c r="P70" s="8"/>
      <c r="Q70" s="8"/>
      <c r="R70" s="8"/>
      <c r="S70" s="8"/>
      <c r="T70" s="8"/>
      <c r="U70" s="8"/>
      <c r="V70" s="8"/>
      <c r="W70" s="9" t="s">
        <v>3123</v>
      </c>
      <c r="X70" s="8">
        <v>50.53</v>
      </c>
      <c r="Y70" s="8">
        <v>2.2400000000000002</v>
      </c>
      <c r="Z70" s="9">
        <v>3.09</v>
      </c>
      <c r="AA70" s="8">
        <v>2.7</v>
      </c>
      <c r="AB70" s="8">
        <v>45080</v>
      </c>
      <c r="AC70" s="22" t="s">
        <v>3123</v>
      </c>
      <c r="AD70" s="8" t="s">
        <v>4012</v>
      </c>
      <c r="AE70" s="8" t="s">
        <v>3681</v>
      </c>
      <c r="AF70" s="20">
        <f t="shared" si="16"/>
        <v>6.0480000000000009</v>
      </c>
      <c r="AG70" s="9">
        <f t="shared" si="17"/>
        <v>8.5050000000000008</v>
      </c>
      <c r="AH70" s="9">
        <f t="shared" si="18"/>
        <v>4.6909204628374876E-2</v>
      </c>
      <c r="AI70" s="20">
        <f t="shared" si="19"/>
        <v>2.2004734788667467E-3</v>
      </c>
      <c r="AJ70" s="9">
        <f t="shared" si="20"/>
        <v>5.282867968393986E-2</v>
      </c>
      <c r="AK70" s="20">
        <f t="shared" si="21"/>
        <v>2.7908693971483199E-3</v>
      </c>
      <c r="AL70" s="9">
        <f t="shared" si="22"/>
        <v>8.9084285814789513E-2</v>
      </c>
      <c r="AM70" s="20">
        <f t="shared" si="23"/>
        <v>7.9360099791311086E-3</v>
      </c>
      <c r="AN70" s="22" t="s">
        <v>3123</v>
      </c>
    </row>
    <row r="71" spans="8:40" ht="23">
      <c r="H71" s="19"/>
      <c r="I71" s="19"/>
      <c r="J71" s="19"/>
      <c r="K71" s="19"/>
      <c r="L71" s="19"/>
      <c r="M71" s="9" t="s">
        <v>3161</v>
      </c>
      <c r="N71" s="8" t="s">
        <v>1869</v>
      </c>
      <c r="O71" s="8"/>
      <c r="P71" s="8" t="s">
        <v>3700</v>
      </c>
      <c r="Q71" s="8"/>
      <c r="R71" s="8"/>
      <c r="S71" s="8"/>
      <c r="T71" s="8"/>
      <c r="U71" s="8"/>
      <c r="V71" s="8"/>
      <c r="W71" s="9" t="s">
        <v>3161</v>
      </c>
      <c r="X71" s="8">
        <v>45.62</v>
      </c>
      <c r="Y71" s="8">
        <v>2.39</v>
      </c>
      <c r="Z71" s="9">
        <v>1.41</v>
      </c>
      <c r="AA71" s="8">
        <v>2.7</v>
      </c>
      <c r="AB71" s="8">
        <v>34834</v>
      </c>
      <c r="AC71" s="22" t="s">
        <v>3161</v>
      </c>
      <c r="AD71" s="8" t="s">
        <v>4012</v>
      </c>
      <c r="AE71" s="8" t="s">
        <v>3681</v>
      </c>
      <c r="AF71" s="20">
        <f t="shared" si="16"/>
        <v>6.4530000000000012</v>
      </c>
      <c r="AG71" s="9">
        <f t="shared" si="17"/>
        <v>4.5449999999999999</v>
      </c>
      <c r="AH71" s="9">
        <f t="shared" si="18"/>
        <v>4.6909204628374876E-2</v>
      </c>
      <c r="AI71" s="20">
        <f t="shared" si="19"/>
        <v>2.2004734788667467E-3</v>
      </c>
      <c r="AJ71" s="9">
        <f t="shared" si="20"/>
        <v>5.6366314484203685E-2</v>
      </c>
      <c r="AK71" s="20">
        <f t="shared" si="21"/>
        <v>3.1771614085321499E-3</v>
      </c>
      <c r="AL71" s="9">
        <f t="shared" si="22"/>
        <v>4.7605888186739366E-2</v>
      </c>
      <c r="AM71" s="20">
        <f t="shared" si="23"/>
        <v>2.2663205900483306E-3</v>
      </c>
      <c r="AN71" s="22" t="s">
        <v>3161</v>
      </c>
    </row>
    <row r="72" spans="8:40" ht="23">
      <c r="H72" s="19"/>
      <c r="I72" s="19"/>
      <c r="J72" s="19"/>
      <c r="K72" s="19"/>
      <c r="L72" s="19"/>
      <c r="M72" s="9" t="s">
        <v>3510</v>
      </c>
      <c r="N72" s="8" t="s">
        <v>2041</v>
      </c>
      <c r="O72" s="8"/>
      <c r="P72" s="8"/>
      <c r="Q72" s="8"/>
      <c r="R72" s="8"/>
      <c r="S72" s="8"/>
      <c r="T72" s="8"/>
      <c r="U72" s="8"/>
      <c r="V72" s="8"/>
      <c r="W72" s="9" t="s">
        <v>3510</v>
      </c>
      <c r="X72" s="8">
        <v>37.090000000000003</v>
      </c>
      <c r="Y72" s="8">
        <v>2.2200000000000002</v>
      </c>
      <c r="Z72" s="9">
        <v>1.02</v>
      </c>
      <c r="AA72" s="8">
        <v>2.7</v>
      </c>
      <c r="AB72" s="8">
        <v>35892</v>
      </c>
      <c r="AC72" s="22" t="s">
        <v>3510</v>
      </c>
      <c r="AD72" s="8" t="s">
        <v>4012</v>
      </c>
      <c r="AE72" s="8" t="s">
        <v>3681</v>
      </c>
      <c r="AF72" s="20">
        <f t="shared" si="16"/>
        <v>5.9940000000000007</v>
      </c>
      <c r="AG72" s="9">
        <f t="shared" si="17"/>
        <v>2.7900000000000005</v>
      </c>
      <c r="AH72" s="9">
        <f t="shared" si="18"/>
        <v>4.6909204628374876E-2</v>
      </c>
      <c r="AI72" s="20">
        <f t="shared" si="19"/>
        <v>2.2004734788667467E-3</v>
      </c>
      <c r="AJ72" s="9">
        <f t="shared" si="20"/>
        <v>5.2356995043904682E-2</v>
      </c>
      <c r="AK72" s="20">
        <f t="shared" si="21"/>
        <v>2.7412549300274594E-3</v>
      </c>
      <c r="AL72" s="9">
        <f t="shared" si="22"/>
        <v>2.9223416510671691E-2</v>
      </c>
      <c r="AM72" s="20">
        <f t="shared" si="23"/>
        <v>8.5400807255619875E-4</v>
      </c>
      <c r="AN72" s="22" t="s">
        <v>3510</v>
      </c>
    </row>
    <row r="73" spans="8:40" ht="23">
      <c r="H73" s="19"/>
      <c r="I73" s="19"/>
      <c r="J73" s="19"/>
      <c r="K73" s="19"/>
      <c r="L73" s="19"/>
      <c r="M73" s="9" t="s">
        <v>2535</v>
      </c>
      <c r="N73" s="8" t="s">
        <v>150</v>
      </c>
      <c r="O73" s="8"/>
      <c r="P73" s="8"/>
      <c r="Q73" s="8"/>
      <c r="R73" s="8"/>
      <c r="S73" s="8"/>
      <c r="T73" s="8"/>
      <c r="U73" s="8"/>
      <c r="V73" s="8"/>
      <c r="W73" s="9" t="s">
        <v>2535</v>
      </c>
      <c r="X73" s="8">
        <v>27.37</v>
      </c>
      <c r="Y73" s="8">
        <v>3.37</v>
      </c>
      <c r="Z73" s="9">
        <v>5.1100000000000003</v>
      </c>
      <c r="AA73" s="8">
        <v>2.5</v>
      </c>
      <c r="AB73" s="8">
        <v>29525</v>
      </c>
      <c r="AC73" s="22" t="s">
        <v>2535</v>
      </c>
      <c r="AD73" s="8" t="s">
        <v>4012</v>
      </c>
      <c r="AE73" s="8" t="s">
        <v>3681</v>
      </c>
      <c r="AF73" s="20">
        <f t="shared" si="16"/>
        <v>8.4250000000000007</v>
      </c>
      <c r="AG73" s="9">
        <f t="shared" si="17"/>
        <v>12.958333333333334</v>
      </c>
      <c r="AH73" s="9">
        <f t="shared" si="18"/>
        <v>4.3434448729976732E-2</v>
      </c>
      <c r="AI73" s="20">
        <f t="shared" si="19"/>
        <v>1.8865513364769773E-3</v>
      </c>
      <c r="AJ73" s="9">
        <f t="shared" si="20"/>
        <v>7.3591538746229035E-2</v>
      </c>
      <c r="AK73" s="20">
        <f t="shared" si="21"/>
        <v>5.4157145750377295E-3</v>
      </c>
      <c r="AL73" s="9">
        <f t="shared" si="22"/>
        <v>0.13573002590828695</v>
      </c>
      <c r="AM73" s="20">
        <f t="shared" si="23"/>
        <v>1.8422639933064245E-2</v>
      </c>
      <c r="AN73" s="22" t="s">
        <v>2535</v>
      </c>
    </row>
    <row r="74" spans="8:40" ht="23">
      <c r="H74" s="19"/>
      <c r="I74" s="19"/>
      <c r="J74" s="19"/>
      <c r="K74" s="19"/>
      <c r="L74" s="19"/>
      <c r="M74" s="9" t="s">
        <v>3382</v>
      </c>
      <c r="N74" s="8" t="s">
        <v>1990</v>
      </c>
      <c r="O74" s="8"/>
      <c r="P74" s="8"/>
      <c r="Q74" s="8"/>
      <c r="R74" s="8"/>
      <c r="S74" s="8"/>
      <c r="T74" s="8"/>
      <c r="U74" s="8"/>
      <c r="V74" s="8"/>
      <c r="W74" s="9" t="s">
        <v>3382</v>
      </c>
      <c r="X74" s="8">
        <v>33.61</v>
      </c>
      <c r="Y74" s="8">
        <v>4.3499999999999996</v>
      </c>
      <c r="Z74" s="9">
        <v>4.04</v>
      </c>
      <c r="AA74" s="8">
        <v>2.2999999999999998</v>
      </c>
      <c r="AB74" s="8">
        <v>38603</v>
      </c>
      <c r="AC74" s="22" t="s">
        <v>3382</v>
      </c>
      <c r="AD74" s="8" t="s">
        <v>4012</v>
      </c>
      <c r="AE74" s="8" t="s">
        <v>3681</v>
      </c>
      <c r="AF74" s="20">
        <f t="shared" si="16"/>
        <v>10.004999999999999</v>
      </c>
      <c r="AG74" s="9">
        <f t="shared" si="17"/>
        <v>9.3533333333333317</v>
      </c>
      <c r="AH74" s="9">
        <f t="shared" si="18"/>
        <v>3.9959692831578589E-2</v>
      </c>
      <c r="AI74" s="20">
        <f t="shared" si="19"/>
        <v>1.5967770511941131E-3</v>
      </c>
      <c r="AJ74" s="9">
        <f t="shared" si="20"/>
        <v>8.7392681917628667E-2</v>
      </c>
      <c r="AK74" s="20">
        <f t="shared" si="21"/>
        <v>7.6374808527558203E-3</v>
      </c>
      <c r="AL74" s="9">
        <f t="shared" si="22"/>
        <v>9.7970019986791806E-2</v>
      </c>
      <c r="AM74" s="20">
        <f t="shared" si="23"/>
        <v>9.5981248162123854E-3</v>
      </c>
      <c r="AN74" s="22" t="s">
        <v>3382</v>
      </c>
    </row>
    <row r="75" spans="8:40" ht="23">
      <c r="H75" s="19"/>
      <c r="I75" s="19"/>
      <c r="J75" s="19"/>
      <c r="K75" s="19"/>
      <c r="L75" s="19"/>
      <c r="M75" s="8" t="s">
        <v>41</v>
      </c>
      <c r="N75" s="8" t="s">
        <v>19</v>
      </c>
      <c r="O75" s="8"/>
      <c r="P75" s="8"/>
      <c r="Q75" s="8"/>
      <c r="R75" s="8"/>
      <c r="S75" s="8"/>
      <c r="T75" s="8"/>
      <c r="U75" s="8"/>
      <c r="V75" s="8"/>
      <c r="W75" s="8" t="s">
        <v>41</v>
      </c>
      <c r="X75" s="8">
        <v>31.06</v>
      </c>
      <c r="Y75" s="8">
        <v>4.78</v>
      </c>
      <c r="Z75" s="9">
        <v>1.57</v>
      </c>
      <c r="AA75" s="8">
        <v>2.2999999999999998</v>
      </c>
      <c r="AB75" s="8">
        <v>28242</v>
      </c>
      <c r="AC75" s="21" t="s">
        <v>41</v>
      </c>
      <c r="AD75" s="8" t="s">
        <v>4012</v>
      </c>
      <c r="AE75" s="8" t="s">
        <v>3681</v>
      </c>
      <c r="AF75" s="20">
        <f t="shared" si="16"/>
        <v>10.994</v>
      </c>
      <c r="AG75" s="9">
        <f t="shared" si="17"/>
        <v>4.4849999999999994</v>
      </c>
      <c r="AH75" s="9">
        <f t="shared" si="18"/>
        <v>3.9959692831578589E-2</v>
      </c>
      <c r="AI75" s="20">
        <f t="shared" si="19"/>
        <v>1.5967770511941131E-3</v>
      </c>
      <c r="AJ75" s="9">
        <f t="shared" si="20"/>
        <v>9.6031498750865529E-2</v>
      </c>
      <c r="AK75" s="20">
        <f t="shared" si="21"/>
        <v>9.2220487523374875E-3</v>
      </c>
      <c r="AL75" s="9">
        <f t="shared" si="22"/>
        <v>4.6977427616617384E-2</v>
      </c>
      <c r="AM75" s="20">
        <f t="shared" si="23"/>
        <v>2.2068787054745258E-3</v>
      </c>
      <c r="AN75" s="21" t="s">
        <v>41</v>
      </c>
    </row>
    <row r="76" spans="8:40" ht="23">
      <c r="H76" s="19"/>
      <c r="I76" s="19"/>
      <c r="J76" s="19"/>
      <c r="K76" s="19"/>
      <c r="L76" s="19"/>
      <c r="M76" s="9" t="s">
        <v>3230</v>
      </c>
      <c r="N76" s="8" t="s">
        <v>1902</v>
      </c>
      <c r="O76" s="8"/>
      <c r="P76" s="8"/>
      <c r="Q76" s="8"/>
      <c r="R76" s="8"/>
      <c r="S76" s="8"/>
      <c r="T76" s="8"/>
      <c r="U76" s="8"/>
      <c r="V76" s="8"/>
      <c r="W76" s="9" t="s">
        <v>3230</v>
      </c>
      <c r="X76" s="8">
        <v>17.100000000000001</v>
      </c>
      <c r="Y76" s="8">
        <v>2.65</v>
      </c>
      <c r="Z76" s="9">
        <v>4.4400000000000004</v>
      </c>
      <c r="AA76" s="8">
        <v>2.2000000000000002</v>
      </c>
      <c r="AB76" s="8">
        <v>47591</v>
      </c>
      <c r="AC76" s="22" t="s">
        <v>3230</v>
      </c>
      <c r="AD76" s="8" t="s">
        <v>4012</v>
      </c>
      <c r="AE76" s="8" t="s">
        <v>3681</v>
      </c>
      <c r="AF76" s="20">
        <f t="shared" si="16"/>
        <v>5.83</v>
      </c>
      <c r="AG76" s="9">
        <f t="shared" si="17"/>
        <v>10.413333333333334</v>
      </c>
      <c r="AH76" s="9">
        <f t="shared" si="18"/>
        <v>3.8222314882379524E-2</v>
      </c>
      <c r="AI76" s="20">
        <f t="shared" si="19"/>
        <v>1.4609453549677713E-3</v>
      </c>
      <c r="AJ76" s="9">
        <f t="shared" si="20"/>
        <v>5.0924471322316353E-2</v>
      </c>
      <c r="AK76" s="20">
        <f t="shared" si="21"/>
        <v>2.5933017794574206E-3</v>
      </c>
      <c r="AL76" s="9">
        <f t="shared" si="22"/>
        <v>0.10907282339228</v>
      </c>
      <c r="AM76" s="20">
        <f t="shared" si="23"/>
        <v>1.1896880802763504E-2</v>
      </c>
      <c r="AN76" s="22" t="s">
        <v>3230</v>
      </c>
    </row>
    <row r="77" spans="8:40" ht="23">
      <c r="H77" s="19"/>
      <c r="I77" s="19"/>
      <c r="J77" s="19"/>
      <c r="K77" s="19"/>
      <c r="L77" s="19"/>
      <c r="M77" s="9" t="s">
        <v>3043</v>
      </c>
      <c r="N77" s="8" t="s">
        <v>1814</v>
      </c>
      <c r="O77" s="8"/>
      <c r="P77" s="8"/>
      <c r="Q77" s="8"/>
      <c r="R77" s="8"/>
      <c r="S77" s="8"/>
      <c r="T77" s="8"/>
      <c r="U77" s="8"/>
      <c r="V77" s="8"/>
      <c r="W77" s="9" t="s">
        <v>3043</v>
      </c>
      <c r="X77" s="8">
        <v>25.56</v>
      </c>
      <c r="Y77" s="8">
        <v>2.75</v>
      </c>
      <c r="Z77" s="9">
        <v>8.18</v>
      </c>
      <c r="AA77" s="8">
        <v>2.1</v>
      </c>
      <c r="AB77" s="8"/>
      <c r="AC77" s="22" t="s">
        <v>3043</v>
      </c>
      <c r="AD77" s="8" t="s">
        <v>4012</v>
      </c>
      <c r="AE77" s="8" t="s">
        <v>3681</v>
      </c>
      <c r="AF77" s="20">
        <f t="shared" si="16"/>
        <v>5.7750000000000004</v>
      </c>
      <c r="AG77" s="9">
        <f t="shared" si="17"/>
        <v>17.430000000000003</v>
      </c>
      <c r="AH77" s="9">
        <f t="shared" si="18"/>
        <v>3.6484936933180452E-2</v>
      </c>
      <c r="AI77" s="20">
        <f t="shared" si="19"/>
        <v>1.331150623018155E-3</v>
      </c>
      <c r="AJ77" s="9">
        <f t="shared" si="20"/>
        <v>5.0444051781539788E-2</v>
      </c>
      <c r="AK77" s="20">
        <f t="shared" si="21"/>
        <v>2.5446023601386676E-3</v>
      </c>
      <c r="AL77" s="9">
        <f t="shared" si="22"/>
        <v>0.18256779562043282</v>
      </c>
      <c r="AM77" s="20">
        <f t="shared" si="23"/>
        <v>3.3330999997704128E-2</v>
      </c>
      <c r="AN77" s="22" t="s">
        <v>3043</v>
      </c>
    </row>
    <row r="78" spans="8:40" ht="23">
      <c r="H78" s="19"/>
      <c r="I78" s="19"/>
      <c r="J78" s="19"/>
      <c r="K78" s="19"/>
      <c r="L78" s="19"/>
      <c r="M78" s="8" t="s">
        <v>1250</v>
      </c>
      <c r="N78" s="8" t="s">
        <v>150</v>
      </c>
      <c r="O78" s="8"/>
      <c r="P78" s="8"/>
      <c r="Q78" s="8"/>
      <c r="R78" s="8"/>
      <c r="S78" s="8"/>
      <c r="T78" s="8"/>
      <c r="U78" s="8"/>
      <c r="V78" s="8"/>
      <c r="W78" s="8" t="s">
        <v>1250</v>
      </c>
      <c r="X78" s="8">
        <v>23.47</v>
      </c>
      <c r="Y78" s="8">
        <v>4.47</v>
      </c>
      <c r="Z78" s="9">
        <v>8.33</v>
      </c>
      <c r="AA78" s="8">
        <v>2</v>
      </c>
      <c r="AB78" s="8">
        <v>32103</v>
      </c>
      <c r="AC78" s="21" t="s">
        <v>1250</v>
      </c>
      <c r="AD78" s="8" t="s">
        <v>4012</v>
      </c>
      <c r="AE78" s="8" t="s">
        <v>3681</v>
      </c>
      <c r="AF78" s="20">
        <f t="shared" si="16"/>
        <v>8.94</v>
      </c>
      <c r="AG78" s="9">
        <f t="shared" si="17"/>
        <v>17.100000000000001</v>
      </c>
      <c r="AH78" s="9">
        <f t="shared" si="18"/>
        <v>3.4747558983981387E-2</v>
      </c>
      <c r="AI78" s="20">
        <f t="shared" si="19"/>
        <v>1.2073928553452656E-3</v>
      </c>
      <c r="AJ78" s="9">
        <f t="shared" si="20"/>
        <v>7.8090012628046004E-2</v>
      </c>
      <c r="AK78" s="20">
        <f t="shared" si="21"/>
        <v>6.0980500722483842E-3</v>
      </c>
      <c r="AL78" s="9">
        <f t="shared" si="22"/>
        <v>0.17911126248476197</v>
      </c>
      <c r="AM78" s="20">
        <f t="shared" si="23"/>
        <v>3.20808443488853E-2</v>
      </c>
      <c r="AN78" s="21" t="s">
        <v>1250</v>
      </c>
    </row>
    <row r="79" spans="8:40" ht="23">
      <c r="H79" s="19"/>
      <c r="I79" s="19"/>
      <c r="J79" s="19"/>
      <c r="K79" s="19"/>
      <c r="L79" s="19"/>
      <c r="M79" s="8" t="s">
        <v>206</v>
      </c>
      <c r="N79" s="8" t="s">
        <v>150</v>
      </c>
      <c r="O79" s="8"/>
      <c r="P79" s="8" t="s">
        <v>3691</v>
      </c>
      <c r="Q79" s="8"/>
      <c r="R79" s="8"/>
      <c r="S79" s="8"/>
      <c r="T79" s="8"/>
      <c r="U79" s="8"/>
      <c r="V79" s="8"/>
      <c r="W79" s="8" t="s">
        <v>206</v>
      </c>
      <c r="X79" s="8">
        <v>43.93</v>
      </c>
      <c r="Y79" s="8">
        <v>5.92</v>
      </c>
      <c r="Z79" s="9">
        <v>7.2</v>
      </c>
      <c r="AA79" s="8">
        <v>2</v>
      </c>
      <c r="AB79" s="8">
        <v>31006</v>
      </c>
      <c r="AC79" s="21" t="s">
        <v>206</v>
      </c>
      <c r="AD79" s="8" t="s">
        <v>4012</v>
      </c>
      <c r="AE79" s="8" t="s">
        <v>3681</v>
      </c>
      <c r="AF79" s="20">
        <f t="shared" si="16"/>
        <v>11.84</v>
      </c>
      <c r="AG79" s="9">
        <f t="shared" si="17"/>
        <v>14.006666666666666</v>
      </c>
      <c r="AH79" s="9">
        <f t="shared" si="18"/>
        <v>3.4747558983981387E-2</v>
      </c>
      <c r="AI79" s="20">
        <f t="shared" si="19"/>
        <v>1.2073928553452656E-3</v>
      </c>
      <c r="AJ79" s="9">
        <f t="shared" si="20"/>
        <v>0.1034212247780833</v>
      </c>
      <c r="AK79" s="20">
        <f t="shared" si="21"/>
        <v>1.0695949734598831E-2</v>
      </c>
      <c r="AL79" s="9">
        <f t="shared" si="22"/>
        <v>0.14671062864736251</v>
      </c>
      <c r="AM79" s="20">
        <f t="shared" si="23"/>
        <v>2.1524008558104303E-2</v>
      </c>
      <c r="AN79" s="21" t="s">
        <v>206</v>
      </c>
    </row>
    <row r="80" spans="8:40" ht="23">
      <c r="H80" s="19"/>
      <c r="I80" s="19"/>
      <c r="J80" s="19"/>
      <c r="K80" s="19"/>
      <c r="L80" s="19"/>
      <c r="M80" s="8" t="s">
        <v>1308</v>
      </c>
      <c r="N80" s="8" t="s">
        <v>150</v>
      </c>
      <c r="O80" s="8"/>
      <c r="P80" s="8" t="s">
        <v>3693</v>
      </c>
      <c r="Q80" s="8"/>
      <c r="R80" s="8"/>
      <c r="S80" s="8"/>
      <c r="T80" s="8"/>
      <c r="U80" s="8"/>
      <c r="V80" s="8"/>
      <c r="W80" s="8" t="s">
        <v>1308</v>
      </c>
      <c r="X80" s="8">
        <v>40.82</v>
      </c>
      <c r="Y80" s="8">
        <v>3.78</v>
      </c>
      <c r="Z80" s="9">
        <v>5.35</v>
      </c>
      <c r="AA80" s="8">
        <v>2</v>
      </c>
      <c r="AB80" s="8">
        <v>37505</v>
      </c>
      <c r="AC80" s="21" t="s">
        <v>1308</v>
      </c>
      <c r="AD80" s="8" t="s">
        <v>4012</v>
      </c>
      <c r="AE80" s="8" t="s">
        <v>3681</v>
      </c>
      <c r="AF80" s="20">
        <f t="shared" si="16"/>
        <v>7.56</v>
      </c>
      <c r="AG80" s="9">
        <f t="shared" si="17"/>
        <v>11.166666666666666</v>
      </c>
      <c r="AH80" s="9">
        <f t="shared" si="18"/>
        <v>3.4747558983981387E-2</v>
      </c>
      <c r="AI80" s="20">
        <f t="shared" si="19"/>
        <v>1.2073928553452656E-3</v>
      </c>
      <c r="AJ80" s="9">
        <f t="shared" si="20"/>
        <v>6.6035849604924812E-2</v>
      </c>
      <c r="AK80" s="20">
        <f t="shared" si="21"/>
        <v>4.3607334330442483E-3</v>
      </c>
      <c r="AL80" s="9">
        <f t="shared" si="22"/>
        <v>0.11696349499492253</v>
      </c>
      <c r="AM80" s="20">
        <f t="shared" si="23"/>
        <v>1.3680459161427268E-2</v>
      </c>
      <c r="AN80" s="21" t="s">
        <v>1308</v>
      </c>
    </row>
    <row r="81" spans="8:40" ht="23">
      <c r="H81" s="19"/>
      <c r="I81" s="19"/>
      <c r="J81" s="19"/>
      <c r="K81" s="19"/>
      <c r="L81" s="19"/>
      <c r="M81" s="8" t="s">
        <v>93</v>
      </c>
      <c r="N81" s="8" t="s">
        <v>82</v>
      </c>
      <c r="O81" s="8"/>
      <c r="P81" s="8"/>
      <c r="Q81" s="8"/>
      <c r="R81" s="8"/>
      <c r="S81" s="8"/>
      <c r="T81" s="8"/>
      <c r="U81" s="8"/>
      <c r="V81" s="8"/>
      <c r="W81" s="8" t="s">
        <v>93</v>
      </c>
      <c r="X81" s="8">
        <v>23.43</v>
      </c>
      <c r="Y81" s="8">
        <v>4.47</v>
      </c>
      <c r="Z81" s="9">
        <v>4.13</v>
      </c>
      <c r="AA81" s="8">
        <v>1.9</v>
      </c>
      <c r="AB81" s="8">
        <v>31821</v>
      </c>
      <c r="AC81" s="21" t="s">
        <v>93</v>
      </c>
      <c r="AD81" s="8" t="s">
        <v>4012</v>
      </c>
      <c r="AE81" s="8" t="s">
        <v>3681</v>
      </c>
      <c r="AF81" s="20">
        <f t="shared" si="16"/>
        <v>8.4929999999999986</v>
      </c>
      <c r="AG81" s="9">
        <f t="shared" si="17"/>
        <v>8.0116666666666667</v>
      </c>
      <c r="AH81" s="9">
        <f t="shared" si="18"/>
        <v>3.3010181034782315E-2</v>
      </c>
      <c r="AI81" s="20">
        <f t="shared" si="19"/>
        <v>1.089672051949102E-3</v>
      </c>
      <c r="AJ81" s="9">
        <f t="shared" si="20"/>
        <v>7.4185511996643694E-2</v>
      </c>
      <c r="AK81" s="20">
        <f t="shared" si="21"/>
        <v>5.5034901902041656E-3</v>
      </c>
      <c r="AL81" s="9">
        <f t="shared" si="22"/>
        <v>8.3916943349342174E-2</v>
      </c>
      <c r="AM81" s="20">
        <f t="shared" si="23"/>
        <v>7.042053381096704E-3</v>
      </c>
      <c r="AN81" s="21" t="s">
        <v>93</v>
      </c>
    </row>
    <row r="82" spans="8:40" ht="23">
      <c r="H82" s="19"/>
      <c r="I82" s="19"/>
      <c r="J82" s="19"/>
      <c r="K82" s="19"/>
      <c r="L82" s="19"/>
      <c r="M82" s="8" t="s">
        <v>1359</v>
      </c>
      <c r="N82" s="8" t="s">
        <v>150</v>
      </c>
      <c r="O82" s="8"/>
      <c r="P82" s="8"/>
      <c r="Q82" s="8"/>
      <c r="R82" s="8"/>
      <c r="S82" s="8"/>
      <c r="T82" s="8"/>
      <c r="U82" s="8"/>
      <c r="V82" s="8"/>
      <c r="W82" s="8" t="s">
        <v>1359</v>
      </c>
      <c r="X82" s="8">
        <v>24.17</v>
      </c>
      <c r="Y82" s="8">
        <v>3.19</v>
      </c>
      <c r="Z82" s="9">
        <v>4.12</v>
      </c>
      <c r="AA82" s="8">
        <v>1.9</v>
      </c>
      <c r="AB82" s="8"/>
      <c r="AC82" s="21" t="s">
        <v>1359</v>
      </c>
      <c r="AD82" s="8" t="s">
        <v>4012</v>
      </c>
      <c r="AE82" s="8" t="s">
        <v>3681</v>
      </c>
      <c r="AF82" s="20">
        <f t="shared" si="16"/>
        <v>6.0609999999999999</v>
      </c>
      <c r="AG82" s="9">
        <f t="shared" si="17"/>
        <v>7.9799999999999995</v>
      </c>
      <c r="AH82" s="9">
        <f t="shared" si="18"/>
        <v>3.3010181034782315E-2</v>
      </c>
      <c r="AI82" s="20">
        <f t="shared" si="19"/>
        <v>1.089672051949102E-3</v>
      </c>
      <c r="AJ82" s="9">
        <f t="shared" si="20"/>
        <v>5.2942233393577953E-2</v>
      </c>
      <c r="AK82" s="20">
        <f t="shared" si="21"/>
        <v>2.8028800767000805E-3</v>
      </c>
      <c r="AL82" s="9">
        <f t="shared" si="22"/>
        <v>8.3585255826222241E-2</v>
      </c>
      <c r="AM82" s="20">
        <f t="shared" si="23"/>
        <v>6.9864949915350192E-3</v>
      </c>
      <c r="AN82" s="21" t="s">
        <v>1359</v>
      </c>
    </row>
    <row r="83" spans="8:40" ht="23">
      <c r="H83" s="19"/>
      <c r="I83" s="19"/>
      <c r="J83" s="19"/>
      <c r="K83" s="19"/>
      <c r="L83" s="19"/>
      <c r="M83" s="8" t="s">
        <v>223</v>
      </c>
      <c r="N83" s="8" t="s">
        <v>150</v>
      </c>
      <c r="O83" s="8"/>
      <c r="P83" s="8"/>
      <c r="Q83" s="8"/>
      <c r="R83" s="8"/>
      <c r="S83" s="8"/>
      <c r="T83" s="8"/>
      <c r="U83" s="8"/>
      <c r="V83" s="8"/>
      <c r="W83" s="8" t="s">
        <v>223</v>
      </c>
      <c r="X83" s="8">
        <v>4.91</v>
      </c>
      <c r="Y83" s="8">
        <v>3.36</v>
      </c>
      <c r="Z83" s="9">
        <v>2.04</v>
      </c>
      <c r="AA83" s="8">
        <v>1.9</v>
      </c>
      <c r="AB83" s="8">
        <v>59366</v>
      </c>
      <c r="AC83" s="21" t="s">
        <v>223</v>
      </c>
      <c r="AD83" s="8" t="s">
        <v>4012</v>
      </c>
      <c r="AE83" s="8" t="s">
        <v>3681</v>
      </c>
      <c r="AF83" s="20">
        <f t="shared" si="16"/>
        <v>6.3839999999999995</v>
      </c>
      <c r="AG83" s="9">
        <f t="shared" si="17"/>
        <v>3.9266666666666667</v>
      </c>
      <c r="AH83" s="9">
        <f t="shared" si="18"/>
        <v>3.3010181034782315E-2</v>
      </c>
      <c r="AI83" s="20">
        <f t="shared" si="19"/>
        <v>1.089672051949102E-3</v>
      </c>
      <c r="AJ83" s="9">
        <f t="shared" si="20"/>
        <v>5.5763606333047611E-2</v>
      </c>
      <c r="AK83" s="20">
        <f t="shared" si="21"/>
        <v>3.1095797912671077E-3</v>
      </c>
      <c r="AL83" s="9">
        <f t="shared" si="22"/>
        <v>4.1129252866871267E-2</v>
      </c>
      <c r="AM83" s="20">
        <f t="shared" si="23"/>
        <v>1.6916154413870383E-3</v>
      </c>
      <c r="AN83" s="21" t="s">
        <v>223</v>
      </c>
    </row>
    <row r="84" spans="8:40" ht="23">
      <c r="H84" s="19"/>
      <c r="I84" s="19"/>
      <c r="J84" s="19"/>
      <c r="K84" s="19"/>
      <c r="L84" s="19"/>
      <c r="M84" s="9" t="s">
        <v>3441</v>
      </c>
      <c r="N84" s="8" t="s">
        <v>2003</v>
      </c>
      <c r="O84" s="8"/>
      <c r="P84" s="8"/>
      <c r="Q84" s="8"/>
      <c r="R84" s="8"/>
      <c r="S84" s="8"/>
      <c r="T84" s="8"/>
      <c r="U84" s="8"/>
      <c r="V84" s="8"/>
      <c r="W84" s="9" t="s">
        <v>3441</v>
      </c>
      <c r="X84" s="8">
        <v>30.67</v>
      </c>
      <c r="Y84" s="8">
        <v>1.94</v>
      </c>
      <c r="Z84" s="9">
        <v>4.0999999999999996</v>
      </c>
      <c r="AA84" s="8">
        <v>1.8</v>
      </c>
      <c r="AB84" s="8">
        <v>48466</v>
      </c>
      <c r="AC84" s="22" t="s">
        <v>3441</v>
      </c>
      <c r="AD84" s="8" t="s">
        <v>4012</v>
      </c>
      <c r="AE84" s="8" t="s">
        <v>3681</v>
      </c>
      <c r="AF84" s="20">
        <f t="shared" si="16"/>
        <v>3.492</v>
      </c>
      <c r="AG84" s="9">
        <f t="shared" si="17"/>
        <v>7.2030000000000003</v>
      </c>
      <c r="AH84" s="9">
        <f t="shared" si="18"/>
        <v>3.1272803085583244E-2</v>
      </c>
      <c r="AI84" s="20">
        <f t="shared" si="19"/>
        <v>9.7798821282966486E-4</v>
      </c>
      <c r="AJ84" s="9">
        <f t="shared" si="20"/>
        <v>3.0502273388941459E-2</v>
      </c>
      <c r="AK84" s="20">
        <f t="shared" si="21"/>
        <v>9.3038868189372625E-4</v>
      </c>
      <c r="AL84" s="9">
        <f t="shared" si="22"/>
        <v>7.5446691443142713E-2</v>
      </c>
      <c r="AM84" s="20">
        <f t="shared" si="23"/>
        <v>5.6922032497167836E-3</v>
      </c>
      <c r="AN84" s="22" t="s">
        <v>3441</v>
      </c>
    </row>
    <row r="85" spans="8:40" ht="23">
      <c r="H85" s="19"/>
      <c r="I85" s="19"/>
      <c r="J85" s="19"/>
      <c r="K85" s="19"/>
      <c r="L85" s="19"/>
      <c r="M85" s="9" t="s">
        <v>2724</v>
      </c>
      <c r="N85" s="8" t="s">
        <v>1614</v>
      </c>
      <c r="O85" s="8"/>
      <c r="P85" s="8"/>
      <c r="Q85" s="8"/>
      <c r="R85" s="8"/>
      <c r="S85" s="8"/>
      <c r="T85" s="8"/>
      <c r="U85" s="8"/>
      <c r="V85" s="8"/>
      <c r="W85" s="9" t="s">
        <v>2724</v>
      </c>
      <c r="X85" s="8">
        <v>34.26</v>
      </c>
      <c r="Y85" s="8">
        <v>2.77</v>
      </c>
      <c r="Z85" s="9">
        <v>2.0499999999999998</v>
      </c>
      <c r="AA85" s="8">
        <v>1.8</v>
      </c>
      <c r="AB85" s="8">
        <v>39013</v>
      </c>
      <c r="AC85" s="22" t="s">
        <v>2724</v>
      </c>
      <c r="AD85" s="8" t="s">
        <v>4012</v>
      </c>
      <c r="AE85" s="8" t="s">
        <v>3681</v>
      </c>
      <c r="AF85" s="20">
        <f t="shared" si="16"/>
        <v>4.9859999999999998</v>
      </c>
      <c r="AG85" s="9">
        <f t="shared" si="17"/>
        <v>3.7500000000000004</v>
      </c>
      <c r="AH85" s="9">
        <f t="shared" si="18"/>
        <v>3.1272803085583244E-2</v>
      </c>
      <c r="AI85" s="20">
        <f t="shared" si="19"/>
        <v>9.7798821282966486E-4</v>
      </c>
      <c r="AJ85" s="9">
        <f t="shared" si="20"/>
        <v>4.3552215096581359E-2</v>
      </c>
      <c r="AK85" s="20">
        <f t="shared" si="21"/>
        <v>1.8967954398188892E-3</v>
      </c>
      <c r="AL85" s="9">
        <f t="shared" si="22"/>
        <v>3.9278785632623242E-2</v>
      </c>
      <c r="AM85" s="20">
        <f t="shared" si="23"/>
        <v>1.54282300077357E-3</v>
      </c>
      <c r="AN85" s="22" t="s">
        <v>2724</v>
      </c>
    </row>
    <row r="86" spans="8:40" ht="23">
      <c r="H86" s="19"/>
      <c r="I86" s="19"/>
      <c r="J86" s="19"/>
      <c r="K86" s="19"/>
      <c r="L86" s="19"/>
      <c r="M86" s="9" t="s">
        <v>2947</v>
      </c>
      <c r="N86" s="8" t="s">
        <v>1717</v>
      </c>
      <c r="O86" s="8"/>
      <c r="P86" s="8"/>
      <c r="Q86" s="8"/>
      <c r="R86" s="8"/>
      <c r="S86" s="8"/>
      <c r="T86" s="8"/>
      <c r="U86" s="8"/>
      <c r="V86" s="8"/>
      <c r="W86" s="9" t="s">
        <v>2947</v>
      </c>
      <c r="X86" s="8">
        <v>22.63</v>
      </c>
      <c r="Y86" s="8">
        <v>2.82</v>
      </c>
      <c r="Z86" s="9">
        <v>2.2599999999999998</v>
      </c>
      <c r="AA86" s="8">
        <v>1.7</v>
      </c>
      <c r="AB86" s="8">
        <v>60973</v>
      </c>
      <c r="AC86" s="22" t="s">
        <v>2947</v>
      </c>
      <c r="AD86" s="8" t="s">
        <v>4012</v>
      </c>
      <c r="AE86" s="8" t="s">
        <v>3681</v>
      </c>
      <c r="AF86" s="20">
        <f t="shared" si="16"/>
        <v>4.7939999999999996</v>
      </c>
      <c r="AG86" s="9">
        <f t="shared" si="17"/>
        <v>4.1366666666666667</v>
      </c>
      <c r="AH86" s="9">
        <f t="shared" si="18"/>
        <v>2.9535425136384175E-2</v>
      </c>
      <c r="AI86" s="20">
        <f t="shared" si="19"/>
        <v>8.7234133798695418E-4</v>
      </c>
      <c r="AJ86" s="9">
        <f t="shared" si="20"/>
        <v>4.1875114154234068E-2</v>
      </c>
      <c r="AK86" s="20">
        <f t="shared" si="21"/>
        <v>1.7535251854301343E-3</v>
      </c>
      <c r="AL86" s="9">
        <f t="shared" si="22"/>
        <v>4.3328864862298165E-2</v>
      </c>
      <c r="AM86" s="20">
        <f t="shared" si="23"/>
        <v>1.8773905302552965E-3</v>
      </c>
      <c r="AN86" s="22" t="s">
        <v>2947</v>
      </c>
    </row>
    <row r="87" spans="8:40" ht="23">
      <c r="H87" s="19"/>
      <c r="I87" s="19"/>
      <c r="J87" s="19"/>
      <c r="K87" s="19"/>
      <c r="L87" s="19"/>
      <c r="M87" s="8" t="s">
        <v>1666</v>
      </c>
      <c r="N87" s="8" t="s">
        <v>1614</v>
      </c>
      <c r="O87" s="8"/>
      <c r="P87" s="8"/>
      <c r="Q87" s="8"/>
      <c r="R87" s="8"/>
      <c r="S87" s="8"/>
      <c r="T87" s="8"/>
      <c r="U87" s="8"/>
      <c r="V87" s="8"/>
      <c r="W87" s="8" t="s">
        <v>1666</v>
      </c>
      <c r="X87" s="8">
        <v>36.159999999999997</v>
      </c>
      <c r="Y87" s="8">
        <v>2.78</v>
      </c>
      <c r="Z87" s="9">
        <v>1.48</v>
      </c>
      <c r="AA87" s="8">
        <v>1.7</v>
      </c>
      <c r="AB87" s="8">
        <v>46046</v>
      </c>
      <c r="AC87" s="21" t="s">
        <v>1666</v>
      </c>
      <c r="AD87" s="8" t="s">
        <v>4012</v>
      </c>
      <c r="AE87" s="8" t="s">
        <v>3681</v>
      </c>
      <c r="AF87" s="20">
        <f t="shared" si="16"/>
        <v>4.726</v>
      </c>
      <c r="AG87" s="9">
        <f t="shared" si="17"/>
        <v>3.06</v>
      </c>
      <c r="AH87" s="9">
        <f t="shared" si="18"/>
        <v>2.9535425136384175E-2</v>
      </c>
      <c r="AI87" s="20">
        <f t="shared" si="19"/>
        <v>8.7234133798695418E-4</v>
      </c>
      <c r="AJ87" s="9">
        <f t="shared" si="20"/>
        <v>4.1281140903819402E-2</v>
      </c>
      <c r="AK87" s="20">
        <f t="shared" si="21"/>
        <v>1.7041325943209914E-3</v>
      </c>
      <c r="AL87" s="9">
        <f t="shared" si="22"/>
        <v>3.205148907622056E-2</v>
      </c>
      <c r="AM87" s="20">
        <f t="shared" si="23"/>
        <v>1.0272979520030859E-3</v>
      </c>
      <c r="AN87" s="21" t="s">
        <v>1666</v>
      </c>
    </row>
    <row r="88" spans="8:40" ht="23">
      <c r="H88" s="19"/>
      <c r="I88" s="19"/>
      <c r="J88" s="19"/>
      <c r="K88" s="19"/>
      <c r="L88" s="19"/>
      <c r="M88" s="9" t="s">
        <v>2295</v>
      </c>
      <c r="N88" s="8" t="s">
        <v>150</v>
      </c>
      <c r="O88" s="8"/>
      <c r="P88" s="8"/>
      <c r="Q88" s="8"/>
      <c r="R88" s="8"/>
      <c r="S88" s="8"/>
      <c r="T88" s="8"/>
      <c r="U88" s="8"/>
      <c r="V88" s="8"/>
      <c r="W88" s="9" t="s">
        <v>2295</v>
      </c>
      <c r="X88" s="8">
        <v>31.51</v>
      </c>
      <c r="Y88" s="8">
        <v>6.07</v>
      </c>
      <c r="Z88" s="9">
        <v>3.44</v>
      </c>
      <c r="AA88" s="8">
        <v>1.4</v>
      </c>
      <c r="AB88" s="8">
        <v>42825</v>
      </c>
      <c r="AC88" s="22" t="s">
        <v>2295</v>
      </c>
      <c r="AD88" s="8" t="s">
        <v>4012</v>
      </c>
      <c r="AE88" s="8" t="s">
        <v>3681</v>
      </c>
      <c r="AF88" s="20">
        <f t="shared" si="16"/>
        <v>8.4979999999999993</v>
      </c>
      <c r="AG88" s="9">
        <f t="shared" si="17"/>
        <v>5.2266666666666666</v>
      </c>
      <c r="AH88" s="9">
        <f t="shared" si="18"/>
        <v>2.4323291288786967E-2</v>
      </c>
      <c r="AI88" s="20">
        <f t="shared" si="19"/>
        <v>5.9162249911918E-4</v>
      </c>
      <c r="AJ88" s="9">
        <f t="shared" si="20"/>
        <v>7.4229186500350666E-2</v>
      </c>
      <c r="AK88" s="20">
        <f t="shared" si="21"/>
        <v>5.5099721285038414E-3</v>
      </c>
      <c r="AL88" s="9">
        <f t="shared" si="22"/>
        <v>5.4745898552847318E-2</v>
      </c>
      <c r="AM88" s="20">
        <f t="shared" si="23"/>
        <v>2.9971134083586499E-3</v>
      </c>
      <c r="AN88" s="22" t="s">
        <v>2295</v>
      </c>
    </row>
    <row r="89" spans="8:40" ht="23">
      <c r="H89" s="19"/>
      <c r="I89" s="19"/>
      <c r="J89" s="19"/>
      <c r="K89" s="19"/>
      <c r="L89" s="19"/>
      <c r="M89" s="9" t="s">
        <v>2603</v>
      </c>
      <c r="N89" s="8" t="s">
        <v>150</v>
      </c>
      <c r="O89" s="8"/>
      <c r="P89" s="8"/>
      <c r="Q89" s="8"/>
      <c r="R89" s="8"/>
      <c r="S89" s="8"/>
      <c r="T89" s="8"/>
      <c r="U89" s="8"/>
      <c r="V89" s="8"/>
      <c r="W89" s="9" t="s">
        <v>2603</v>
      </c>
      <c r="X89" s="8">
        <v>16.670000000000002</v>
      </c>
      <c r="Y89" s="8">
        <v>3.87</v>
      </c>
      <c r="Z89" s="9">
        <v>2.17</v>
      </c>
      <c r="AA89" s="8">
        <v>1.4</v>
      </c>
      <c r="AB89" s="8">
        <v>63690</v>
      </c>
      <c r="AC89" s="22" t="s">
        <v>2603</v>
      </c>
      <c r="AD89" s="8" t="s">
        <v>4012</v>
      </c>
      <c r="AE89" s="8" t="s">
        <v>3681</v>
      </c>
      <c r="AF89" s="20">
        <f t="shared" si="16"/>
        <v>5.4180000000000001</v>
      </c>
      <c r="AG89" s="9">
        <f t="shared" si="17"/>
        <v>3.1966666666666663</v>
      </c>
      <c r="AH89" s="9">
        <f t="shared" si="18"/>
        <v>2.4323291288786967E-2</v>
      </c>
      <c r="AI89" s="20">
        <f t="shared" si="19"/>
        <v>5.9162249911918E-4</v>
      </c>
      <c r="AJ89" s="9">
        <f t="shared" si="20"/>
        <v>4.732569221686278E-2</v>
      </c>
      <c r="AK89" s="20">
        <f t="shared" si="21"/>
        <v>2.2397211438052265E-3</v>
      </c>
      <c r="AL89" s="9">
        <f t="shared" si="22"/>
        <v>3.3482982597053942E-2</v>
      </c>
      <c r="AM89" s="20">
        <f t="shared" si="23"/>
        <v>1.1211101235946172E-3</v>
      </c>
      <c r="AN89" s="22" t="s">
        <v>2603</v>
      </c>
    </row>
    <row r="90" spans="8:40" ht="23">
      <c r="H90" s="8"/>
      <c r="I90" s="8"/>
      <c r="J90" s="8"/>
      <c r="K90" s="8"/>
      <c r="L90" s="8"/>
      <c r="M90" s="9" t="s">
        <v>2410</v>
      </c>
      <c r="N90" s="8" t="s">
        <v>150</v>
      </c>
      <c r="O90" s="8"/>
      <c r="P90" s="8"/>
      <c r="Q90" s="8"/>
      <c r="R90" s="8"/>
      <c r="S90" s="8"/>
      <c r="T90" s="8"/>
      <c r="U90" s="8"/>
      <c r="V90" s="8"/>
      <c r="W90" s="9" t="s">
        <v>2410</v>
      </c>
      <c r="X90" s="8">
        <v>71.31</v>
      </c>
      <c r="Y90" s="8">
        <v>1.84</v>
      </c>
      <c r="Z90" s="9">
        <v>1.04</v>
      </c>
      <c r="AA90" s="8">
        <v>1.4</v>
      </c>
      <c r="AB90" s="8">
        <v>86642</v>
      </c>
      <c r="AC90" s="22" t="s">
        <v>2410</v>
      </c>
      <c r="AD90" s="8" t="s">
        <v>4012</v>
      </c>
      <c r="AE90" s="8" t="s">
        <v>3681</v>
      </c>
      <c r="AF90" s="9">
        <f t="shared" si="16"/>
        <v>2.5760000000000001</v>
      </c>
      <c r="AG90" s="9">
        <f t="shared" si="17"/>
        <v>1.4933333333333332</v>
      </c>
      <c r="AH90" s="9">
        <f t="shared" si="18"/>
        <v>2.4323291288786967E-2</v>
      </c>
      <c r="AI90" s="9">
        <f t="shared" si="19"/>
        <v>5.9162249911918E-4</v>
      </c>
      <c r="AJ90" s="9">
        <f t="shared" si="20"/>
        <v>2.2501104309826232E-2</v>
      </c>
      <c r="AK90" s="9">
        <f t="shared" si="21"/>
        <v>5.0629969516168059E-4</v>
      </c>
      <c r="AL90" s="9">
        <f t="shared" si="22"/>
        <v>1.5641685300813519E-2</v>
      </c>
      <c r="AM90" s="9">
        <f t="shared" si="23"/>
        <v>2.4466231904968569E-4</v>
      </c>
      <c r="AN90" s="22" t="s">
        <v>2410</v>
      </c>
    </row>
    <row r="91" spans="8:40" ht="23">
      <c r="H91" s="19"/>
      <c r="I91" s="19"/>
      <c r="J91" s="19"/>
      <c r="K91" s="19"/>
      <c r="L91" s="19"/>
      <c r="M91" s="8" t="s">
        <v>1755</v>
      </c>
      <c r="N91" s="8" t="s">
        <v>1717</v>
      </c>
      <c r="O91" s="8"/>
      <c r="P91" s="8"/>
      <c r="Q91" s="8"/>
      <c r="R91" s="8"/>
      <c r="S91" s="8"/>
      <c r="T91" s="8"/>
      <c r="U91" s="8"/>
      <c r="V91" s="8"/>
      <c r="W91" s="8" t="s">
        <v>1755</v>
      </c>
      <c r="X91" s="8">
        <v>70.739999999999995</v>
      </c>
      <c r="Y91" s="8">
        <v>1.72</v>
      </c>
      <c r="Z91" s="9">
        <v>0.45</v>
      </c>
      <c r="AA91" s="8">
        <v>1.3</v>
      </c>
      <c r="AB91" s="8">
        <v>73713</v>
      </c>
      <c r="AC91" s="21" t="s">
        <v>1755</v>
      </c>
      <c r="AD91" s="8" t="s">
        <v>4012</v>
      </c>
      <c r="AE91" s="8" t="s">
        <v>3681</v>
      </c>
      <c r="AF91" s="20">
        <f t="shared" si="16"/>
        <v>2.2360000000000002</v>
      </c>
      <c r="AG91" s="9">
        <f t="shared" si="17"/>
        <v>0.97500000000000009</v>
      </c>
      <c r="AH91" s="9">
        <f t="shared" si="18"/>
        <v>2.2585913339587899E-2</v>
      </c>
      <c r="AI91" s="20">
        <f t="shared" si="19"/>
        <v>5.1012348138337459E-4</v>
      </c>
      <c r="AJ91" s="9">
        <f t="shared" si="20"/>
        <v>1.9531238057752896E-2</v>
      </c>
      <c r="AK91" s="20">
        <f t="shared" si="21"/>
        <v>3.8146926006861508E-4</v>
      </c>
      <c r="AL91" s="9">
        <f t="shared" si="22"/>
        <v>1.0212484264482043E-2</v>
      </c>
      <c r="AM91" s="20">
        <f t="shared" si="23"/>
        <v>1.0429483485229334E-4</v>
      </c>
      <c r="AN91" s="21" t="s">
        <v>1755</v>
      </c>
    </row>
    <row r="92" spans="8:40" ht="23">
      <c r="H92" s="19"/>
      <c r="I92" s="19"/>
      <c r="J92" s="19"/>
      <c r="K92" s="19"/>
      <c r="L92" s="19"/>
      <c r="M92" s="9" t="s">
        <v>3004</v>
      </c>
      <c r="N92" s="8" t="s">
        <v>1717</v>
      </c>
      <c r="O92" s="8"/>
      <c r="P92" s="8"/>
      <c r="Q92" s="8"/>
      <c r="R92" s="8"/>
      <c r="S92" s="8"/>
      <c r="T92" s="8"/>
      <c r="U92" s="8"/>
      <c r="V92" s="8"/>
      <c r="W92" s="9" t="s">
        <v>3004</v>
      </c>
      <c r="X92" s="8">
        <v>50.64</v>
      </c>
      <c r="Y92" s="8">
        <v>2.2000000000000002</v>
      </c>
      <c r="Z92" s="9">
        <v>2.37</v>
      </c>
      <c r="AA92" s="8">
        <v>1.2</v>
      </c>
      <c r="AB92" s="8">
        <v>66761</v>
      </c>
      <c r="AC92" s="22" t="s">
        <v>3004</v>
      </c>
      <c r="AD92" s="8" t="s">
        <v>4012</v>
      </c>
      <c r="AE92" s="8" t="s">
        <v>3681</v>
      </c>
      <c r="AF92" s="20">
        <f t="shared" si="16"/>
        <v>2.64</v>
      </c>
      <c r="AG92" s="9">
        <f t="shared" si="17"/>
        <v>3.14</v>
      </c>
      <c r="AH92" s="9">
        <f t="shared" si="18"/>
        <v>2.084853539038883E-2</v>
      </c>
      <c r="AI92" s="20">
        <f t="shared" si="19"/>
        <v>4.3466142792429553E-4</v>
      </c>
      <c r="AJ92" s="9">
        <f t="shared" si="20"/>
        <v>2.306013795727533E-2</v>
      </c>
      <c r="AK92" s="20">
        <f t="shared" si="21"/>
        <v>5.3176996260857041E-4</v>
      </c>
      <c r="AL92" s="9">
        <f t="shared" si="22"/>
        <v>3.288943650304986E-2</v>
      </c>
      <c r="AM92" s="20">
        <f t="shared" si="23"/>
        <v>1.0817150334881487E-3</v>
      </c>
      <c r="AN92" s="22" t="s">
        <v>3004</v>
      </c>
    </row>
    <row r="93" spans="8:40" ht="23">
      <c r="H93" s="19"/>
      <c r="I93" s="19"/>
      <c r="J93" s="19"/>
      <c r="K93" s="19"/>
      <c r="L93" s="19"/>
      <c r="M93" s="9" t="s">
        <v>3496</v>
      </c>
      <c r="N93" s="8" t="s">
        <v>2027</v>
      </c>
      <c r="O93" s="8"/>
      <c r="P93" s="8" t="s">
        <v>3691</v>
      </c>
      <c r="Q93" s="8"/>
      <c r="R93" s="8"/>
      <c r="S93" s="8"/>
      <c r="T93" s="8"/>
      <c r="U93" s="8"/>
      <c r="V93" s="8"/>
      <c r="W93" s="9" t="s">
        <v>3496</v>
      </c>
      <c r="X93" s="8">
        <v>19.25</v>
      </c>
      <c r="Y93" s="8">
        <v>6.55</v>
      </c>
      <c r="Z93" s="9">
        <v>4.18</v>
      </c>
      <c r="AA93" s="8">
        <v>1.1000000000000001</v>
      </c>
      <c r="AB93" s="8">
        <v>41483</v>
      </c>
      <c r="AC93" s="22" t="s">
        <v>3496</v>
      </c>
      <c r="AD93" s="8" t="s">
        <v>4012</v>
      </c>
      <c r="AE93" s="8" t="s">
        <v>3681</v>
      </c>
      <c r="AF93" s="20">
        <f t="shared" si="16"/>
        <v>7.2050000000000001</v>
      </c>
      <c r="AG93" s="9">
        <f t="shared" si="17"/>
        <v>4.7300000000000004</v>
      </c>
      <c r="AH93" s="9">
        <f t="shared" si="18"/>
        <v>1.9111157441189762E-2</v>
      </c>
      <c r="AI93" s="20">
        <f t="shared" si="19"/>
        <v>3.6523633874194282E-4</v>
      </c>
      <c r="AJ93" s="9">
        <f t="shared" si="20"/>
        <v>6.2934959841730587E-2</v>
      </c>
      <c r="AK93" s="20">
        <f t="shared" si="21"/>
        <v>3.9608091702802413E-3</v>
      </c>
      <c r="AL93" s="9">
        <f t="shared" si="22"/>
        <v>4.9543641611282108E-2</v>
      </c>
      <c r="AM93" s="20">
        <f t="shared" si="23"/>
        <v>2.4545724241071638E-3</v>
      </c>
      <c r="AN93" s="22" t="s">
        <v>3496</v>
      </c>
    </row>
    <row r="94" spans="8:40" ht="23">
      <c r="H94" s="19"/>
      <c r="I94" s="19"/>
      <c r="J94" s="19"/>
      <c r="K94" s="19"/>
      <c r="L94" s="19"/>
      <c r="M94" s="8" t="s">
        <v>2051</v>
      </c>
      <c r="N94" s="8" t="s">
        <v>2041</v>
      </c>
      <c r="O94" s="8"/>
      <c r="P94" s="8"/>
      <c r="Q94" s="8"/>
      <c r="R94" s="8"/>
      <c r="S94" s="8"/>
      <c r="T94" s="8"/>
      <c r="U94" s="8"/>
      <c r="V94" s="8"/>
      <c r="W94" s="8" t="s">
        <v>2051</v>
      </c>
      <c r="X94" s="8">
        <v>12.48</v>
      </c>
      <c r="Y94" s="8">
        <v>3.97</v>
      </c>
      <c r="Z94" s="9">
        <v>2.41</v>
      </c>
      <c r="AA94" s="8">
        <v>1.1000000000000001</v>
      </c>
      <c r="AB94" s="8">
        <v>56843</v>
      </c>
      <c r="AC94" s="21" t="s">
        <v>2051</v>
      </c>
      <c r="AD94" s="8" t="s">
        <v>4012</v>
      </c>
      <c r="AE94" s="8" t="s">
        <v>3681</v>
      </c>
      <c r="AF94" s="20">
        <f t="shared" si="16"/>
        <v>4.3670000000000009</v>
      </c>
      <c r="AG94" s="9">
        <f t="shared" si="17"/>
        <v>2.9516666666666671</v>
      </c>
      <c r="AH94" s="9">
        <f t="shared" si="18"/>
        <v>1.9111157441189762E-2</v>
      </c>
      <c r="AI94" s="20">
        <f t="shared" si="19"/>
        <v>3.6523633874194282E-4</v>
      </c>
      <c r="AJ94" s="9">
        <f t="shared" si="20"/>
        <v>3.8145311537659612E-2</v>
      </c>
      <c r="AK94" s="20">
        <f t="shared" si="21"/>
        <v>1.4550647923051076E-3</v>
      </c>
      <c r="AL94" s="9">
        <f t="shared" si="22"/>
        <v>3.0916768602389226E-2</v>
      </c>
      <c r="AM94" s="20">
        <f t="shared" si="23"/>
        <v>9.5584658081368024E-4</v>
      </c>
      <c r="AN94" s="21" t="s">
        <v>2051</v>
      </c>
    </row>
    <row r="95" spans="8:40" ht="23"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5"/>
      <c r="AA95" s="24">
        <f>SUBTOTAL(109,Table1361054[ترافیک کل])</f>
        <v>5755.7999999999984</v>
      </c>
      <c r="AB95" s="24"/>
      <c r="AC95" s="24"/>
      <c r="AD95" s="24"/>
      <c r="AE95" s="24"/>
      <c r="AF95" s="25">
        <f>SUBTOTAL(109,Table1361054[[مجموع صفحات  مشاهده شده   ]])</f>
        <v>11448.326999999999</v>
      </c>
      <c r="AG95" s="25">
        <f>SUBTOTAL(109,Table1361054[[مجموع زمان حضور در سایت ]])</f>
        <v>9547.138333333336</v>
      </c>
      <c r="AH95" s="25">
        <f>SUBTOTAL(109,Table1361054[سهم سایت از کل ترافیک طبقه بندی])</f>
        <v>99.999999999999943</v>
      </c>
      <c r="AI95" s="25">
        <f>SUBTOTAL(109,Table1361054[شاخص هرفیندال هیرشمن (ترافیک)])</f>
        <v>632.23320006746815</v>
      </c>
      <c r="AJ95" s="25">
        <f>SUBTOTAL(109,Table1361054[سهم سایت از کل صفحات مشاهده شده در طبقه بندی])</f>
        <v>100.00000000000006</v>
      </c>
      <c r="AK95" s="25">
        <f>SUBTOTAL(109,Table1361054[شاخص هرفیندال -هیرشمن (صفحات مشاهده شده )])</f>
        <v>528.80906672559775</v>
      </c>
      <c r="AL95" s="25">
        <f>SUBTOTAL(109,Table1361054[سهم سایت از کل زمان حضور در طبقه بندی])</f>
        <v>100.00000000000001</v>
      </c>
      <c r="AM95" s="25">
        <f>SUBTOTAL(109,Table1361054[شاخص هرفیندال هیرشمن (زمان حضور)])</f>
        <v>907.32561643119004</v>
      </c>
      <c r="AN95" s="25"/>
    </row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{25706CB8-56EC-4E7F-B9B6-211D0566E22B}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{4745B8AE-88B3-4224-8A2D-EE3082F6DB89}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{BF2D545D-D048-497D-B4F9-2FA0992BAA45}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{8A2FB43F-D601-40F2-8B85-A4D98D3001D1}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{2D66350B-64C2-4FA0-8361-664B016708C3}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{A3371D8A-D696-4C70-B565-90B024152B6A}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706CB8-56EC-4E7F-B9B6-211D0566E22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4745B8AE-88B3-4224-8A2D-EE3082F6DB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F2D545D-D048-497D-B4F9-2FA0992BAA4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A2FB43F-D601-40F2-8B85-A4D98D3001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D66350B-64C2-4FA0-8361-664B016708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A3371D8A-D696-4C70-B565-90B024152B6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7"/>
  <sheetViews>
    <sheetView showGridLines="0" rightToLeft="1" topLeftCell="AA1" zoomScale="70" zoomScaleNormal="70" workbookViewId="0">
      <selection activeCell="AD2" sqref="AD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.33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21" t="s">
        <v>1381</v>
      </c>
      <c r="N2" s="8" t="s">
        <v>150</v>
      </c>
      <c r="O2" s="8"/>
      <c r="P2" s="8" t="s">
        <v>3700</v>
      </c>
      <c r="Q2" s="8"/>
      <c r="R2" s="8"/>
      <c r="S2" s="8"/>
      <c r="T2" s="8"/>
      <c r="U2" s="8"/>
      <c r="V2" s="8"/>
      <c r="W2" s="21" t="s">
        <v>1381</v>
      </c>
      <c r="X2" s="8">
        <v>42.43</v>
      </c>
      <c r="Y2" s="8">
        <v>1.6</v>
      </c>
      <c r="Z2" s="9">
        <v>1.39</v>
      </c>
      <c r="AA2" s="8">
        <v>460.9</v>
      </c>
      <c r="AB2" s="8">
        <v>2540</v>
      </c>
      <c r="AC2" s="21" t="s">
        <v>1381</v>
      </c>
      <c r="AD2" s="8" t="s">
        <v>5360</v>
      </c>
      <c r="AE2" s="8" t="s">
        <v>3681</v>
      </c>
      <c r="AF2" s="9">
        <f>(AA2*Y2)</f>
        <v>737.44</v>
      </c>
      <c r="AG2" s="9">
        <f>((((RIGHT(Z2,2))/60)+(LEFT(Z2,2)))*AA2)</f>
        <v>760.4849999999999</v>
      </c>
      <c r="AH2" s="9">
        <f>(AA2/$AA$7)*100</f>
        <v>54.967203339296368</v>
      </c>
      <c r="AI2" s="9">
        <f>(AH2*AH2)</f>
        <v>3021.393442943554</v>
      </c>
      <c r="AJ2" s="9">
        <f>(AF2/$AF$7)*100</f>
        <v>49.530446743888966</v>
      </c>
      <c r="AK2" s="9">
        <f>(AJ2*AJ2)</f>
        <v>2453.2651546492211</v>
      </c>
      <c r="AL2" s="9">
        <f>(AG2/$AG$7)*100</f>
        <v>67.641285687115158</v>
      </c>
      <c r="AM2" s="9">
        <f>(AL2*AL2)</f>
        <v>4575.34352940593</v>
      </c>
      <c r="AN2" s="21" t="s">
        <v>1381</v>
      </c>
    </row>
    <row r="3" spans="8:40" ht="23">
      <c r="H3" s="8"/>
      <c r="I3" s="8"/>
      <c r="J3" s="8"/>
      <c r="K3" s="8"/>
      <c r="L3" s="8"/>
      <c r="M3" s="21" t="s">
        <v>5333</v>
      </c>
      <c r="N3" s="8"/>
      <c r="O3" s="8"/>
      <c r="P3" s="8"/>
      <c r="Q3" s="8"/>
      <c r="R3" s="8"/>
      <c r="S3" s="8"/>
      <c r="T3" s="8"/>
      <c r="U3" s="8"/>
      <c r="V3" s="8"/>
      <c r="W3" s="21" t="s">
        <v>5333</v>
      </c>
      <c r="X3" s="8">
        <v>37.22</v>
      </c>
      <c r="Y3" s="8">
        <v>1.74</v>
      </c>
      <c r="Z3" s="9">
        <v>0.35</v>
      </c>
      <c r="AA3" s="8">
        <v>301.2</v>
      </c>
      <c r="AB3" s="8">
        <v>3122</v>
      </c>
      <c r="AC3" s="21" t="s">
        <v>5333</v>
      </c>
      <c r="AD3" s="8" t="s">
        <v>5360</v>
      </c>
      <c r="AE3" s="8" t="s">
        <v>3681</v>
      </c>
      <c r="AF3" s="9">
        <f>(AA3*Y3)</f>
        <v>524.08799999999997</v>
      </c>
      <c r="AG3" s="9">
        <f>((((RIGHT(Z3,2))/60)+(LEFT(Z3,2)))*AA3)</f>
        <v>175.70000000000002</v>
      </c>
      <c r="AH3" s="9">
        <f>(AA3/$AA$7)*100</f>
        <v>35.921288014311273</v>
      </c>
      <c r="AI3" s="9">
        <f>(AH3*AH3)</f>
        <v>1290.3389326071026</v>
      </c>
      <c r="AJ3" s="9">
        <f>(AF3/$AF$7)*100</f>
        <v>35.200576010402578</v>
      </c>
      <c r="AK3" s="9">
        <f>(AJ3*AJ3)</f>
        <v>1239.0805514641295</v>
      </c>
      <c r="AL3" s="9">
        <f>(AG3/$AG$7)*100</f>
        <v>15.627624338712975</v>
      </c>
      <c r="AM3" s="9">
        <f>(AL3*AL3)</f>
        <v>244.22264247193414</v>
      </c>
      <c r="AN3" s="21" t="s">
        <v>5333</v>
      </c>
    </row>
    <row r="4" spans="8:40" ht="23">
      <c r="H4" s="8"/>
      <c r="I4" s="8"/>
      <c r="J4" s="8"/>
      <c r="K4" s="8"/>
      <c r="L4" s="8"/>
      <c r="M4" s="21" t="s">
        <v>4821</v>
      </c>
      <c r="N4" s="8"/>
      <c r="O4" s="8"/>
      <c r="P4" s="8" t="s">
        <v>4657</v>
      </c>
      <c r="Q4" s="8"/>
      <c r="R4" s="8"/>
      <c r="S4" s="8"/>
      <c r="T4" s="8"/>
      <c r="U4" s="8"/>
      <c r="V4" s="8"/>
      <c r="W4" s="21" t="s">
        <v>4821</v>
      </c>
      <c r="X4" s="8">
        <v>33.659999999999997</v>
      </c>
      <c r="Y4" s="8">
        <v>4.4000000000000004</v>
      </c>
      <c r="Z4" s="9">
        <v>5.3</v>
      </c>
      <c r="AA4" s="8">
        <v>17.399999999999999</v>
      </c>
      <c r="AB4" s="8">
        <v>5876</v>
      </c>
      <c r="AC4" s="21" t="s">
        <v>4821</v>
      </c>
      <c r="AD4" s="8" t="s">
        <v>5360</v>
      </c>
      <c r="AE4" s="8" t="s">
        <v>3681</v>
      </c>
      <c r="AF4" s="9">
        <f>(AA4*Y4)</f>
        <v>76.56</v>
      </c>
      <c r="AG4" s="9">
        <f>((((RIGHT(Z4,2))/60)+(LEFT(Z4,2)))*AA4)</f>
        <v>87.086999999999989</v>
      </c>
      <c r="AH4" s="9">
        <f>(AA4/$AA$7)*100</f>
        <v>2.0751341681574242</v>
      </c>
      <c r="AI4" s="9">
        <f>(AH4*AH4)</f>
        <v>4.306181815854405</v>
      </c>
      <c r="AJ4" s="9">
        <f>(AF4/$AF$7)*100</f>
        <v>5.1421824185183054</v>
      </c>
      <c r="AK4" s="9">
        <f>(AJ4*AJ4)</f>
        <v>26.442040025318768</v>
      </c>
      <c r="AL4" s="9">
        <f>(AG4/$AG$7)*100</f>
        <v>7.7459471871684489</v>
      </c>
      <c r="AM4" s="9">
        <f>(AL4*AL4)</f>
        <v>59.999697826402809</v>
      </c>
      <c r="AN4" s="21" t="s">
        <v>4821</v>
      </c>
    </row>
    <row r="5" spans="8:40" ht="23">
      <c r="H5" s="8"/>
      <c r="I5" s="8"/>
      <c r="J5" s="8"/>
      <c r="K5" s="8"/>
      <c r="L5" s="8"/>
      <c r="M5" s="21" t="s">
        <v>5332</v>
      </c>
      <c r="N5" s="8"/>
      <c r="O5" s="8"/>
      <c r="P5" s="8" t="s">
        <v>3700</v>
      </c>
      <c r="Q5" s="8"/>
      <c r="R5" s="8"/>
      <c r="S5" s="8"/>
      <c r="T5" s="8"/>
      <c r="U5" s="8"/>
      <c r="V5" s="8"/>
      <c r="W5" s="21" t="s">
        <v>5332</v>
      </c>
      <c r="X5" s="8">
        <v>30.96</v>
      </c>
      <c r="Y5" s="8">
        <v>2.2799999999999998</v>
      </c>
      <c r="Z5" s="9">
        <v>1.5</v>
      </c>
      <c r="AA5" s="8">
        <v>52.7</v>
      </c>
      <c r="AB5" s="8">
        <v>4545</v>
      </c>
      <c r="AC5" s="21" t="s">
        <v>5332</v>
      </c>
      <c r="AD5" s="8" t="s">
        <v>5360</v>
      </c>
      <c r="AE5" s="8" t="s">
        <v>3681</v>
      </c>
      <c r="AF5" s="9">
        <f>(AA5*Y5)</f>
        <v>120.15599999999999</v>
      </c>
      <c r="AG5" s="9">
        <f>((((RIGHT(Z5,2))/60)+(LEFT(Z5,2)))*AA5)</f>
        <v>53.139166666666668</v>
      </c>
      <c r="AH5" s="9">
        <f>(AA5/$AA$7)*100</f>
        <v>6.2850327966607038</v>
      </c>
      <c r="AI5" s="9">
        <f>(AH5*AH5)</f>
        <v>39.501637255100668</v>
      </c>
      <c r="AJ5" s="9">
        <f>(AF5/$AF$7)*100</f>
        <v>8.0703248521353892</v>
      </c>
      <c r="AK5" s="9">
        <f>(AJ5*AJ5)</f>
        <v>65.130143218994093</v>
      </c>
      <c r="AL5" s="9">
        <f>(AG5/$AG$7)*100</f>
        <v>4.7264595010752712</v>
      </c>
      <c r="AM5" s="9">
        <f>(AL5*AL5)</f>
        <v>22.3394194153047</v>
      </c>
      <c r="AN5" s="21" t="s">
        <v>5332</v>
      </c>
    </row>
    <row r="6" spans="8:40" ht="23">
      <c r="H6" s="8"/>
      <c r="I6" s="8"/>
      <c r="J6" s="8"/>
      <c r="K6" s="8"/>
      <c r="L6" s="8"/>
      <c r="M6" s="22" t="s">
        <v>4820</v>
      </c>
      <c r="N6" s="8"/>
      <c r="O6" s="8"/>
      <c r="P6" s="8"/>
      <c r="Q6" s="8"/>
      <c r="R6" s="8"/>
      <c r="S6" s="8"/>
      <c r="T6" s="8"/>
      <c r="U6" s="8"/>
      <c r="V6" s="8"/>
      <c r="W6" s="22" t="s">
        <v>4820</v>
      </c>
      <c r="X6" s="8">
        <v>26.72</v>
      </c>
      <c r="Y6" s="8">
        <v>4.8600000000000003</v>
      </c>
      <c r="Z6" s="9">
        <v>7.36</v>
      </c>
      <c r="AA6" s="8">
        <v>6.3</v>
      </c>
      <c r="AB6" s="8">
        <v>14809</v>
      </c>
      <c r="AC6" s="22" t="s">
        <v>4820</v>
      </c>
      <c r="AD6" s="8" t="s">
        <v>5360</v>
      </c>
      <c r="AE6" s="8" t="s">
        <v>3681</v>
      </c>
      <c r="AF6" s="9">
        <f>(AA6*Y6)</f>
        <v>30.618000000000002</v>
      </c>
      <c r="AG6" s="9">
        <f>((((RIGHT(Z6,2))/60)+(LEFT(Z6,2)))*AA6)</f>
        <v>47.879999999999995</v>
      </c>
      <c r="AH6" s="9">
        <f>(AA6/$AA$7)*100</f>
        <v>0.75134168157423986</v>
      </c>
      <c r="AI6" s="9">
        <f>(AH6*AH6)</f>
        <v>0.56451432247080646</v>
      </c>
      <c r="AJ6" s="9">
        <f>(AF6/$AF$7)*100</f>
        <v>2.0564699750547737</v>
      </c>
      <c r="AK6" s="9">
        <f>(AJ6*AJ6)</f>
        <v>4.2290687583017812</v>
      </c>
      <c r="AL6" s="9">
        <f>(AG6/$AG$7)*100</f>
        <v>4.2586832859281571</v>
      </c>
      <c r="AM6" s="9">
        <f>(AL6*AL6)</f>
        <v>18.136383329843845</v>
      </c>
      <c r="AN6" s="22" t="s">
        <v>4820</v>
      </c>
    </row>
    <row r="7" spans="8:40" ht="18"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9"/>
      <c r="AA7" s="48">
        <f>SUBTOTAL(109,Table13698115[ترافیک کل])</f>
        <v>838.49999999999989</v>
      </c>
      <c r="AB7" s="48"/>
      <c r="AC7" s="48"/>
      <c r="AD7" s="48"/>
      <c r="AE7" s="48"/>
      <c r="AF7" s="49">
        <f>SUBTOTAL(109,Table13698115[[مجموع صفحات  مشاهده شده   ]])</f>
        <v>1488.8619999999999</v>
      </c>
      <c r="AG7" s="49">
        <f>SUBTOTAL(109,Table13698115[[مجموع زمان حضور در سایت ]])</f>
        <v>1124.2911666666664</v>
      </c>
      <c r="AH7" s="49">
        <f>SUBTOTAL(109,Table13698115[سهم سایت از کل ترافیک طبقه بندی])</f>
        <v>100</v>
      </c>
      <c r="AI7" s="49">
        <f>SUBTOTAL(109,Table13698115[شاخص هرفیندال هیرشمن (ترافیک)])</f>
        <v>4356.1047089440826</v>
      </c>
      <c r="AJ7" s="49">
        <f>SUBTOTAL(109,Table13698115[سهم سایت از کل صفحات مشاهده شده در طبقه بندی])</f>
        <v>100</v>
      </c>
      <c r="AK7" s="49">
        <f>SUBTOTAL(109,Table13698115[شاخص هرفیندال -هیرشمن (صفحات مشاهده شده )])</f>
        <v>3788.1469581159649</v>
      </c>
      <c r="AL7" s="49">
        <f>SUBTOTAL(109,Table13698115[سهم سایت از کل زمان حضور در طبقه بندی])</f>
        <v>100.00000000000001</v>
      </c>
      <c r="AM7" s="49">
        <f>SUBTOTAL(109,Table13698115[شاخص هرفیندال هیرشمن (زمان حضور)])</f>
        <v>4920.0416724494144</v>
      </c>
      <c r="AN7" s="49"/>
    </row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{D6B42F80-7277-4DDC-935A-63DF6CB6AE31}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{35023448-EA0A-401E-A9BF-3EAB5DA47D7C}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{CE1CCB33-B212-4992-9A56-5585B57558D6}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{CAC9DE39-03C3-40C3-9B16-DC310134AD23}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{802BA66E-E9A3-49FE-8D5E-7B4D22FBE259}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{CB7C4D4E-5C5D-47F4-9782-E0C19F814F44}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B42F80-7277-4DDC-935A-63DF6CB6AE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5023448-EA0A-401E-A9BF-3EAB5DA47D7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E1CCB33-B212-4992-9A56-5585B57558D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AC9DE39-03C3-40C3-9B16-DC310134AD2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02BA66E-E9A3-49FE-8D5E-7B4D22FBE25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CB7C4D4E-5C5D-47F4-9782-E0C19F814F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2"/>
  <sheetViews>
    <sheetView showGridLines="0" rightToLeft="1" topLeftCell="AK1" zoomScale="70" zoomScaleNormal="70" workbookViewId="0">
      <selection activeCell="AM12" sqref="AM1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3.1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8" t="s">
        <v>4838</v>
      </c>
      <c r="N2" s="8" t="s">
        <v>150</v>
      </c>
      <c r="O2" s="8"/>
      <c r="P2" s="8" t="s">
        <v>3693</v>
      </c>
      <c r="Q2" s="8"/>
      <c r="R2" s="8"/>
      <c r="S2" s="8"/>
      <c r="T2" s="8"/>
      <c r="U2" s="8"/>
      <c r="V2" s="8"/>
      <c r="W2" s="8" t="s">
        <v>4838</v>
      </c>
      <c r="X2" s="8">
        <v>40.83</v>
      </c>
      <c r="Y2" s="8">
        <v>1.75</v>
      </c>
      <c r="Z2" s="9">
        <v>1.45</v>
      </c>
      <c r="AA2" s="8">
        <v>2341.1999999999998</v>
      </c>
      <c r="AB2" s="8">
        <v>5428</v>
      </c>
      <c r="AC2" s="21" t="s">
        <v>4838</v>
      </c>
      <c r="AD2" s="8" t="s">
        <v>4184</v>
      </c>
      <c r="AE2" s="8" t="s">
        <v>4267</v>
      </c>
      <c r="AF2" s="9">
        <f t="shared" ref="AF2:AF11" si="0">(AA2*Y2)</f>
        <v>4097.0999999999995</v>
      </c>
      <c r="AG2" s="9">
        <f t="shared" ref="AG2:AG11" si="1">((((RIGHT(Z2,2))/60)+(LEFT(Z2,2)))*AA2)</f>
        <v>4097.0999999999995</v>
      </c>
      <c r="AH2" s="9">
        <f t="shared" ref="AH2:AH11" si="2">(AA2/$AA$12)*100</f>
        <v>37.931984251713352</v>
      </c>
      <c r="AI2" s="9">
        <f t="shared" ref="AI2:AI11" si="3">(AH2*AH2)</f>
        <v>1438.8354292722297</v>
      </c>
      <c r="AJ2" s="9">
        <f t="shared" ref="AJ2:AJ11" si="4">(AF2/$AF$12)*100</f>
        <v>39.35086582757981</v>
      </c>
      <c r="AK2" s="9">
        <f t="shared" ref="AK2:AK11" si="5">(AJ2*AJ2)</f>
        <v>1548.4906413801884</v>
      </c>
      <c r="AL2" s="9">
        <f t="shared" ref="AL2:AL11" si="6">(AG2/$AG$12)*100</f>
        <v>38.777579805535701</v>
      </c>
      <c r="AM2" s="9">
        <f t="shared" ref="AM2:AM11" si="7">(AL2*AL2)</f>
        <v>1503.7006955746901</v>
      </c>
      <c r="AN2" s="8" t="s">
        <v>4838</v>
      </c>
    </row>
    <row r="3" spans="8:40" ht="23">
      <c r="H3" s="8"/>
      <c r="I3" s="8"/>
      <c r="J3" s="8"/>
      <c r="K3" s="8"/>
      <c r="L3" s="8"/>
      <c r="M3" s="8" t="s">
        <v>4837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4837</v>
      </c>
      <c r="X3" s="8">
        <v>76.84</v>
      </c>
      <c r="Y3" s="8">
        <v>1.55</v>
      </c>
      <c r="Z3" s="9">
        <v>2.04</v>
      </c>
      <c r="AA3" s="8">
        <v>1536.8</v>
      </c>
      <c r="AB3" s="8">
        <v>2427</v>
      </c>
      <c r="AC3" s="21" t="s">
        <v>4837</v>
      </c>
      <c r="AD3" s="8" t="s">
        <v>4184</v>
      </c>
      <c r="AE3" s="8" t="s">
        <v>4267</v>
      </c>
      <c r="AF3" s="9">
        <f t="shared" si="0"/>
        <v>2382.04</v>
      </c>
      <c r="AG3" s="9">
        <f t="shared" si="1"/>
        <v>3176.0533333333337</v>
      </c>
      <c r="AH3" s="9">
        <f t="shared" si="2"/>
        <v>24.899142917321491</v>
      </c>
      <c r="AI3" s="9">
        <f t="shared" si="3"/>
        <v>619.96731801720102</v>
      </c>
      <c r="AJ3" s="9">
        <f t="shared" si="4"/>
        <v>22.878459504510072</v>
      </c>
      <c r="AK3" s="9">
        <f t="shared" si="5"/>
        <v>523.42390929950727</v>
      </c>
      <c r="AL3" s="9">
        <f t="shared" si="6"/>
        <v>30.060203949127683</v>
      </c>
      <c r="AM3" s="9">
        <f t="shared" si="7"/>
        <v>903.61586146315153</v>
      </c>
      <c r="AN3" s="8" t="s">
        <v>4837</v>
      </c>
    </row>
    <row r="4" spans="8:40" ht="23">
      <c r="H4" s="8"/>
      <c r="I4" s="8"/>
      <c r="J4" s="8"/>
      <c r="K4" s="8"/>
      <c r="L4" s="8"/>
      <c r="M4" s="8" t="s">
        <v>1613</v>
      </c>
      <c r="N4" s="8" t="s">
        <v>150</v>
      </c>
      <c r="O4" s="8"/>
      <c r="P4" s="8" t="s">
        <v>3693</v>
      </c>
      <c r="Q4" s="8"/>
      <c r="R4" s="8"/>
      <c r="S4" s="8"/>
      <c r="T4" s="8"/>
      <c r="U4" s="8"/>
      <c r="V4" s="8"/>
      <c r="W4" s="8" t="s">
        <v>1613</v>
      </c>
      <c r="X4" s="8">
        <v>63.92</v>
      </c>
      <c r="Y4" s="8">
        <v>1.79</v>
      </c>
      <c r="Z4" s="9">
        <v>1.19</v>
      </c>
      <c r="AA4" s="8">
        <v>1274.3</v>
      </c>
      <c r="AB4" s="8">
        <v>1042</v>
      </c>
      <c r="AC4" s="21" t="s">
        <v>1613</v>
      </c>
      <c r="AD4" s="8" t="s">
        <v>4184</v>
      </c>
      <c r="AE4" s="8" t="s">
        <v>4267</v>
      </c>
      <c r="AF4" s="9">
        <f t="shared" si="0"/>
        <v>2280.9969999999998</v>
      </c>
      <c r="AG4" s="9">
        <f t="shared" si="1"/>
        <v>1677.8283333333331</v>
      </c>
      <c r="AH4" s="9">
        <f t="shared" si="2"/>
        <v>20.64613340678213</v>
      </c>
      <c r="AI4" s="9">
        <f t="shared" si="3"/>
        <v>426.26282465064509</v>
      </c>
      <c r="AJ4" s="9">
        <f t="shared" si="4"/>
        <v>21.90798537993021</v>
      </c>
      <c r="AK4" s="9">
        <f t="shared" si="5"/>
        <v>479.95982340723583</v>
      </c>
      <c r="AL4" s="9">
        <f t="shared" si="6"/>
        <v>15.880042492451315</v>
      </c>
      <c r="AM4" s="9">
        <f t="shared" si="7"/>
        <v>252.17574956205937</v>
      </c>
      <c r="AN4" s="8" t="s">
        <v>1613</v>
      </c>
    </row>
    <row r="5" spans="8:40" ht="23">
      <c r="H5" s="8"/>
      <c r="I5" s="8"/>
      <c r="J5" s="8"/>
      <c r="K5" s="8"/>
      <c r="L5" s="8"/>
      <c r="M5" s="9" t="s">
        <v>4255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9" t="s">
        <v>4255</v>
      </c>
      <c r="X5" s="8">
        <v>62.55</v>
      </c>
      <c r="Y5" s="8">
        <v>1.69</v>
      </c>
      <c r="Z5" s="9">
        <v>2.27</v>
      </c>
      <c r="AA5" s="8">
        <v>533.29999999999995</v>
      </c>
      <c r="AB5" s="8">
        <v>3970</v>
      </c>
      <c r="AC5" s="22" t="s">
        <v>4255</v>
      </c>
      <c r="AD5" s="8" t="s">
        <v>4184</v>
      </c>
      <c r="AE5" s="8" t="s">
        <v>4267</v>
      </c>
      <c r="AF5" s="9">
        <f t="shared" si="0"/>
        <v>901.27699999999993</v>
      </c>
      <c r="AG5" s="9">
        <f t="shared" si="1"/>
        <v>1306.585</v>
      </c>
      <c r="AH5" s="9">
        <f t="shared" si="2"/>
        <v>8.6404951313167313</v>
      </c>
      <c r="AI5" s="9">
        <f t="shared" si="3"/>
        <v>74.658156114308142</v>
      </c>
      <c r="AJ5" s="9">
        <f t="shared" si="4"/>
        <v>8.6563740939893208</v>
      </c>
      <c r="AK5" s="9">
        <f t="shared" si="5"/>
        <v>74.932812455089433</v>
      </c>
      <c r="AL5" s="9">
        <f t="shared" si="6"/>
        <v>12.366357694519508</v>
      </c>
      <c r="AM5" s="9">
        <f t="shared" si="7"/>
        <v>152.92680262880182</v>
      </c>
      <c r="AN5" s="9" t="s">
        <v>4255</v>
      </c>
    </row>
    <row r="6" spans="8:40" ht="23">
      <c r="H6" s="8"/>
      <c r="I6" s="8"/>
      <c r="J6" s="8"/>
      <c r="K6" s="8"/>
      <c r="L6" s="8"/>
      <c r="M6" s="8" t="s">
        <v>4792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4792</v>
      </c>
      <c r="X6" s="8">
        <v>16.14</v>
      </c>
      <c r="Y6" s="8">
        <v>1.23</v>
      </c>
      <c r="Z6" s="9">
        <v>0.04</v>
      </c>
      <c r="AA6" s="8">
        <v>230</v>
      </c>
      <c r="AB6" s="8">
        <v>22575</v>
      </c>
      <c r="AC6" s="21" t="s">
        <v>4792</v>
      </c>
      <c r="AD6" s="8" t="s">
        <v>4184</v>
      </c>
      <c r="AE6" s="8" t="s">
        <v>4267</v>
      </c>
      <c r="AF6" s="9">
        <f t="shared" si="0"/>
        <v>282.89999999999998</v>
      </c>
      <c r="AG6" s="9">
        <f t="shared" si="1"/>
        <v>15.333333333333334</v>
      </c>
      <c r="AH6" s="9">
        <f t="shared" si="2"/>
        <v>3.7264464282821081</v>
      </c>
      <c r="AI6" s="9">
        <f t="shared" si="3"/>
        <v>13.886402982856481</v>
      </c>
      <c r="AJ6" s="9">
        <f t="shared" si="4"/>
        <v>2.7171316156848326</v>
      </c>
      <c r="AK6" s="9">
        <f t="shared" si="5"/>
        <v>7.3828042169540691</v>
      </c>
      <c r="AL6" s="9">
        <f t="shared" si="6"/>
        <v>0.1451244922062469</v>
      </c>
      <c r="AM6" s="9">
        <f t="shared" si="7"/>
        <v>2.1061118238121016E-2</v>
      </c>
      <c r="AN6" s="8" t="s">
        <v>4792</v>
      </c>
    </row>
    <row r="7" spans="8:40" ht="23">
      <c r="H7" s="8"/>
      <c r="I7" s="8"/>
      <c r="J7" s="8"/>
      <c r="K7" s="8"/>
      <c r="L7" s="8"/>
      <c r="M7" s="9" t="s">
        <v>4256</v>
      </c>
      <c r="N7" s="8" t="s">
        <v>150</v>
      </c>
      <c r="O7" s="8"/>
      <c r="P7" s="8" t="s">
        <v>3693</v>
      </c>
      <c r="Q7" s="8"/>
      <c r="R7" s="8"/>
      <c r="S7" s="8"/>
      <c r="T7" s="8"/>
      <c r="U7" s="8"/>
      <c r="V7" s="8"/>
      <c r="W7" s="9" t="s">
        <v>4256</v>
      </c>
      <c r="X7" s="8">
        <v>12.62</v>
      </c>
      <c r="Y7" s="8">
        <v>1.65</v>
      </c>
      <c r="Z7" s="9">
        <v>1.22</v>
      </c>
      <c r="AA7" s="8">
        <v>155.6</v>
      </c>
      <c r="AB7" s="8">
        <v>10460</v>
      </c>
      <c r="AC7" s="22" t="s">
        <v>4256</v>
      </c>
      <c r="AD7" s="8" t="s">
        <v>4184</v>
      </c>
      <c r="AE7" s="8" t="s">
        <v>4267</v>
      </c>
      <c r="AF7" s="9">
        <f t="shared" si="0"/>
        <v>256.73999999999995</v>
      </c>
      <c r="AG7" s="9">
        <f t="shared" si="1"/>
        <v>212.65333333333334</v>
      </c>
      <c r="AH7" s="9">
        <f t="shared" si="2"/>
        <v>2.5210220184378089</v>
      </c>
      <c r="AI7" s="9">
        <f t="shared" si="3"/>
        <v>6.3555520174482441</v>
      </c>
      <c r="AJ7" s="9">
        <f t="shared" si="4"/>
        <v>2.4658761789004022</v>
      </c>
      <c r="AK7" s="9">
        <f t="shared" si="5"/>
        <v>6.0805453296684489</v>
      </c>
      <c r="AL7" s="9">
        <f t="shared" si="6"/>
        <v>2.0126874140847231</v>
      </c>
      <c r="AM7" s="9">
        <f t="shared" si="7"/>
        <v>4.0509106268150497</v>
      </c>
      <c r="AN7" s="9" t="s">
        <v>4256</v>
      </c>
    </row>
    <row r="8" spans="8:40" ht="23">
      <c r="H8" s="8"/>
      <c r="I8" s="8"/>
      <c r="J8" s="8"/>
      <c r="K8" s="8"/>
      <c r="L8" s="8"/>
      <c r="M8" s="8" t="s">
        <v>4839</v>
      </c>
      <c r="N8" s="8"/>
      <c r="O8" s="8"/>
      <c r="P8" s="8"/>
      <c r="Q8" s="8"/>
      <c r="R8" s="8"/>
      <c r="S8" s="8"/>
      <c r="T8" s="8"/>
      <c r="U8" s="8"/>
      <c r="V8" s="8"/>
      <c r="W8" s="8" t="s">
        <v>4839</v>
      </c>
      <c r="X8" s="8">
        <v>18.07</v>
      </c>
      <c r="Y8" s="8">
        <v>1.78</v>
      </c>
      <c r="Z8" s="9">
        <v>0.09</v>
      </c>
      <c r="AA8" s="8">
        <v>70.400000000000006</v>
      </c>
      <c r="AB8" s="8">
        <v>114376</v>
      </c>
      <c r="AC8" s="21" t="s">
        <v>4839</v>
      </c>
      <c r="AD8" s="8" t="s">
        <v>4184</v>
      </c>
      <c r="AE8" s="8" t="s">
        <v>4267</v>
      </c>
      <c r="AF8" s="9">
        <f t="shared" si="0"/>
        <v>125.31200000000001</v>
      </c>
      <c r="AG8" s="9">
        <f t="shared" si="1"/>
        <v>10.56</v>
      </c>
      <c r="AH8" s="9">
        <f t="shared" si="2"/>
        <v>1.1406166458741758</v>
      </c>
      <c r="AI8" s="9">
        <f t="shared" si="3"/>
        <v>1.3010063328452548</v>
      </c>
      <c r="AJ8" s="9">
        <f t="shared" si="4"/>
        <v>1.2035673277649268</v>
      </c>
      <c r="AK8" s="9">
        <f t="shared" si="5"/>
        <v>1.4485743124632067</v>
      </c>
      <c r="AL8" s="9">
        <f t="shared" si="6"/>
        <v>9.9946606806389157E-2</v>
      </c>
      <c r="AM8" s="9">
        <f t="shared" si="7"/>
        <v>9.9893242121109546E-3</v>
      </c>
      <c r="AN8" s="8" t="s">
        <v>4839</v>
      </c>
    </row>
    <row r="9" spans="8:40" ht="23">
      <c r="H9" s="8"/>
      <c r="I9" s="8"/>
      <c r="J9" s="8"/>
      <c r="K9" s="8"/>
      <c r="L9" s="8"/>
      <c r="M9" s="8" t="s">
        <v>4834</v>
      </c>
      <c r="N9" s="8" t="s">
        <v>1717</v>
      </c>
      <c r="O9" s="8"/>
      <c r="P9" s="8"/>
      <c r="Q9" s="8"/>
      <c r="R9" s="8"/>
      <c r="S9" s="8"/>
      <c r="T9" s="8"/>
      <c r="U9" s="8"/>
      <c r="V9" s="8"/>
      <c r="W9" s="8" t="s">
        <v>4834</v>
      </c>
      <c r="X9" s="8">
        <v>5.01</v>
      </c>
      <c r="Y9" s="8">
        <v>2.5</v>
      </c>
      <c r="Z9" s="9">
        <v>1.45</v>
      </c>
      <c r="AA9" s="8">
        <v>23</v>
      </c>
      <c r="AB9" s="8">
        <v>23589</v>
      </c>
      <c r="AC9" s="21" t="s">
        <v>4834</v>
      </c>
      <c r="AD9" s="8" t="s">
        <v>4184</v>
      </c>
      <c r="AE9" s="8" t="s">
        <v>4267</v>
      </c>
      <c r="AF9" s="9">
        <f t="shared" si="0"/>
        <v>57.5</v>
      </c>
      <c r="AG9" s="9">
        <f t="shared" si="1"/>
        <v>40.25</v>
      </c>
      <c r="AH9" s="9">
        <f t="shared" si="2"/>
        <v>0.3726446428282108</v>
      </c>
      <c r="AI9" s="9">
        <f t="shared" si="3"/>
        <v>0.1388640298285648</v>
      </c>
      <c r="AJ9" s="9">
        <f t="shared" si="4"/>
        <v>0.55226252351317739</v>
      </c>
      <c r="AK9" s="9">
        <f t="shared" si="5"/>
        <v>0.30499389487714279</v>
      </c>
      <c r="AL9" s="9">
        <f t="shared" si="6"/>
        <v>0.38095179204139806</v>
      </c>
      <c r="AM9" s="9">
        <f t="shared" si="7"/>
        <v>0.1451242678595526</v>
      </c>
      <c r="AN9" s="8" t="s">
        <v>4834</v>
      </c>
    </row>
    <row r="10" spans="8:40" ht="23">
      <c r="H10" s="8"/>
      <c r="I10" s="8"/>
      <c r="J10" s="8"/>
      <c r="K10" s="8"/>
      <c r="L10" s="8"/>
      <c r="M10" s="8" t="s">
        <v>4835</v>
      </c>
      <c r="N10" s="8" t="s">
        <v>1869</v>
      </c>
      <c r="O10" s="8"/>
      <c r="P10" s="8"/>
      <c r="Q10" s="8"/>
      <c r="R10" s="8"/>
      <c r="S10" s="8"/>
      <c r="T10" s="8"/>
      <c r="U10" s="8"/>
      <c r="V10" s="8"/>
      <c r="W10" s="8" t="s">
        <v>4835</v>
      </c>
      <c r="X10" s="8">
        <v>42.9</v>
      </c>
      <c r="Y10" s="8">
        <v>1.23</v>
      </c>
      <c r="Z10" s="9">
        <v>1.02</v>
      </c>
      <c r="AA10" s="8">
        <v>5.0999999999999996</v>
      </c>
      <c r="AB10" s="8">
        <v>61063</v>
      </c>
      <c r="AC10" s="21" t="s">
        <v>4835</v>
      </c>
      <c r="AD10" s="8" t="s">
        <v>4184</v>
      </c>
      <c r="AE10" s="8" t="s">
        <v>4267</v>
      </c>
      <c r="AF10" s="9">
        <f t="shared" si="0"/>
        <v>6.2729999999999997</v>
      </c>
      <c r="AG10" s="9">
        <f t="shared" si="1"/>
        <v>5.2700000000000005</v>
      </c>
      <c r="AH10" s="9">
        <f t="shared" si="2"/>
        <v>8.2629899061907611E-2</v>
      </c>
      <c r="AI10" s="9">
        <f t="shared" si="3"/>
        <v>6.8277002189810398E-3</v>
      </c>
      <c r="AJ10" s="9">
        <f t="shared" si="4"/>
        <v>6.0249440173881071E-2</v>
      </c>
      <c r="AK10" s="9">
        <f t="shared" si="5"/>
        <v>3.6299950412660743E-3</v>
      </c>
      <c r="AL10" s="9">
        <f t="shared" si="6"/>
        <v>4.9878656995234E-2</v>
      </c>
      <c r="AM10" s="9">
        <f t="shared" si="7"/>
        <v>2.4878804236482055E-3</v>
      </c>
      <c r="AN10" s="8" t="s">
        <v>4835</v>
      </c>
    </row>
    <row r="11" spans="8:40" ht="23">
      <c r="H11" s="8"/>
      <c r="I11" s="8"/>
      <c r="J11" s="8"/>
      <c r="K11" s="8"/>
      <c r="L11" s="8"/>
      <c r="M11" s="8" t="s">
        <v>4836</v>
      </c>
      <c r="N11" s="8" t="s">
        <v>1814</v>
      </c>
      <c r="O11" s="8"/>
      <c r="P11" s="8"/>
      <c r="Q11" s="8"/>
      <c r="R11" s="8"/>
      <c r="S11" s="8"/>
      <c r="T11" s="8"/>
      <c r="U11" s="8"/>
      <c r="V11" s="8"/>
      <c r="W11" s="8" t="s">
        <v>4836</v>
      </c>
      <c r="X11" s="8">
        <v>23.21</v>
      </c>
      <c r="Y11" s="8">
        <v>8.99</v>
      </c>
      <c r="Z11" s="9">
        <v>10.199999999999999</v>
      </c>
      <c r="AA11" s="8">
        <v>2.4</v>
      </c>
      <c r="AB11" s="8">
        <v>36004</v>
      </c>
      <c r="AC11" s="21" t="s">
        <v>4836</v>
      </c>
      <c r="AD11" s="8" t="s">
        <v>4184</v>
      </c>
      <c r="AE11" s="8" t="s">
        <v>4267</v>
      </c>
      <c r="AF11" s="9">
        <f t="shared" si="0"/>
        <v>21.576000000000001</v>
      </c>
      <c r="AG11" s="9">
        <f t="shared" si="1"/>
        <v>24.007999999999999</v>
      </c>
      <c r="AH11" s="9">
        <f t="shared" si="2"/>
        <v>3.8884658382074166E-2</v>
      </c>
      <c r="AI11" s="9">
        <f t="shared" si="3"/>
        <v>1.5120166574906107E-3</v>
      </c>
      <c r="AJ11" s="9">
        <f t="shared" si="4"/>
        <v>0.2072281079533968</v>
      </c>
      <c r="AK11" s="9">
        <f t="shared" si="5"/>
        <v>4.2943488725944681E-2</v>
      </c>
      <c r="AL11" s="9">
        <f t="shared" si="6"/>
        <v>0.22722709623179838</v>
      </c>
      <c r="AM11" s="9">
        <f t="shared" si="7"/>
        <v>5.163215326193496E-2</v>
      </c>
      <c r="AN11" s="8" t="s">
        <v>4836</v>
      </c>
    </row>
    <row r="12" spans="8:40" ht="23"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9"/>
      <c r="AA12" s="8">
        <f>SUBTOTAL(109,Table13698[ترافیک کل])</f>
        <v>6172.1</v>
      </c>
      <c r="AB12" s="8"/>
      <c r="AC12" s="8"/>
      <c r="AD12" s="8"/>
      <c r="AE12" s="8"/>
      <c r="AF12" s="9">
        <f>SUBTOTAL(109,Table13698[[مجموع صفحات  مشاهده شده   ]])</f>
        <v>10411.714999999997</v>
      </c>
      <c r="AG12" s="9">
        <f>SUBTOTAL(109,Table13698[[مجموع زمان حضور در سایت ]])</f>
        <v>10565.641333333333</v>
      </c>
      <c r="AH12" s="9">
        <f>SUBTOTAL(109,Table13698[سهم سایت از کل ترافیک طبقه بندی])</f>
        <v>99.999999999999972</v>
      </c>
      <c r="AI12" s="9" t="s">
        <v>5344</v>
      </c>
      <c r="AJ12" s="9">
        <f>SUBTOTAL(109,Table13698[سهم سایت از کل صفحات مشاهده شده در طبقه بندی])</f>
        <v>100.00000000000004</v>
      </c>
      <c r="AK12" s="9" t="s">
        <v>5345</v>
      </c>
      <c r="AL12" s="9">
        <f>SUBTOTAL(109,Table13698[سهم سایت از کل زمان حضور در طبقه بندی])</f>
        <v>99.999999999999986</v>
      </c>
      <c r="AM12" s="9" t="s">
        <v>5346</v>
      </c>
      <c r="AN12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{66B6C8EA-F440-4ECC-BF1E-336769D19E28}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{BDC39049-DF70-487E-B004-890C6A0E9FA9}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{1BEE61BA-6C50-4757-839F-DDA56723A98C}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{83662854-1C50-4285-809F-1FC573CE9C83}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{2A7C0DE0-F1FA-4380-96DB-49EB7170F15E}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{C48B317F-2509-40EF-946E-31389FD4A9D8}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6B6C8EA-F440-4ECC-BF1E-336769D19E2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DC39049-DF70-487E-B004-890C6A0E9FA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BEE61BA-6C50-4757-839F-DDA56723A98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3662854-1C50-4285-809F-1FC573CE9C8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A7C0DE0-F1FA-4380-96DB-49EB7170F15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C48B317F-2509-40EF-946E-31389FD4A9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6"/>
  <sheetViews>
    <sheetView showGridLines="0" rightToLeft="1" topLeftCell="AK1" zoomScale="70" zoomScaleNormal="70" workbookViewId="0">
      <selection activeCell="AM6" sqref="AM6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.1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8" t="s">
        <v>4257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4257</v>
      </c>
      <c r="X2" s="8">
        <v>29.64</v>
      </c>
      <c r="Y2" s="8">
        <v>4</v>
      </c>
      <c r="Z2" s="9">
        <v>2.31</v>
      </c>
      <c r="AA2" s="8">
        <v>202.4</v>
      </c>
      <c r="AB2" s="8">
        <v>1840</v>
      </c>
      <c r="AC2" s="21" t="s">
        <v>4257</v>
      </c>
      <c r="AD2" s="8" t="s">
        <v>4259</v>
      </c>
      <c r="AE2" s="8" t="s">
        <v>4267</v>
      </c>
      <c r="AF2" s="8">
        <f>(AA2*Y2)</f>
        <v>809.6</v>
      </c>
      <c r="AG2" s="9">
        <f>((((RIGHT(Z2,2))/60)+(LEFT(Z2,2)))*AA2)</f>
        <v>509.37333333333333</v>
      </c>
      <c r="AH2" s="9">
        <f>(AA2/$AA$6)*100</f>
        <v>97.354497354497354</v>
      </c>
      <c r="AI2" s="9">
        <f>(AH2*AH2)</f>
        <v>9477.8981551468332</v>
      </c>
      <c r="AJ2" s="9">
        <f>(AF2/$AF$6)*100</f>
        <v>97.140731675125679</v>
      </c>
      <c r="AK2" s="9">
        <f>(AJ2*AJ2)</f>
        <v>9436.3217503787655</v>
      </c>
      <c r="AL2" s="9">
        <f>(AG2/$AG$6)*100</f>
        <v>97.099013518450846</v>
      </c>
      <c r="AM2" s="9">
        <f>(AL2*AL2)</f>
        <v>9428.2184262563005</v>
      </c>
      <c r="AN2" s="8" t="s">
        <v>4257</v>
      </c>
    </row>
    <row r="3" spans="8:40" ht="23">
      <c r="H3" s="8"/>
      <c r="I3" s="8"/>
      <c r="J3" s="8"/>
      <c r="K3" s="8"/>
      <c r="L3" s="8"/>
      <c r="M3" s="8" t="s">
        <v>4833</v>
      </c>
      <c r="N3" s="8"/>
      <c r="O3" s="8"/>
      <c r="P3" s="8"/>
      <c r="Q3" s="8"/>
      <c r="R3" s="8"/>
      <c r="S3" s="8"/>
      <c r="T3" s="8"/>
      <c r="U3" s="8"/>
      <c r="V3" s="8"/>
      <c r="W3" s="8" t="s">
        <v>4833</v>
      </c>
      <c r="X3" s="8">
        <v>16.09</v>
      </c>
      <c r="Y3" s="8">
        <v>5.73</v>
      </c>
      <c r="Z3" s="9">
        <v>3.01</v>
      </c>
      <c r="AA3" s="8">
        <v>3.6</v>
      </c>
      <c r="AB3" s="8">
        <v>25789</v>
      </c>
      <c r="AC3" s="21" t="s">
        <v>4833</v>
      </c>
      <c r="AD3" s="8" t="s">
        <v>4259</v>
      </c>
      <c r="AE3" s="8" t="s">
        <v>4267</v>
      </c>
      <c r="AF3" s="14">
        <f>(AA3*Y3)</f>
        <v>20.628000000000004</v>
      </c>
      <c r="AG3" s="9">
        <f>((((RIGHT(Z3,2))/60)+(LEFT(Z3,2)))*AA3)</f>
        <v>10.86</v>
      </c>
      <c r="AH3" s="9">
        <f>(AA3/$AA$6)*100</f>
        <v>1.7316017316017316</v>
      </c>
      <c r="AI3" s="9">
        <f>(AH3*AH3)</f>
        <v>2.9984445568861151</v>
      </c>
      <c r="AJ3" s="9">
        <f>(AF3/$AF$6)*100</f>
        <v>2.4750728915445812</v>
      </c>
      <c r="AK3" s="9">
        <f>(AJ3*AJ3)</f>
        <v>6.1259858184588545</v>
      </c>
      <c r="AL3" s="9">
        <f>(AG3/$AG$6)*100</f>
        <v>2.070181569792378</v>
      </c>
      <c r="AM3" s="9">
        <f>(AL3*AL3)</f>
        <v>4.2856517319080343</v>
      </c>
      <c r="AN3" s="8" t="s">
        <v>4833</v>
      </c>
    </row>
    <row r="4" spans="8:40" ht="23">
      <c r="H4" s="8"/>
      <c r="I4" s="8"/>
      <c r="J4" s="8"/>
      <c r="K4" s="8"/>
      <c r="L4" s="8"/>
      <c r="M4" s="8" t="s">
        <v>4832</v>
      </c>
      <c r="N4" s="8"/>
      <c r="O4" s="8"/>
      <c r="P4" s="8"/>
      <c r="Q4" s="8"/>
      <c r="R4" s="8"/>
      <c r="S4" s="8"/>
      <c r="T4" s="8"/>
      <c r="U4" s="8"/>
      <c r="V4" s="8"/>
      <c r="W4" s="8" t="s">
        <v>4832</v>
      </c>
      <c r="X4" s="8">
        <v>45.55</v>
      </c>
      <c r="Y4" s="8">
        <v>1.74</v>
      </c>
      <c r="Z4" s="9">
        <v>2.0499999999999998</v>
      </c>
      <c r="AA4" s="8">
        <v>1.1000000000000001</v>
      </c>
      <c r="AB4" s="8">
        <v>94834</v>
      </c>
      <c r="AC4" s="21" t="s">
        <v>4832</v>
      </c>
      <c r="AD4" s="8" t="s">
        <v>4259</v>
      </c>
      <c r="AE4" s="8" t="s">
        <v>4267</v>
      </c>
      <c r="AF4" s="14">
        <f>(AA4*Y4)</f>
        <v>1.9140000000000001</v>
      </c>
      <c r="AG4" s="9">
        <f>((((RIGHT(Z4,2))/60)+(LEFT(Z4,2)))*AA4)</f>
        <v>2.291666666666667</v>
      </c>
      <c r="AH4" s="9">
        <f>(AA4/$AA$6)*100</f>
        <v>0.52910052910052918</v>
      </c>
      <c r="AI4" s="9">
        <f>(AH4*AH4)</f>
        <v>0.27994736989445995</v>
      </c>
      <c r="AJ4" s="9">
        <f>(AF4/$AF$6)*100</f>
        <v>0.22965336021021562</v>
      </c>
      <c r="AK4" s="9">
        <f>(AJ4*AJ4)</f>
        <v>5.2740665855843048E-2</v>
      </c>
      <c r="AL4" s="9">
        <f>(AG4/$AG$6)*100</f>
        <v>0.43684770694667285</v>
      </c>
      <c r="AM4" s="9">
        <f>(AL4*AL4)</f>
        <v>0.19083591906456618</v>
      </c>
      <c r="AN4" s="8" t="s">
        <v>4832</v>
      </c>
    </row>
    <row r="5" spans="8:40" ht="23">
      <c r="H5" s="8"/>
      <c r="I5" s="8"/>
      <c r="J5" s="8"/>
      <c r="K5" s="8"/>
      <c r="L5" s="8"/>
      <c r="M5" s="9" t="s">
        <v>4258</v>
      </c>
      <c r="N5" s="8" t="s">
        <v>1862</v>
      </c>
      <c r="O5" s="8"/>
      <c r="P5" s="8"/>
      <c r="Q5" s="8"/>
      <c r="R5" s="8"/>
      <c r="S5" s="8"/>
      <c r="T5" s="8"/>
      <c r="U5" s="8"/>
      <c r="V5" s="8"/>
      <c r="W5" s="9" t="s">
        <v>4258</v>
      </c>
      <c r="X5" s="8">
        <v>58.64</v>
      </c>
      <c r="Y5" s="8">
        <v>1.61</v>
      </c>
      <c r="Z5" s="9">
        <v>2.35</v>
      </c>
      <c r="AA5" s="8">
        <v>0.8</v>
      </c>
      <c r="AB5" s="8">
        <v>104455</v>
      </c>
      <c r="AC5" s="22" t="s">
        <v>4258</v>
      </c>
      <c r="AD5" s="8" t="s">
        <v>4259</v>
      </c>
      <c r="AE5" s="8" t="s">
        <v>4267</v>
      </c>
      <c r="AF5" s="8">
        <f>(AA5*Y5)</f>
        <v>1.2880000000000003</v>
      </c>
      <c r="AG5" s="9">
        <f>((((RIGHT(Z5,2))/60)+(LEFT(Z5,2)))*AA5)</f>
        <v>2.0666666666666669</v>
      </c>
      <c r="AH5" s="9">
        <f>(AA5/$AA$6)*100</f>
        <v>0.38480038480038481</v>
      </c>
      <c r="AI5" s="9">
        <f>(AH5*AH5)</f>
        <v>0.14807133614252421</v>
      </c>
      <c r="AJ5" s="9">
        <f>(AF5/$AF$6)*100</f>
        <v>0.15454207311951815</v>
      </c>
      <c r="AK5" s="9">
        <f>(AJ5*AJ5)</f>
        <v>2.3883252364078494E-2</v>
      </c>
      <c r="AL5" s="9">
        <f>(AG5/$AG$6)*100</f>
        <v>0.39395720481009039</v>
      </c>
      <c r="AM5" s="9">
        <f>(AL5*AL5)</f>
        <v>0.15520227922177951</v>
      </c>
      <c r="AN5" s="9" t="s">
        <v>4258</v>
      </c>
    </row>
    <row r="6" spans="8:40" ht="23"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9"/>
      <c r="AA6" s="8">
        <f>SUBTOTAL(109,Table136102[ترافیک کل])</f>
        <v>207.9</v>
      </c>
      <c r="AB6" s="8"/>
      <c r="AC6" s="8"/>
      <c r="AD6" s="8"/>
      <c r="AE6" s="8"/>
      <c r="AF6" s="14">
        <f>SUBTOTAL(109,Table136102[[مجموع صفحات  مشاهده شده   ]])</f>
        <v>833.43000000000006</v>
      </c>
      <c r="AG6" s="9">
        <f>SUBTOTAL(109,Table136102[[مجموع زمان حضور در سایت ]])</f>
        <v>524.5916666666667</v>
      </c>
      <c r="AH6" s="8">
        <f>SUBTOTAL(109,Table136102[سهم سایت از کل ترافیک طبقه بندی])</f>
        <v>100</v>
      </c>
      <c r="AI6" s="12">
        <f>SUBTOTAL(109,Table136102[شاخص هرفیندال هیرشمن (ترافیک)])</f>
        <v>9481.324618409757</v>
      </c>
      <c r="AJ6" s="8">
        <f>SUBTOTAL(109,Table136102[سهم سایت از کل صفحات مشاهده شده در طبقه بندی])</f>
        <v>100</v>
      </c>
      <c r="AK6" s="12">
        <f>SUBTOTAL(109,Table136102[شاخص هرفیندال -هیرشمن (صفحات مشاهده شده )])</f>
        <v>9442.5243601154452</v>
      </c>
      <c r="AL6" s="8">
        <f>SUBTOTAL(109,Table136102[سهم سایت از کل زمان حضور در طبقه بندی])</f>
        <v>100</v>
      </c>
      <c r="AM6" s="12">
        <f>SUBTOTAL(109,Table136102[شاخص هرفیندال هیرشمن (زمان حضور)])</f>
        <v>9432.8501161864951</v>
      </c>
      <c r="AN6" s="28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{D07B213C-33EC-4B43-9C6C-15999F07C9B6}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{21226B3A-EB0A-43A4-8CB4-95FFA7B17C4F}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{D0CB53B9-6EBC-4C8F-9254-616AAFA53BA1}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{A497AB52-B2E9-4CC9-8C54-64E2AD2DCD15}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{0F4E1BAF-20E4-4047-AB13-C4E73667799B}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{19D0A9A5-7AA1-4C1F-A095-8FE03B1529C5}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7B213C-33EC-4B43-9C6C-15999F07C9B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1226B3A-EB0A-43A4-8CB4-95FFA7B17C4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0CB53B9-6EBC-4C8F-9254-616AAFA53BA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497AB52-B2E9-4CC9-8C54-64E2AD2DCD1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F4E1BAF-20E4-4047-AB13-C4E73667799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19D0A9A5-7AA1-4C1F-A095-8FE03B1529C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6"/>
  <sheetViews>
    <sheetView showGridLines="0" rightToLeft="1" topLeftCell="AA1" zoomScale="85" zoomScaleNormal="85" workbookViewId="0">
      <selection activeCell="AC6" sqref="AC6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8" t="s">
        <v>2199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/>
      <c r="X2" s="8">
        <v>15.93</v>
      </c>
      <c r="Y2" s="8">
        <v>1.85</v>
      </c>
      <c r="Z2" s="9">
        <v>0.21</v>
      </c>
      <c r="AA2" s="8">
        <v>159.80000000000001</v>
      </c>
      <c r="AB2" s="8">
        <v>14202</v>
      </c>
      <c r="AC2" s="21" t="s">
        <v>2199</v>
      </c>
      <c r="AD2" s="8" t="s">
        <v>4830</v>
      </c>
      <c r="AE2" s="8" t="s">
        <v>4267</v>
      </c>
      <c r="AF2" s="9">
        <f>(AA2*Y2)</f>
        <v>295.63000000000005</v>
      </c>
      <c r="AG2" s="9">
        <f>((((RIGHT(Z2,2))/60)+(LEFT(Z2,2)))*AA2)</f>
        <v>55.93</v>
      </c>
      <c r="AH2" s="9">
        <f>(AA2/$AA$6)*100</f>
        <v>78.027343750000014</v>
      </c>
      <c r="AI2" s="9">
        <f>(AH2*AH2)</f>
        <v>6088.2663726806659</v>
      </c>
      <c r="AJ2" s="9">
        <f>(AF2/$AF$6)*100</f>
        <v>75.372746185852989</v>
      </c>
      <c r="AK2" s="9">
        <f>(AJ2*AJ2)</f>
        <v>5681.0508675970159</v>
      </c>
      <c r="AL2" s="9">
        <f>(AG2/$AG$6)*100</f>
        <v>19.320628706315855</v>
      </c>
      <c r="AM2" s="9">
        <f>(AL2*AL2)</f>
        <v>373.28669360731624</v>
      </c>
      <c r="AN2" s="8" t="s">
        <v>2199</v>
      </c>
    </row>
    <row r="3" spans="8:40" ht="23">
      <c r="H3" s="8"/>
      <c r="I3" s="8"/>
      <c r="J3" s="8"/>
      <c r="K3" s="8"/>
      <c r="L3" s="8"/>
      <c r="M3" s="8" t="s">
        <v>5157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/>
      <c r="X3" s="8">
        <v>81.540000000000006</v>
      </c>
      <c r="Y3" s="8">
        <v>1.1399999999999999</v>
      </c>
      <c r="Z3" s="9">
        <v>0.05</v>
      </c>
      <c r="AA3" s="8">
        <v>30.2</v>
      </c>
      <c r="AB3" s="8">
        <v>45335</v>
      </c>
      <c r="AC3" s="21" t="s">
        <v>5157</v>
      </c>
      <c r="AD3" s="8" t="s">
        <v>4830</v>
      </c>
      <c r="AE3" s="8" t="s">
        <v>4267</v>
      </c>
      <c r="AF3" s="9">
        <f>(AA3*Y3)</f>
        <v>34.427999999999997</v>
      </c>
      <c r="AG3" s="9">
        <f>((((RIGHT(Z3,2))/60)+(LEFT(Z3,2)))*AA3)</f>
        <v>2.5166666666666666</v>
      </c>
      <c r="AH3" s="9">
        <f>(AA3/$AA$6)*100</f>
        <v>14.74609375</v>
      </c>
      <c r="AI3" s="9">
        <f>(AH3*AH3)</f>
        <v>217.44728088378906</v>
      </c>
      <c r="AJ3" s="9">
        <f>(AF3/$AF$6)*100</f>
        <v>8.7776372684996318</v>
      </c>
      <c r="AK3" s="9">
        <f>(AJ3*AJ3)</f>
        <v>77.046916017353681</v>
      </c>
      <c r="AL3" s="9">
        <f>(AG3/$AG$6)*100</f>
        <v>0.8693649605619207</v>
      </c>
      <c r="AM3" s="9">
        <f>(AL3*AL3)</f>
        <v>0.75579543465282994</v>
      </c>
      <c r="AN3" s="8" t="s">
        <v>5157</v>
      </c>
    </row>
    <row r="4" spans="8:40" ht="23">
      <c r="H4" s="8"/>
      <c r="I4" s="8"/>
      <c r="J4" s="8"/>
      <c r="K4" s="8"/>
      <c r="L4" s="8"/>
      <c r="M4" s="9" t="s">
        <v>5156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9"/>
      <c r="X4" s="8">
        <v>22.89</v>
      </c>
      <c r="Y4" s="8">
        <v>5.17</v>
      </c>
      <c r="Z4" s="9">
        <v>20.53</v>
      </c>
      <c r="AA4" s="8">
        <v>10.7</v>
      </c>
      <c r="AB4" s="8">
        <v>11273</v>
      </c>
      <c r="AC4" s="22" t="s">
        <v>5156</v>
      </c>
      <c r="AD4" s="8" t="s">
        <v>4830</v>
      </c>
      <c r="AE4" s="8" t="s">
        <v>4267</v>
      </c>
      <c r="AF4" s="9">
        <f>(AA4*Y4)</f>
        <v>55.318999999999996</v>
      </c>
      <c r="AG4" s="9">
        <f>((((RIGHT(Z4,2))/60)+(LEFT(Z4,2)))*AA4)</f>
        <v>223.45166666666665</v>
      </c>
      <c r="AH4" s="9">
        <f>(AA4/$AA$6)*100</f>
        <v>5.224609375</v>
      </c>
      <c r="AI4" s="9">
        <f>(AH4*AH4)</f>
        <v>27.296543121337891</v>
      </c>
      <c r="AJ4" s="9">
        <f>(AF4/$AF$6)*100</f>
        <v>14.103930407114298</v>
      </c>
      <c r="AK4" s="9">
        <f>(AJ4*AJ4)</f>
        <v>198.92085292872329</v>
      </c>
      <c r="AL4" s="9">
        <f>(AG4/$AG$6)*100</f>
        <v>77.189820945362428</v>
      </c>
      <c r="AM4" s="9">
        <f>(AL4*AL4)</f>
        <v>5958.2684575771118</v>
      </c>
      <c r="AN4" s="9" t="s">
        <v>5156</v>
      </c>
    </row>
    <row r="5" spans="8:40" ht="23">
      <c r="H5" s="8"/>
      <c r="I5" s="8"/>
      <c r="J5" s="8"/>
      <c r="K5" s="8"/>
      <c r="L5" s="8"/>
      <c r="M5" s="8" t="s">
        <v>4829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4829</v>
      </c>
      <c r="X5" s="8">
        <v>69.34</v>
      </c>
      <c r="Y5" s="8">
        <v>1.67</v>
      </c>
      <c r="Z5" s="9">
        <v>1.51</v>
      </c>
      <c r="AA5" s="8">
        <v>4.0999999999999996</v>
      </c>
      <c r="AB5" s="8"/>
      <c r="AC5" s="21" t="s">
        <v>4829</v>
      </c>
      <c r="AD5" s="8" t="s">
        <v>4830</v>
      </c>
      <c r="AE5" s="8" t="s">
        <v>4267</v>
      </c>
      <c r="AF5" s="9">
        <f>(AA5*Y5)</f>
        <v>6.8469999999999995</v>
      </c>
      <c r="AG5" s="9">
        <f>((((RIGHT(Z5,2))/60)+(LEFT(Z5,2)))*AA5)</f>
        <v>7.585</v>
      </c>
      <c r="AH5" s="9">
        <f>(AA5/$AA$6)*100</f>
        <v>2.001953125</v>
      </c>
      <c r="AI5" s="9">
        <f>(AH5*AH5)</f>
        <v>4.0078163146972656</v>
      </c>
      <c r="AJ5" s="9">
        <f>(AF5/$AF$6)*100</f>
        <v>1.7456861385330826</v>
      </c>
      <c r="AK5" s="9">
        <f>(AJ5*AJ5)</f>
        <v>3.047420094266545</v>
      </c>
      <c r="AL5" s="9">
        <f>(AG5/$AG$6)*100</f>
        <v>2.6201853877598023</v>
      </c>
      <c r="AM5" s="9">
        <f>(AL5*AL5)</f>
        <v>6.865371466229985</v>
      </c>
      <c r="AN5" s="8" t="s">
        <v>4829</v>
      </c>
    </row>
    <row r="6" spans="8:40" ht="23"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9"/>
      <c r="AA6" s="8">
        <f>SUBTOTAL(109,Table136103110[ترافیک کل])</f>
        <v>204.79999999999998</v>
      </c>
      <c r="AB6" s="8"/>
      <c r="AC6" s="8"/>
      <c r="AD6" s="8"/>
      <c r="AE6" s="8"/>
      <c r="AF6" s="9">
        <f>SUBTOTAL(109,Table136103110[[مجموع صفحات  مشاهده شده   ]])</f>
        <v>392.22400000000005</v>
      </c>
      <c r="AG6" s="9">
        <f>SUBTOTAL(109,Table136103110[[مجموع زمان حضور در سایت ]])</f>
        <v>289.48333333333329</v>
      </c>
      <c r="AH6" s="9">
        <f>SUBTOTAL(109,Table136103110[سهم سایت از کل ترافیک طبقه بندی])</f>
        <v>100.00000000000001</v>
      </c>
      <c r="AI6" s="9">
        <f>SUBTOTAL(109,Table136103110[شاخص هرفیندال هیرشمن (ترافیک)])</f>
        <v>6337.0180130004901</v>
      </c>
      <c r="AJ6" s="9">
        <f>SUBTOTAL(109,Table136103110[سهم سایت از کل صفحات مشاهده شده در طبقه بندی])</f>
        <v>100.00000000000001</v>
      </c>
      <c r="AK6" s="9">
        <f>SUBTOTAL(109,Table136103110[شاخص هرفیندال -هیرشمن (صفحات مشاهده شده )])</f>
        <v>5960.066056637359</v>
      </c>
      <c r="AL6" s="9">
        <f>SUBTOTAL(109,Table136103110[سهم سایت از کل زمان حضور در طبقه بندی])</f>
        <v>100.00000000000001</v>
      </c>
      <c r="AM6" s="9">
        <f>SUBTOTAL(109,Table136103110[شاخص هرفیندال هیرشمن (زمان حضور)])</f>
        <v>6339.1763180853104</v>
      </c>
      <c r="AN6" s="28"/>
    </row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{DA0D006C-CCC9-4734-93F5-08F46F5E4564}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{8407D471-C606-4D3E-B043-33033B408C9B}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{22320E10-A37F-47C5-8577-BE58228B092E}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{8D82F5DE-A367-4165-B37A-7EB080F6EED5}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{821944F6-D98A-446A-8291-6E05EEBD1C15}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{BEC28F01-F82C-4995-A8B1-1ACE6A2C0365}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0D006C-CCC9-4734-93F5-08F46F5E456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407D471-C606-4D3E-B043-33033B408C9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2320E10-A37F-47C5-8577-BE58228B092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D82F5DE-A367-4165-B37A-7EB080F6EED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21944F6-D98A-446A-8291-6E05EEBD1C1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BEC28F01-F82C-4995-A8B1-1ACE6A2C03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2"/>
  <sheetViews>
    <sheetView showGridLines="0" rightToLeft="1" topLeftCell="AB1" zoomScale="85" zoomScaleNormal="85" workbookViewId="0">
      <selection activeCell="AC12" sqref="AC1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4.33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9" t="s">
        <v>4365</v>
      </c>
      <c r="N2" s="8" t="s">
        <v>150</v>
      </c>
      <c r="O2" s="8"/>
      <c r="P2" s="8" t="s">
        <v>3693</v>
      </c>
      <c r="Q2" s="8"/>
      <c r="R2" s="8"/>
      <c r="S2" s="8"/>
      <c r="T2" s="8"/>
      <c r="U2" s="8"/>
      <c r="V2" s="8"/>
      <c r="W2" s="9" t="s">
        <v>4365</v>
      </c>
      <c r="X2" s="8">
        <v>49.91</v>
      </c>
      <c r="Y2" s="8">
        <v>2.38</v>
      </c>
      <c r="Z2" s="9">
        <v>2.0499999999999998</v>
      </c>
      <c r="AA2" s="8">
        <v>585.29999999999995</v>
      </c>
      <c r="AB2" s="8">
        <v>866</v>
      </c>
      <c r="AC2" s="22" t="s">
        <v>4365</v>
      </c>
      <c r="AD2" s="8" t="s">
        <v>5361</v>
      </c>
      <c r="AE2" s="8" t="s">
        <v>4267</v>
      </c>
      <c r="AF2" s="9">
        <f t="shared" ref="AF2:AF11" si="0">(AA2*Y2)</f>
        <v>1393.0139999999999</v>
      </c>
      <c r="AG2" s="9">
        <f t="shared" ref="AG2:AG11" si="1">((((RIGHT(Z2,2))/60)+(LEFT(Z2,2)))*AA2)</f>
        <v>1219.375</v>
      </c>
      <c r="AH2" s="9">
        <f t="shared" ref="AH2:AH11" si="2">(AA2/$AA$12)*100</f>
        <v>83.554603854389725</v>
      </c>
      <c r="AI2" s="9">
        <f t="shared" ref="AI2:AI11" si="3">(AH2*AH2)</f>
        <v>6981.3718252639983</v>
      </c>
      <c r="AJ2" s="9">
        <f t="shared" ref="AJ2:AJ11" si="4">(AF2/$AF$12)*100</f>
        <v>91.258828531428961</v>
      </c>
      <c r="AK2" s="9">
        <f t="shared" ref="AK2:AK11" si="5">(AJ2*AJ2)</f>
        <v>8328.1737849287529</v>
      </c>
      <c r="AL2" s="9">
        <f t="shared" ref="AL2:AL11" si="6">(AG2/$AG$12)*100</f>
        <v>97.847168373494824</v>
      </c>
      <c r="AM2" s="9">
        <f t="shared" ref="AM2:AM11" si="7">(AL2*AL2)</f>
        <v>9574.0683587110452</v>
      </c>
      <c r="AN2" s="9" t="s">
        <v>4365</v>
      </c>
    </row>
    <row r="3" spans="8:40" ht="23">
      <c r="H3" s="8"/>
      <c r="I3" s="8"/>
      <c r="J3" s="8"/>
      <c r="K3" s="8"/>
      <c r="L3" s="8"/>
      <c r="M3" s="8" t="s">
        <v>4828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4828</v>
      </c>
      <c r="X3" s="8">
        <v>30.34</v>
      </c>
      <c r="Y3" s="8">
        <v>1.01</v>
      </c>
      <c r="Z3" s="9">
        <v>0</v>
      </c>
      <c r="AA3" s="8">
        <v>55.1</v>
      </c>
      <c r="AB3" s="8">
        <v>55797</v>
      </c>
      <c r="AC3" s="21" t="s">
        <v>4828</v>
      </c>
      <c r="AD3" s="8" t="s">
        <v>5361</v>
      </c>
      <c r="AE3" s="8" t="s">
        <v>4267</v>
      </c>
      <c r="AF3" s="9">
        <f t="shared" si="0"/>
        <v>55.651000000000003</v>
      </c>
      <c r="AG3" s="9">
        <f t="shared" si="1"/>
        <v>0</v>
      </c>
      <c r="AH3" s="9">
        <f t="shared" si="2"/>
        <v>7.8658101356174166</v>
      </c>
      <c r="AI3" s="9">
        <f t="shared" si="3"/>
        <v>61.870969089581685</v>
      </c>
      <c r="AJ3" s="9">
        <f t="shared" si="4"/>
        <v>3.6457961417491527</v>
      </c>
      <c r="AK3" s="9">
        <f t="shared" si="5"/>
        <v>13.291829507193007</v>
      </c>
      <c r="AL3" s="9">
        <f t="shared" si="6"/>
        <v>0</v>
      </c>
      <c r="AM3" s="9">
        <f t="shared" si="7"/>
        <v>0</v>
      </c>
      <c r="AN3" s="8" t="s">
        <v>4828</v>
      </c>
    </row>
    <row r="4" spans="8:40" ht="23">
      <c r="H4" s="8"/>
      <c r="I4" s="8"/>
      <c r="J4" s="8"/>
      <c r="K4" s="8"/>
      <c r="L4" s="8"/>
      <c r="M4" s="8" t="s">
        <v>4826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4826</v>
      </c>
      <c r="X4" s="8">
        <v>8.1199999999999992</v>
      </c>
      <c r="Y4" s="8">
        <v>1.04</v>
      </c>
      <c r="Z4" s="9">
        <v>0.05</v>
      </c>
      <c r="AA4" s="8">
        <v>33.299999999999997</v>
      </c>
      <c r="AB4" s="8">
        <v>31892</v>
      </c>
      <c r="AC4" s="21" t="s">
        <v>4826</v>
      </c>
      <c r="AD4" s="8" t="s">
        <v>5361</v>
      </c>
      <c r="AE4" s="8" t="s">
        <v>4267</v>
      </c>
      <c r="AF4" s="9">
        <f t="shared" si="0"/>
        <v>34.631999999999998</v>
      </c>
      <c r="AG4" s="9">
        <f t="shared" si="1"/>
        <v>2.7749999999999995</v>
      </c>
      <c r="AH4" s="9">
        <f t="shared" si="2"/>
        <v>4.7537473233404706</v>
      </c>
      <c r="AI4" s="9">
        <f t="shared" si="3"/>
        <v>22.598113614166689</v>
      </c>
      <c r="AJ4" s="9">
        <f t="shared" si="4"/>
        <v>2.2688040103692053</v>
      </c>
      <c r="AK4" s="9">
        <f t="shared" si="5"/>
        <v>5.1474716374673894</v>
      </c>
      <c r="AL4" s="9">
        <f t="shared" si="6"/>
        <v>0.22267628271569295</v>
      </c>
      <c r="AM4" s="9">
        <f t="shared" si="7"/>
        <v>4.9584726884079215E-2</v>
      </c>
      <c r="AN4" s="8" t="s">
        <v>4826</v>
      </c>
    </row>
    <row r="5" spans="8:40" ht="23"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>
        <v>5.73</v>
      </c>
      <c r="Y5" s="8">
        <v>1.08</v>
      </c>
      <c r="Z5" s="9">
        <v>0.3</v>
      </c>
      <c r="AA5" s="8">
        <v>11.4</v>
      </c>
      <c r="AB5" s="8">
        <v>95760</v>
      </c>
      <c r="AC5" s="21" t="s">
        <v>5185</v>
      </c>
      <c r="AD5" s="8" t="s">
        <v>5361</v>
      </c>
      <c r="AE5" s="8" t="s">
        <v>4267</v>
      </c>
      <c r="AF5" s="9">
        <f t="shared" si="0"/>
        <v>12.312000000000001</v>
      </c>
      <c r="AG5" s="9">
        <f t="shared" si="1"/>
        <v>5.7000000000000002E-2</v>
      </c>
      <c r="AH5" s="9">
        <f t="shared" si="2"/>
        <v>1.6274089935760172</v>
      </c>
      <c r="AI5" s="9">
        <f t="shared" si="3"/>
        <v>2.648460032372105</v>
      </c>
      <c r="AJ5" s="9">
        <f t="shared" si="4"/>
        <v>0.80658105150339732</v>
      </c>
      <c r="AK5" s="9">
        <f t="shared" si="5"/>
        <v>0.65057299264432611</v>
      </c>
      <c r="AL5" s="9">
        <f t="shared" si="6"/>
        <v>4.5738912125385589E-3</v>
      </c>
      <c r="AM5" s="9">
        <f t="shared" si="7"/>
        <v>2.0920480824137449E-5</v>
      </c>
      <c r="AN5" s="8" t="s">
        <v>5185</v>
      </c>
    </row>
    <row r="6" spans="8:40" ht="23">
      <c r="H6" s="8"/>
      <c r="I6" s="8"/>
      <c r="J6" s="8"/>
      <c r="K6" s="8"/>
      <c r="L6" s="8"/>
      <c r="M6" s="8" t="s">
        <v>4823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4823</v>
      </c>
      <c r="X6" s="8">
        <v>58.45</v>
      </c>
      <c r="Y6" s="8">
        <v>1.64</v>
      </c>
      <c r="Z6" s="9">
        <v>2.08</v>
      </c>
      <c r="AA6" s="8">
        <v>4.0999999999999996</v>
      </c>
      <c r="AB6" s="8">
        <v>41421</v>
      </c>
      <c r="AC6" s="21" t="s">
        <v>4823</v>
      </c>
      <c r="AD6" s="8" t="s">
        <v>5361</v>
      </c>
      <c r="AE6" s="8" t="s">
        <v>4267</v>
      </c>
      <c r="AF6" s="9">
        <f t="shared" si="0"/>
        <v>6.7239999999999993</v>
      </c>
      <c r="AG6" s="9">
        <f t="shared" si="1"/>
        <v>8.7466666666666661</v>
      </c>
      <c r="AH6" s="9">
        <f t="shared" si="2"/>
        <v>0.58529621698786582</v>
      </c>
      <c r="AI6" s="9">
        <f t="shared" si="3"/>
        <v>0.34257166162030689</v>
      </c>
      <c r="AJ6" s="9">
        <f t="shared" si="4"/>
        <v>0.44050121753645571</v>
      </c>
      <c r="AK6" s="9">
        <f t="shared" si="5"/>
        <v>0.19404132265109988</v>
      </c>
      <c r="AL6" s="9">
        <f t="shared" si="6"/>
        <v>0.70186494395913324</v>
      </c>
      <c r="AM6" s="9">
        <f t="shared" si="7"/>
        <v>0.49261439955875724</v>
      </c>
      <c r="AN6" s="8" t="s">
        <v>4823</v>
      </c>
    </row>
    <row r="7" spans="8:40" ht="23">
      <c r="H7" s="8"/>
      <c r="I7" s="8"/>
      <c r="J7" s="8"/>
      <c r="K7" s="8"/>
      <c r="L7" s="8"/>
      <c r="M7" s="8" t="s">
        <v>4831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4831</v>
      </c>
      <c r="X7" s="8">
        <v>60.63</v>
      </c>
      <c r="Y7" s="8">
        <v>1</v>
      </c>
      <c r="Z7" s="9">
        <v>0</v>
      </c>
      <c r="AA7" s="8">
        <v>3.6</v>
      </c>
      <c r="AB7" s="8">
        <v>225204</v>
      </c>
      <c r="AC7" s="21" t="s">
        <v>4831</v>
      </c>
      <c r="AD7" s="8" t="s">
        <v>5361</v>
      </c>
      <c r="AE7" s="8" t="s">
        <v>4267</v>
      </c>
      <c r="AF7" s="9">
        <f t="shared" si="0"/>
        <v>3.6</v>
      </c>
      <c r="AG7" s="9">
        <f t="shared" si="1"/>
        <v>0</v>
      </c>
      <c r="AH7" s="9">
        <f t="shared" si="2"/>
        <v>0.51391862955032119</v>
      </c>
      <c r="AI7" s="9">
        <f t="shared" si="3"/>
        <v>0.26411235779888026</v>
      </c>
      <c r="AJ7" s="9">
        <f t="shared" si="4"/>
        <v>0.23584241272029158</v>
      </c>
      <c r="AK7" s="9">
        <f t="shared" si="5"/>
        <v>5.5621643637728348E-2</v>
      </c>
      <c r="AL7" s="9">
        <f t="shared" si="6"/>
        <v>0</v>
      </c>
      <c r="AM7" s="9">
        <f t="shared" si="7"/>
        <v>0</v>
      </c>
      <c r="AN7" s="8" t="s">
        <v>4831</v>
      </c>
    </row>
    <row r="8" spans="8:40" ht="23">
      <c r="H8" s="8"/>
      <c r="I8" s="8"/>
      <c r="J8" s="8"/>
      <c r="K8" s="8"/>
      <c r="L8" s="8"/>
      <c r="M8" s="8" t="s">
        <v>4827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4827</v>
      </c>
      <c r="X8" s="8">
        <v>46</v>
      </c>
      <c r="Y8" s="8">
        <v>2.16</v>
      </c>
      <c r="Z8" s="9">
        <v>1.37</v>
      </c>
      <c r="AA8" s="8">
        <v>2.7</v>
      </c>
      <c r="AB8" s="8">
        <v>34926</v>
      </c>
      <c r="AC8" s="21" t="s">
        <v>4827</v>
      </c>
      <c r="AD8" s="8" t="s">
        <v>5361</v>
      </c>
      <c r="AE8" s="8" t="s">
        <v>4267</v>
      </c>
      <c r="AF8" s="9">
        <f t="shared" si="0"/>
        <v>5.8320000000000007</v>
      </c>
      <c r="AG8" s="9">
        <f t="shared" si="1"/>
        <v>4.3650000000000002</v>
      </c>
      <c r="AH8" s="9">
        <f t="shared" si="2"/>
        <v>0.38543897216274092</v>
      </c>
      <c r="AI8" s="9">
        <f t="shared" si="3"/>
        <v>0.14856320126187017</v>
      </c>
      <c r="AJ8" s="9">
        <f t="shared" si="4"/>
        <v>0.38206470860687242</v>
      </c>
      <c r="AK8" s="9">
        <f t="shared" si="5"/>
        <v>0.14597344156285433</v>
      </c>
      <c r="AL8" s="9">
        <f t="shared" si="6"/>
        <v>0.35026377443387391</v>
      </c>
      <c r="AM8" s="9">
        <f t="shared" si="7"/>
        <v>0.12268471168066371</v>
      </c>
      <c r="AN8" s="8" t="s">
        <v>4827</v>
      </c>
    </row>
    <row r="9" spans="8:40" ht="23">
      <c r="H9" s="8"/>
      <c r="I9" s="8"/>
      <c r="J9" s="8"/>
      <c r="K9" s="8"/>
      <c r="L9" s="8"/>
      <c r="M9" s="8" t="s">
        <v>4822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4822</v>
      </c>
      <c r="X9" s="8">
        <v>61.37</v>
      </c>
      <c r="Y9" s="8">
        <v>1.64</v>
      </c>
      <c r="Z9" s="9">
        <v>0.45</v>
      </c>
      <c r="AA9" s="8">
        <v>2.2000000000000002</v>
      </c>
      <c r="AB9" s="8">
        <v>62723</v>
      </c>
      <c r="AC9" s="21" t="s">
        <v>4822</v>
      </c>
      <c r="AD9" s="8" t="s">
        <v>5361</v>
      </c>
      <c r="AE9" s="8" t="s">
        <v>4267</v>
      </c>
      <c r="AF9" s="9">
        <f t="shared" si="0"/>
        <v>3.6080000000000001</v>
      </c>
      <c r="AG9" s="9">
        <f t="shared" si="1"/>
        <v>1.6500000000000001</v>
      </c>
      <c r="AH9" s="9">
        <f t="shared" si="2"/>
        <v>0.31406138472519629</v>
      </c>
      <c r="AI9" s="9">
        <f t="shared" si="3"/>
        <v>9.8634553375507764E-2</v>
      </c>
      <c r="AJ9" s="9">
        <f t="shared" si="4"/>
        <v>0.23636650697078113</v>
      </c>
      <c r="AK9" s="9">
        <f t="shared" si="5"/>
        <v>5.5869125617568322E-2</v>
      </c>
      <c r="AL9" s="9">
        <f t="shared" si="6"/>
        <v>0.13240211404716881</v>
      </c>
      <c r="AM9" s="9">
        <f t="shared" si="7"/>
        <v>1.7530319804159498E-2</v>
      </c>
      <c r="AN9" s="8" t="s">
        <v>4822</v>
      </c>
    </row>
    <row r="10" spans="8:40" ht="23">
      <c r="H10" s="8"/>
      <c r="I10" s="8"/>
      <c r="J10" s="8"/>
      <c r="K10" s="8"/>
      <c r="L10" s="8"/>
      <c r="M10" s="8" t="s">
        <v>4825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8" t="s">
        <v>4825</v>
      </c>
      <c r="X10" s="8">
        <v>64.83</v>
      </c>
      <c r="Y10" s="8">
        <v>3.09</v>
      </c>
      <c r="Z10" s="9">
        <v>2.1800000000000002</v>
      </c>
      <c r="AA10" s="8">
        <v>1.5</v>
      </c>
      <c r="AB10" s="8">
        <v>51427</v>
      </c>
      <c r="AC10" s="21" t="s">
        <v>4825</v>
      </c>
      <c r="AD10" s="8" t="s">
        <v>5361</v>
      </c>
      <c r="AE10" s="8" t="s">
        <v>4267</v>
      </c>
      <c r="AF10" s="9">
        <f t="shared" si="0"/>
        <v>4.6349999999999998</v>
      </c>
      <c r="AG10" s="9">
        <f t="shared" si="1"/>
        <v>3.4499999999999997</v>
      </c>
      <c r="AH10" s="9">
        <f t="shared" si="2"/>
        <v>0.21413276231263384</v>
      </c>
      <c r="AI10" s="9">
        <f t="shared" si="3"/>
        <v>4.5852839895638937E-2</v>
      </c>
      <c r="AJ10" s="9">
        <f t="shared" si="4"/>
        <v>0.30364710637737541</v>
      </c>
      <c r="AK10" s="9">
        <f t="shared" si="5"/>
        <v>9.2201565211353143E-2</v>
      </c>
      <c r="AL10" s="9">
        <f t="shared" si="6"/>
        <v>0.2768407839168075</v>
      </c>
      <c r="AM10" s="9">
        <f t="shared" si="7"/>
        <v>7.6640819639672494E-2</v>
      </c>
      <c r="AN10" s="8" t="s">
        <v>4825</v>
      </c>
    </row>
    <row r="11" spans="8:40" ht="23">
      <c r="H11" s="8"/>
      <c r="I11" s="8"/>
      <c r="J11" s="8"/>
      <c r="K11" s="8"/>
      <c r="L11" s="8"/>
      <c r="M11" s="8" t="s">
        <v>4824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4824</v>
      </c>
      <c r="X11" s="8">
        <v>15.98</v>
      </c>
      <c r="Y11" s="8">
        <v>4.95</v>
      </c>
      <c r="Z11" s="9">
        <v>4.2699999999999996</v>
      </c>
      <c r="AA11" s="8">
        <v>1.3</v>
      </c>
      <c r="AB11" s="8">
        <v>41564</v>
      </c>
      <c r="AC11" s="21" t="s">
        <v>4824</v>
      </c>
      <c r="AD11" s="8" t="s">
        <v>5361</v>
      </c>
      <c r="AE11" s="8" t="s">
        <v>4267</v>
      </c>
      <c r="AF11" s="9">
        <f t="shared" si="0"/>
        <v>6.4350000000000005</v>
      </c>
      <c r="AG11" s="9">
        <f t="shared" si="1"/>
        <v>5.7850000000000001</v>
      </c>
      <c r="AH11" s="9">
        <f t="shared" si="2"/>
        <v>0.18558172733761599</v>
      </c>
      <c r="AI11" s="9">
        <f t="shared" si="3"/>
        <v>3.4440577521613246E-2</v>
      </c>
      <c r="AJ11" s="9">
        <f t="shared" si="4"/>
        <v>0.42156831273752127</v>
      </c>
      <c r="AK11" s="9">
        <f t="shared" si="5"/>
        <v>0.17771984230436053</v>
      </c>
      <c r="AL11" s="9">
        <f t="shared" si="6"/>
        <v>0.46420983621992218</v>
      </c>
      <c r="AM11" s="9">
        <f t="shared" si="7"/>
        <v>0.21549077204332698</v>
      </c>
      <c r="AN11" s="8" t="s">
        <v>4824</v>
      </c>
    </row>
    <row r="12" spans="8:40" ht="18"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9"/>
      <c r="AA12" s="48">
        <f>SUBTOTAL(109,Table136103[ترافیک کل])</f>
        <v>700.5</v>
      </c>
      <c r="AB12" s="48"/>
      <c r="AC12" s="48"/>
      <c r="AD12" s="48"/>
      <c r="AE12" s="48"/>
      <c r="AF12" s="49">
        <f>SUBTOTAL(109,Table136103[[مجموع صفحات  مشاهده شده   ]])</f>
        <v>1526.4429999999998</v>
      </c>
      <c r="AG12" s="49">
        <f>SUBTOTAL(109,Table136103[[مجموع زمان حضور در سایت ]])</f>
        <v>1246.203666666667</v>
      </c>
      <c r="AH12" s="49">
        <f>SUBTOTAL(109,Table136103[سهم سایت از کل ترافیک طبقه بندی])</f>
        <v>100.00000000000001</v>
      </c>
      <c r="AI12" s="49">
        <f>SUBTOTAL(109,Table136103[شاخص هرفیندال هیرشمن (ترافیک)])</f>
        <v>7069.4235431915922</v>
      </c>
      <c r="AJ12" s="49">
        <f>SUBTOTAL(109,Table136103[سهم سایت از کل صفحات مشاهده شده در طبقه بندی])</f>
        <v>100.00000000000001</v>
      </c>
      <c r="AK12" s="49">
        <f>SUBTOTAL(109,Table136103[شاخص هرفیندال -هیرشمن (صفحات مشاهده شده )])</f>
        <v>8347.9850860070419</v>
      </c>
      <c r="AL12" s="49">
        <f>SUBTOTAL(109,Table136103[سهم سایت از کل زمان حضور در طبقه بندی])</f>
        <v>99.999999999999972</v>
      </c>
      <c r="AM12" s="49">
        <f>SUBTOTAL(109,Table136103[شاخص هرفیندال هیرشمن (زمان حضور)])</f>
        <v>9575.042925381138</v>
      </c>
      <c r="AN12" s="28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{F10D432F-D358-4B4D-B876-F182DF9074EE}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{2D2CAACA-753B-4EBB-8B73-4057E078DA24}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{6139DCB2-18B3-40C3-BAF8-D3991CC82924}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{F76AC8D2-32F6-430D-9401-0D76CA4A7F4D}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{CEF34A22-8E6C-4EAD-823C-AEDCBB6721B3}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{E7CC8532-4E11-42F5-BFBD-5F283B177A99}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0D432F-D358-4B4D-B876-F182DF9074E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D2CAACA-753B-4EBB-8B73-4057E078DA2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139DCB2-18B3-40C3-BAF8-D3991CC8292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76AC8D2-32F6-430D-9401-0D76CA4A7F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EF34A22-8E6C-4EAD-823C-AEDCBB6721B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E7CC8532-4E11-42F5-BFBD-5F283B177A9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5"/>
  <sheetViews>
    <sheetView showGridLines="0" rightToLeft="1" topLeftCell="AA1" zoomScale="85" zoomScaleNormal="85" workbookViewId="0">
      <selection activeCell="AC15" sqref="AC15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4.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8" t="s">
        <v>3819</v>
      </c>
      <c r="N2" s="8" t="s">
        <v>150</v>
      </c>
      <c r="O2" s="8"/>
      <c r="P2" s="8" t="s">
        <v>3704</v>
      </c>
      <c r="Q2" s="8"/>
      <c r="R2" s="8"/>
      <c r="S2" s="8"/>
      <c r="T2" s="8"/>
      <c r="U2" s="8"/>
      <c r="V2" s="8"/>
      <c r="W2" s="8" t="s">
        <v>3819</v>
      </c>
      <c r="X2" s="8">
        <v>58.95</v>
      </c>
      <c r="Y2" s="8">
        <v>2.62</v>
      </c>
      <c r="Z2" s="9">
        <v>2.2000000000000002</v>
      </c>
      <c r="AA2" s="8">
        <v>2255.9</v>
      </c>
      <c r="AB2" s="8">
        <v>275</v>
      </c>
      <c r="AC2" s="21" t="s">
        <v>3819</v>
      </c>
      <c r="AD2" s="8" t="s">
        <v>4052</v>
      </c>
      <c r="AE2" s="8" t="s">
        <v>4267</v>
      </c>
      <c r="AF2" s="9">
        <f t="shared" ref="AF2:AF14" si="0">(AA2*Y2)</f>
        <v>5910.4580000000005</v>
      </c>
      <c r="AG2" s="9">
        <f t="shared" ref="AG2:AG14" si="1">((((RIGHT(Z2,2))/60)+(LEFT(Z2,2)))*AA2)</f>
        <v>4519.3196666666672</v>
      </c>
      <c r="AH2" s="9">
        <f t="shared" ref="AH2:AH14" si="2">(AA2/$AA$15)*100</f>
        <v>88.38694510833362</v>
      </c>
      <c r="AI2" s="9">
        <f t="shared" ref="AI2:AI14" si="3">(AH2*AH2)</f>
        <v>7812.2520655835806</v>
      </c>
      <c r="AJ2" s="9">
        <f t="shared" ref="AJ2:AJ14" si="4">(AF2/$AF$15)*100</f>
        <v>88.434845476945583</v>
      </c>
      <c r="AK2" s="9">
        <f t="shared" ref="AK2:AK14" si="5">(AJ2*AJ2)</f>
        <v>7820.7218945312425</v>
      </c>
      <c r="AL2" s="9">
        <f t="shared" ref="AL2:AL14" si="6">(AG2/$AG$15)*100</f>
        <v>87.560365039607007</v>
      </c>
      <c r="AM2" s="9">
        <f t="shared" ref="AM2:AM14" si="7">(AL2*AL2)</f>
        <v>7666.8175258692327</v>
      </c>
      <c r="AN2" s="8" t="s">
        <v>3819</v>
      </c>
    </row>
    <row r="3" spans="8:40" ht="23">
      <c r="H3" s="8"/>
      <c r="I3" s="8"/>
      <c r="J3" s="8"/>
      <c r="K3" s="8"/>
      <c r="L3" s="8"/>
      <c r="M3" s="8" t="s">
        <v>4640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4640</v>
      </c>
      <c r="X3" s="8">
        <v>28.81</v>
      </c>
      <c r="Y3" s="8">
        <v>2.3199999999999998</v>
      </c>
      <c r="Z3" s="9">
        <v>0.51</v>
      </c>
      <c r="AA3" s="8">
        <v>116.4</v>
      </c>
      <c r="AB3" s="8">
        <v>5106</v>
      </c>
      <c r="AC3" s="21" t="s">
        <v>4640</v>
      </c>
      <c r="AD3" s="8" t="s">
        <v>4052</v>
      </c>
      <c r="AE3" s="8" t="s">
        <v>4267</v>
      </c>
      <c r="AF3" s="9">
        <f t="shared" si="0"/>
        <v>270.048</v>
      </c>
      <c r="AG3" s="9">
        <f t="shared" si="1"/>
        <v>98.94</v>
      </c>
      <c r="AH3" s="9">
        <f t="shared" si="2"/>
        <v>4.5605924068487225</v>
      </c>
      <c r="AI3" s="9">
        <f t="shared" si="3"/>
        <v>20.799003101406225</v>
      </c>
      <c r="AJ3" s="9">
        <f t="shared" si="4"/>
        <v>4.0405757305708283</v>
      </c>
      <c r="AK3" s="9">
        <f t="shared" si="5"/>
        <v>16.326252234477984</v>
      </c>
      <c r="AL3" s="9">
        <f t="shared" si="6"/>
        <v>1.9169306789507294</v>
      </c>
      <c r="AM3" s="9">
        <f t="shared" si="7"/>
        <v>3.6746232279025044</v>
      </c>
      <c r="AN3" s="8" t="s">
        <v>4640</v>
      </c>
    </row>
    <row r="4" spans="8:40" ht="23">
      <c r="H4" s="24"/>
      <c r="I4" s="24"/>
      <c r="J4" s="24"/>
      <c r="K4" s="24"/>
      <c r="L4" s="24"/>
      <c r="M4" s="25" t="s">
        <v>5184</v>
      </c>
      <c r="N4" s="8" t="s">
        <v>150</v>
      </c>
      <c r="O4" s="24"/>
      <c r="P4" s="24"/>
      <c r="Q4" s="24"/>
      <c r="R4" s="24"/>
      <c r="S4" s="24"/>
      <c r="T4" s="24"/>
      <c r="U4" s="24"/>
      <c r="V4" s="24"/>
      <c r="W4" s="25" t="s">
        <v>5184</v>
      </c>
      <c r="X4" s="8">
        <v>35.4</v>
      </c>
      <c r="Y4" s="8">
        <v>2.64</v>
      </c>
      <c r="Z4" s="9">
        <v>2.02</v>
      </c>
      <c r="AA4" s="8">
        <v>64.900000000000006</v>
      </c>
      <c r="AB4" s="8">
        <v>3867</v>
      </c>
      <c r="AC4" s="22" t="s">
        <v>5184</v>
      </c>
      <c r="AD4" s="8" t="s">
        <v>4052</v>
      </c>
      <c r="AE4" s="8" t="s">
        <v>4267</v>
      </c>
      <c r="AF4" s="9">
        <f t="shared" si="0"/>
        <v>171.33600000000001</v>
      </c>
      <c r="AG4" s="9">
        <f t="shared" si="1"/>
        <v>131.96333333333334</v>
      </c>
      <c r="AH4" s="9">
        <f t="shared" si="2"/>
        <v>2.5428045292481283</v>
      </c>
      <c r="AI4" s="9">
        <f t="shared" si="3"/>
        <v>6.465854873964795</v>
      </c>
      <c r="AJ4" s="9">
        <f t="shared" si="4"/>
        <v>2.5636038162589005</v>
      </c>
      <c r="AK4" s="9">
        <f t="shared" si="5"/>
        <v>6.5720645267371989</v>
      </c>
      <c r="AL4" s="9">
        <f t="shared" si="6"/>
        <v>2.5567471413307872</v>
      </c>
      <c r="AM4" s="9">
        <f t="shared" si="7"/>
        <v>6.536955944703152</v>
      </c>
      <c r="AN4" s="25" t="s">
        <v>5184</v>
      </c>
    </row>
    <row r="5" spans="8:40" ht="23">
      <c r="H5" s="8"/>
      <c r="I5" s="8"/>
      <c r="J5" s="8"/>
      <c r="K5" s="8"/>
      <c r="L5" s="8"/>
      <c r="M5" s="9" t="s">
        <v>2884</v>
      </c>
      <c r="N5" s="8" t="s">
        <v>1717</v>
      </c>
      <c r="O5" s="8"/>
      <c r="P5" s="8"/>
      <c r="Q5" s="8"/>
      <c r="R5" s="8"/>
      <c r="S5" s="8"/>
      <c r="T5" s="8"/>
      <c r="U5" s="8"/>
      <c r="V5" s="8"/>
      <c r="W5" s="9" t="s">
        <v>2884</v>
      </c>
      <c r="X5" s="8">
        <v>7.74</v>
      </c>
      <c r="Y5" s="8">
        <v>1.56</v>
      </c>
      <c r="Z5" s="9">
        <v>0.56999999999999995</v>
      </c>
      <c r="AA5" s="8">
        <v>26.3</v>
      </c>
      <c r="AB5" s="8">
        <v>12748</v>
      </c>
      <c r="AC5" s="22" t="s">
        <v>2884</v>
      </c>
      <c r="AD5" s="8" t="s">
        <v>4642</v>
      </c>
      <c r="AE5" s="8" t="s">
        <v>4267</v>
      </c>
      <c r="AF5" s="9">
        <f t="shared" si="0"/>
        <v>41.028000000000006</v>
      </c>
      <c r="AG5" s="9">
        <f t="shared" si="1"/>
        <v>24.984999999999999</v>
      </c>
      <c r="AH5" s="9">
        <f t="shared" si="2"/>
        <v>1.0304431297261289</v>
      </c>
      <c r="AI5" s="9">
        <f t="shared" si="3"/>
        <v>1.0618130435997799</v>
      </c>
      <c r="AJ5" s="9">
        <f t="shared" si="4"/>
        <v>0.61387879589502603</v>
      </c>
      <c r="AK5" s="9">
        <f t="shared" si="5"/>
        <v>0.37684717604952706</v>
      </c>
      <c r="AL5" s="9">
        <f t="shared" si="6"/>
        <v>0.48407633933276706</v>
      </c>
      <c r="AM5" s="9">
        <f t="shared" si="7"/>
        <v>0.23432990230181225</v>
      </c>
      <c r="AN5" s="9" t="s">
        <v>2884</v>
      </c>
    </row>
    <row r="6" spans="8:40" ht="23">
      <c r="H6" s="8"/>
      <c r="I6" s="8"/>
      <c r="J6" s="8"/>
      <c r="K6" s="8"/>
      <c r="L6" s="8"/>
      <c r="M6" s="9" t="s">
        <v>1248</v>
      </c>
      <c r="N6" s="8" t="s">
        <v>150</v>
      </c>
      <c r="O6" s="8"/>
      <c r="P6" s="8" t="s">
        <v>4667</v>
      </c>
      <c r="Q6" s="8"/>
      <c r="R6" s="8"/>
      <c r="S6" s="8"/>
      <c r="T6" s="8"/>
      <c r="U6" s="8"/>
      <c r="V6" s="8"/>
      <c r="W6" s="9" t="s">
        <v>1248</v>
      </c>
      <c r="X6" s="8">
        <v>22.07</v>
      </c>
      <c r="Y6" s="8">
        <v>4.8499999999999996</v>
      </c>
      <c r="Z6" s="9">
        <v>10.41</v>
      </c>
      <c r="AA6" s="8">
        <v>24.7</v>
      </c>
      <c r="AB6" s="8">
        <v>5211</v>
      </c>
      <c r="AC6" s="22" t="s">
        <v>1248</v>
      </c>
      <c r="AD6" s="8" t="s">
        <v>4052</v>
      </c>
      <c r="AE6" s="8" t="s">
        <v>4267</v>
      </c>
      <c r="AF6" s="9">
        <f t="shared" si="0"/>
        <v>119.79499999999999</v>
      </c>
      <c r="AG6" s="9">
        <f t="shared" si="1"/>
        <v>263.87833333333333</v>
      </c>
      <c r="AH6" s="9">
        <f t="shared" si="2"/>
        <v>0.96775457430552803</v>
      </c>
      <c r="AI6" s="9">
        <f t="shared" si="3"/>
        <v>0.93654891608927382</v>
      </c>
      <c r="AJ6" s="9">
        <f t="shared" si="4"/>
        <v>1.7924249379507804</v>
      </c>
      <c r="AK6" s="9">
        <f t="shared" si="5"/>
        <v>3.2127871581878589</v>
      </c>
      <c r="AL6" s="9">
        <f t="shared" si="6"/>
        <v>5.1125578398731912</v>
      </c>
      <c r="AM6" s="9">
        <f t="shared" si="7"/>
        <v>26.13824766604883</v>
      </c>
      <c r="AN6" s="9" t="s">
        <v>1248</v>
      </c>
    </row>
    <row r="7" spans="8:40" ht="23">
      <c r="H7" s="8"/>
      <c r="I7" s="8"/>
      <c r="J7" s="8"/>
      <c r="K7" s="8"/>
      <c r="L7" s="8"/>
      <c r="M7" s="8" t="s">
        <v>4641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4641</v>
      </c>
      <c r="X7" s="8">
        <v>27.47</v>
      </c>
      <c r="Y7" s="8">
        <v>1.45</v>
      </c>
      <c r="Z7" s="9">
        <v>0.39</v>
      </c>
      <c r="AA7" s="8">
        <v>22.7</v>
      </c>
      <c r="AB7" s="8">
        <v>22075</v>
      </c>
      <c r="AC7" s="21" t="s">
        <v>4641</v>
      </c>
      <c r="AD7" s="8" t="s">
        <v>4052</v>
      </c>
      <c r="AE7" s="8" t="s">
        <v>4267</v>
      </c>
      <c r="AF7" s="9">
        <f t="shared" si="0"/>
        <v>32.914999999999999</v>
      </c>
      <c r="AG7" s="9">
        <f t="shared" si="1"/>
        <v>14.755000000000001</v>
      </c>
      <c r="AH7" s="9">
        <f t="shared" si="2"/>
        <v>0.8893938800297766</v>
      </c>
      <c r="AI7" s="9">
        <f t="shared" si="3"/>
        <v>0.79102147383442067</v>
      </c>
      <c r="AJ7" s="9">
        <f t="shared" si="4"/>
        <v>0.49248855822571846</v>
      </c>
      <c r="AK7" s="9">
        <f t="shared" si="5"/>
        <v>0.24254497998324689</v>
      </c>
      <c r="AL7" s="9">
        <f t="shared" si="6"/>
        <v>0.28587337950190028</v>
      </c>
      <c r="AM7" s="9">
        <f t="shared" si="7"/>
        <v>8.1723589107837502E-2</v>
      </c>
      <c r="AN7" s="8" t="s">
        <v>4641</v>
      </c>
    </row>
    <row r="8" spans="8:40" ht="23">
      <c r="H8" s="24"/>
      <c r="I8" s="24"/>
      <c r="J8" s="24"/>
      <c r="K8" s="24"/>
      <c r="L8" s="24"/>
      <c r="M8" s="25" t="s">
        <v>5182</v>
      </c>
      <c r="N8" s="8" t="s">
        <v>150</v>
      </c>
      <c r="O8" s="24"/>
      <c r="P8" s="24"/>
      <c r="Q8" s="24"/>
      <c r="R8" s="24"/>
      <c r="S8" s="24"/>
      <c r="T8" s="24"/>
      <c r="U8" s="24"/>
      <c r="V8" s="24"/>
      <c r="W8" s="25" t="s">
        <v>5182</v>
      </c>
      <c r="X8" s="8">
        <v>34.57</v>
      </c>
      <c r="Y8" s="8">
        <v>2.4500000000000002</v>
      </c>
      <c r="Z8" s="9">
        <v>1.35</v>
      </c>
      <c r="AA8" s="8">
        <v>12.3</v>
      </c>
      <c r="AB8" s="8">
        <v>11327</v>
      </c>
      <c r="AC8" s="22" t="s">
        <v>5182</v>
      </c>
      <c r="AD8" s="8" t="s">
        <v>4052</v>
      </c>
      <c r="AE8" s="8" t="s">
        <v>4267</v>
      </c>
      <c r="AF8" s="9">
        <f t="shared" si="0"/>
        <v>30.135000000000005</v>
      </c>
      <c r="AG8" s="9">
        <f t="shared" si="1"/>
        <v>19.475000000000001</v>
      </c>
      <c r="AH8" s="9">
        <f t="shared" si="2"/>
        <v>0.48191826979587021</v>
      </c>
      <c r="AI8" s="9">
        <f t="shared" si="3"/>
        <v>0.23224521876304516</v>
      </c>
      <c r="AJ8" s="9">
        <f t="shared" si="4"/>
        <v>0.45089298806416611</v>
      </c>
      <c r="AK8" s="9">
        <f t="shared" si="5"/>
        <v>0.20330448668543225</v>
      </c>
      <c r="AL8" s="9">
        <f t="shared" si="6"/>
        <v>0.37732186145709984</v>
      </c>
      <c r="AM8" s="9">
        <f t="shared" si="7"/>
        <v>0.14237178713345083</v>
      </c>
      <c r="AN8" s="25" t="s">
        <v>5182</v>
      </c>
    </row>
    <row r="9" spans="8:40" ht="23">
      <c r="H9" s="24"/>
      <c r="I9" s="24"/>
      <c r="J9" s="24"/>
      <c r="K9" s="24"/>
      <c r="L9" s="24"/>
      <c r="M9" s="25" t="s">
        <v>5183</v>
      </c>
      <c r="N9" s="8" t="s">
        <v>150</v>
      </c>
      <c r="O9" s="24"/>
      <c r="P9" s="24"/>
      <c r="Q9" s="24"/>
      <c r="R9" s="24"/>
      <c r="S9" s="24"/>
      <c r="T9" s="24"/>
      <c r="U9" s="24"/>
      <c r="V9" s="24"/>
      <c r="W9" s="25" t="s">
        <v>5183</v>
      </c>
      <c r="X9" s="8">
        <v>10.28</v>
      </c>
      <c r="Y9" s="8">
        <v>4.66</v>
      </c>
      <c r="Z9" s="9">
        <v>3.13</v>
      </c>
      <c r="AA9" s="8">
        <v>9.3000000000000007</v>
      </c>
      <c r="AB9" s="8">
        <v>10551</v>
      </c>
      <c r="AC9" s="22" t="s">
        <v>5183</v>
      </c>
      <c r="AD9" s="8" t="s">
        <v>4052</v>
      </c>
      <c r="AE9" s="8" t="s">
        <v>4267</v>
      </c>
      <c r="AF9" s="9">
        <f t="shared" si="0"/>
        <v>43.338000000000008</v>
      </c>
      <c r="AG9" s="9">
        <f t="shared" si="1"/>
        <v>29.915000000000003</v>
      </c>
      <c r="AH9" s="9">
        <f t="shared" si="2"/>
        <v>0.36437722838224335</v>
      </c>
      <c r="AI9" s="9">
        <f t="shared" si="3"/>
        <v>0.13277076456352552</v>
      </c>
      <c r="AJ9" s="9">
        <f t="shared" si="4"/>
        <v>0.64844202146092034</v>
      </c>
      <c r="AK9" s="9">
        <f t="shared" si="5"/>
        <v>0.42047705519632467</v>
      </c>
      <c r="AL9" s="9">
        <f t="shared" si="6"/>
        <v>0.5795935037478378</v>
      </c>
      <c r="AM9" s="9">
        <f t="shared" si="7"/>
        <v>0.33592862958669489</v>
      </c>
      <c r="AN9" s="25" t="s">
        <v>5183</v>
      </c>
    </row>
    <row r="10" spans="8:40" ht="23">
      <c r="H10" s="8"/>
      <c r="I10" s="8"/>
      <c r="J10" s="8"/>
      <c r="K10" s="8"/>
      <c r="L10" s="8"/>
      <c r="M10" s="9" t="s">
        <v>4773</v>
      </c>
      <c r="N10" s="8" t="s">
        <v>1614</v>
      </c>
      <c r="O10" s="8"/>
      <c r="P10" s="8" t="s">
        <v>3691</v>
      </c>
      <c r="Q10" s="8"/>
      <c r="R10" s="8"/>
      <c r="S10" s="8"/>
      <c r="T10" s="8"/>
      <c r="U10" s="8"/>
      <c r="V10" s="8"/>
      <c r="W10" s="9" t="s">
        <v>4773</v>
      </c>
      <c r="X10" s="8">
        <v>18.510000000000002</v>
      </c>
      <c r="Y10" s="8">
        <v>2.08</v>
      </c>
      <c r="Z10" s="9">
        <v>1.48</v>
      </c>
      <c r="AA10" s="8">
        <v>5.5</v>
      </c>
      <c r="AB10" s="8">
        <v>30888</v>
      </c>
      <c r="AC10" s="22" t="s">
        <v>4773</v>
      </c>
      <c r="AD10" s="8" t="s">
        <v>4052</v>
      </c>
      <c r="AE10" s="8" t="s">
        <v>4267</v>
      </c>
      <c r="AF10" s="9">
        <f t="shared" si="0"/>
        <v>11.440000000000001</v>
      </c>
      <c r="AG10" s="9">
        <f t="shared" si="1"/>
        <v>9.9</v>
      </c>
      <c r="AH10" s="9">
        <f t="shared" si="2"/>
        <v>0.21549190925831593</v>
      </c>
      <c r="AI10" s="9">
        <f t="shared" si="3"/>
        <v>4.643676295579427E-2</v>
      </c>
      <c r="AJ10" s="9">
        <f t="shared" si="4"/>
        <v>0.17117025994538113</v>
      </c>
      <c r="AK10" s="9">
        <f t="shared" si="5"/>
        <v>2.9299257889769347E-2</v>
      </c>
      <c r="AL10" s="9">
        <f t="shared" si="6"/>
        <v>0.19180931596535497</v>
      </c>
      <c r="AM10" s="9">
        <f t="shared" si="7"/>
        <v>3.6790813691097379E-2</v>
      </c>
      <c r="AN10" s="9" t="s">
        <v>4773</v>
      </c>
    </row>
    <row r="11" spans="8:40" ht="23">
      <c r="H11" s="8"/>
      <c r="I11" s="8"/>
      <c r="J11" s="8"/>
      <c r="K11" s="8"/>
      <c r="L11" s="8"/>
      <c r="M11" s="8" t="s">
        <v>1975</v>
      </c>
      <c r="N11" s="8" t="s">
        <v>1964</v>
      </c>
      <c r="O11" s="8"/>
      <c r="P11" s="8"/>
      <c r="Q11" s="8"/>
      <c r="R11" s="8"/>
      <c r="S11" s="8"/>
      <c r="T11" s="8"/>
      <c r="U11" s="8"/>
      <c r="V11" s="8"/>
      <c r="W11" s="8" t="s">
        <v>1975</v>
      </c>
      <c r="X11" s="8">
        <v>15.69</v>
      </c>
      <c r="Y11" s="8">
        <v>3.95</v>
      </c>
      <c r="Z11" s="9">
        <v>3.07</v>
      </c>
      <c r="AA11" s="8">
        <v>4.8</v>
      </c>
      <c r="AB11" s="8">
        <v>17983</v>
      </c>
      <c r="AC11" s="21" t="s">
        <v>1975</v>
      </c>
      <c r="AD11" s="8" t="s">
        <v>4052</v>
      </c>
      <c r="AE11" s="8" t="s">
        <v>4267</v>
      </c>
      <c r="AF11" s="9">
        <f t="shared" si="0"/>
        <v>18.96</v>
      </c>
      <c r="AG11" s="9">
        <f t="shared" si="1"/>
        <v>14.959999999999999</v>
      </c>
      <c r="AH11" s="9">
        <f t="shared" si="2"/>
        <v>0.18806566626180299</v>
      </c>
      <c r="AI11" s="9">
        <f t="shared" si="3"/>
        <v>3.5368694826495864E-2</v>
      </c>
      <c r="AJ11" s="9">
        <f t="shared" si="4"/>
        <v>0.28368777347591134</v>
      </c>
      <c r="AK11" s="9">
        <f t="shared" si="5"/>
        <v>8.0478752819719987E-2</v>
      </c>
      <c r="AL11" s="9">
        <f t="shared" si="6"/>
        <v>0.28984518856986968</v>
      </c>
      <c r="AM11" s="9">
        <f t="shared" si="7"/>
        <v>8.4010233337103321E-2</v>
      </c>
      <c r="AN11" s="8" t="s">
        <v>1975</v>
      </c>
    </row>
    <row r="12" spans="8:40" ht="23">
      <c r="H12" s="8"/>
      <c r="I12" s="8"/>
      <c r="J12" s="8"/>
      <c r="K12" s="8"/>
      <c r="L12" s="8"/>
      <c r="M12" s="9" t="s">
        <v>2491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9" t="s">
        <v>2491</v>
      </c>
      <c r="X12" s="8">
        <v>23.04</v>
      </c>
      <c r="Y12" s="8">
        <v>3.47</v>
      </c>
      <c r="Z12" s="9">
        <v>1.38</v>
      </c>
      <c r="AA12" s="8">
        <v>4.3</v>
      </c>
      <c r="AB12" s="8">
        <v>25705</v>
      </c>
      <c r="AC12" s="22" t="s">
        <v>2491</v>
      </c>
      <c r="AD12" s="8" t="s">
        <v>4052</v>
      </c>
      <c r="AE12" s="8" t="s">
        <v>4267</v>
      </c>
      <c r="AF12" s="9">
        <f t="shared" si="0"/>
        <v>14.920999999999999</v>
      </c>
      <c r="AG12" s="9">
        <f t="shared" si="1"/>
        <v>7.0233333333333325</v>
      </c>
      <c r="AH12" s="9">
        <f t="shared" si="2"/>
        <v>0.16847549269286519</v>
      </c>
      <c r="AI12" s="9">
        <f t="shared" si="3"/>
        <v>2.8383991638103671E-2</v>
      </c>
      <c r="AJ12" s="9">
        <f t="shared" si="4"/>
        <v>0.22325449725918109</v>
      </c>
      <c r="AK12" s="9">
        <f t="shared" si="5"/>
        <v>4.9842570546449694E-2</v>
      </c>
      <c r="AL12" s="9">
        <f t="shared" si="6"/>
        <v>0.13607482449124678</v>
      </c>
      <c r="AM12" s="9">
        <f t="shared" si="7"/>
        <v>1.8516357860323615E-2</v>
      </c>
      <c r="AN12" s="9" t="s">
        <v>2491</v>
      </c>
    </row>
    <row r="13" spans="8:40" ht="23">
      <c r="H13" s="24"/>
      <c r="I13" s="24"/>
      <c r="J13" s="24"/>
      <c r="K13" s="24"/>
      <c r="L13" s="24"/>
      <c r="M13" s="25" t="s">
        <v>5271</v>
      </c>
      <c r="N13" s="8" t="s">
        <v>150</v>
      </c>
      <c r="O13" s="24"/>
      <c r="P13" s="24"/>
      <c r="Q13" s="24"/>
      <c r="R13" s="24"/>
      <c r="S13" s="24"/>
      <c r="T13" s="24"/>
      <c r="U13" s="24"/>
      <c r="V13" s="24"/>
      <c r="W13" s="25" t="s">
        <v>5271</v>
      </c>
      <c r="X13" s="8">
        <v>32.82</v>
      </c>
      <c r="Y13" s="8">
        <v>3.94</v>
      </c>
      <c r="Z13" s="9">
        <v>6.2</v>
      </c>
      <c r="AA13" s="8">
        <v>3.4</v>
      </c>
      <c r="AB13" s="8">
        <v>33283</v>
      </c>
      <c r="AC13" s="22" t="s">
        <v>5271</v>
      </c>
      <c r="AD13" s="8" t="s">
        <v>4052</v>
      </c>
      <c r="AE13" s="8" t="s">
        <v>4267</v>
      </c>
      <c r="AF13" s="9">
        <f t="shared" si="0"/>
        <v>13.395999999999999</v>
      </c>
      <c r="AG13" s="9">
        <f t="shared" si="1"/>
        <v>20.411333333333332</v>
      </c>
      <c r="AH13" s="9">
        <f t="shared" si="2"/>
        <v>0.13321318026877713</v>
      </c>
      <c r="AI13" s="9">
        <f t="shared" si="3"/>
        <v>1.7745751397321711E-2</v>
      </c>
      <c r="AJ13" s="9">
        <f t="shared" si="4"/>
        <v>0.2004367834115669</v>
      </c>
      <c r="AK13" s="9">
        <f t="shared" si="5"/>
        <v>4.0174904144375377E-2</v>
      </c>
      <c r="AL13" s="9">
        <f t="shared" si="6"/>
        <v>0.39546301864722377</v>
      </c>
      <c r="AM13" s="9">
        <f t="shared" si="7"/>
        <v>0.15639099911757445</v>
      </c>
      <c r="AN13" s="25" t="s">
        <v>5271</v>
      </c>
    </row>
    <row r="14" spans="8:40" ht="23">
      <c r="H14" s="8"/>
      <c r="I14" s="8"/>
      <c r="J14" s="8"/>
      <c r="K14" s="8"/>
      <c r="L14" s="8"/>
      <c r="M14" s="9" t="s">
        <v>5181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9" t="s">
        <v>5181</v>
      </c>
      <c r="X14" s="8">
        <v>37.229999999999997</v>
      </c>
      <c r="Y14" s="8">
        <v>3.13</v>
      </c>
      <c r="Z14" s="9">
        <v>3.15</v>
      </c>
      <c r="AA14" s="8">
        <v>1.8</v>
      </c>
      <c r="AB14" s="8">
        <v>45787</v>
      </c>
      <c r="AC14" s="22" t="s">
        <v>5181</v>
      </c>
      <c r="AD14" s="8" t="s">
        <v>4052</v>
      </c>
      <c r="AE14" s="8" t="s">
        <v>4267</v>
      </c>
      <c r="AF14" s="9">
        <f t="shared" si="0"/>
        <v>5.6340000000000003</v>
      </c>
      <c r="AG14" s="9">
        <f t="shared" si="1"/>
        <v>5.8500000000000005</v>
      </c>
      <c r="AH14" s="9">
        <f t="shared" si="2"/>
        <v>7.0524624848176135E-2</v>
      </c>
      <c r="AI14" s="9">
        <f t="shared" si="3"/>
        <v>4.9737227099759824E-3</v>
      </c>
      <c r="AJ14" s="9">
        <f t="shared" si="4"/>
        <v>8.4298360536038217E-2</v>
      </c>
      <c r="AK14" s="9">
        <f t="shared" si="5"/>
        <v>7.1062135890638855E-3</v>
      </c>
      <c r="AL14" s="9">
        <f t="shared" si="6"/>
        <v>0.1133418685249825</v>
      </c>
      <c r="AM14" s="9">
        <f t="shared" si="7"/>
        <v>1.2846379160734419E-2</v>
      </c>
      <c r="AN14" s="9" t="s">
        <v>5181</v>
      </c>
    </row>
    <row r="15" spans="8:40" ht="23">
      <c r="H15" s="8"/>
      <c r="I15" s="8"/>
      <c r="J15" s="8"/>
      <c r="K15" s="8"/>
      <c r="L15" s="8"/>
      <c r="M15" s="9"/>
      <c r="N15" s="8"/>
      <c r="O15" s="8"/>
      <c r="P15" s="8"/>
      <c r="Q15" s="8"/>
      <c r="R15" s="8"/>
      <c r="S15" s="8"/>
      <c r="T15" s="8"/>
      <c r="U15" s="8"/>
      <c r="V15" s="8"/>
      <c r="W15" s="9"/>
      <c r="X15" s="8"/>
      <c r="Y15" s="8"/>
      <c r="Z15" s="9"/>
      <c r="AA15" s="8">
        <f>SUBTOTAL(109,Table136104[ترافیک کل])</f>
        <v>2552.3000000000011</v>
      </c>
      <c r="AB15" s="8"/>
      <c r="AC15" s="9"/>
      <c r="AD15" s="8"/>
      <c r="AE15" s="8"/>
      <c r="AF15" s="9">
        <f>SUBTOTAL(109,Table136104[[مجموع صفحات  مشاهده شده   ]])</f>
        <v>6683.4040000000005</v>
      </c>
      <c r="AG15" s="9">
        <f>SUBTOTAL(109,Table136104[[مجموع زمان حضور در سایت ]])</f>
        <v>5161.3760000000002</v>
      </c>
      <c r="AH15" s="9">
        <f>SUBTOTAL(109,Table136104[سهم سایت از کل ترافیک طبقه بندی])</f>
        <v>99.999999999999957</v>
      </c>
      <c r="AI15" s="9">
        <f>SUBTOTAL(109,Table136104[شاخص هرفیندال هیرشمن (ترافیک)])</f>
        <v>7842.8042318993275</v>
      </c>
      <c r="AJ15" s="9">
        <f>SUBTOTAL(109,Table136104[سهم سایت از کل صفحات مشاهده شده در طبقه بندی])</f>
        <v>100.00000000000001</v>
      </c>
      <c r="AK15" s="9">
        <f>SUBTOTAL(109,Table136104[شاخص هرفیندال -هیرشمن (صفحات مشاهده شده )])</f>
        <v>7848.2830738475495</v>
      </c>
      <c r="AL15" s="9">
        <f>SUBTOTAL(109,Table136104[سهم سایت از کل زمان حضور در طبقه بندی])</f>
        <v>100.00000000000001</v>
      </c>
      <c r="AM15" s="9">
        <f>SUBTOTAL(109,Table136104[شاخص هرفیندال هیرشمن (زمان حضور)])</f>
        <v>7704.2702613991833</v>
      </c>
      <c r="AN15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{7D53FA56-2A60-4320-AA3C-DD4C3D1F31BF}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{33E392E4-C81A-4AA9-8AAE-45AFDBC70C17}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{B836C85C-8C40-4F5B-B622-9393B90840D9}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{8469DA62-999A-4752-83E6-784D65BD9111}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{AC56DC3C-9C3F-4CFB-975D-790930B700AD}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{E1BC61D5-ECBB-4B2E-B47C-4D6609C440AA}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53FA56-2A60-4320-AA3C-DD4C3D1F31B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3E392E4-C81A-4AA9-8AAE-45AFDBC70C1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836C85C-8C40-4F5B-B622-9393B90840D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469DA62-999A-4752-83E6-784D65BD91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C56DC3C-9C3F-4CFB-975D-790930B700A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E1BC61D5-ECBB-4B2E-B47C-4D6609C440A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2"/>
  <sheetViews>
    <sheetView showGridLines="0" rightToLeft="1" topLeftCell="AB1" zoomScale="70" zoomScaleNormal="70" workbookViewId="0">
      <selection activeCell="AB12" sqref="AB1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7.5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3754</v>
      </c>
      <c r="N2" s="8"/>
      <c r="O2" s="8"/>
      <c r="P2" s="8"/>
      <c r="Q2" s="8"/>
      <c r="R2" s="8"/>
      <c r="S2" s="8"/>
      <c r="T2" s="8"/>
      <c r="U2" s="8"/>
      <c r="V2" s="8"/>
      <c r="W2" s="8" t="s">
        <v>3754</v>
      </c>
      <c r="X2" s="8">
        <v>30.81</v>
      </c>
      <c r="Y2" s="8">
        <v>3.76</v>
      </c>
      <c r="Z2" s="9">
        <v>1.27</v>
      </c>
      <c r="AA2" s="8">
        <v>7332.2</v>
      </c>
      <c r="AB2" s="8">
        <v>122</v>
      </c>
      <c r="AC2" s="21" t="s">
        <v>3754</v>
      </c>
      <c r="AD2" s="8" t="s">
        <v>4290</v>
      </c>
      <c r="AE2" s="8" t="s">
        <v>4290</v>
      </c>
      <c r="AF2" s="9">
        <f t="shared" ref="AF2:AF11" si="0">(AA2*Y2)</f>
        <v>27569.071999999996</v>
      </c>
      <c r="AG2" s="9">
        <f t="shared" ref="AG2:AG11" si="1">((((RIGHT(Z2,2))/60)+(LEFT(Z2,2)))*AA2)</f>
        <v>10631.689999999999</v>
      </c>
      <c r="AH2" s="9">
        <f t="shared" ref="AH2:AH11" si="2">(AA2/$AA$12)*100</f>
        <v>30.500634372595105</v>
      </c>
      <c r="AI2" s="9">
        <f t="shared" ref="AI2:AI11" si="3">(AH2*AH2)</f>
        <v>930.28869713072993</v>
      </c>
      <c r="AJ2" s="9">
        <f t="shared" ref="AJ2:AJ11" si="4">(AF2/$AF$12)*100</f>
        <v>34.975041607047771</v>
      </c>
      <c r="AK2" s="9">
        <f t="shared" ref="AK2:AK11" si="5">(AJ2*AJ2)</f>
        <v>1223.2535354147228</v>
      </c>
      <c r="AL2" s="9">
        <f t="shared" ref="AL2:AL11" si="6">(AG2/$AG$12)*100</f>
        <v>22.004013303833879</v>
      </c>
      <c r="AM2" s="9">
        <f t="shared" ref="AM2:AM11" si="7">(AL2*AL2)</f>
        <v>484.17660147529836</v>
      </c>
      <c r="AN2" s="8" t="s">
        <v>3754</v>
      </c>
    </row>
    <row r="3" spans="8:40" ht="23">
      <c r="M3" s="8" t="s">
        <v>3767</v>
      </c>
      <c r="N3" s="8"/>
      <c r="O3" s="8"/>
      <c r="P3" s="8"/>
      <c r="Q3" s="8"/>
      <c r="R3" s="8"/>
      <c r="S3" s="8"/>
      <c r="T3" s="8"/>
      <c r="U3" s="8"/>
      <c r="V3" s="8"/>
      <c r="W3" s="8" t="s">
        <v>3767</v>
      </c>
      <c r="X3" s="8">
        <v>71.81</v>
      </c>
      <c r="Y3" s="8">
        <v>3.55</v>
      </c>
      <c r="Z3" s="9">
        <v>1.42</v>
      </c>
      <c r="AA3" s="8">
        <v>7049.6</v>
      </c>
      <c r="AB3" s="8">
        <v>56</v>
      </c>
      <c r="AC3" s="21" t="s">
        <v>3767</v>
      </c>
      <c r="AD3" s="8" t="s">
        <v>4290</v>
      </c>
      <c r="AE3" s="8" t="s">
        <v>4290</v>
      </c>
      <c r="AF3" s="9">
        <f t="shared" si="0"/>
        <v>25026.080000000002</v>
      </c>
      <c r="AG3" s="9">
        <f t="shared" si="1"/>
        <v>11984.32</v>
      </c>
      <c r="AH3" s="9">
        <f t="shared" si="2"/>
        <v>29.325069157012418</v>
      </c>
      <c r="AI3" s="9">
        <f t="shared" si="3"/>
        <v>859.95968106356099</v>
      </c>
      <c r="AJ3" s="9">
        <f t="shared" si="4"/>
        <v>31.748917383265791</v>
      </c>
      <c r="AK3" s="9">
        <f t="shared" si="5"/>
        <v>1007.9937550094368</v>
      </c>
      <c r="AL3" s="9">
        <f t="shared" si="6"/>
        <v>24.803501298232216</v>
      </c>
      <c r="AM3" s="9">
        <f t="shared" si="7"/>
        <v>615.21367665140724</v>
      </c>
      <c r="AN3" s="8" t="s">
        <v>3767</v>
      </c>
    </row>
    <row r="4" spans="8:40" ht="23">
      <c r="M4" s="8" t="s">
        <v>3814</v>
      </c>
      <c r="N4" s="8"/>
      <c r="O4" s="8"/>
      <c r="P4" s="8"/>
      <c r="Q4" s="8"/>
      <c r="R4" s="8"/>
      <c r="S4" s="8"/>
      <c r="T4" s="8"/>
      <c r="U4" s="8"/>
      <c r="V4" s="8"/>
      <c r="W4" s="8" t="s">
        <v>3814</v>
      </c>
      <c r="X4" s="8">
        <v>71.069999999999993</v>
      </c>
      <c r="Y4" s="8">
        <v>2.97</v>
      </c>
      <c r="Z4" s="9">
        <v>3.33</v>
      </c>
      <c r="AA4" s="8">
        <v>4905.5</v>
      </c>
      <c r="AB4" s="8">
        <v>283</v>
      </c>
      <c r="AC4" s="21" t="s">
        <v>3814</v>
      </c>
      <c r="AD4" s="8" t="s">
        <v>4290</v>
      </c>
      <c r="AE4" s="8" t="s">
        <v>4290</v>
      </c>
      <c r="AF4" s="9">
        <f t="shared" si="0"/>
        <v>14569.335000000001</v>
      </c>
      <c r="AG4" s="9">
        <f t="shared" si="1"/>
        <v>17414.524999999998</v>
      </c>
      <c r="AH4" s="9">
        <f t="shared" si="2"/>
        <v>20.405998460866488</v>
      </c>
      <c r="AI4" s="9">
        <f t="shared" si="3"/>
        <v>416.40477318488547</v>
      </c>
      <c r="AJ4" s="9">
        <f t="shared" si="4"/>
        <v>18.483142915075902</v>
      </c>
      <c r="AK4" s="9">
        <f t="shared" si="5"/>
        <v>341.62657201912054</v>
      </c>
      <c r="AL4" s="9">
        <f t="shared" si="6"/>
        <v>36.042194588061513</v>
      </c>
      <c r="AM4" s="9">
        <f t="shared" si="7"/>
        <v>1299.0397907236907</v>
      </c>
      <c r="AN4" s="8" t="s">
        <v>3814</v>
      </c>
    </row>
    <row r="5" spans="8:40" ht="23">
      <c r="M5" s="8" t="s">
        <v>3859</v>
      </c>
      <c r="N5" s="8"/>
      <c r="O5" s="8"/>
      <c r="P5" s="8"/>
      <c r="Q5" s="8"/>
      <c r="R5" s="8"/>
      <c r="S5" s="8"/>
      <c r="T5" s="8"/>
      <c r="U5" s="8"/>
      <c r="V5" s="8"/>
      <c r="W5" s="8" t="s">
        <v>3859</v>
      </c>
      <c r="X5" s="8">
        <v>62.35</v>
      </c>
      <c r="Y5" s="8">
        <v>2.56</v>
      </c>
      <c r="Z5" s="9">
        <v>1.56</v>
      </c>
      <c r="AA5" s="8">
        <v>4215.8999999999996</v>
      </c>
      <c r="AB5" s="8">
        <v>259</v>
      </c>
      <c r="AC5" s="21" t="s">
        <v>3859</v>
      </c>
      <c r="AD5" s="8" t="s">
        <v>4290</v>
      </c>
      <c r="AE5" s="8" t="s">
        <v>4290</v>
      </c>
      <c r="AF5" s="9">
        <f t="shared" si="0"/>
        <v>10792.704</v>
      </c>
      <c r="AG5" s="9">
        <f t="shared" si="1"/>
        <v>8150.74</v>
      </c>
      <c r="AH5" s="9">
        <f t="shared" si="2"/>
        <v>17.537386384908171</v>
      </c>
      <c r="AI5" s="9">
        <f t="shared" si="3"/>
        <v>307.55992121356246</v>
      </c>
      <c r="AJ5" s="9">
        <f t="shared" si="4"/>
        <v>13.691983228617593</v>
      </c>
      <c r="AK5" s="9">
        <f t="shared" si="5"/>
        <v>187.47040473274544</v>
      </c>
      <c r="AL5" s="9">
        <f t="shared" si="6"/>
        <v>16.869283377909909</v>
      </c>
      <c r="AM5" s="9">
        <f t="shared" si="7"/>
        <v>284.57272168422753</v>
      </c>
      <c r="AN5" s="8" t="s">
        <v>3859</v>
      </c>
    </row>
    <row r="6" spans="8:40" ht="23">
      <c r="M6" s="24" t="s">
        <v>4929</v>
      </c>
      <c r="N6" s="24"/>
      <c r="O6" s="24"/>
      <c r="P6" s="24"/>
      <c r="Q6" s="24"/>
      <c r="R6" s="24"/>
      <c r="S6" s="24"/>
      <c r="T6" s="24"/>
      <c r="U6" s="24"/>
      <c r="V6" s="24"/>
      <c r="W6" s="24" t="s">
        <v>4929</v>
      </c>
      <c r="X6" s="8">
        <v>47.46</v>
      </c>
      <c r="Y6" s="8">
        <v>1.52</v>
      </c>
      <c r="Z6" s="9">
        <v>0.1</v>
      </c>
      <c r="AA6" s="8">
        <v>420.8</v>
      </c>
      <c r="AB6" s="8">
        <v>5809</v>
      </c>
      <c r="AC6" s="21" t="s">
        <v>4929</v>
      </c>
      <c r="AD6" s="8" t="s">
        <v>4290</v>
      </c>
      <c r="AE6" s="8" t="s">
        <v>4290</v>
      </c>
      <c r="AF6" s="25">
        <f t="shared" si="0"/>
        <v>639.61599999999999</v>
      </c>
      <c r="AG6" s="9">
        <f t="shared" si="1"/>
        <v>0.70133333333333336</v>
      </c>
      <c r="AH6" s="9">
        <f t="shared" si="2"/>
        <v>1.7504523804571643</v>
      </c>
      <c r="AI6" s="25">
        <f t="shared" si="3"/>
        <v>3.0640835362481531</v>
      </c>
      <c r="AJ6" s="9">
        <f t="shared" si="4"/>
        <v>0.81143812938402371</v>
      </c>
      <c r="AK6" s="25">
        <f t="shared" si="5"/>
        <v>0.65843183781824355</v>
      </c>
      <c r="AL6" s="9">
        <f t="shared" si="6"/>
        <v>1.4515235110399976E-3</v>
      </c>
      <c r="AM6" s="25">
        <f t="shared" si="7"/>
        <v>2.106920503101882E-6</v>
      </c>
      <c r="AN6" s="24" t="s">
        <v>4929</v>
      </c>
    </row>
    <row r="7" spans="8:40" ht="23">
      <c r="M7" s="24" t="s">
        <v>4930</v>
      </c>
      <c r="N7" s="24"/>
      <c r="O7" s="24"/>
      <c r="P7" s="24"/>
      <c r="Q7" s="24"/>
      <c r="R7" s="24"/>
      <c r="S7" s="24"/>
      <c r="T7" s="24"/>
      <c r="U7" s="24"/>
      <c r="V7" s="24"/>
      <c r="W7" s="24" t="s">
        <v>4930</v>
      </c>
      <c r="X7" s="8">
        <v>30.11</v>
      </c>
      <c r="Y7" s="8">
        <v>1.24</v>
      </c>
      <c r="Z7" s="9">
        <v>0.1</v>
      </c>
      <c r="AA7" s="8">
        <v>66.900000000000006</v>
      </c>
      <c r="AB7" s="8">
        <v>28167</v>
      </c>
      <c r="AC7" s="21" t="s">
        <v>4930</v>
      </c>
      <c r="AD7" s="8" t="s">
        <v>4290</v>
      </c>
      <c r="AE7" s="8" t="s">
        <v>4290</v>
      </c>
      <c r="AF7" s="25">
        <f t="shared" si="0"/>
        <v>82.956000000000003</v>
      </c>
      <c r="AG7" s="9">
        <f t="shared" si="1"/>
        <v>0.11150000000000002</v>
      </c>
      <c r="AH7" s="9">
        <f t="shared" si="2"/>
        <v>0.27829197778655967</v>
      </c>
      <c r="AI7" s="25">
        <f t="shared" si="3"/>
        <v>7.7446424900355026E-2</v>
      </c>
      <c r="AJ7" s="9">
        <f t="shared" si="4"/>
        <v>0.10524074047738186</v>
      </c>
      <c r="AK7" s="25">
        <f t="shared" si="5"/>
        <v>1.1075613456227641E-2</v>
      </c>
      <c r="AL7" s="9">
        <f t="shared" si="6"/>
        <v>2.3076740230174869E-4</v>
      </c>
      <c r="AM7" s="25">
        <f t="shared" si="7"/>
        <v>5.3253593965097125E-8</v>
      </c>
      <c r="AN7" s="24" t="s">
        <v>4930</v>
      </c>
    </row>
    <row r="8" spans="8:40" ht="23">
      <c r="M8" s="24" t="s">
        <v>4927</v>
      </c>
      <c r="N8" s="24"/>
      <c r="O8" s="24"/>
      <c r="P8" s="24"/>
      <c r="Q8" s="24"/>
      <c r="R8" s="24"/>
      <c r="S8" s="24"/>
      <c r="T8" s="24"/>
      <c r="U8" s="24"/>
      <c r="V8" s="24"/>
      <c r="W8" s="24" t="s">
        <v>4927</v>
      </c>
      <c r="X8" s="8">
        <v>10.63</v>
      </c>
      <c r="Y8" s="8">
        <v>2.72</v>
      </c>
      <c r="Z8" s="9">
        <v>4.5</v>
      </c>
      <c r="AA8" s="8">
        <v>16.2</v>
      </c>
      <c r="AB8" s="8">
        <v>100167</v>
      </c>
      <c r="AC8" s="21" t="s">
        <v>4927</v>
      </c>
      <c r="AD8" s="8" t="s">
        <v>4290</v>
      </c>
      <c r="AE8" s="8" t="s">
        <v>4290</v>
      </c>
      <c r="AF8" s="25">
        <f t="shared" si="0"/>
        <v>44.064</v>
      </c>
      <c r="AG8" s="9">
        <f t="shared" si="1"/>
        <v>64.935000000000002</v>
      </c>
      <c r="AH8" s="9">
        <f t="shared" si="2"/>
        <v>6.738908879136421E-2</v>
      </c>
      <c r="AI8" s="25">
        <f t="shared" si="3"/>
        <v>4.5412892881303698E-3</v>
      </c>
      <c r="AJ8" s="9">
        <f t="shared" si="4"/>
        <v>5.5901055841594993E-2</v>
      </c>
      <c r="AK8" s="25">
        <f t="shared" si="5"/>
        <v>3.1249280442051217E-3</v>
      </c>
      <c r="AL8" s="9">
        <f t="shared" si="6"/>
        <v>0.13439355397725605</v>
      </c>
      <c r="AM8" s="25">
        <f t="shared" si="7"/>
        <v>1.8061627350637637E-2</v>
      </c>
      <c r="AN8" s="24" t="s">
        <v>4927</v>
      </c>
    </row>
    <row r="9" spans="8:40" ht="23">
      <c r="M9" s="24" t="s">
        <v>4925</v>
      </c>
      <c r="N9" s="24"/>
      <c r="O9" s="24"/>
      <c r="P9" s="24"/>
      <c r="Q9" s="24"/>
      <c r="R9" s="24"/>
      <c r="S9" s="24"/>
      <c r="T9" s="24"/>
      <c r="U9" s="24"/>
      <c r="V9" s="24"/>
      <c r="W9" s="24" t="s">
        <v>4925</v>
      </c>
      <c r="X9" s="8">
        <v>19.21</v>
      </c>
      <c r="Y9" s="8">
        <v>4.84</v>
      </c>
      <c r="Z9" s="9">
        <v>4.0599999999999996</v>
      </c>
      <c r="AA9" s="8">
        <v>16</v>
      </c>
      <c r="AB9" s="8">
        <v>5979</v>
      </c>
      <c r="AC9" s="21" t="s">
        <v>4925</v>
      </c>
      <c r="AD9" s="8" t="s">
        <v>4290</v>
      </c>
      <c r="AE9" s="8" t="s">
        <v>4290</v>
      </c>
      <c r="AF9" s="25">
        <f t="shared" si="0"/>
        <v>77.44</v>
      </c>
      <c r="AG9" s="9">
        <f t="shared" si="1"/>
        <v>65.599999999999994</v>
      </c>
      <c r="AH9" s="9">
        <f t="shared" si="2"/>
        <v>6.6557124732211564E-2</v>
      </c>
      <c r="AI9" s="25">
        <f t="shared" si="3"/>
        <v>4.4298508526191679E-3</v>
      </c>
      <c r="AJ9" s="9">
        <f t="shared" si="4"/>
        <v>9.8242959431125557E-2</v>
      </c>
      <c r="AK9" s="25">
        <f t="shared" si="5"/>
        <v>9.6516790777857811E-3</v>
      </c>
      <c r="AL9" s="9">
        <f t="shared" si="6"/>
        <v>0.13576987973986288</v>
      </c>
      <c r="AM9" s="25">
        <f t="shared" si="7"/>
        <v>1.8433460244576826E-2</v>
      </c>
      <c r="AN9" s="24" t="s">
        <v>4925</v>
      </c>
    </row>
    <row r="10" spans="8:40" ht="23">
      <c r="M10" s="24" t="s">
        <v>4926</v>
      </c>
      <c r="N10" s="24"/>
      <c r="O10" s="24"/>
      <c r="P10" s="24"/>
      <c r="Q10" s="24"/>
      <c r="R10" s="24"/>
      <c r="S10" s="24"/>
      <c r="T10" s="24"/>
      <c r="U10" s="24"/>
      <c r="V10" s="24"/>
      <c r="W10" s="24" t="s">
        <v>4926</v>
      </c>
      <c r="X10" s="8">
        <v>30.65</v>
      </c>
      <c r="Y10" s="8">
        <v>1.42</v>
      </c>
      <c r="Z10" s="9">
        <v>0.11</v>
      </c>
      <c r="AA10" s="8">
        <v>15.2</v>
      </c>
      <c r="AB10" s="8">
        <v>71012</v>
      </c>
      <c r="AC10" s="21" t="s">
        <v>4926</v>
      </c>
      <c r="AD10" s="8" t="s">
        <v>4290</v>
      </c>
      <c r="AE10" s="8" t="s">
        <v>4290</v>
      </c>
      <c r="AF10" s="25">
        <f t="shared" si="0"/>
        <v>21.584</v>
      </c>
      <c r="AG10" s="9">
        <f t="shared" si="1"/>
        <v>2.7866666666666662</v>
      </c>
      <c r="AH10" s="9">
        <f t="shared" si="2"/>
        <v>6.3229268495600982E-2</v>
      </c>
      <c r="AI10" s="25">
        <f t="shared" si="3"/>
        <v>3.9979403944887986E-3</v>
      </c>
      <c r="AJ10" s="9">
        <f t="shared" si="4"/>
        <v>2.7382180221609168E-2</v>
      </c>
      <c r="AK10" s="25">
        <f t="shared" si="5"/>
        <v>7.4978379368868429E-4</v>
      </c>
      <c r="AL10" s="9">
        <f t="shared" si="6"/>
        <v>5.7674603385429552E-3</v>
      </c>
      <c r="AM10" s="25">
        <f t="shared" si="7"/>
        <v>3.3263598756666023E-5</v>
      </c>
      <c r="AN10" s="24" t="s">
        <v>4926</v>
      </c>
    </row>
    <row r="11" spans="8:40" ht="23">
      <c r="M11" s="24" t="s">
        <v>4928</v>
      </c>
      <c r="N11" s="24"/>
      <c r="O11" s="24"/>
      <c r="P11" s="24"/>
      <c r="Q11" s="24"/>
      <c r="R11" s="24"/>
      <c r="S11" s="24"/>
      <c r="T11" s="24"/>
      <c r="U11" s="24"/>
      <c r="V11" s="24"/>
      <c r="W11" s="24" t="s">
        <v>4928</v>
      </c>
      <c r="X11" s="8">
        <v>51.24</v>
      </c>
      <c r="Y11" s="8">
        <v>1.78</v>
      </c>
      <c r="Z11" s="9">
        <v>1.22</v>
      </c>
      <c r="AA11" s="8">
        <v>1.2</v>
      </c>
      <c r="AB11" s="8">
        <v>78599</v>
      </c>
      <c r="AC11" s="21" t="s">
        <v>4928</v>
      </c>
      <c r="AD11" s="8" t="s">
        <v>4290</v>
      </c>
      <c r="AE11" s="8" t="s">
        <v>4290</v>
      </c>
      <c r="AF11" s="25">
        <f t="shared" si="0"/>
        <v>2.1360000000000001</v>
      </c>
      <c r="AG11" s="9">
        <f t="shared" si="1"/>
        <v>1.64</v>
      </c>
      <c r="AH11" s="9">
        <f t="shared" si="2"/>
        <v>4.9917843549158675E-3</v>
      </c>
      <c r="AI11" s="25">
        <f t="shared" si="3"/>
        <v>2.4917911045982824E-5</v>
      </c>
      <c r="AJ11" s="9">
        <f t="shared" si="4"/>
        <v>2.7098006372015004E-3</v>
      </c>
      <c r="AK11" s="25">
        <f t="shared" si="5"/>
        <v>7.3430194933776574E-6</v>
      </c>
      <c r="AL11" s="9">
        <f t="shared" si="6"/>
        <v>3.394246993496572E-3</v>
      </c>
      <c r="AM11" s="25">
        <f t="shared" si="7"/>
        <v>1.1520912652860518E-5</v>
      </c>
      <c r="AN11" s="24" t="s">
        <v>4928</v>
      </c>
    </row>
    <row r="12" spans="8:40" ht="23"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9"/>
      <c r="AA12" s="8">
        <f>SUBTOTAL(109,Table1366465[ترافیک کل])</f>
        <v>24039.5</v>
      </c>
      <c r="AB12" s="8"/>
      <c r="AC12" s="21"/>
      <c r="AD12" s="8"/>
      <c r="AE12" s="8"/>
      <c r="AF12" s="9">
        <f>SUBTOTAL(109,Table1366465[[مجموع صفحات  مشاهده شده   ]])</f>
        <v>78824.987000000008</v>
      </c>
      <c r="AG12" s="9">
        <f>SUBTOTAL(109,Table1366465[[مجموع زمان حضور در سایت ]])</f>
        <v>48317.049499999986</v>
      </c>
      <c r="AH12" s="9">
        <f>SUBTOTAL(109,Table1366465[سهم سایت از کل ترافیک طبقه بندی])</f>
        <v>100</v>
      </c>
      <c r="AI12" s="9">
        <f>SUBTOTAL(109,Table1366465[شاخص هرفیندال هیرشمن (ترافیک)])</f>
        <v>2517.3675965523344</v>
      </c>
      <c r="AJ12" s="9">
        <f>SUBTOTAL(109,Table1366465[سهم سایت از کل صفحات مشاهده شده در طبقه بندی])</f>
        <v>100</v>
      </c>
      <c r="AK12" s="9">
        <f>SUBTOTAL(109,Table1366465[شاخص هرفیندال -هیرشمن (صفحات مشاهده شده )])</f>
        <v>2761.0273083612351</v>
      </c>
      <c r="AL12" s="9">
        <f>SUBTOTAL(109,Table1366465[سهم سایت از کل زمان حضور در طبقه بندی])</f>
        <v>100.00000000000003</v>
      </c>
      <c r="AM12" s="9">
        <f>SUBTOTAL(109,Table1366465[شاخص هرفیندال هیرشمن (زمان حضور)])</f>
        <v>2683.0393325669042</v>
      </c>
      <c r="AN12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{BCD78CE9-0850-4FC7-94A2-6238FDE202EB}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{5930C714-4D63-459A-A9C9-A025B5DE0DA6}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{F2E56EB7-F5B9-4F7F-816D-19F2EDC721A2}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{B2F96C54-E74E-4467-9915-135089975AE2}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{AFD6DEBA-FE0C-4277-874A-B2E654CE5CC2}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{2DB48C09-613A-4DCA-A2C5-C3AD72616626}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D78CE9-0850-4FC7-94A2-6238FDE202E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930C714-4D63-459A-A9C9-A025B5DE0DA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2E56EB7-F5B9-4F7F-816D-19F2EDC721A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2F96C54-E74E-4467-9915-135089975AE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FD6DEBA-FE0C-4277-874A-B2E654CE5CC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2DB48C09-613A-4DCA-A2C5-C3AD726166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6"/>
  <sheetViews>
    <sheetView showGridLines="0" rightToLeft="1" topLeftCell="AK1" zoomScale="70" zoomScaleNormal="70" workbookViewId="0">
      <selection activeCell="AM6" sqref="AM6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5.6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8" t="s">
        <v>4637</v>
      </c>
      <c r="N2" s="8"/>
      <c r="O2" s="8"/>
      <c r="P2" s="8"/>
      <c r="Q2" s="8"/>
      <c r="R2" s="8"/>
      <c r="S2" s="8"/>
      <c r="T2" s="8"/>
      <c r="U2" s="8"/>
      <c r="V2" s="8"/>
      <c r="W2" s="8" t="s">
        <v>4637</v>
      </c>
      <c r="X2" s="8">
        <v>37.67</v>
      </c>
      <c r="Y2" s="8">
        <v>3.35</v>
      </c>
      <c r="Z2" s="9">
        <v>9.1</v>
      </c>
      <c r="AA2" s="8">
        <v>1263.0999999999999</v>
      </c>
      <c r="AB2" s="8">
        <v>641</v>
      </c>
      <c r="AC2" s="21" t="s">
        <v>4637</v>
      </c>
      <c r="AD2" s="8" t="s">
        <v>4469</v>
      </c>
      <c r="AE2" s="8"/>
      <c r="AF2" s="9">
        <f>(AA2*Y2)</f>
        <v>4231.3850000000002</v>
      </c>
      <c r="AG2" s="9">
        <f>((((RIGHT(Z2,2))/60)+(LEFT(Z2,2)))*AA2)</f>
        <v>11370.005166666666</v>
      </c>
      <c r="AH2" s="9">
        <f>(AA2/$AA$6)*100</f>
        <v>58.544611819235229</v>
      </c>
      <c r="AI2" s="9">
        <f>(AH2*AH2)</f>
        <v>3427.4715730649373</v>
      </c>
      <c r="AJ2" s="9">
        <f>(AF2/$AF$6)*100</f>
        <v>63.099171360026538</v>
      </c>
      <c r="AK2" s="9">
        <f>(AJ2*AJ2)</f>
        <v>3981.5054263219936</v>
      </c>
      <c r="AL2" s="9">
        <f>(AG2/$AG$6)*100</f>
        <v>92.667116653923699</v>
      </c>
      <c r="AM2" s="9">
        <f>(AL2*AL2)</f>
        <v>8587.1945089519031</v>
      </c>
      <c r="AN2" s="8" t="s">
        <v>4637</v>
      </c>
    </row>
    <row r="3" spans="8:40" ht="23">
      <c r="H3" s="8"/>
      <c r="I3" s="8"/>
      <c r="J3" s="8"/>
      <c r="K3" s="8"/>
      <c r="L3" s="8"/>
      <c r="M3" s="8" t="s">
        <v>4638</v>
      </c>
      <c r="N3" s="8"/>
      <c r="O3" s="8"/>
      <c r="P3" s="8"/>
      <c r="Q3" s="8"/>
      <c r="R3" s="8"/>
      <c r="S3" s="8"/>
      <c r="T3" s="8"/>
      <c r="U3" s="8"/>
      <c r="V3" s="8"/>
      <c r="W3" s="8" t="s">
        <v>4638</v>
      </c>
      <c r="X3" s="8">
        <v>28.92</v>
      </c>
      <c r="Y3" s="8">
        <v>2.91</v>
      </c>
      <c r="Z3" s="9">
        <v>0.34</v>
      </c>
      <c r="AA3" s="8">
        <v>415.5</v>
      </c>
      <c r="AB3" s="8">
        <v>1999</v>
      </c>
      <c r="AC3" s="21" t="s">
        <v>4638</v>
      </c>
      <c r="AD3" s="8" t="s">
        <v>4469</v>
      </c>
      <c r="AE3" s="8"/>
      <c r="AF3" s="9">
        <f>(AA3*Y3)</f>
        <v>1209.105</v>
      </c>
      <c r="AG3" s="9">
        <f>((((RIGHT(Z3,2))/60)+(LEFT(Z3,2)))*AA3)</f>
        <v>235.45</v>
      </c>
      <c r="AH3" s="9">
        <f>(AA3/$AA$6)*100</f>
        <v>19.258400926998842</v>
      </c>
      <c r="AI3" s="9">
        <f>(AH3*AH3)</f>
        <v>370.88600626502983</v>
      </c>
      <c r="AJ3" s="9">
        <f>(AF3/$AF$6)*100</f>
        <v>18.030390424710795</v>
      </c>
      <c r="AK3" s="9">
        <f>(AJ3*AJ3)</f>
        <v>325.09497886750273</v>
      </c>
      <c r="AL3" s="9">
        <f>(AG3/$AG$6)*100</f>
        <v>1.918950105680808</v>
      </c>
      <c r="AM3" s="9">
        <f>(AL3*AL3)</f>
        <v>3.6823695080923842</v>
      </c>
      <c r="AN3" s="8" t="s">
        <v>4638</v>
      </c>
    </row>
    <row r="4" spans="8:40" ht="23">
      <c r="H4" s="8"/>
      <c r="I4" s="8"/>
      <c r="J4" s="8"/>
      <c r="K4" s="8"/>
      <c r="L4" s="8"/>
      <c r="M4" s="8" t="s">
        <v>3931</v>
      </c>
      <c r="N4" s="8"/>
      <c r="O4" s="8"/>
      <c r="P4" s="8"/>
      <c r="Q4" s="8"/>
      <c r="R4" s="8"/>
      <c r="S4" s="8"/>
      <c r="T4" s="8"/>
      <c r="U4" s="8"/>
      <c r="V4" s="8"/>
      <c r="W4" s="8" t="s">
        <v>3931</v>
      </c>
      <c r="X4" s="8">
        <v>55.82</v>
      </c>
      <c r="Y4" s="8">
        <v>1.92</v>
      </c>
      <c r="Z4" s="9">
        <v>1.25</v>
      </c>
      <c r="AA4" s="8">
        <v>393.9</v>
      </c>
      <c r="AB4" s="8">
        <v>992</v>
      </c>
      <c r="AC4" s="21" t="s">
        <v>3931</v>
      </c>
      <c r="AD4" s="8" t="s">
        <v>4469</v>
      </c>
      <c r="AE4" s="8"/>
      <c r="AF4" s="9">
        <f>(AA4*Y4)</f>
        <v>756.2879999999999</v>
      </c>
      <c r="AG4" s="9">
        <f>((((RIGHT(Z4,2))/60)+(LEFT(Z4,2)))*AA4)</f>
        <v>558.02499999999998</v>
      </c>
      <c r="AH4" s="9">
        <f>(AA4/$AA$6)*100</f>
        <v>18.257242178447274</v>
      </c>
      <c r="AI4" s="9">
        <f>(AH4*AH4)</f>
        <v>333.32689196247418</v>
      </c>
      <c r="AJ4" s="9">
        <f>(AF4/$AF$6)*100</f>
        <v>11.277902178490434</v>
      </c>
      <c r="AK4" s="9">
        <f>(AJ4*AJ4)</f>
        <v>127.19107754759928</v>
      </c>
      <c r="AL4" s="9">
        <f>(AG4/$AG$6)*100</f>
        <v>4.547981026640616</v>
      </c>
      <c r="AM4" s="9">
        <f>(AL4*AL4)</f>
        <v>20.68413141868303</v>
      </c>
      <c r="AN4" s="8" t="s">
        <v>3931</v>
      </c>
    </row>
    <row r="5" spans="8:40" ht="23">
      <c r="H5" s="8"/>
      <c r="I5" s="8"/>
      <c r="J5" s="8"/>
      <c r="K5" s="8"/>
      <c r="L5" s="8"/>
      <c r="M5" s="8" t="s">
        <v>4639</v>
      </c>
      <c r="N5" s="8"/>
      <c r="O5" s="8"/>
      <c r="P5" s="8"/>
      <c r="Q5" s="8"/>
      <c r="R5" s="8"/>
      <c r="S5" s="8"/>
      <c r="T5" s="8"/>
      <c r="U5" s="8"/>
      <c r="V5" s="8"/>
      <c r="W5" s="8" t="s">
        <v>4639</v>
      </c>
      <c r="X5" s="8">
        <v>13.09</v>
      </c>
      <c r="Y5" s="8">
        <v>5.99</v>
      </c>
      <c r="Z5" s="9">
        <v>1.1499999999999999</v>
      </c>
      <c r="AA5" s="8">
        <v>85</v>
      </c>
      <c r="AB5" s="8">
        <v>4983</v>
      </c>
      <c r="AC5" s="21" t="s">
        <v>4639</v>
      </c>
      <c r="AD5" s="8" t="s">
        <v>4469</v>
      </c>
      <c r="AE5" s="8"/>
      <c r="AF5" s="9">
        <f>(AA5*Y5)</f>
        <v>509.15000000000003</v>
      </c>
      <c r="AG5" s="9">
        <f>((((RIGHT(Z5,2))/60)+(LEFT(Z5,2)))*AA5)</f>
        <v>106.25</v>
      </c>
      <c r="AH5" s="9">
        <f>(AA5/$AA$6)*100</f>
        <v>3.9397450753186556</v>
      </c>
      <c r="AI5" s="9">
        <f>(AH5*AH5)</f>
        <v>15.521591258497599</v>
      </c>
      <c r="AJ5" s="9">
        <f>(AF5/$AF$6)*100</f>
        <v>7.5925360367722421</v>
      </c>
      <c r="AK5" s="9">
        <f>(AJ5*AJ5)</f>
        <v>57.646603469685147</v>
      </c>
      <c r="AL5" s="9">
        <f>(AG5/$AG$6)*100</f>
        <v>0.86595221375487741</v>
      </c>
      <c r="AM5" s="9">
        <f>(AL5*AL5)</f>
        <v>0.74987323650697291</v>
      </c>
      <c r="AN5" s="8" t="s">
        <v>4639</v>
      </c>
    </row>
    <row r="6" spans="8:40" ht="23"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9"/>
      <c r="AA6" s="8">
        <f>SUBTOTAL(109,Table13696101[ترافیک کل])</f>
        <v>2157.5</v>
      </c>
      <c r="AB6" s="8"/>
      <c r="AC6" s="8"/>
      <c r="AD6" s="8"/>
      <c r="AE6" s="8"/>
      <c r="AF6" s="9">
        <f>SUBTOTAL(109,Table13696101[[مجموع صفحات  مشاهده شده   ]])</f>
        <v>6705.927999999999</v>
      </c>
      <c r="AG6" s="9">
        <f>SUBTOTAL(109,Table13696101[[مجموع زمان حضور در سایت ]])</f>
        <v>12269.730166666666</v>
      </c>
      <c r="AH6" s="9">
        <f>SUBTOTAL(109,Table13696101[سهم سایت از کل ترافیک طبقه بندی])</f>
        <v>100</v>
      </c>
      <c r="AI6" s="9">
        <f>SUBTOTAL(109,Table13696101[شاخص هرفیندال هیرشمن (ترافیک)])</f>
        <v>4147.2060625509384</v>
      </c>
      <c r="AJ6" s="9">
        <f>SUBTOTAL(109,Table13696101[سهم سایت از کل صفحات مشاهده شده در طبقه بندی])</f>
        <v>100.00000000000001</v>
      </c>
      <c r="AK6" s="9">
        <f>SUBTOTAL(109,Table13696101[شاخص هرفیندال -هیرشمن (صفحات مشاهده شده )])</f>
        <v>4491.4380862067801</v>
      </c>
      <c r="AL6" s="9">
        <f>SUBTOTAL(109,Table13696101[سهم سایت از کل زمان حضور در طبقه بندی])</f>
        <v>100</v>
      </c>
      <c r="AM6" s="9">
        <f>SUBTOTAL(109,Table13696101[شاخص هرفیندال هیرشمن (زمان حضور)])</f>
        <v>8612.3108831151858</v>
      </c>
      <c r="AN6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{3AC8477C-34FB-44E1-B365-4186C8DB7584}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{19CF6862-8A9B-4F1C-BFEC-1F9687D31CB3}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{9AD9B4B7-86EC-46EC-B4D1-1AE7B13E0AB5}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{DADC2122-A442-416C-A0EA-73A109ED7D9A}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{38E61C30-D124-493B-B4DF-5CCE99AFAAC3}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{4C63833E-14B6-4D2E-9E9C-E2C052F5816C}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AC8477C-34FB-44E1-B365-4186C8DB758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19CF6862-8A9B-4F1C-BFEC-1F9687D31CB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9AD9B4B7-86EC-46EC-B4D1-1AE7B13E0AB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DADC2122-A442-416C-A0EA-73A109ED7D9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8E61C30-D124-493B-B4DF-5CCE99AFAA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4C63833E-14B6-4D2E-9E9C-E2C052F581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83"/>
  <sheetViews>
    <sheetView showGridLines="0" rightToLeft="1" topLeftCell="AA1" zoomScale="70" zoomScaleNormal="70" workbookViewId="0">
      <selection activeCell="AE2" sqref="AE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23.08203125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246</v>
      </c>
      <c r="N2" s="8" t="s">
        <v>150</v>
      </c>
      <c r="O2" s="8"/>
      <c r="P2" s="8" t="s">
        <v>4698</v>
      </c>
      <c r="Q2" s="8"/>
      <c r="R2" s="8"/>
      <c r="S2" s="8"/>
      <c r="T2" s="8"/>
      <c r="U2" s="8"/>
      <c r="V2" s="8"/>
      <c r="W2" s="8" t="s">
        <v>246</v>
      </c>
      <c r="X2" s="8">
        <v>30.39</v>
      </c>
      <c r="Y2" s="8">
        <v>4.04</v>
      </c>
      <c r="Z2" s="9">
        <v>3.27</v>
      </c>
      <c r="AA2" s="8">
        <v>6006.5</v>
      </c>
      <c r="AB2" s="8">
        <v>62</v>
      </c>
      <c r="AC2" s="21" t="s">
        <v>246</v>
      </c>
      <c r="AD2" s="8" t="s">
        <v>3689</v>
      </c>
      <c r="AE2" s="8" t="s">
        <v>5362</v>
      </c>
      <c r="AF2" s="9">
        <f t="shared" ref="AF2:AF33" si="0">(AA2*Y2)</f>
        <v>24266.26</v>
      </c>
      <c r="AG2" s="9">
        <f t="shared" ref="AG2:AG33" si="1">((((RIGHT(Z2,2))/60)+(LEFT(Z2,2)))*AA2)</f>
        <v>20722.424999999999</v>
      </c>
      <c r="AH2" s="9">
        <f t="shared" ref="AH2:AH33" si="2">(AA2/$AA$83)*100</f>
        <v>15.740180239673174</v>
      </c>
      <c r="AI2" s="9">
        <f t="shared" ref="AI2:AI33" si="3">(AH2*AH2)</f>
        <v>247.75327397739787</v>
      </c>
      <c r="AJ2" s="9">
        <f t="shared" ref="AJ2:AJ33" si="4">(AF2/$AF$83)*100</f>
        <v>16.232562975160768</v>
      </c>
      <c r="AK2" s="9">
        <f t="shared" ref="AK2:AK33" si="5">(AJ2*AJ2)</f>
        <v>263.4961007425602</v>
      </c>
      <c r="AL2" s="9">
        <f t="shared" ref="AL2:AL33" si="6">(AG2/$AG$83)*100</f>
        <v>16.389875272169334</v>
      </c>
      <c r="AM2" s="9">
        <f t="shared" ref="AM2:AM33" si="7">(AL2*AL2)</f>
        <v>268.62801143726779</v>
      </c>
      <c r="AN2" s="8" t="s">
        <v>246</v>
      </c>
    </row>
    <row r="3" spans="8:40" ht="23">
      <c r="M3" s="8" t="s">
        <v>705</v>
      </c>
      <c r="N3" s="8" t="s">
        <v>150</v>
      </c>
      <c r="O3" s="8"/>
      <c r="P3" s="8" t="s">
        <v>3698</v>
      </c>
      <c r="Q3" s="8"/>
      <c r="R3" s="8"/>
      <c r="S3" s="8"/>
      <c r="T3" s="8"/>
      <c r="U3" s="8"/>
      <c r="V3" s="8"/>
      <c r="W3" s="8" t="s">
        <v>705</v>
      </c>
      <c r="X3" s="8">
        <v>22.33</v>
      </c>
      <c r="Y3" s="8">
        <v>4.1900000000000004</v>
      </c>
      <c r="Z3" s="9">
        <v>3.4</v>
      </c>
      <c r="AA3" s="8">
        <v>4106.3</v>
      </c>
      <c r="AB3" s="8">
        <v>134</v>
      </c>
      <c r="AC3" s="21" t="s">
        <v>705</v>
      </c>
      <c r="AD3" s="8" t="s">
        <v>3689</v>
      </c>
      <c r="AE3" s="8" t="s">
        <v>5362</v>
      </c>
      <c r="AF3" s="9">
        <f t="shared" si="0"/>
        <v>17205.397000000001</v>
      </c>
      <c r="AG3" s="9">
        <f t="shared" si="1"/>
        <v>12346.275333333335</v>
      </c>
      <c r="AH3" s="9">
        <f t="shared" si="2"/>
        <v>10.760659638420037</v>
      </c>
      <c r="AI3" s="9">
        <f t="shared" si="3"/>
        <v>115.79179585392205</v>
      </c>
      <c r="AJ3" s="9">
        <f t="shared" si="4"/>
        <v>11.509300993030742</v>
      </c>
      <c r="AK3" s="9">
        <f t="shared" si="5"/>
        <v>132.46400934817842</v>
      </c>
      <c r="AL3" s="9">
        <f t="shared" si="6"/>
        <v>9.7649726221325093</v>
      </c>
      <c r="AM3" s="9">
        <f t="shared" si="7"/>
        <v>95.354690310997455</v>
      </c>
      <c r="AN3" s="8" t="s">
        <v>705</v>
      </c>
    </row>
    <row r="4" spans="8:40" ht="23">
      <c r="M4" s="8" t="s">
        <v>1558</v>
      </c>
      <c r="N4" s="8" t="s">
        <v>150</v>
      </c>
      <c r="O4" s="8"/>
      <c r="P4" s="8" t="s">
        <v>4671</v>
      </c>
      <c r="Q4" s="8"/>
      <c r="R4" s="8"/>
      <c r="S4" s="8"/>
      <c r="T4" s="8"/>
      <c r="U4" s="8"/>
      <c r="V4" s="8"/>
      <c r="W4" s="8" t="s">
        <v>1558</v>
      </c>
      <c r="X4" s="8">
        <v>52.76</v>
      </c>
      <c r="Y4" s="8">
        <v>2.46</v>
      </c>
      <c r="Z4" s="9">
        <v>2.4</v>
      </c>
      <c r="AA4" s="8">
        <v>3169.6</v>
      </c>
      <c r="AB4" s="8">
        <v>262</v>
      </c>
      <c r="AC4" s="21" t="s">
        <v>1558</v>
      </c>
      <c r="AD4" s="8" t="s">
        <v>3689</v>
      </c>
      <c r="AE4" s="8" t="s">
        <v>5362</v>
      </c>
      <c r="AF4" s="9">
        <f t="shared" si="0"/>
        <v>7797.2159999999994</v>
      </c>
      <c r="AG4" s="9">
        <f t="shared" si="1"/>
        <v>6360.3306666666667</v>
      </c>
      <c r="AH4" s="9">
        <f t="shared" si="2"/>
        <v>8.3060143657151553</v>
      </c>
      <c r="AI4" s="9">
        <f t="shared" si="3"/>
        <v>68.989874643466536</v>
      </c>
      <c r="AJ4" s="9">
        <f t="shared" si="4"/>
        <v>5.2158346507014732</v>
      </c>
      <c r="AK4" s="9">
        <f t="shared" si="5"/>
        <v>27.204931103458158</v>
      </c>
      <c r="AL4" s="9">
        <f t="shared" si="6"/>
        <v>5.0305418558117747</v>
      </c>
      <c r="AM4" s="9">
        <f t="shared" si="7"/>
        <v>25.306351363074175</v>
      </c>
      <c r="AN4" s="8" t="s">
        <v>1558</v>
      </c>
    </row>
    <row r="5" spans="8:40" ht="23">
      <c r="M5" s="8" t="s">
        <v>4532</v>
      </c>
      <c r="N5" s="8" t="s">
        <v>150</v>
      </c>
      <c r="O5" s="8"/>
      <c r="P5" s="8" t="s">
        <v>4703</v>
      </c>
      <c r="Q5" s="8"/>
      <c r="R5" s="8"/>
      <c r="S5" s="8"/>
      <c r="T5" s="8"/>
      <c r="U5" s="8"/>
      <c r="V5" s="8"/>
      <c r="W5" s="8" t="s">
        <v>4532</v>
      </c>
      <c r="X5" s="8">
        <v>24.84</v>
      </c>
      <c r="Y5" s="8">
        <v>5.2</v>
      </c>
      <c r="Z5" s="9">
        <v>5.39</v>
      </c>
      <c r="AA5" s="8">
        <v>3142.9</v>
      </c>
      <c r="AB5" s="8">
        <v>138</v>
      </c>
      <c r="AC5" s="21" t="s">
        <v>4532</v>
      </c>
      <c r="AD5" s="8" t="s">
        <v>4472</v>
      </c>
      <c r="AE5" s="8" t="s">
        <v>5362</v>
      </c>
      <c r="AF5" s="9">
        <f t="shared" si="0"/>
        <v>16343.080000000002</v>
      </c>
      <c r="AG5" s="9">
        <f t="shared" si="1"/>
        <v>17757.385000000002</v>
      </c>
      <c r="AH5" s="9">
        <f t="shared" si="2"/>
        <v>8.236046362318957</v>
      </c>
      <c r="AI5" s="9">
        <f t="shared" si="3"/>
        <v>67.832459682267327</v>
      </c>
      <c r="AJ5" s="9">
        <f t="shared" si="4"/>
        <v>10.932466532052754</v>
      </c>
      <c r="AK5" s="9">
        <f t="shared" si="5"/>
        <v>119.51882447445357</v>
      </c>
      <c r="AL5" s="9">
        <f t="shared" si="6"/>
        <v>14.04475225799542</v>
      </c>
      <c r="AM5" s="9">
        <f t="shared" si="7"/>
        <v>197.25506598846744</v>
      </c>
      <c r="AN5" s="8" t="s">
        <v>4532</v>
      </c>
    </row>
    <row r="6" spans="8:40" ht="23">
      <c r="M6" s="8" t="s">
        <v>1606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1606</v>
      </c>
      <c r="X6" s="8">
        <v>49.8</v>
      </c>
      <c r="Y6" s="8">
        <v>4.18</v>
      </c>
      <c r="Z6" s="9">
        <v>2.5499999999999998</v>
      </c>
      <c r="AA6" s="8">
        <v>2606.3000000000002</v>
      </c>
      <c r="AB6" s="8">
        <v>159</v>
      </c>
      <c r="AC6" s="21" t="s">
        <v>1606</v>
      </c>
      <c r="AD6" s="8" t="s">
        <v>3689</v>
      </c>
      <c r="AE6" s="8" t="s">
        <v>5362</v>
      </c>
      <c r="AF6" s="9">
        <f t="shared" si="0"/>
        <v>10894.334000000001</v>
      </c>
      <c r="AG6" s="9">
        <f t="shared" si="1"/>
        <v>7601.708333333333</v>
      </c>
      <c r="AH6" s="9">
        <f t="shared" si="2"/>
        <v>6.8298729307683654</v>
      </c>
      <c r="AI6" s="9">
        <f t="shared" si="3"/>
        <v>46.647164250442458</v>
      </c>
      <c r="AJ6" s="9">
        <f t="shared" si="4"/>
        <v>7.2876068552564384</v>
      </c>
      <c r="AK6" s="9">
        <f t="shared" si="5"/>
        <v>53.109213676780634</v>
      </c>
      <c r="AL6" s="9">
        <f t="shared" si="6"/>
        <v>6.0123779643909225</v>
      </c>
      <c r="AM6" s="9">
        <f t="shared" si="7"/>
        <v>36.148688786693533</v>
      </c>
      <c r="AN6" s="8" t="s">
        <v>1606</v>
      </c>
    </row>
    <row r="7" spans="8:40" ht="23">
      <c r="M7" s="8" t="s">
        <v>1125</v>
      </c>
      <c r="N7" s="8" t="s">
        <v>150</v>
      </c>
      <c r="O7" s="8"/>
      <c r="P7" s="8" t="s">
        <v>3696</v>
      </c>
      <c r="Q7" s="8"/>
      <c r="R7" s="8"/>
      <c r="S7" s="8"/>
      <c r="T7" s="8"/>
      <c r="U7" s="8"/>
      <c r="V7" s="8"/>
      <c r="W7" s="8" t="s">
        <v>1125</v>
      </c>
      <c r="X7" s="8">
        <v>37.43</v>
      </c>
      <c r="Y7" s="8">
        <v>3.51</v>
      </c>
      <c r="Z7" s="9">
        <v>3.26</v>
      </c>
      <c r="AA7" s="8">
        <v>2564.4</v>
      </c>
      <c r="AB7" s="8">
        <v>186</v>
      </c>
      <c r="AC7" s="21" t="s">
        <v>1125</v>
      </c>
      <c r="AD7" s="8" t="s">
        <v>3689</v>
      </c>
      <c r="AE7" s="8" t="s">
        <v>5362</v>
      </c>
      <c r="AF7" s="9">
        <f t="shared" si="0"/>
        <v>9001.0439999999999</v>
      </c>
      <c r="AG7" s="9">
        <f t="shared" si="1"/>
        <v>8804.44</v>
      </c>
      <c r="AH7" s="9">
        <f t="shared" si="2"/>
        <v>6.7200729554012959</v>
      </c>
      <c r="AI7" s="9">
        <f t="shared" si="3"/>
        <v>45.159380525915907</v>
      </c>
      <c r="AJ7" s="9">
        <f t="shared" si="4"/>
        <v>6.0211179461603459</v>
      </c>
      <c r="AK7" s="9">
        <f t="shared" si="5"/>
        <v>36.253861321574185</v>
      </c>
      <c r="AL7" s="9">
        <f t="shared" si="6"/>
        <v>6.9636480016840974</v>
      </c>
      <c r="AM7" s="9">
        <f t="shared" si="7"/>
        <v>48.492393491358925</v>
      </c>
      <c r="AN7" s="8" t="s">
        <v>1125</v>
      </c>
    </row>
    <row r="8" spans="8:40" ht="23">
      <c r="M8" s="8" t="s">
        <v>3945</v>
      </c>
      <c r="N8" s="8" t="s">
        <v>1869</v>
      </c>
      <c r="O8" s="8"/>
      <c r="P8" s="8" t="s">
        <v>4701</v>
      </c>
      <c r="Q8" s="8"/>
      <c r="R8" s="8"/>
      <c r="S8" s="8"/>
      <c r="T8" s="8"/>
      <c r="U8" s="8"/>
      <c r="V8" s="8"/>
      <c r="W8" s="8" t="s">
        <v>3945</v>
      </c>
      <c r="X8" s="8">
        <v>28.99</v>
      </c>
      <c r="Y8" s="8">
        <v>3.41</v>
      </c>
      <c r="Z8" s="9">
        <v>3.18</v>
      </c>
      <c r="AA8" s="8">
        <v>2251.3000000000002</v>
      </c>
      <c r="AB8" s="8">
        <v>362</v>
      </c>
      <c r="AC8" s="21" t="s">
        <v>3945</v>
      </c>
      <c r="AD8" s="8" t="s">
        <v>4472</v>
      </c>
      <c r="AE8" s="8" t="s">
        <v>5362</v>
      </c>
      <c r="AF8" s="9">
        <f t="shared" si="0"/>
        <v>7676.9330000000009</v>
      </c>
      <c r="AG8" s="9">
        <f t="shared" si="1"/>
        <v>7429.29</v>
      </c>
      <c r="AH8" s="9">
        <f t="shared" si="2"/>
        <v>5.8995867432908042</v>
      </c>
      <c r="AI8" s="9">
        <f t="shared" si="3"/>
        <v>34.805123741612597</v>
      </c>
      <c r="AJ8" s="9">
        <f t="shared" si="4"/>
        <v>5.1353730809193454</v>
      </c>
      <c r="AK8" s="9">
        <f t="shared" si="5"/>
        <v>26.372056680231051</v>
      </c>
      <c r="AL8" s="9">
        <f t="shared" si="6"/>
        <v>5.8760080666608721</v>
      </c>
      <c r="AM8" s="9">
        <f t="shared" si="7"/>
        <v>34.527470799463636</v>
      </c>
      <c r="AN8" s="8" t="s">
        <v>3945</v>
      </c>
    </row>
    <row r="9" spans="8:40" ht="26" customHeight="1">
      <c r="M9" s="8" t="s">
        <v>420</v>
      </c>
      <c r="N9" s="8" t="s">
        <v>150</v>
      </c>
      <c r="O9" s="8"/>
      <c r="P9" s="8" t="s">
        <v>4699</v>
      </c>
      <c r="Q9" s="8"/>
      <c r="R9" s="8"/>
      <c r="S9" s="8"/>
      <c r="T9" s="8"/>
      <c r="U9" s="8"/>
      <c r="V9" s="8"/>
      <c r="W9" s="8" t="s">
        <v>420</v>
      </c>
      <c r="X9" s="8">
        <v>27.92</v>
      </c>
      <c r="Y9" s="8">
        <v>4.18</v>
      </c>
      <c r="Z9" s="9">
        <v>4</v>
      </c>
      <c r="AA9" s="8">
        <v>2206.3000000000002</v>
      </c>
      <c r="AB9" s="8">
        <v>230</v>
      </c>
      <c r="AC9" s="21" t="s">
        <v>420</v>
      </c>
      <c r="AD9" s="8" t="s">
        <v>3689</v>
      </c>
      <c r="AE9" s="8" t="s">
        <v>5362</v>
      </c>
      <c r="AF9" s="9">
        <f t="shared" si="0"/>
        <v>9222.3340000000007</v>
      </c>
      <c r="AG9" s="9">
        <f t="shared" si="1"/>
        <v>8972.2866666666669</v>
      </c>
      <c r="AH9" s="9">
        <f t="shared" si="2"/>
        <v>5.7816631420612543</v>
      </c>
      <c r="AI9" s="9">
        <f t="shared" si="3"/>
        <v>33.427628688269614</v>
      </c>
      <c r="AJ9" s="9">
        <f t="shared" si="4"/>
        <v>6.169146684860638</v>
      </c>
      <c r="AK9" s="9">
        <f t="shared" si="5"/>
        <v>38.058370819327003</v>
      </c>
      <c r="AL9" s="9">
        <f t="shared" si="6"/>
        <v>7.0964020558797847</v>
      </c>
      <c r="AM9" s="9">
        <f t="shared" si="7"/>
        <v>50.358922138694837</v>
      </c>
      <c r="AN9" s="8" t="s">
        <v>420</v>
      </c>
    </row>
    <row r="10" spans="8:40" ht="23">
      <c r="M10" s="8" t="s">
        <v>764</v>
      </c>
      <c r="N10" s="8" t="s">
        <v>150</v>
      </c>
      <c r="O10" s="8"/>
      <c r="P10" s="8" t="s">
        <v>4700</v>
      </c>
      <c r="Q10" s="8"/>
      <c r="R10" s="8"/>
      <c r="S10" s="8"/>
      <c r="T10" s="8"/>
      <c r="U10" s="8"/>
      <c r="V10" s="8"/>
      <c r="W10" s="8" t="s">
        <v>764</v>
      </c>
      <c r="X10" s="8">
        <v>35.409999999999997</v>
      </c>
      <c r="Y10" s="8">
        <v>3.42</v>
      </c>
      <c r="Z10" s="9">
        <v>3.19</v>
      </c>
      <c r="AA10" s="8">
        <v>1689.9</v>
      </c>
      <c r="AB10" s="8">
        <v>248</v>
      </c>
      <c r="AC10" s="21" t="s">
        <v>764</v>
      </c>
      <c r="AD10" s="8" t="s">
        <v>3689</v>
      </c>
      <c r="AE10" s="8" t="s">
        <v>5362</v>
      </c>
      <c r="AF10" s="9">
        <f t="shared" si="0"/>
        <v>5779.4580000000005</v>
      </c>
      <c r="AG10" s="9">
        <f t="shared" si="1"/>
        <v>5604.835</v>
      </c>
      <c r="AH10" s="9">
        <f t="shared" si="2"/>
        <v>4.4284243048403731</v>
      </c>
      <c r="AI10" s="9">
        <f t="shared" si="3"/>
        <v>19.610941823700941</v>
      </c>
      <c r="AJ10" s="9">
        <f t="shared" si="4"/>
        <v>3.8660846767197214</v>
      </c>
      <c r="AK10" s="9">
        <f t="shared" si="5"/>
        <v>14.946610727567034</v>
      </c>
      <c r="AL10" s="9">
        <f t="shared" si="6"/>
        <v>4.4330017636009886</v>
      </c>
      <c r="AM10" s="9">
        <f t="shared" si="7"/>
        <v>19.651504636089477</v>
      </c>
      <c r="AN10" s="8" t="s">
        <v>764</v>
      </c>
    </row>
    <row r="11" spans="8:40" ht="25" customHeight="1">
      <c r="M11" s="8" t="s">
        <v>4475</v>
      </c>
      <c r="N11" s="8" t="s">
        <v>1964</v>
      </c>
      <c r="O11" s="8"/>
      <c r="P11" s="8" t="s">
        <v>3696</v>
      </c>
      <c r="Q11" s="8"/>
      <c r="R11" s="8"/>
      <c r="S11" s="8"/>
      <c r="T11" s="8"/>
      <c r="U11" s="8"/>
      <c r="V11" s="8"/>
      <c r="W11" s="8" t="s">
        <v>4475</v>
      </c>
      <c r="X11" s="8">
        <v>22.92</v>
      </c>
      <c r="Y11" s="8">
        <v>3.91</v>
      </c>
      <c r="Z11" s="9">
        <v>2.58</v>
      </c>
      <c r="AA11" s="8">
        <v>1187.4000000000001</v>
      </c>
      <c r="AB11" s="8">
        <v>623</v>
      </c>
      <c r="AC11" s="21" t="s">
        <v>4475</v>
      </c>
      <c r="AD11" s="8" t="s">
        <v>4472</v>
      </c>
      <c r="AE11" s="8" t="s">
        <v>5362</v>
      </c>
      <c r="AF11" s="9">
        <f t="shared" si="0"/>
        <v>4642.7340000000004</v>
      </c>
      <c r="AG11" s="9">
        <f t="shared" si="1"/>
        <v>3522.6200000000003</v>
      </c>
      <c r="AH11" s="9">
        <f t="shared" si="2"/>
        <v>3.1116107577770626</v>
      </c>
      <c r="AI11" s="9">
        <f t="shared" si="3"/>
        <v>9.682121507913946</v>
      </c>
      <c r="AJ11" s="9">
        <f t="shared" si="4"/>
        <v>3.1056896296306085</v>
      </c>
      <c r="AK11" s="9">
        <f t="shared" si="5"/>
        <v>9.6453080755951053</v>
      </c>
      <c r="AL11" s="9">
        <f t="shared" si="6"/>
        <v>2.7861267410184452</v>
      </c>
      <c r="AM11" s="9">
        <f t="shared" si="7"/>
        <v>7.7625022170180618</v>
      </c>
      <c r="AN11" s="8" t="s">
        <v>4475</v>
      </c>
    </row>
    <row r="12" spans="8:40" ht="23">
      <c r="M12" s="9" t="s">
        <v>2502</v>
      </c>
      <c r="N12" s="8" t="s">
        <v>150</v>
      </c>
      <c r="O12" s="8"/>
      <c r="P12" s="8" t="s">
        <v>3691</v>
      </c>
      <c r="Q12" s="8"/>
      <c r="R12" s="8"/>
      <c r="S12" s="8"/>
      <c r="T12" s="8"/>
      <c r="U12" s="8"/>
      <c r="V12" s="8"/>
      <c r="W12" s="9" t="s">
        <v>2502</v>
      </c>
      <c r="X12" s="8">
        <v>30.18</v>
      </c>
      <c r="Y12" s="8">
        <v>4.9400000000000004</v>
      </c>
      <c r="Z12" s="9">
        <v>3.56</v>
      </c>
      <c r="AA12" s="8">
        <v>1096</v>
      </c>
      <c r="AB12" s="8">
        <v>253</v>
      </c>
      <c r="AC12" s="22" t="s">
        <v>2502</v>
      </c>
      <c r="AD12" s="8" t="s">
        <v>4472</v>
      </c>
      <c r="AE12" s="8" t="s">
        <v>5362</v>
      </c>
      <c r="AF12" s="9">
        <f t="shared" si="0"/>
        <v>5414.2400000000007</v>
      </c>
      <c r="AG12" s="9">
        <f t="shared" si="1"/>
        <v>4310.9333333333334</v>
      </c>
      <c r="AH12" s="9">
        <f t="shared" si="2"/>
        <v>2.8720948210574875</v>
      </c>
      <c r="AI12" s="9">
        <f t="shared" si="3"/>
        <v>8.248928661145241</v>
      </c>
      <c r="AJ12" s="9">
        <f t="shared" si="4"/>
        <v>3.6217773881362207</v>
      </c>
      <c r="AK12" s="9">
        <f t="shared" si="5"/>
        <v>13.117271449214824</v>
      </c>
      <c r="AL12" s="9">
        <f t="shared" si="6"/>
        <v>3.4096231324263702</v>
      </c>
      <c r="AM12" s="9">
        <f t="shared" si="7"/>
        <v>11.625529905177013</v>
      </c>
      <c r="AN12" s="9" t="s">
        <v>2502</v>
      </c>
    </row>
    <row r="13" spans="8:40" ht="23">
      <c r="M13" s="8" t="s">
        <v>1304</v>
      </c>
      <c r="N13" s="8" t="s">
        <v>150</v>
      </c>
      <c r="O13" s="8"/>
      <c r="P13" s="8" t="s">
        <v>4701</v>
      </c>
      <c r="Q13" s="8"/>
      <c r="R13" s="8"/>
      <c r="S13" s="8"/>
      <c r="T13" s="8"/>
      <c r="U13" s="8"/>
      <c r="V13" s="8"/>
      <c r="W13" s="8" t="s">
        <v>1304</v>
      </c>
      <c r="X13" s="8">
        <v>38.96</v>
      </c>
      <c r="Y13" s="8">
        <v>5.72</v>
      </c>
      <c r="Z13" s="9">
        <v>7.15</v>
      </c>
      <c r="AA13" s="8">
        <v>1004</v>
      </c>
      <c r="AB13" s="8">
        <v>421</v>
      </c>
      <c r="AC13" s="21" t="s">
        <v>1304</v>
      </c>
      <c r="AD13" s="8" t="s">
        <v>3689</v>
      </c>
      <c r="AE13" s="8" t="s">
        <v>5362</v>
      </c>
      <c r="AF13" s="9">
        <f t="shared" si="0"/>
        <v>5742.88</v>
      </c>
      <c r="AG13" s="9">
        <f t="shared" si="1"/>
        <v>7279</v>
      </c>
      <c r="AH13" s="9">
        <f t="shared" si="2"/>
        <v>2.6310065696548515</v>
      </c>
      <c r="AI13" s="9">
        <f t="shared" si="3"/>
        <v>6.9221955695669886</v>
      </c>
      <c r="AJ13" s="9">
        <f t="shared" si="4"/>
        <v>3.8416163536857866</v>
      </c>
      <c r="AK13" s="9">
        <f t="shared" si="5"/>
        <v>14.758016208906078</v>
      </c>
      <c r="AL13" s="9">
        <f t="shared" si="6"/>
        <v>5.7571400116598603</v>
      </c>
      <c r="AM13" s="9">
        <f t="shared" si="7"/>
        <v>33.144661113854895</v>
      </c>
      <c r="AN13" s="8" t="s">
        <v>1304</v>
      </c>
    </row>
    <row r="14" spans="8:40" ht="23">
      <c r="M14" s="8" t="s">
        <v>4530</v>
      </c>
      <c r="N14" s="8" t="s">
        <v>1814</v>
      </c>
      <c r="O14" s="8"/>
      <c r="P14" s="8" t="s">
        <v>3693</v>
      </c>
      <c r="Q14" s="8"/>
      <c r="R14" s="8"/>
      <c r="S14" s="8"/>
      <c r="T14" s="8"/>
      <c r="U14" s="8"/>
      <c r="V14" s="8"/>
      <c r="W14" s="8" t="s">
        <v>4530</v>
      </c>
      <c r="X14" s="8">
        <v>38.479999999999997</v>
      </c>
      <c r="Y14" s="8">
        <v>3.43</v>
      </c>
      <c r="Z14" s="9">
        <v>2.41</v>
      </c>
      <c r="AA14" s="8">
        <v>633.70000000000005</v>
      </c>
      <c r="AB14" s="8">
        <v>899</v>
      </c>
      <c r="AC14" s="21" t="s">
        <v>4530</v>
      </c>
      <c r="AD14" s="8" t="s">
        <v>4472</v>
      </c>
      <c r="AE14" s="8" t="s">
        <v>5362</v>
      </c>
      <c r="AF14" s="9">
        <f t="shared" si="0"/>
        <v>2173.5910000000003</v>
      </c>
      <c r="AG14" s="9">
        <f t="shared" si="1"/>
        <v>1700.4283333333335</v>
      </c>
      <c r="AH14" s="9">
        <f t="shared" si="2"/>
        <v>1.6606263577592424</v>
      </c>
      <c r="AI14" s="9">
        <f t="shared" si="3"/>
        <v>2.7576799000847272</v>
      </c>
      <c r="AJ14" s="9">
        <f t="shared" si="4"/>
        <v>1.4539922010949635</v>
      </c>
      <c r="AK14" s="9">
        <f t="shared" si="5"/>
        <v>2.1140933208449768</v>
      </c>
      <c r="AL14" s="9">
        <f t="shared" si="6"/>
        <v>1.3449105639227128</v>
      </c>
      <c r="AM14" s="9">
        <f t="shared" si="7"/>
        <v>1.8087844249509093</v>
      </c>
      <c r="AN14" s="8" t="s">
        <v>4530</v>
      </c>
    </row>
    <row r="15" spans="8:40" ht="23">
      <c r="M15" s="8" t="s">
        <v>4474</v>
      </c>
      <c r="N15" s="8" t="s">
        <v>1614</v>
      </c>
      <c r="O15" s="8"/>
      <c r="P15" s="8" t="s">
        <v>3691</v>
      </c>
      <c r="Q15" s="8"/>
      <c r="R15" s="8"/>
      <c r="S15" s="8"/>
      <c r="T15" s="8"/>
      <c r="U15" s="8"/>
      <c r="V15" s="8"/>
      <c r="W15" s="8" t="s">
        <v>4474</v>
      </c>
      <c r="X15" s="8">
        <v>41.21</v>
      </c>
      <c r="Y15" s="8">
        <v>2.5</v>
      </c>
      <c r="Z15" s="9">
        <v>1.39</v>
      </c>
      <c r="AA15" s="8">
        <v>460.5</v>
      </c>
      <c r="AB15" s="8">
        <v>1054</v>
      </c>
      <c r="AC15" s="21" t="s">
        <v>4474</v>
      </c>
      <c r="AD15" s="8" t="s">
        <v>4472</v>
      </c>
      <c r="AE15" s="8" t="s">
        <v>5362</v>
      </c>
      <c r="AF15" s="9">
        <f t="shared" si="0"/>
        <v>1151.25</v>
      </c>
      <c r="AG15" s="9">
        <f t="shared" si="1"/>
        <v>759.82499999999993</v>
      </c>
      <c r="AH15" s="9">
        <f t="shared" si="2"/>
        <v>1.2067515192490628</v>
      </c>
      <c r="AI15" s="9">
        <f t="shared" si="3"/>
        <v>1.4562492292099212</v>
      </c>
      <c r="AJ15" s="9">
        <f t="shared" si="4"/>
        <v>0.7701120042871803</v>
      </c>
      <c r="AK15" s="9">
        <f t="shared" si="5"/>
        <v>0.59307249914721805</v>
      </c>
      <c r="AL15" s="9">
        <f t="shared" si="6"/>
        <v>0.60096426835546823</v>
      </c>
      <c r="AM15" s="9">
        <f t="shared" si="7"/>
        <v>0.36115805184002325</v>
      </c>
      <c r="AN15" s="8" t="s">
        <v>4474</v>
      </c>
    </row>
    <row r="16" spans="8:40" ht="23">
      <c r="M16" s="9" t="s">
        <v>3131</v>
      </c>
      <c r="N16" s="8" t="s">
        <v>1862</v>
      </c>
      <c r="O16" s="8"/>
      <c r="P16" s="8" t="s">
        <v>3691</v>
      </c>
      <c r="Q16" s="8"/>
      <c r="R16" s="8"/>
      <c r="S16" s="8"/>
      <c r="T16" s="8"/>
      <c r="U16" s="8"/>
      <c r="V16" s="8"/>
      <c r="W16" s="9" t="s">
        <v>3131</v>
      </c>
      <c r="X16" s="8">
        <v>15.16</v>
      </c>
      <c r="Y16" s="8">
        <v>4.4800000000000004</v>
      </c>
      <c r="Z16" s="9">
        <v>2.5299999999999998</v>
      </c>
      <c r="AA16" s="8">
        <v>445.6</v>
      </c>
      <c r="AB16" s="8">
        <v>1672</v>
      </c>
      <c r="AC16" s="22" t="s">
        <v>3131</v>
      </c>
      <c r="AD16" s="8" t="s">
        <v>4472</v>
      </c>
      <c r="AE16" s="8" t="s">
        <v>5362</v>
      </c>
      <c r="AF16" s="9">
        <f t="shared" si="0"/>
        <v>1996.2880000000002</v>
      </c>
      <c r="AG16" s="9">
        <f t="shared" si="1"/>
        <v>1284.8133333333333</v>
      </c>
      <c r="AH16" s="9">
        <f t="shared" si="2"/>
        <v>1.167705704619723</v>
      </c>
      <c r="AI16" s="9">
        <f t="shared" si="3"/>
        <v>1.3635366126014439</v>
      </c>
      <c r="AJ16" s="9">
        <f t="shared" si="4"/>
        <v>1.3353879286118973</v>
      </c>
      <c r="AK16" s="9">
        <f t="shared" si="5"/>
        <v>1.7832609198823737</v>
      </c>
      <c r="AL16" s="9">
        <f t="shared" si="6"/>
        <v>1.016190444957743</v>
      </c>
      <c r="AM16" s="9">
        <f t="shared" si="7"/>
        <v>1.0326430204234158</v>
      </c>
      <c r="AN16" s="9" t="s">
        <v>3131</v>
      </c>
    </row>
    <row r="17" spans="13:40" ht="23">
      <c r="M17" s="8" t="s">
        <v>4473</v>
      </c>
      <c r="N17" s="8" t="s">
        <v>1717</v>
      </c>
      <c r="O17" s="8"/>
      <c r="P17" s="8" t="s">
        <v>3691</v>
      </c>
      <c r="Q17" s="8"/>
      <c r="R17" s="8"/>
      <c r="S17" s="8"/>
      <c r="T17" s="8"/>
      <c r="U17" s="8"/>
      <c r="V17" s="8"/>
      <c r="W17" s="8" t="s">
        <v>4473</v>
      </c>
      <c r="X17" s="8">
        <v>23.02</v>
      </c>
      <c r="Y17" s="8">
        <v>3.78</v>
      </c>
      <c r="Z17" s="9">
        <v>2.4500000000000002</v>
      </c>
      <c r="AA17" s="8">
        <v>427.5</v>
      </c>
      <c r="AB17" s="8">
        <v>683</v>
      </c>
      <c r="AC17" s="21" t="s">
        <v>4473</v>
      </c>
      <c r="AD17" s="8" t="s">
        <v>4472</v>
      </c>
      <c r="AE17" s="8" t="s">
        <v>5362</v>
      </c>
      <c r="AF17" s="9">
        <f t="shared" si="0"/>
        <v>1615.9499999999998</v>
      </c>
      <c r="AG17" s="9">
        <f t="shared" si="1"/>
        <v>1175.625</v>
      </c>
      <c r="AH17" s="9">
        <f t="shared" si="2"/>
        <v>1.1202742116807263</v>
      </c>
      <c r="AI17" s="9">
        <f t="shared" si="3"/>
        <v>1.2550143093568726</v>
      </c>
      <c r="AJ17" s="9">
        <f t="shared" si="4"/>
        <v>1.0809663351382142</v>
      </c>
      <c r="AK17" s="9">
        <f t="shared" si="5"/>
        <v>1.1684882177021418</v>
      </c>
      <c r="AL17" s="9">
        <f t="shared" si="6"/>
        <v>0.9298307083675813</v>
      </c>
      <c r="AM17" s="9">
        <f t="shared" si="7"/>
        <v>0.86458514622335803</v>
      </c>
      <c r="AN17" s="8" t="s">
        <v>4473</v>
      </c>
    </row>
    <row r="18" spans="13:40" ht="23">
      <c r="M18" s="9" t="s">
        <v>3579</v>
      </c>
      <c r="N18" s="8" t="s">
        <v>2074</v>
      </c>
      <c r="O18" s="8"/>
      <c r="P18" s="8" t="s">
        <v>3691</v>
      </c>
      <c r="Q18" s="8"/>
      <c r="R18" s="8"/>
      <c r="S18" s="8"/>
      <c r="T18" s="8"/>
      <c r="U18" s="8"/>
      <c r="V18" s="8"/>
      <c r="W18" s="9" t="s">
        <v>3579</v>
      </c>
      <c r="X18" s="8">
        <v>4.3099999999999996</v>
      </c>
      <c r="Y18" s="8">
        <v>5.51</v>
      </c>
      <c r="Z18" s="9">
        <v>3.34</v>
      </c>
      <c r="AA18" s="8">
        <v>421.1</v>
      </c>
      <c r="AB18" s="8">
        <v>98082</v>
      </c>
      <c r="AC18" s="22" t="s">
        <v>3579</v>
      </c>
      <c r="AD18" s="8" t="s">
        <v>3689</v>
      </c>
      <c r="AE18" s="8" t="s">
        <v>5362</v>
      </c>
      <c r="AF18" s="9">
        <f t="shared" si="0"/>
        <v>2320.261</v>
      </c>
      <c r="AG18" s="9">
        <f t="shared" si="1"/>
        <v>1501.9233333333334</v>
      </c>
      <c r="AH18" s="9">
        <f t="shared" si="2"/>
        <v>1.1035028550614123</v>
      </c>
      <c r="AI18" s="9">
        <f t="shared" si="3"/>
        <v>1.2177185511286883</v>
      </c>
      <c r="AJ18" s="9">
        <f t="shared" si="4"/>
        <v>1.5521049721427815</v>
      </c>
      <c r="AK18" s="9">
        <f t="shared" si="5"/>
        <v>2.4090298445503446</v>
      </c>
      <c r="AL18" s="9">
        <f t="shared" si="6"/>
        <v>1.1879080803378053</v>
      </c>
      <c r="AM18" s="9">
        <f t="shared" si="7"/>
        <v>1.4111256073318497</v>
      </c>
      <c r="AN18" s="9" t="s">
        <v>3579</v>
      </c>
    </row>
    <row r="19" spans="13:40" ht="23">
      <c r="M19" s="9" t="s">
        <v>3181</v>
      </c>
      <c r="N19" s="8" t="s">
        <v>1869</v>
      </c>
      <c r="O19" s="8"/>
      <c r="P19" s="8" t="s">
        <v>4702</v>
      </c>
      <c r="Q19" s="8"/>
      <c r="R19" s="8"/>
      <c r="S19" s="8"/>
      <c r="T19" s="8"/>
      <c r="U19" s="8"/>
      <c r="V19" s="8"/>
      <c r="W19" s="9" t="s">
        <v>3181</v>
      </c>
      <c r="X19" s="8">
        <v>31.49</v>
      </c>
      <c r="Y19" s="8">
        <v>2.0699999999999998</v>
      </c>
      <c r="Z19" s="9">
        <v>2.15</v>
      </c>
      <c r="AA19" s="8">
        <v>415.2</v>
      </c>
      <c r="AB19" s="8">
        <v>2026</v>
      </c>
      <c r="AC19" s="22" t="s">
        <v>3181</v>
      </c>
      <c r="AD19" s="8" t="s">
        <v>3689</v>
      </c>
      <c r="AE19" s="8" t="s">
        <v>5362</v>
      </c>
      <c r="AF19" s="9">
        <f t="shared" si="0"/>
        <v>859.46399999999994</v>
      </c>
      <c r="AG19" s="9">
        <f t="shared" si="1"/>
        <v>934.19999999999993</v>
      </c>
      <c r="AH19" s="9">
        <f t="shared" si="2"/>
        <v>1.0880417606779824</v>
      </c>
      <c r="AI19" s="9">
        <f t="shared" si="3"/>
        <v>1.1838348729792441</v>
      </c>
      <c r="AJ19" s="9">
        <f t="shared" si="4"/>
        <v>0.57492598797192362</v>
      </c>
      <c r="AK19" s="9">
        <f t="shared" si="5"/>
        <v>0.33053989164549247</v>
      </c>
      <c r="AL19" s="9">
        <f t="shared" si="6"/>
        <v>0.73888174184539657</v>
      </c>
      <c r="AM19" s="9">
        <f t="shared" si="7"/>
        <v>0.5459462284324873</v>
      </c>
      <c r="AN19" s="9" t="s">
        <v>3181</v>
      </c>
    </row>
    <row r="20" spans="13:40" ht="23">
      <c r="M20" s="8" t="s">
        <v>4539</v>
      </c>
      <c r="N20" s="8" t="s">
        <v>13</v>
      </c>
      <c r="O20" s="8"/>
      <c r="P20" s="8"/>
      <c r="Q20" s="8"/>
      <c r="R20" s="8"/>
      <c r="S20" s="8"/>
      <c r="T20" s="8"/>
      <c r="U20" s="8"/>
      <c r="V20" s="8"/>
      <c r="W20" s="8" t="s">
        <v>4539</v>
      </c>
      <c r="X20" s="8">
        <v>20.38</v>
      </c>
      <c r="Y20" s="8">
        <v>2.52</v>
      </c>
      <c r="Z20" s="9">
        <v>1.18</v>
      </c>
      <c r="AA20" s="8">
        <v>340</v>
      </c>
      <c r="AB20" s="8">
        <v>11814</v>
      </c>
      <c r="AC20" s="21" t="s">
        <v>4539</v>
      </c>
      <c r="AD20" s="8" t="s">
        <v>4472</v>
      </c>
      <c r="AE20" s="8" t="s">
        <v>5362</v>
      </c>
      <c r="AF20" s="9">
        <f t="shared" si="0"/>
        <v>856.8</v>
      </c>
      <c r="AG20" s="9">
        <f t="shared" si="1"/>
        <v>442</v>
      </c>
      <c r="AH20" s="9">
        <f t="shared" si="2"/>
        <v>0.89097832040104541</v>
      </c>
      <c r="AI20" s="9">
        <f t="shared" si="3"/>
        <v>0.79384236742466796</v>
      </c>
      <c r="AJ20" s="9">
        <f t="shared" si="4"/>
        <v>0.57314394377698674</v>
      </c>
      <c r="AK20" s="9">
        <f t="shared" si="5"/>
        <v>0.32849398028823773</v>
      </c>
      <c r="AL20" s="9">
        <f t="shared" si="6"/>
        <v>0.34958866398594018</v>
      </c>
      <c r="AM20" s="9">
        <f t="shared" si="7"/>
        <v>0.12221223398747459</v>
      </c>
      <c r="AN20" s="8" t="s">
        <v>4539</v>
      </c>
    </row>
    <row r="21" spans="13:40" ht="23">
      <c r="M21" s="8" t="s">
        <v>4537</v>
      </c>
      <c r="N21" s="8" t="s">
        <v>2017</v>
      </c>
      <c r="O21" s="8"/>
      <c r="P21" s="8"/>
      <c r="Q21" s="8"/>
      <c r="R21" s="8"/>
      <c r="S21" s="8"/>
      <c r="T21" s="8"/>
      <c r="U21" s="8"/>
      <c r="V21" s="8"/>
      <c r="W21" s="8" t="s">
        <v>4537</v>
      </c>
      <c r="X21" s="8">
        <v>51.85</v>
      </c>
      <c r="Y21" s="8">
        <v>1.1299999999999999</v>
      </c>
      <c r="Z21" s="9">
        <v>7.0000000000000007E-2</v>
      </c>
      <c r="AA21" s="8">
        <v>321.10000000000002</v>
      </c>
      <c r="AB21" s="8">
        <v>10259</v>
      </c>
      <c r="AC21" s="21" t="s">
        <v>4537</v>
      </c>
      <c r="AD21" s="8" t="s">
        <v>4472</v>
      </c>
      <c r="AE21" s="8" t="s">
        <v>5362</v>
      </c>
      <c r="AF21" s="9">
        <f t="shared" si="0"/>
        <v>362.84300000000002</v>
      </c>
      <c r="AG21" s="9">
        <f t="shared" si="1"/>
        <v>37.461666666666673</v>
      </c>
      <c r="AH21" s="9">
        <f t="shared" si="2"/>
        <v>0.84145040788463443</v>
      </c>
      <c r="AI21" s="9">
        <f t="shared" si="3"/>
        <v>0.70803878892921768</v>
      </c>
      <c r="AJ21" s="9">
        <f t="shared" si="4"/>
        <v>0.24271856675055237</v>
      </c>
      <c r="AK21" s="9">
        <f t="shared" si="5"/>
        <v>5.8912302645442345E-2</v>
      </c>
      <c r="AL21" s="9">
        <f t="shared" si="6"/>
        <v>2.9629352942729937E-2</v>
      </c>
      <c r="AM21" s="9">
        <f t="shared" si="7"/>
        <v>8.7789855580485917E-4</v>
      </c>
      <c r="AN21" s="8" t="s">
        <v>4537</v>
      </c>
    </row>
    <row r="22" spans="13:40" ht="23">
      <c r="M22" s="8" t="s">
        <v>4546</v>
      </c>
      <c r="N22" s="8" t="s">
        <v>1990</v>
      </c>
      <c r="O22" s="8"/>
      <c r="P22" s="8" t="s">
        <v>3691</v>
      </c>
      <c r="Q22" s="8"/>
      <c r="R22" s="8"/>
      <c r="S22" s="8"/>
      <c r="T22" s="8"/>
      <c r="U22" s="8"/>
      <c r="V22" s="8"/>
      <c r="W22" s="8" t="s">
        <v>4546</v>
      </c>
      <c r="X22" s="8">
        <v>21.8</v>
      </c>
      <c r="Y22" s="8">
        <v>5.19</v>
      </c>
      <c r="Z22" s="9">
        <v>1.32</v>
      </c>
      <c r="AA22" s="8">
        <v>291.8</v>
      </c>
      <c r="AB22" s="8">
        <v>1309</v>
      </c>
      <c r="AC22" s="21" t="s">
        <v>4546</v>
      </c>
      <c r="AD22" s="8" t="s">
        <v>4472</v>
      </c>
      <c r="AE22" s="8" t="s">
        <v>5362</v>
      </c>
      <c r="AF22" s="9">
        <f t="shared" si="0"/>
        <v>1514.4420000000002</v>
      </c>
      <c r="AG22" s="9">
        <f t="shared" si="1"/>
        <v>447.42666666666668</v>
      </c>
      <c r="AH22" s="9">
        <f t="shared" si="2"/>
        <v>0.76466904086183829</v>
      </c>
      <c r="AI22" s="9">
        <f t="shared" si="3"/>
        <v>0.58471874205256369</v>
      </c>
      <c r="AJ22" s="9">
        <f t="shared" si="4"/>
        <v>1.0130640295302376</v>
      </c>
      <c r="AK22" s="9">
        <f t="shared" si="5"/>
        <v>1.026298727928042</v>
      </c>
      <c r="AL22" s="9">
        <f t="shared" si="6"/>
        <v>0.35388074803548097</v>
      </c>
      <c r="AM22" s="9">
        <f t="shared" si="7"/>
        <v>0.12523158383015157</v>
      </c>
      <c r="AN22" s="8" t="s">
        <v>4546</v>
      </c>
    </row>
    <row r="23" spans="13:40" ht="23">
      <c r="M23" s="8" t="s">
        <v>4545</v>
      </c>
      <c r="N23" s="8" t="s">
        <v>2003</v>
      </c>
      <c r="O23" s="8"/>
      <c r="P23" s="8"/>
      <c r="Q23" s="8"/>
      <c r="R23" s="8"/>
      <c r="S23" s="8"/>
      <c r="T23" s="8"/>
      <c r="U23" s="8"/>
      <c r="V23" s="8"/>
      <c r="W23" s="8" t="s">
        <v>4545</v>
      </c>
      <c r="X23" s="8">
        <v>32.42</v>
      </c>
      <c r="Y23" s="8">
        <v>1.54</v>
      </c>
      <c r="Z23" s="9">
        <v>1.36</v>
      </c>
      <c r="AA23" s="8">
        <v>257.39999999999998</v>
      </c>
      <c r="AB23" s="8">
        <v>3622</v>
      </c>
      <c r="AC23" s="21" t="s">
        <v>4545</v>
      </c>
      <c r="AD23" s="8" t="s">
        <v>4472</v>
      </c>
      <c r="AE23" s="8" t="s">
        <v>5362</v>
      </c>
      <c r="AF23" s="9">
        <f t="shared" si="0"/>
        <v>396.39599999999996</v>
      </c>
      <c r="AG23" s="9">
        <f t="shared" si="1"/>
        <v>411.84</v>
      </c>
      <c r="AH23" s="9">
        <f t="shared" si="2"/>
        <v>0.67452299903302659</v>
      </c>
      <c r="AI23" s="9">
        <f t="shared" si="3"/>
        <v>0.4549812762245084</v>
      </c>
      <c r="AJ23" s="9">
        <f t="shared" si="4"/>
        <v>0.26516335987094125</v>
      </c>
      <c r="AK23" s="9">
        <f t="shared" si="5"/>
        <v>7.031160741804629E-2</v>
      </c>
      <c r="AL23" s="9">
        <f t="shared" si="6"/>
        <v>0.32573437867866423</v>
      </c>
      <c r="AM23" s="9">
        <f t="shared" si="7"/>
        <v>0.10610288545317542</v>
      </c>
      <c r="AN23" s="8" t="s">
        <v>4545</v>
      </c>
    </row>
    <row r="24" spans="13:40" ht="24.5" customHeight="1">
      <c r="M24" s="8" t="s">
        <v>4547</v>
      </c>
      <c r="N24" s="8" t="s">
        <v>90</v>
      </c>
      <c r="O24" s="8"/>
      <c r="P24" s="8" t="s">
        <v>3693</v>
      </c>
      <c r="Q24" s="8"/>
      <c r="R24" s="8"/>
      <c r="S24" s="8"/>
      <c r="T24" s="8"/>
      <c r="U24" s="8"/>
      <c r="V24" s="8"/>
      <c r="W24" s="8" t="s">
        <v>4547</v>
      </c>
      <c r="X24" s="8">
        <v>14.76</v>
      </c>
      <c r="Y24" s="8">
        <v>7.73</v>
      </c>
      <c r="Z24" s="9">
        <v>4.2300000000000004</v>
      </c>
      <c r="AA24" s="8">
        <v>243.2</v>
      </c>
      <c r="AB24" s="8">
        <v>1740</v>
      </c>
      <c r="AC24" s="21" t="s">
        <v>4547</v>
      </c>
      <c r="AD24" s="8" t="s">
        <v>4472</v>
      </c>
      <c r="AE24" s="8" t="s">
        <v>5362</v>
      </c>
      <c r="AF24" s="9">
        <f t="shared" si="0"/>
        <v>1879.9359999999999</v>
      </c>
      <c r="AG24" s="9">
        <f t="shared" si="1"/>
        <v>1066.0266666666666</v>
      </c>
      <c r="AH24" s="9">
        <f t="shared" si="2"/>
        <v>0.63731155153392416</v>
      </c>
      <c r="AI24" s="9">
        <f t="shared" si="3"/>
        <v>0.40616601371857769</v>
      </c>
      <c r="AJ24" s="9">
        <f t="shared" si="4"/>
        <v>1.2575559443141147</v>
      </c>
      <c r="AK24" s="9">
        <f t="shared" si="5"/>
        <v>1.5814469530797646</v>
      </c>
      <c r="AL24" s="9">
        <f t="shared" si="6"/>
        <v>0.84314669269996645</v>
      </c>
      <c r="AM24" s="9">
        <f t="shared" si="7"/>
        <v>0.71089634541089164</v>
      </c>
      <c r="AN24" s="8" t="s">
        <v>4547</v>
      </c>
    </row>
    <row r="25" spans="13:40" ht="23">
      <c r="M25" s="8" t="s">
        <v>4544</v>
      </c>
      <c r="N25" s="8" t="s">
        <v>2074</v>
      </c>
      <c r="O25" s="8"/>
      <c r="P25" s="8" t="s">
        <v>4705</v>
      </c>
      <c r="Q25" s="8"/>
      <c r="R25" s="8"/>
      <c r="S25" s="8"/>
      <c r="T25" s="8"/>
      <c r="U25" s="8"/>
      <c r="V25" s="8"/>
      <c r="W25" s="8" t="s">
        <v>4544</v>
      </c>
      <c r="X25" s="8">
        <v>8.8699999999999992</v>
      </c>
      <c r="Y25" s="8">
        <v>4.41</v>
      </c>
      <c r="Z25" s="9">
        <v>2.46</v>
      </c>
      <c r="AA25" s="8">
        <v>240.4</v>
      </c>
      <c r="AB25" s="8">
        <v>1817</v>
      </c>
      <c r="AC25" s="21" t="s">
        <v>4544</v>
      </c>
      <c r="AD25" s="8" t="s">
        <v>4472</v>
      </c>
      <c r="AE25" s="8" t="s">
        <v>5362</v>
      </c>
      <c r="AF25" s="9">
        <f t="shared" si="0"/>
        <v>1060.164</v>
      </c>
      <c r="AG25" s="9">
        <f t="shared" si="1"/>
        <v>665.10666666666668</v>
      </c>
      <c r="AH25" s="9">
        <f t="shared" si="2"/>
        <v>0.62997408301297442</v>
      </c>
      <c r="AI25" s="9">
        <f t="shared" si="3"/>
        <v>0.39686734526803796</v>
      </c>
      <c r="AJ25" s="9">
        <f t="shared" si="4"/>
        <v>0.70918134454993642</v>
      </c>
      <c r="AK25" s="9">
        <f t="shared" si="5"/>
        <v>0.50293817945765562</v>
      </c>
      <c r="AL25" s="9">
        <f t="shared" si="6"/>
        <v>0.52604921042566066</v>
      </c>
      <c r="AM25" s="9">
        <f t="shared" si="7"/>
        <v>0.27672777178946101</v>
      </c>
      <c r="AN25" s="8" t="s">
        <v>4544</v>
      </c>
    </row>
    <row r="26" spans="13:40" ht="23">
      <c r="M26" s="8" t="s">
        <v>127</v>
      </c>
      <c r="N26" s="8" t="s">
        <v>125</v>
      </c>
      <c r="O26" s="8"/>
      <c r="P26" s="8" t="s">
        <v>4706</v>
      </c>
      <c r="Q26" s="8"/>
      <c r="R26" s="8"/>
      <c r="S26" s="8"/>
      <c r="T26" s="8"/>
      <c r="U26" s="8"/>
      <c r="V26" s="8"/>
      <c r="W26" s="8" t="s">
        <v>127</v>
      </c>
      <c r="X26" s="8">
        <v>24.82</v>
      </c>
      <c r="Y26" s="8">
        <v>3.14</v>
      </c>
      <c r="Z26" s="9">
        <v>2.02</v>
      </c>
      <c r="AA26" s="8">
        <v>232.3</v>
      </c>
      <c r="AB26" s="8">
        <v>1668</v>
      </c>
      <c r="AC26" s="21" t="s">
        <v>127</v>
      </c>
      <c r="AD26" s="8" t="s">
        <v>3689</v>
      </c>
      <c r="AE26" s="8" t="s">
        <v>5362</v>
      </c>
      <c r="AF26" s="9">
        <f t="shared" si="0"/>
        <v>729.42200000000003</v>
      </c>
      <c r="AG26" s="9">
        <f t="shared" si="1"/>
        <v>472.34333333333331</v>
      </c>
      <c r="AH26" s="9">
        <f t="shared" si="2"/>
        <v>0.6087478347916554</v>
      </c>
      <c r="AI26" s="9">
        <f t="shared" si="3"/>
        <v>0.37057392636352859</v>
      </c>
      <c r="AJ26" s="9">
        <f t="shared" si="4"/>
        <v>0.48793627656127136</v>
      </c>
      <c r="AK26" s="9">
        <f t="shared" si="5"/>
        <v>0.2380818099844775</v>
      </c>
      <c r="AL26" s="9">
        <f t="shared" si="6"/>
        <v>0.37358795213272755</v>
      </c>
      <c r="AM26" s="9">
        <f t="shared" si="7"/>
        <v>0.13956795797872512</v>
      </c>
      <c r="AN26" s="8" t="s">
        <v>127</v>
      </c>
    </row>
    <row r="27" spans="13:40" ht="23">
      <c r="M27" s="8" t="s">
        <v>4476</v>
      </c>
      <c r="N27" s="8" t="s">
        <v>1939</v>
      </c>
      <c r="O27" s="8"/>
      <c r="P27" s="8"/>
      <c r="Q27" s="8"/>
      <c r="R27" s="8"/>
      <c r="S27" s="8"/>
      <c r="T27" s="8"/>
      <c r="U27" s="8"/>
      <c r="V27" s="8"/>
      <c r="W27" s="8" t="s">
        <v>4476</v>
      </c>
      <c r="X27" s="8">
        <v>32.950000000000003</v>
      </c>
      <c r="Y27" s="8">
        <v>1.67</v>
      </c>
      <c r="Z27" s="9">
        <v>0.35</v>
      </c>
      <c r="AA27" s="8">
        <v>225.6</v>
      </c>
      <c r="AB27" s="8">
        <v>3778</v>
      </c>
      <c r="AC27" s="21" t="s">
        <v>4476</v>
      </c>
      <c r="AD27" s="8" t="s">
        <v>4472</v>
      </c>
      <c r="AE27" s="8" t="s">
        <v>5362</v>
      </c>
      <c r="AF27" s="9">
        <f t="shared" si="0"/>
        <v>376.75199999999995</v>
      </c>
      <c r="AG27" s="9">
        <f t="shared" si="1"/>
        <v>131.6</v>
      </c>
      <c r="AH27" s="9">
        <f t="shared" si="2"/>
        <v>0.59119032083081124</v>
      </c>
      <c r="AI27" s="9">
        <f t="shared" si="3"/>
        <v>0.34950599544403754</v>
      </c>
      <c r="AJ27" s="9">
        <f t="shared" si="4"/>
        <v>0.25202279073980782</v>
      </c>
      <c r="AK27" s="9">
        <f t="shared" si="5"/>
        <v>6.3515487052280967E-2</v>
      </c>
      <c r="AL27" s="9">
        <f t="shared" si="6"/>
        <v>0.10408567461662835</v>
      </c>
      <c r="AM27" s="9">
        <f t="shared" si="7"/>
        <v>1.0833827660398631E-2</v>
      </c>
      <c r="AN27" s="8" t="s">
        <v>4476</v>
      </c>
    </row>
    <row r="28" spans="13:40" ht="23">
      <c r="M28" s="9" t="s">
        <v>2143</v>
      </c>
      <c r="N28" s="8" t="s">
        <v>150</v>
      </c>
      <c r="O28" s="8"/>
      <c r="P28" s="8" t="s">
        <v>3693</v>
      </c>
      <c r="Q28" s="8"/>
      <c r="R28" s="8"/>
      <c r="S28" s="8"/>
      <c r="T28" s="8"/>
      <c r="U28" s="8"/>
      <c r="V28" s="8"/>
      <c r="W28" s="9" t="s">
        <v>2143</v>
      </c>
      <c r="X28" s="8">
        <v>7.43</v>
      </c>
      <c r="Y28" s="8">
        <v>3.92</v>
      </c>
      <c r="Z28" s="9">
        <v>2.14</v>
      </c>
      <c r="AA28" s="8">
        <v>195.9</v>
      </c>
      <c r="AB28" s="8">
        <v>1703</v>
      </c>
      <c r="AC28" s="22" t="s">
        <v>2143</v>
      </c>
      <c r="AD28" s="8" t="s">
        <v>3689</v>
      </c>
      <c r="AE28" s="8" t="s">
        <v>5362</v>
      </c>
      <c r="AF28" s="9">
        <f t="shared" si="0"/>
        <v>767.928</v>
      </c>
      <c r="AG28" s="9">
        <f t="shared" si="1"/>
        <v>437.51000000000005</v>
      </c>
      <c r="AH28" s="9">
        <f t="shared" si="2"/>
        <v>0.5133607440193082</v>
      </c>
      <c r="AI28" s="9">
        <f t="shared" si="3"/>
        <v>0.26353925350005769</v>
      </c>
      <c r="AJ28" s="9">
        <f t="shared" si="4"/>
        <v>0.51369430725580534</v>
      </c>
      <c r="AK28" s="9">
        <f t="shared" si="5"/>
        <v>0.26388184130702175</v>
      </c>
      <c r="AL28" s="9">
        <f t="shared" si="6"/>
        <v>0.34603741262554005</v>
      </c>
      <c r="AM28" s="9">
        <f t="shared" si="7"/>
        <v>0.11974189093657826</v>
      </c>
      <c r="AN28" s="9" t="s">
        <v>2143</v>
      </c>
    </row>
    <row r="29" spans="13:40" ht="23">
      <c r="M29" s="8" t="s">
        <v>981</v>
      </c>
      <c r="N29" s="8" t="s">
        <v>150</v>
      </c>
      <c r="O29" s="8"/>
      <c r="P29" s="8" t="s">
        <v>3693</v>
      </c>
      <c r="Q29" s="8"/>
      <c r="R29" s="8"/>
      <c r="S29" s="8"/>
      <c r="T29" s="8"/>
      <c r="U29" s="8"/>
      <c r="V29" s="8"/>
      <c r="W29" s="8" t="s">
        <v>4709</v>
      </c>
      <c r="X29" s="8">
        <v>19.13</v>
      </c>
      <c r="Y29" s="8">
        <v>3.23</v>
      </c>
      <c r="Z29" s="9">
        <v>1.43</v>
      </c>
      <c r="AA29" s="8">
        <v>142.69999999999999</v>
      </c>
      <c r="AB29" s="8">
        <v>2850</v>
      </c>
      <c r="AC29" s="21" t="s">
        <v>4709</v>
      </c>
      <c r="AD29" s="8" t="s">
        <v>3689</v>
      </c>
      <c r="AE29" s="8" t="s">
        <v>5362</v>
      </c>
      <c r="AF29" s="9">
        <f t="shared" si="0"/>
        <v>460.92099999999994</v>
      </c>
      <c r="AG29" s="9">
        <f t="shared" si="1"/>
        <v>244.96833333333333</v>
      </c>
      <c r="AH29" s="9">
        <f t="shared" si="2"/>
        <v>0.37394884212126223</v>
      </c>
      <c r="AI29" s="9">
        <f t="shared" si="3"/>
        <v>0.13983773652383269</v>
      </c>
      <c r="AJ29" s="9">
        <f t="shared" si="4"/>
        <v>0.30832642356399687</v>
      </c>
      <c r="AK29" s="9">
        <f t="shared" si="5"/>
        <v>9.5065183467765199E-2</v>
      </c>
      <c r="AL29" s="9">
        <f t="shared" si="6"/>
        <v>0.1937514759476526</v>
      </c>
      <c r="AM29" s="9">
        <f t="shared" si="7"/>
        <v>3.7539634431893808E-2</v>
      </c>
      <c r="AN29" s="8" t="s">
        <v>981</v>
      </c>
    </row>
    <row r="30" spans="13:40" ht="23">
      <c r="M30" s="8" t="s">
        <v>4540</v>
      </c>
      <c r="N30" s="8" t="s">
        <v>125</v>
      </c>
      <c r="O30" s="8"/>
      <c r="P30" s="8"/>
      <c r="Q30" s="8"/>
      <c r="R30" s="8"/>
      <c r="S30" s="8"/>
      <c r="T30" s="8"/>
      <c r="U30" s="8"/>
      <c r="V30" s="8"/>
      <c r="W30" s="8" t="s">
        <v>4540</v>
      </c>
      <c r="X30" s="8">
        <v>19.36</v>
      </c>
      <c r="Y30" s="8">
        <v>3.67</v>
      </c>
      <c r="Z30" s="9">
        <v>0.47</v>
      </c>
      <c r="AA30" s="8">
        <v>137.19999999999999</v>
      </c>
      <c r="AB30" s="8">
        <v>5463</v>
      </c>
      <c r="AC30" s="21" t="s">
        <v>4540</v>
      </c>
      <c r="AD30" s="8" t="s">
        <v>4472</v>
      </c>
      <c r="AE30" s="8" t="s">
        <v>5362</v>
      </c>
      <c r="AF30" s="9">
        <f t="shared" si="0"/>
        <v>503.52399999999994</v>
      </c>
      <c r="AG30" s="9">
        <f t="shared" si="1"/>
        <v>107.47333333333333</v>
      </c>
      <c r="AH30" s="9">
        <f t="shared" si="2"/>
        <v>0.35953595752653944</v>
      </c>
      <c r="AI30" s="9">
        <f t="shared" si="3"/>
        <v>0.12926610475452557</v>
      </c>
      <c r="AJ30" s="9">
        <f t="shared" si="4"/>
        <v>0.33682508303730563</v>
      </c>
      <c r="AK30" s="9">
        <f t="shared" si="5"/>
        <v>0.11345113656308783</v>
      </c>
      <c r="AL30" s="9">
        <f t="shared" si="6"/>
        <v>8.5003300936913134E-2</v>
      </c>
      <c r="AM30" s="9">
        <f t="shared" si="7"/>
        <v>7.225561170171417E-3</v>
      </c>
      <c r="AN30" s="8" t="s">
        <v>4540</v>
      </c>
    </row>
    <row r="31" spans="13:40" ht="23">
      <c r="M31" s="8" t="s">
        <v>4536</v>
      </c>
      <c r="N31" s="8" t="s">
        <v>2027</v>
      </c>
      <c r="O31" s="8"/>
      <c r="P31" s="8"/>
      <c r="Q31" s="8"/>
      <c r="R31" s="8"/>
      <c r="S31" s="8"/>
      <c r="T31" s="8"/>
      <c r="U31" s="8"/>
      <c r="V31" s="8"/>
      <c r="W31" s="8" t="s">
        <v>4536</v>
      </c>
      <c r="X31" s="8">
        <v>8.66</v>
      </c>
      <c r="Y31" s="8">
        <v>2.16</v>
      </c>
      <c r="Z31" s="9">
        <v>1.45</v>
      </c>
      <c r="AA31" s="8">
        <v>123.2</v>
      </c>
      <c r="AB31" s="8">
        <v>11550</v>
      </c>
      <c r="AC31" s="21" t="s">
        <v>4536</v>
      </c>
      <c r="AD31" s="8" t="s">
        <v>4472</v>
      </c>
      <c r="AE31" s="8" t="s">
        <v>5362</v>
      </c>
      <c r="AF31" s="9">
        <f t="shared" si="0"/>
        <v>266.11200000000002</v>
      </c>
      <c r="AG31" s="9">
        <f t="shared" si="1"/>
        <v>215.6</v>
      </c>
      <c r="AH31" s="9">
        <f t="shared" si="2"/>
        <v>0.32284861492179057</v>
      </c>
      <c r="AI31" s="9">
        <f t="shared" si="3"/>
        <v>0.10423122815691861</v>
      </c>
      <c r="AJ31" s="9">
        <f t="shared" si="4"/>
        <v>0.17801176606720534</v>
      </c>
      <c r="AK31" s="9">
        <f t="shared" si="5"/>
        <v>3.168818885836544E-2</v>
      </c>
      <c r="AL31" s="9">
        <f t="shared" si="6"/>
        <v>0.17052333926554003</v>
      </c>
      <c r="AM31" s="9">
        <f t="shared" si="7"/>
        <v>2.9078209234270465E-2</v>
      </c>
      <c r="AN31" s="8" t="s">
        <v>4536</v>
      </c>
    </row>
    <row r="32" spans="13:40" ht="23">
      <c r="M32" s="9" t="s">
        <v>3046</v>
      </c>
      <c r="N32" s="8" t="s">
        <v>1814</v>
      </c>
      <c r="O32" s="8"/>
      <c r="P32" s="8" t="s">
        <v>3698</v>
      </c>
      <c r="Q32" s="8"/>
      <c r="R32" s="8"/>
      <c r="S32" s="8"/>
      <c r="T32" s="8"/>
      <c r="U32" s="8"/>
      <c r="V32" s="8"/>
      <c r="W32" s="9" t="s">
        <v>3046</v>
      </c>
      <c r="X32" s="8">
        <v>11.22</v>
      </c>
      <c r="Y32" s="8">
        <v>4.72</v>
      </c>
      <c r="Z32" s="9">
        <v>1.27</v>
      </c>
      <c r="AA32" s="8">
        <v>121.9</v>
      </c>
      <c r="AB32" s="8">
        <v>5938</v>
      </c>
      <c r="AC32" s="22" t="s">
        <v>3046</v>
      </c>
      <c r="AD32" s="8" t="s">
        <v>3689</v>
      </c>
      <c r="AE32" s="8" t="s">
        <v>5362</v>
      </c>
      <c r="AF32" s="9">
        <f t="shared" si="0"/>
        <v>575.36800000000005</v>
      </c>
      <c r="AG32" s="9">
        <f t="shared" si="1"/>
        <v>176.755</v>
      </c>
      <c r="AH32" s="9">
        <f t="shared" si="2"/>
        <v>0.31944193310849245</v>
      </c>
      <c r="AI32" s="9">
        <f t="shared" si="3"/>
        <v>0.10204314862809057</v>
      </c>
      <c r="AJ32" s="9">
        <f t="shared" si="4"/>
        <v>0.38488408571787747</v>
      </c>
      <c r="AK32" s="9">
        <f t="shared" si="5"/>
        <v>0.14813575943888646</v>
      </c>
      <c r="AL32" s="9">
        <f t="shared" si="6"/>
        <v>0.13979987398831414</v>
      </c>
      <c r="AM32" s="9">
        <f t="shared" si="7"/>
        <v>1.9544004767148515E-2</v>
      </c>
      <c r="AN32" s="9" t="s">
        <v>3046</v>
      </c>
    </row>
    <row r="33" spans="13:40" ht="23">
      <c r="M33" s="9" t="s">
        <v>3147</v>
      </c>
      <c r="N33" s="8" t="s">
        <v>1869</v>
      </c>
      <c r="O33" s="8"/>
      <c r="P33" s="8" t="s">
        <v>4708</v>
      </c>
      <c r="Q33" s="8"/>
      <c r="R33" s="8"/>
      <c r="S33" s="8"/>
      <c r="T33" s="8"/>
      <c r="U33" s="8"/>
      <c r="V33" s="8"/>
      <c r="W33" s="9" t="s">
        <v>3147</v>
      </c>
      <c r="X33" s="8">
        <v>15.17</v>
      </c>
      <c r="Y33" s="8">
        <v>4.09</v>
      </c>
      <c r="Z33" s="9">
        <v>2.12</v>
      </c>
      <c r="AA33" s="8">
        <v>110.6</v>
      </c>
      <c r="AB33" s="8">
        <v>2216</v>
      </c>
      <c r="AC33" s="22" t="s">
        <v>3147</v>
      </c>
      <c r="AD33" s="8" t="s">
        <v>3689</v>
      </c>
      <c r="AE33" s="8" t="s">
        <v>5362</v>
      </c>
      <c r="AF33" s="9">
        <f t="shared" si="0"/>
        <v>452.35399999999998</v>
      </c>
      <c r="AG33" s="9">
        <f t="shared" si="1"/>
        <v>243.32</v>
      </c>
      <c r="AH33" s="9">
        <f t="shared" si="2"/>
        <v>0.28983000657751651</v>
      </c>
      <c r="AI33" s="9">
        <f t="shared" si="3"/>
        <v>8.4001432712723256E-2</v>
      </c>
      <c r="AJ33" s="9">
        <f t="shared" si="4"/>
        <v>0.30259565306173564</v>
      </c>
      <c r="AK33" s="9">
        <f t="shared" si="5"/>
        <v>9.1564129251858278E-2</v>
      </c>
      <c r="AL33" s="9">
        <f t="shared" si="6"/>
        <v>0.19244776859968091</v>
      </c>
      <c r="AM33" s="9">
        <f t="shared" si="7"/>
        <v>3.7036143638996329E-2</v>
      </c>
      <c r="AN33" s="9" t="s">
        <v>3147</v>
      </c>
    </row>
    <row r="34" spans="13:40" ht="23">
      <c r="M34" s="9" t="s">
        <v>3573</v>
      </c>
      <c r="N34" s="8" t="s">
        <v>2074</v>
      </c>
      <c r="O34" s="8"/>
      <c r="P34" s="8" t="s">
        <v>3691</v>
      </c>
      <c r="Q34" s="8"/>
      <c r="R34" s="8"/>
      <c r="S34" s="8"/>
      <c r="T34" s="8"/>
      <c r="U34" s="8"/>
      <c r="V34" s="8"/>
      <c r="W34" s="9" t="s">
        <v>3573</v>
      </c>
      <c r="X34" s="8">
        <v>15.64</v>
      </c>
      <c r="Y34" s="8">
        <v>2.79</v>
      </c>
      <c r="Z34" s="9">
        <v>4.46</v>
      </c>
      <c r="AA34" s="8">
        <v>104.2</v>
      </c>
      <c r="AB34" s="8">
        <v>3575</v>
      </c>
      <c r="AC34" s="22" t="s">
        <v>3573</v>
      </c>
      <c r="AD34" s="8" t="s">
        <v>3689</v>
      </c>
      <c r="AE34" s="8" t="s">
        <v>5362</v>
      </c>
      <c r="AF34" s="9">
        <f t="shared" ref="AF34:AF65" si="8">(AA34*Y34)</f>
        <v>290.71800000000002</v>
      </c>
      <c r="AG34" s="9">
        <f t="shared" ref="AG34:AG65" si="9">((((RIGHT(Z34,2))/60)+(LEFT(Z34,2)))*AA34)</f>
        <v>496.68666666666667</v>
      </c>
      <c r="AH34" s="9">
        <f t="shared" ref="AH34:AH65" si="10">(AA34/$AA$83)*100</f>
        <v>0.27305864995820273</v>
      </c>
      <c r="AI34" s="9">
        <f t="shared" ref="AI34:AI65" si="11">(AH34*AH34)</f>
        <v>7.4561026316996279E-2</v>
      </c>
      <c r="AJ34" s="9">
        <f t="shared" ref="AJ34:AJ65" si="12">(AF34/$AF$83)*100</f>
        <v>0.19447159319206123</v>
      </c>
      <c r="AK34" s="9">
        <f t="shared" ref="AK34:AK65" si="13">(AJ34*AJ34)</f>
        <v>3.7819200558658554E-2</v>
      </c>
      <c r="AL34" s="9">
        <f t="shared" ref="AL34:AL65" si="14">(AG34/$AG$83)*100</f>
        <v>0.3928416928045928</v>
      </c>
      <c r="AM34" s="9">
        <f t="shared" ref="AM34:AM65" si="15">(AL34*AL34)</f>
        <v>0.15432459560557807</v>
      </c>
      <c r="AN34" s="9" t="s">
        <v>3573</v>
      </c>
    </row>
    <row r="35" spans="13:40" ht="23">
      <c r="M35" s="9" t="s">
        <v>3047</v>
      </c>
      <c r="N35" s="8" t="s">
        <v>1814</v>
      </c>
      <c r="O35" s="8"/>
      <c r="P35" s="8" t="s">
        <v>3691</v>
      </c>
      <c r="Q35" s="8"/>
      <c r="R35" s="8"/>
      <c r="S35" s="8"/>
      <c r="T35" s="8"/>
      <c r="U35" s="8"/>
      <c r="V35" s="8"/>
      <c r="W35" s="9" t="s">
        <v>3047</v>
      </c>
      <c r="X35" s="8">
        <v>35.68</v>
      </c>
      <c r="Y35" s="8">
        <v>1.18</v>
      </c>
      <c r="Z35" s="9">
        <v>0.1</v>
      </c>
      <c r="AA35" s="8">
        <v>103.8</v>
      </c>
      <c r="AB35" s="8">
        <v>16629</v>
      </c>
      <c r="AC35" s="22" t="s">
        <v>3047</v>
      </c>
      <c r="AD35" s="8" t="s">
        <v>3689</v>
      </c>
      <c r="AE35" s="8" t="s">
        <v>5362</v>
      </c>
      <c r="AF35" s="9">
        <f t="shared" si="8"/>
        <v>122.48399999999999</v>
      </c>
      <c r="AG35" s="9">
        <f t="shared" si="9"/>
        <v>0.17300000000000001</v>
      </c>
      <c r="AH35" s="9">
        <f t="shared" si="10"/>
        <v>0.2720104401694956</v>
      </c>
      <c r="AI35" s="9">
        <f t="shared" si="11"/>
        <v>7.3989679561202754E-2</v>
      </c>
      <c r="AJ35" s="9">
        <f t="shared" si="12"/>
        <v>8.1933896836578493E-2</v>
      </c>
      <c r="AK35" s="9">
        <f t="shared" si="13"/>
        <v>6.7131634508270869E-3</v>
      </c>
      <c r="AL35" s="9">
        <f t="shared" si="14"/>
        <v>1.36829952193592E-4</v>
      </c>
      <c r="AM35" s="9">
        <f t="shared" si="15"/>
        <v>1.8722435817300672E-8</v>
      </c>
      <c r="AN35" s="9" t="s">
        <v>3047</v>
      </c>
    </row>
    <row r="36" spans="13:40" ht="23">
      <c r="M36" s="8" t="s">
        <v>4541</v>
      </c>
      <c r="N36" s="8" t="s">
        <v>4542</v>
      </c>
      <c r="O36" s="8"/>
      <c r="P36" s="8"/>
      <c r="Q36" s="8"/>
      <c r="R36" s="8"/>
      <c r="S36" s="8"/>
      <c r="T36" s="8"/>
      <c r="U36" s="8"/>
      <c r="V36" s="8"/>
      <c r="W36" s="8" t="s">
        <v>4541</v>
      </c>
      <c r="X36" s="8">
        <v>46.41</v>
      </c>
      <c r="Y36" s="8">
        <v>1.01</v>
      </c>
      <c r="Z36" s="9">
        <v>0.01</v>
      </c>
      <c r="AA36" s="8">
        <v>98.8</v>
      </c>
      <c r="AB36" s="8">
        <v>19122</v>
      </c>
      <c r="AC36" s="21" t="s">
        <v>4541</v>
      </c>
      <c r="AD36" s="8" t="s">
        <v>4472</v>
      </c>
      <c r="AE36" s="8" t="s">
        <v>5362</v>
      </c>
      <c r="AF36" s="9">
        <f t="shared" si="8"/>
        <v>99.787999999999997</v>
      </c>
      <c r="AG36" s="9">
        <f t="shared" si="9"/>
        <v>1.6466666666666665</v>
      </c>
      <c r="AH36" s="9">
        <f t="shared" si="10"/>
        <v>0.25890781781065669</v>
      </c>
      <c r="AI36" s="9">
        <f t="shared" si="11"/>
        <v>6.70332581234762E-2</v>
      </c>
      <c r="AJ36" s="9">
        <f t="shared" si="12"/>
        <v>6.6751736533167558E-2</v>
      </c>
      <c r="AK36" s="9">
        <f t="shared" si="13"/>
        <v>4.4557943301934168E-3</v>
      </c>
      <c r="AL36" s="9">
        <f t="shared" si="14"/>
        <v>1.3023891403397771E-3</v>
      </c>
      <c r="AM36" s="9">
        <f t="shared" si="15"/>
        <v>1.6962174728749836E-6</v>
      </c>
      <c r="AN36" s="8" t="s">
        <v>4541</v>
      </c>
    </row>
    <row r="37" spans="13:40" ht="23">
      <c r="M37" s="9" t="s">
        <v>3668</v>
      </c>
      <c r="N37" s="8" t="s">
        <v>2107</v>
      </c>
      <c r="O37" s="8"/>
      <c r="P37" s="8" t="s">
        <v>3691</v>
      </c>
      <c r="Q37" s="8"/>
      <c r="R37" s="8"/>
      <c r="S37" s="8"/>
      <c r="T37" s="8"/>
      <c r="U37" s="8"/>
      <c r="V37" s="8"/>
      <c r="W37" s="9" t="s">
        <v>3668</v>
      </c>
      <c r="X37" s="8">
        <v>23.26</v>
      </c>
      <c r="Y37" s="8">
        <v>4.1900000000000004</v>
      </c>
      <c r="Z37" s="9">
        <v>0.48</v>
      </c>
      <c r="AA37" s="8">
        <v>82.6</v>
      </c>
      <c r="AB37" s="8">
        <v>48312</v>
      </c>
      <c r="AC37" s="22" t="s">
        <v>3668</v>
      </c>
      <c r="AD37" s="8" t="s">
        <v>3689</v>
      </c>
      <c r="AE37" s="8" t="s">
        <v>5362</v>
      </c>
      <c r="AF37" s="9">
        <f t="shared" si="8"/>
        <v>346.09399999999999</v>
      </c>
      <c r="AG37" s="9">
        <f t="shared" si="9"/>
        <v>66.08</v>
      </c>
      <c r="AH37" s="9">
        <f t="shared" si="10"/>
        <v>0.21645532136801865</v>
      </c>
      <c r="AI37" s="9">
        <f t="shared" si="11"/>
        <v>4.6852906148532228E-2</v>
      </c>
      <c r="AJ37" s="9">
        <f t="shared" si="12"/>
        <v>0.23151456591684461</v>
      </c>
      <c r="AK37" s="9">
        <f t="shared" si="13"/>
        <v>5.3598994231664983E-2</v>
      </c>
      <c r="AL37" s="9">
        <f t="shared" si="14"/>
        <v>5.2264296190477212E-2</v>
      </c>
      <c r="AM37" s="9">
        <f t="shared" si="15"/>
        <v>2.731556656285931E-3</v>
      </c>
      <c r="AN37" s="9" t="s">
        <v>3668</v>
      </c>
    </row>
    <row r="38" spans="13:40" ht="23">
      <c r="M38" s="9" t="s">
        <v>2315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9" t="s">
        <v>2315</v>
      </c>
      <c r="X38" s="8">
        <v>27.74</v>
      </c>
      <c r="Y38" s="8">
        <v>4.1399999999999997</v>
      </c>
      <c r="Z38" s="9">
        <v>3.34</v>
      </c>
      <c r="AA38" s="8">
        <v>72</v>
      </c>
      <c r="AB38" s="8">
        <v>3916</v>
      </c>
      <c r="AC38" s="22" t="s">
        <v>2315</v>
      </c>
      <c r="AD38" s="8" t="s">
        <v>3689</v>
      </c>
      <c r="AE38" s="8" t="s">
        <v>5362</v>
      </c>
      <c r="AF38" s="9">
        <f t="shared" si="8"/>
        <v>298.08</v>
      </c>
      <c r="AG38" s="9">
        <f t="shared" si="9"/>
        <v>256.79999999999995</v>
      </c>
      <c r="AH38" s="9">
        <f t="shared" si="10"/>
        <v>0.1886777619672802</v>
      </c>
      <c r="AI38" s="9">
        <f t="shared" si="11"/>
        <v>3.5599297860981649E-2</v>
      </c>
      <c r="AJ38" s="9">
        <f t="shared" si="12"/>
        <v>0.19939629640644752</v>
      </c>
      <c r="AK38" s="9">
        <f t="shared" si="13"/>
        <v>3.9758883020607871E-2</v>
      </c>
      <c r="AL38" s="9">
        <f t="shared" si="14"/>
        <v>0.20310943192667291</v>
      </c>
      <c r="AM38" s="9">
        <f t="shared" si="15"/>
        <v>4.1253441337575775E-2</v>
      </c>
      <c r="AN38" s="9" t="s">
        <v>2315</v>
      </c>
    </row>
    <row r="39" spans="13:40" ht="23">
      <c r="M39" s="9" t="s">
        <v>3058</v>
      </c>
      <c r="N39" s="8" t="s">
        <v>1814</v>
      </c>
      <c r="O39" s="8"/>
      <c r="P39" s="8" t="s">
        <v>3696</v>
      </c>
      <c r="Q39" s="8"/>
      <c r="R39" s="8"/>
      <c r="S39" s="8"/>
      <c r="T39" s="8"/>
      <c r="U39" s="8"/>
      <c r="V39" s="8"/>
      <c r="W39" s="9" t="s">
        <v>3058</v>
      </c>
      <c r="X39" s="8">
        <v>4.2</v>
      </c>
      <c r="Y39" s="8">
        <v>5.84</v>
      </c>
      <c r="Z39" s="9">
        <v>1.1499999999999999</v>
      </c>
      <c r="AA39" s="8">
        <v>71.8</v>
      </c>
      <c r="AB39" s="8">
        <v>3689</v>
      </c>
      <c r="AC39" s="22" t="s">
        <v>3058</v>
      </c>
      <c r="AD39" s="8" t="s">
        <v>3689</v>
      </c>
      <c r="AE39" s="8" t="s">
        <v>5362</v>
      </c>
      <c r="AF39" s="9">
        <f t="shared" si="8"/>
        <v>419.31199999999995</v>
      </c>
      <c r="AG39" s="9">
        <f t="shared" si="9"/>
        <v>89.75</v>
      </c>
      <c r="AH39" s="9">
        <f t="shared" si="10"/>
        <v>0.18815365707292661</v>
      </c>
      <c r="AI39" s="9">
        <f t="shared" si="11"/>
        <v>3.5401798669916468E-2</v>
      </c>
      <c r="AJ39" s="9">
        <f t="shared" si="12"/>
        <v>0.28049268598624633</v>
      </c>
      <c r="AK39" s="9">
        <f t="shared" si="13"/>
        <v>7.8676146891778986E-2</v>
      </c>
      <c r="AL39" s="9">
        <f t="shared" si="14"/>
        <v>7.0985480979045543E-2</v>
      </c>
      <c r="AM39" s="9">
        <f t="shared" si="15"/>
        <v>5.0389385098264369E-3</v>
      </c>
      <c r="AN39" s="9" t="s">
        <v>3058</v>
      </c>
    </row>
    <row r="40" spans="13:40" ht="23">
      <c r="M40" s="9" t="s">
        <v>3228</v>
      </c>
      <c r="N40" s="8" t="s">
        <v>1902</v>
      </c>
      <c r="O40" s="8"/>
      <c r="P40" s="8" t="s">
        <v>4710</v>
      </c>
      <c r="Q40" s="8"/>
      <c r="R40" s="8"/>
      <c r="S40" s="8"/>
      <c r="T40" s="8"/>
      <c r="U40" s="8"/>
      <c r="V40" s="8"/>
      <c r="W40" s="9" t="s">
        <v>3228</v>
      </c>
      <c r="X40" s="8">
        <v>26.74</v>
      </c>
      <c r="Y40" s="8">
        <v>1.49</v>
      </c>
      <c r="Z40" s="9">
        <v>0.2</v>
      </c>
      <c r="AA40" s="8">
        <v>64.3</v>
      </c>
      <c r="AB40" s="8">
        <v>15546</v>
      </c>
      <c r="AC40" s="22" t="s">
        <v>3228</v>
      </c>
      <c r="AD40" s="8" t="s">
        <v>3689</v>
      </c>
      <c r="AE40" s="8" t="s">
        <v>5362</v>
      </c>
      <c r="AF40" s="9">
        <f t="shared" si="8"/>
        <v>95.807000000000002</v>
      </c>
      <c r="AG40" s="9">
        <f t="shared" si="9"/>
        <v>0.21433333333333335</v>
      </c>
      <c r="AH40" s="9">
        <f t="shared" si="10"/>
        <v>0.16849972353466827</v>
      </c>
      <c r="AI40" s="9">
        <f t="shared" si="11"/>
        <v>2.8392156831259639E-2</v>
      </c>
      <c r="AJ40" s="9">
        <f t="shared" si="12"/>
        <v>6.4088704273391431E-2</v>
      </c>
      <c r="AK40" s="9">
        <f t="shared" si="13"/>
        <v>4.1073620154422211E-3</v>
      </c>
      <c r="AL40" s="9">
        <f t="shared" si="14"/>
        <v>1.6952150146527868E-4</v>
      </c>
      <c r="AM40" s="9">
        <f t="shared" si="15"/>
        <v>2.8737539459042479E-8</v>
      </c>
      <c r="AN40" s="9" t="s">
        <v>3228</v>
      </c>
    </row>
    <row r="41" spans="13:40" ht="23">
      <c r="M41" s="8" t="s">
        <v>4534</v>
      </c>
      <c r="N41" s="8" t="s">
        <v>2032</v>
      </c>
      <c r="O41" s="8"/>
      <c r="P41" s="8" t="s">
        <v>4535</v>
      </c>
      <c r="Q41" s="8"/>
      <c r="R41" s="8"/>
      <c r="S41" s="8"/>
      <c r="T41" s="8"/>
      <c r="U41" s="8"/>
      <c r="V41" s="8"/>
      <c r="W41" s="8" t="s">
        <v>4534</v>
      </c>
      <c r="X41" s="8">
        <v>29</v>
      </c>
      <c r="Y41" s="8">
        <v>1.6</v>
      </c>
      <c r="Z41" s="9">
        <v>1.1000000000000001</v>
      </c>
      <c r="AA41" s="8">
        <v>63.5</v>
      </c>
      <c r="AB41" s="8">
        <v>6928</v>
      </c>
      <c r="AC41" s="21" t="s">
        <v>4534</v>
      </c>
      <c r="AD41" s="8" t="s">
        <v>4472</v>
      </c>
      <c r="AE41" s="8" t="s">
        <v>5362</v>
      </c>
      <c r="AF41" s="9">
        <f t="shared" si="8"/>
        <v>101.60000000000001</v>
      </c>
      <c r="AG41" s="9">
        <f t="shared" si="9"/>
        <v>63.605833333333337</v>
      </c>
      <c r="AH41" s="9">
        <f t="shared" si="10"/>
        <v>0.16640330395725406</v>
      </c>
      <c r="AI41" s="9">
        <f t="shared" si="11"/>
        <v>2.7690059567890283E-2</v>
      </c>
      <c r="AJ41" s="9">
        <f t="shared" si="12"/>
        <v>6.7963847674768749E-2</v>
      </c>
      <c r="AK41" s="9">
        <f t="shared" si="13"/>
        <v>4.6190845907591697E-3</v>
      </c>
      <c r="AL41" s="9">
        <f t="shared" si="14"/>
        <v>5.0307416960887738E-2</v>
      </c>
      <c r="AM41" s="9">
        <f t="shared" si="15"/>
        <v>2.5308362012766154E-3</v>
      </c>
      <c r="AN41" s="8" t="s">
        <v>4534</v>
      </c>
    </row>
    <row r="42" spans="13:40" ht="23">
      <c r="M42" s="9" t="s">
        <v>3625</v>
      </c>
      <c r="N42" s="8" t="s">
        <v>2093</v>
      </c>
      <c r="O42" s="8"/>
      <c r="P42" s="8" t="s">
        <v>3693</v>
      </c>
      <c r="Q42" s="8"/>
      <c r="R42" s="8"/>
      <c r="S42" s="8"/>
      <c r="T42" s="8"/>
      <c r="U42" s="8"/>
      <c r="V42" s="8"/>
      <c r="W42" s="9" t="s">
        <v>3625</v>
      </c>
      <c r="X42" s="8">
        <v>3.42</v>
      </c>
      <c r="Y42" s="8">
        <v>4.68</v>
      </c>
      <c r="Z42" s="9">
        <v>0.19</v>
      </c>
      <c r="AA42" s="8">
        <v>62.2</v>
      </c>
      <c r="AB42" s="8">
        <v>15576</v>
      </c>
      <c r="AC42" s="22" t="s">
        <v>3625</v>
      </c>
      <c r="AD42" s="8" t="s">
        <v>3689</v>
      </c>
      <c r="AE42" s="8" t="s">
        <v>5362</v>
      </c>
      <c r="AF42" s="9">
        <f t="shared" si="8"/>
        <v>291.096</v>
      </c>
      <c r="AG42" s="9">
        <f t="shared" si="9"/>
        <v>19.696666666666665</v>
      </c>
      <c r="AH42" s="9">
        <f t="shared" si="10"/>
        <v>0.16299662214395594</v>
      </c>
      <c r="AI42" s="9">
        <f t="shared" si="11"/>
        <v>2.6567898830339547E-2</v>
      </c>
      <c r="AJ42" s="9">
        <f t="shared" si="12"/>
        <v>0.19472445081431577</v>
      </c>
      <c r="AK42" s="9">
        <f t="shared" si="13"/>
        <v>3.7917611744936887E-2</v>
      </c>
      <c r="AL42" s="9">
        <f t="shared" si="14"/>
        <v>1.5578577794064257E-2</v>
      </c>
      <c r="AM42" s="9">
        <f t="shared" si="15"/>
        <v>2.4269208608571196E-4</v>
      </c>
      <c r="AN42" s="9" t="s">
        <v>3625</v>
      </c>
    </row>
    <row r="43" spans="13:40" ht="23">
      <c r="M43" s="9" t="s">
        <v>2741</v>
      </c>
      <c r="N43" s="8" t="s">
        <v>1614</v>
      </c>
      <c r="O43" s="8"/>
      <c r="P43" s="8" t="s">
        <v>3691</v>
      </c>
      <c r="Q43" s="8"/>
      <c r="R43" s="8"/>
      <c r="S43" s="8"/>
      <c r="T43" s="8"/>
      <c r="U43" s="8"/>
      <c r="V43" s="8"/>
      <c r="W43" s="9" t="s">
        <v>4707</v>
      </c>
      <c r="X43" s="8">
        <v>7.64</v>
      </c>
      <c r="Y43" s="8">
        <v>5.27</v>
      </c>
      <c r="Z43" s="9">
        <v>2.13</v>
      </c>
      <c r="AA43" s="8">
        <v>58.5</v>
      </c>
      <c r="AB43" s="8">
        <v>8088</v>
      </c>
      <c r="AC43" s="22" t="s">
        <v>4707</v>
      </c>
      <c r="AD43" s="8" t="s">
        <v>3689</v>
      </c>
      <c r="AE43" s="8" t="s">
        <v>5362</v>
      </c>
      <c r="AF43" s="9">
        <f t="shared" si="8"/>
        <v>308.29499999999996</v>
      </c>
      <c r="AG43" s="9">
        <f t="shared" si="9"/>
        <v>129.67500000000001</v>
      </c>
      <c r="AH43" s="9">
        <f t="shared" si="10"/>
        <v>0.15330068159841514</v>
      </c>
      <c r="AI43" s="9">
        <f t="shared" si="11"/>
        <v>2.3501098978538661E-2</v>
      </c>
      <c r="AJ43" s="9">
        <f t="shared" si="12"/>
        <v>0.20622947262689792</v>
      </c>
      <c r="AK43" s="9">
        <f t="shared" si="13"/>
        <v>4.2530595379968436E-2</v>
      </c>
      <c r="AL43" s="9">
        <f t="shared" si="14"/>
        <v>0.10256314480175746</v>
      </c>
      <c r="AM43" s="9">
        <f t="shared" si="15"/>
        <v>1.0519198671626269E-2</v>
      </c>
      <c r="AN43" s="9" t="s">
        <v>4707</v>
      </c>
    </row>
    <row r="44" spans="13:40" ht="23">
      <c r="M44" s="8" t="s">
        <v>4543</v>
      </c>
      <c r="N44" s="8" t="s">
        <v>2066</v>
      </c>
      <c r="O44" s="8"/>
      <c r="P44" s="8" t="s">
        <v>4229</v>
      </c>
      <c r="Q44" s="8"/>
      <c r="R44" s="8"/>
      <c r="S44" s="8"/>
      <c r="T44" s="8"/>
      <c r="U44" s="8"/>
      <c r="V44" s="8"/>
      <c r="W44" s="8" t="s">
        <v>4543</v>
      </c>
      <c r="X44" s="8">
        <v>10.029999999999999</v>
      </c>
      <c r="Y44" s="8">
        <v>18.73</v>
      </c>
      <c r="Z44" s="9">
        <v>22.13</v>
      </c>
      <c r="AA44" s="8">
        <v>58.1</v>
      </c>
      <c r="AB44" s="8">
        <v>1058</v>
      </c>
      <c r="AC44" s="21" t="s">
        <v>4543</v>
      </c>
      <c r="AD44" s="8" t="s">
        <v>4472</v>
      </c>
      <c r="AE44" s="8" t="s">
        <v>5362</v>
      </c>
      <c r="AF44" s="9">
        <f t="shared" si="8"/>
        <v>1088.213</v>
      </c>
      <c r="AG44" s="9">
        <f t="shared" si="9"/>
        <v>1290.7883333333332</v>
      </c>
      <c r="AH44" s="9">
        <f t="shared" si="10"/>
        <v>0.15225247180970805</v>
      </c>
      <c r="AI44" s="9">
        <f t="shared" si="11"/>
        <v>2.3180815172165945E-2</v>
      </c>
      <c r="AJ44" s="9">
        <f t="shared" si="12"/>
        <v>0.72794431663093617</v>
      </c>
      <c r="AK44" s="9">
        <f t="shared" si="13"/>
        <v>0.52990292811528061</v>
      </c>
      <c r="AL44" s="9">
        <f t="shared" si="14"/>
        <v>1.0209162193181864</v>
      </c>
      <c r="AM44" s="9">
        <f t="shared" si="15"/>
        <v>1.0422699268669393</v>
      </c>
      <c r="AN44" s="8" t="s">
        <v>4543</v>
      </c>
    </row>
    <row r="45" spans="13:40" ht="23">
      <c r="M45" s="8" t="s">
        <v>1011</v>
      </c>
      <c r="N45" s="8" t="s">
        <v>150</v>
      </c>
      <c r="O45" s="8"/>
      <c r="P45" s="8" t="s">
        <v>4699</v>
      </c>
      <c r="Q45" s="8"/>
      <c r="R45" s="8"/>
      <c r="S45" s="8"/>
      <c r="T45" s="8"/>
      <c r="U45" s="8"/>
      <c r="V45" s="8"/>
      <c r="W45" s="8" t="s">
        <v>1011</v>
      </c>
      <c r="X45" s="8">
        <v>10.43</v>
      </c>
      <c r="Y45" s="8">
        <v>3.33</v>
      </c>
      <c r="Z45" s="9">
        <v>1.31</v>
      </c>
      <c r="AA45" s="8">
        <v>57.9</v>
      </c>
      <c r="AB45" s="8">
        <v>5382</v>
      </c>
      <c r="AC45" s="21" t="s">
        <v>1011</v>
      </c>
      <c r="AD45" s="8" t="s">
        <v>3689</v>
      </c>
      <c r="AE45" s="8" t="s">
        <v>5362</v>
      </c>
      <c r="AF45" s="9">
        <f t="shared" si="8"/>
        <v>192.80699999999999</v>
      </c>
      <c r="AG45" s="9">
        <f t="shared" si="9"/>
        <v>87.814999999999998</v>
      </c>
      <c r="AH45" s="9">
        <f t="shared" si="10"/>
        <v>0.15172836691535449</v>
      </c>
      <c r="AI45" s="9">
        <f t="shared" si="11"/>
        <v>2.3021497326800439E-2</v>
      </c>
      <c r="AJ45" s="9">
        <f t="shared" si="12"/>
        <v>0.1289754486085545</v>
      </c>
      <c r="AK45" s="9">
        <f t="shared" si="13"/>
        <v>1.6634666343777884E-2</v>
      </c>
      <c r="AL45" s="9">
        <f t="shared" si="14"/>
        <v>6.9455041918383115E-2</v>
      </c>
      <c r="AM45" s="9">
        <f t="shared" si="15"/>
        <v>4.8240028478843556E-3</v>
      </c>
      <c r="AN45" s="8" t="s">
        <v>1011</v>
      </c>
    </row>
    <row r="46" spans="13:40" ht="23">
      <c r="M46" s="9" t="s">
        <v>3041</v>
      </c>
      <c r="N46" s="8" t="s">
        <v>1814</v>
      </c>
      <c r="O46" s="8"/>
      <c r="P46" s="8" t="s">
        <v>3691</v>
      </c>
      <c r="Q46" s="8"/>
      <c r="R46" s="8"/>
      <c r="S46" s="8"/>
      <c r="T46" s="8"/>
      <c r="U46" s="8"/>
      <c r="V46" s="8"/>
      <c r="W46" s="9" t="s">
        <v>3041</v>
      </c>
      <c r="X46" s="8">
        <v>0.94</v>
      </c>
      <c r="Y46" s="8">
        <v>4.17</v>
      </c>
      <c r="Z46" s="9">
        <v>2.56</v>
      </c>
      <c r="AA46" s="8">
        <v>56.8</v>
      </c>
      <c r="AB46" s="8">
        <v>58863</v>
      </c>
      <c r="AC46" s="22" t="s">
        <v>3041</v>
      </c>
      <c r="AD46" s="8" t="s">
        <v>3689</v>
      </c>
      <c r="AE46" s="8" t="s">
        <v>5362</v>
      </c>
      <c r="AF46" s="9">
        <f t="shared" si="8"/>
        <v>236.85599999999999</v>
      </c>
      <c r="AG46" s="9">
        <f t="shared" si="9"/>
        <v>166.61333333333334</v>
      </c>
      <c r="AH46" s="9">
        <f t="shared" si="10"/>
        <v>0.14884578999640993</v>
      </c>
      <c r="AI46" s="9">
        <f t="shared" si="11"/>
        <v>2.2155069199655368E-2</v>
      </c>
      <c r="AJ46" s="9">
        <f t="shared" si="12"/>
        <v>0.15844138882731326</v>
      </c>
      <c r="AK46" s="9">
        <f t="shared" si="13"/>
        <v>2.5103673693527867E-2</v>
      </c>
      <c r="AL46" s="9">
        <f t="shared" si="14"/>
        <v>0.1317785805480636</v>
      </c>
      <c r="AM46" s="9">
        <f t="shared" si="15"/>
        <v>1.7365594291262488E-2</v>
      </c>
      <c r="AN46" s="9" t="s">
        <v>3041</v>
      </c>
    </row>
    <row r="47" spans="13:40" ht="23">
      <c r="M47" s="8" t="s">
        <v>4533</v>
      </c>
      <c r="N47" s="8" t="s">
        <v>2107</v>
      </c>
      <c r="O47" s="8"/>
      <c r="P47" s="8"/>
      <c r="Q47" s="8"/>
      <c r="R47" s="8"/>
      <c r="S47" s="8"/>
      <c r="T47" s="8"/>
      <c r="U47" s="8"/>
      <c r="V47" s="8"/>
      <c r="W47" s="8" t="s">
        <v>4533</v>
      </c>
      <c r="X47" s="8">
        <v>5.37</v>
      </c>
      <c r="Y47" s="8">
        <v>3.03</v>
      </c>
      <c r="Z47" s="9">
        <v>0.46</v>
      </c>
      <c r="AA47" s="8">
        <v>55.6</v>
      </c>
      <c r="AB47" s="8">
        <v>9884</v>
      </c>
      <c r="AC47" s="21" t="s">
        <v>4533</v>
      </c>
      <c r="AD47" s="8" t="s">
        <v>4472</v>
      </c>
      <c r="AE47" s="8" t="s">
        <v>5362</v>
      </c>
      <c r="AF47" s="9">
        <f t="shared" si="8"/>
        <v>168.46799999999999</v>
      </c>
      <c r="AG47" s="9">
        <f t="shared" si="9"/>
        <v>42.626666666666672</v>
      </c>
      <c r="AH47" s="9">
        <f t="shared" si="10"/>
        <v>0.1457011606302886</v>
      </c>
      <c r="AI47" s="9">
        <f t="shared" si="11"/>
        <v>2.1228828209013159E-2</v>
      </c>
      <c r="AJ47" s="9">
        <f t="shared" si="12"/>
        <v>0.11269422726449745</v>
      </c>
      <c r="AK47" s="9">
        <f t="shared" si="13"/>
        <v>1.2699988858742199E-2</v>
      </c>
      <c r="AL47" s="9">
        <f t="shared" si="14"/>
        <v>3.3714478394058847E-2</v>
      </c>
      <c r="AM47" s="9">
        <f t="shared" si="15"/>
        <v>1.1366660533834608E-3</v>
      </c>
      <c r="AN47" s="8" t="s">
        <v>4533</v>
      </c>
    </row>
    <row r="48" spans="13:40" ht="23">
      <c r="M48" s="8" t="s">
        <v>4531</v>
      </c>
      <c r="N48" s="8" t="s">
        <v>82</v>
      </c>
      <c r="O48" s="8"/>
      <c r="P48" s="8"/>
      <c r="Q48" s="8"/>
      <c r="R48" s="8"/>
      <c r="S48" s="8"/>
      <c r="T48" s="8"/>
      <c r="U48" s="8"/>
      <c r="V48" s="8"/>
      <c r="W48" s="8" t="s">
        <v>4531</v>
      </c>
      <c r="X48" s="8">
        <v>22.95</v>
      </c>
      <c r="Y48" s="8">
        <v>4.43</v>
      </c>
      <c r="Z48" s="9">
        <v>0.18</v>
      </c>
      <c r="AA48" s="8">
        <v>52.7</v>
      </c>
      <c r="AB48" s="8">
        <v>9707</v>
      </c>
      <c r="AC48" s="21" t="s">
        <v>4531</v>
      </c>
      <c r="AD48" s="8" t="s">
        <v>4472</v>
      </c>
      <c r="AE48" s="8" t="s">
        <v>5362</v>
      </c>
      <c r="AF48" s="9">
        <f t="shared" si="8"/>
        <v>233.46099999999998</v>
      </c>
      <c r="AG48" s="9">
        <f t="shared" si="9"/>
        <v>15.81</v>
      </c>
      <c r="AH48" s="9">
        <f t="shared" si="10"/>
        <v>0.13810163966216205</v>
      </c>
      <c r="AI48" s="9">
        <f t="shared" si="11"/>
        <v>1.907206287737765E-2</v>
      </c>
      <c r="AJ48" s="9">
        <f t="shared" si="12"/>
        <v>0.15617035277558253</v>
      </c>
      <c r="AK48" s="9">
        <f t="shared" si="13"/>
        <v>2.4389179086049897E-2</v>
      </c>
      <c r="AL48" s="9">
        <f t="shared" si="14"/>
        <v>1.2504517596420168E-2</v>
      </c>
      <c r="AM48" s="9">
        <f t="shared" si="15"/>
        <v>1.5636296031918163E-4</v>
      </c>
      <c r="AN48" s="8" t="s">
        <v>4531</v>
      </c>
    </row>
    <row r="49" spans="13:40" ht="23">
      <c r="M49" s="9" t="s">
        <v>3114</v>
      </c>
      <c r="N49" s="8" t="s">
        <v>1814</v>
      </c>
      <c r="O49" s="8"/>
      <c r="P49" s="8" t="s">
        <v>3691</v>
      </c>
      <c r="Q49" s="8"/>
      <c r="R49" s="8"/>
      <c r="S49" s="8"/>
      <c r="T49" s="8"/>
      <c r="U49" s="8"/>
      <c r="V49" s="8"/>
      <c r="W49" s="9" t="s">
        <v>3114</v>
      </c>
      <c r="X49" s="8">
        <v>23.59</v>
      </c>
      <c r="Y49" s="8">
        <v>2.44</v>
      </c>
      <c r="Z49" s="9">
        <v>1.01</v>
      </c>
      <c r="AA49" s="8">
        <v>42.3</v>
      </c>
      <c r="AB49" s="8">
        <v>7242</v>
      </c>
      <c r="AC49" s="22" t="s">
        <v>3114</v>
      </c>
      <c r="AD49" s="8" t="s">
        <v>3689</v>
      </c>
      <c r="AE49" s="8" t="s">
        <v>5362</v>
      </c>
      <c r="AF49" s="9">
        <f t="shared" si="8"/>
        <v>103.21199999999999</v>
      </c>
      <c r="AG49" s="9">
        <f t="shared" si="9"/>
        <v>43.004999999999995</v>
      </c>
      <c r="AH49" s="9">
        <f t="shared" si="10"/>
        <v>0.1108481851557771</v>
      </c>
      <c r="AI49" s="9">
        <f t="shared" si="11"/>
        <v>1.2287320152329443E-2</v>
      </c>
      <c r="AJ49" s="9">
        <f t="shared" si="12"/>
        <v>6.9042171714647937E-2</v>
      </c>
      <c r="AK49" s="9">
        <f t="shared" si="13"/>
        <v>4.7668214750749317E-3</v>
      </c>
      <c r="AL49" s="9">
        <f t="shared" si="14"/>
        <v>3.4013711526505327E-2</v>
      </c>
      <c r="AM49" s="9">
        <f t="shared" si="15"/>
        <v>1.1569325718083215E-3</v>
      </c>
      <c r="AN49" s="9" t="s">
        <v>3114</v>
      </c>
    </row>
    <row r="50" spans="13:40" ht="23">
      <c r="M50" s="9" t="s">
        <v>3035</v>
      </c>
      <c r="N50" s="8" t="s">
        <v>1814</v>
      </c>
      <c r="O50" s="8"/>
      <c r="P50" s="8" t="s">
        <v>3691</v>
      </c>
      <c r="Q50" s="8"/>
      <c r="R50" s="8"/>
      <c r="S50" s="8"/>
      <c r="T50" s="8"/>
      <c r="U50" s="8"/>
      <c r="V50" s="8"/>
      <c r="W50" s="9" t="s">
        <v>3035</v>
      </c>
      <c r="X50" s="8">
        <v>16.73</v>
      </c>
      <c r="Y50" s="8">
        <v>1.61</v>
      </c>
      <c r="Z50" s="9">
        <v>0.42</v>
      </c>
      <c r="AA50" s="8">
        <v>29.4</v>
      </c>
      <c r="AB50" s="8">
        <v>15641</v>
      </c>
      <c r="AC50" s="22" t="s">
        <v>3035</v>
      </c>
      <c r="AD50" s="8" t="s">
        <v>3689</v>
      </c>
      <c r="AE50" s="8" t="s">
        <v>5362</v>
      </c>
      <c r="AF50" s="9">
        <f t="shared" si="8"/>
        <v>47.334000000000003</v>
      </c>
      <c r="AG50" s="9">
        <f t="shared" si="9"/>
        <v>20.58</v>
      </c>
      <c r="AH50" s="9">
        <f t="shared" si="10"/>
        <v>7.7043419469972743E-2</v>
      </c>
      <c r="AI50" s="9">
        <f t="shared" si="11"/>
        <v>5.9356884836261753E-3</v>
      </c>
      <c r="AJ50" s="9">
        <f t="shared" si="12"/>
        <v>3.1663393364542367E-2</v>
      </c>
      <c r="AK50" s="9">
        <f t="shared" si="13"/>
        <v>1.0025704793577455E-3</v>
      </c>
      <c r="AL50" s="9">
        <f t="shared" si="14"/>
        <v>1.6277227838983367E-2</v>
      </c>
      <c r="AM50" s="9">
        <f t="shared" si="15"/>
        <v>2.6494814612217516E-4</v>
      </c>
      <c r="AN50" s="9" t="s">
        <v>3035</v>
      </c>
    </row>
    <row r="51" spans="13:40" ht="23">
      <c r="M51" s="8" t="s">
        <v>66</v>
      </c>
      <c r="N51" s="8" t="s">
        <v>24</v>
      </c>
      <c r="O51" s="8"/>
      <c r="P51" s="8" t="s">
        <v>3691</v>
      </c>
      <c r="Q51" s="8"/>
      <c r="R51" s="8"/>
      <c r="S51" s="8"/>
      <c r="T51" s="8"/>
      <c r="U51" s="8"/>
      <c r="V51" s="8"/>
      <c r="W51" s="8" t="s">
        <v>66</v>
      </c>
      <c r="X51" s="8">
        <v>22.93</v>
      </c>
      <c r="Y51" s="8">
        <v>1.62</v>
      </c>
      <c r="Z51" s="9">
        <v>0.21</v>
      </c>
      <c r="AA51" s="8">
        <v>24.6</v>
      </c>
      <c r="AB51" s="8">
        <v>18358</v>
      </c>
      <c r="AC51" s="21" t="s">
        <v>66</v>
      </c>
      <c r="AD51" s="8" t="s">
        <v>3689</v>
      </c>
      <c r="AE51" s="8" t="s">
        <v>5362</v>
      </c>
      <c r="AF51" s="9">
        <f t="shared" si="8"/>
        <v>39.852000000000004</v>
      </c>
      <c r="AG51" s="9">
        <f t="shared" si="9"/>
        <v>8.61</v>
      </c>
      <c r="AH51" s="9">
        <f t="shared" si="10"/>
        <v>6.4464902005487407E-2</v>
      </c>
      <c r="AI51" s="9">
        <f t="shared" si="11"/>
        <v>4.1557235905770942E-3</v>
      </c>
      <c r="AJ51" s="9">
        <f t="shared" si="12"/>
        <v>2.6658417889122876E-2</v>
      </c>
      <c r="AK51" s="9">
        <f t="shared" si="13"/>
        <v>7.1067124435110658E-4</v>
      </c>
      <c r="AL51" s="9">
        <f t="shared" si="14"/>
        <v>6.8098606265134497E-3</v>
      </c>
      <c r="AM51" s="9">
        <f t="shared" si="15"/>
        <v>4.6374201752538152E-5</v>
      </c>
      <c r="AN51" s="8" t="s">
        <v>66</v>
      </c>
    </row>
    <row r="52" spans="13:40" ht="23">
      <c r="M52" s="8" t="s">
        <v>4538</v>
      </c>
      <c r="N52" s="8" t="s">
        <v>23</v>
      </c>
      <c r="O52" s="8"/>
      <c r="P52" s="8"/>
      <c r="Q52" s="8"/>
      <c r="R52" s="8"/>
      <c r="S52" s="8"/>
      <c r="T52" s="8"/>
      <c r="U52" s="8"/>
      <c r="V52" s="8"/>
      <c r="W52" s="8" t="s">
        <v>4538</v>
      </c>
      <c r="X52" s="8">
        <v>21.48</v>
      </c>
      <c r="Y52" s="8">
        <v>2.04</v>
      </c>
      <c r="Z52" s="9">
        <v>0.35</v>
      </c>
      <c r="AA52" s="8">
        <v>23.5</v>
      </c>
      <c r="AB52" s="8">
        <v>12242</v>
      </c>
      <c r="AC52" s="21" t="s">
        <v>4538</v>
      </c>
      <c r="AD52" s="8" t="s">
        <v>4472</v>
      </c>
      <c r="AE52" s="8" t="s">
        <v>5362</v>
      </c>
      <c r="AF52" s="9">
        <f t="shared" si="8"/>
        <v>47.94</v>
      </c>
      <c r="AG52" s="9">
        <f t="shared" si="9"/>
        <v>13.708333333333334</v>
      </c>
      <c r="AH52" s="9">
        <f t="shared" si="10"/>
        <v>6.1582325086542843E-2</v>
      </c>
      <c r="AI52" s="9">
        <f t="shared" si="11"/>
        <v>3.792382763064644E-3</v>
      </c>
      <c r="AJ52" s="9">
        <f t="shared" si="12"/>
        <v>3.2068768282759973E-2</v>
      </c>
      <c r="AK52" s="9">
        <f t="shared" si="13"/>
        <v>1.0284058991733519E-3</v>
      </c>
      <c r="AL52" s="9">
        <f t="shared" si="14"/>
        <v>1.0842257772565452E-2</v>
      </c>
      <c r="AM52" s="9">
        <f t="shared" si="15"/>
        <v>1.1755455360675596E-4</v>
      </c>
      <c r="AN52" s="8" t="s">
        <v>4538</v>
      </c>
    </row>
    <row r="53" spans="13:40" ht="23">
      <c r="M53" s="8" t="s">
        <v>547</v>
      </c>
      <c r="N53" s="8" t="s">
        <v>150</v>
      </c>
      <c r="O53" s="8"/>
      <c r="P53" s="8" t="s">
        <v>3691</v>
      </c>
      <c r="Q53" s="8"/>
      <c r="R53" s="8"/>
      <c r="S53" s="8"/>
      <c r="T53" s="8"/>
      <c r="U53" s="8"/>
      <c r="V53" s="8"/>
      <c r="W53" s="8" t="s">
        <v>547</v>
      </c>
      <c r="X53" s="8">
        <v>22.98</v>
      </c>
      <c r="Y53" s="8">
        <v>3.95</v>
      </c>
      <c r="Z53" s="9">
        <v>2.33</v>
      </c>
      <c r="AA53" s="8">
        <v>20.6</v>
      </c>
      <c r="AB53" s="8">
        <v>8146</v>
      </c>
      <c r="AC53" s="21" t="s">
        <v>547</v>
      </c>
      <c r="AD53" s="8" t="s">
        <v>3689</v>
      </c>
      <c r="AE53" s="8" t="s">
        <v>5362</v>
      </c>
      <c r="AF53" s="9">
        <f t="shared" si="8"/>
        <v>81.37</v>
      </c>
      <c r="AG53" s="9">
        <f t="shared" si="9"/>
        <v>52.53</v>
      </c>
      <c r="AH53" s="9">
        <f t="shared" si="10"/>
        <v>5.3982804118416272E-2</v>
      </c>
      <c r="AI53" s="9">
        <f t="shared" si="11"/>
        <v>2.9141431404873007E-3</v>
      </c>
      <c r="AJ53" s="9">
        <f t="shared" si="12"/>
        <v>5.4431282335589887E-2</v>
      </c>
      <c r="AK53" s="9">
        <f t="shared" si="13"/>
        <v>2.9627644966966995E-3</v>
      </c>
      <c r="AL53" s="9">
        <f t="shared" si="14"/>
        <v>4.1547268142944432E-2</v>
      </c>
      <c r="AM53" s="9">
        <f t="shared" si="15"/>
        <v>1.7261754901417253E-3</v>
      </c>
      <c r="AN53" s="8" t="s">
        <v>547</v>
      </c>
    </row>
    <row r="54" spans="13:40" ht="23">
      <c r="M54" s="9" t="s">
        <v>2209</v>
      </c>
      <c r="N54" s="8" t="s">
        <v>150</v>
      </c>
      <c r="O54" s="8"/>
      <c r="P54" s="8"/>
      <c r="Q54" s="8"/>
      <c r="R54" s="8"/>
      <c r="S54" s="8"/>
      <c r="T54" s="8"/>
      <c r="U54" s="8"/>
      <c r="V54" s="8"/>
      <c r="W54" s="9" t="s">
        <v>2209</v>
      </c>
      <c r="X54" s="8">
        <v>37.619999999999997</v>
      </c>
      <c r="Y54" s="8">
        <v>2.54</v>
      </c>
      <c r="Z54" s="9">
        <v>2.0099999999999998</v>
      </c>
      <c r="AA54" s="8">
        <v>19.8</v>
      </c>
      <c r="AB54" s="8">
        <v>10758</v>
      </c>
      <c r="AC54" s="22" t="s">
        <v>2209</v>
      </c>
      <c r="AD54" s="8" t="s">
        <v>3689</v>
      </c>
      <c r="AE54" s="8" t="s">
        <v>5362</v>
      </c>
      <c r="AF54" s="9">
        <f t="shared" si="8"/>
        <v>50.292000000000002</v>
      </c>
      <c r="AG54" s="9">
        <f t="shared" si="9"/>
        <v>39.93</v>
      </c>
      <c r="AH54" s="9">
        <f t="shared" si="10"/>
        <v>5.1886384541002056E-2</v>
      </c>
      <c r="AI54" s="9">
        <f t="shared" si="11"/>
        <v>2.6921969007367374E-3</v>
      </c>
      <c r="AJ54" s="9">
        <f t="shared" si="12"/>
        <v>3.3642104599010535E-2</v>
      </c>
      <c r="AK54" s="9">
        <f t="shared" si="13"/>
        <v>1.1317912018507657E-3</v>
      </c>
      <c r="AL54" s="9">
        <f t="shared" si="14"/>
        <v>3.1581618445607675E-2</v>
      </c>
      <c r="AM54" s="9">
        <f t="shared" si="15"/>
        <v>9.9739862364394685E-4</v>
      </c>
      <c r="AN54" s="9" t="s">
        <v>2209</v>
      </c>
    </row>
    <row r="55" spans="13:40" ht="23">
      <c r="M55" s="8" t="s">
        <v>111</v>
      </c>
      <c r="N55" s="8" t="s">
        <v>90</v>
      </c>
      <c r="O55" s="8"/>
      <c r="P55" s="8" t="s">
        <v>3693</v>
      </c>
      <c r="Q55" s="8"/>
      <c r="R55" s="8"/>
      <c r="S55" s="8"/>
      <c r="T55" s="8"/>
      <c r="U55" s="8"/>
      <c r="V55" s="8"/>
      <c r="W55" s="8" t="s">
        <v>111</v>
      </c>
      <c r="X55" s="8">
        <v>9.67</v>
      </c>
      <c r="Y55" s="8">
        <v>7.71</v>
      </c>
      <c r="Z55" s="9">
        <v>5.46</v>
      </c>
      <c r="AA55" s="8">
        <v>19.600000000000001</v>
      </c>
      <c r="AB55" s="8">
        <v>4262</v>
      </c>
      <c r="AC55" s="21" t="s">
        <v>111</v>
      </c>
      <c r="AD55" s="8" t="s">
        <v>3689</v>
      </c>
      <c r="AE55" s="8" t="s">
        <v>5362</v>
      </c>
      <c r="AF55" s="9">
        <f t="shared" si="8"/>
        <v>151.11600000000001</v>
      </c>
      <c r="AG55" s="9">
        <f t="shared" si="9"/>
        <v>113.02666666666667</v>
      </c>
      <c r="AH55" s="9">
        <f t="shared" si="10"/>
        <v>5.1362279646648502E-2</v>
      </c>
      <c r="AI55" s="9">
        <f t="shared" si="11"/>
        <v>2.638083770500523E-3</v>
      </c>
      <c r="AJ55" s="9">
        <f t="shared" si="12"/>
        <v>0.101086858319098</v>
      </c>
      <c r="AK55" s="9">
        <f t="shared" si="13"/>
        <v>1.0218552924825392E-2</v>
      </c>
      <c r="AL55" s="9">
        <f t="shared" si="14"/>
        <v>8.9395568766480082E-2</v>
      </c>
      <c r="AM55" s="9">
        <f t="shared" si="15"/>
        <v>7.9915677150824687E-3</v>
      </c>
      <c r="AN55" s="8" t="s">
        <v>111</v>
      </c>
    </row>
    <row r="56" spans="13:40" ht="23">
      <c r="M56" s="8" t="s">
        <v>969</v>
      </c>
      <c r="N56" s="8" t="s">
        <v>150</v>
      </c>
      <c r="O56" s="8"/>
      <c r="P56" s="8"/>
      <c r="Q56" s="8"/>
      <c r="R56" s="8"/>
      <c r="S56" s="8"/>
      <c r="T56" s="8"/>
      <c r="U56" s="8"/>
      <c r="V56" s="8"/>
      <c r="W56" s="8" t="s">
        <v>969</v>
      </c>
      <c r="X56" s="8">
        <v>45.64</v>
      </c>
      <c r="Y56" s="8">
        <v>1.1100000000000001</v>
      </c>
      <c r="Z56" s="9">
        <v>0.03</v>
      </c>
      <c r="AA56" s="8">
        <v>16</v>
      </c>
      <c r="AB56" s="8">
        <v>43196</v>
      </c>
      <c r="AC56" s="21" t="s">
        <v>4704</v>
      </c>
      <c r="AD56" s="8" t="s">
        <v>3689</v>
      </c>
      <c r="AE56" s="8" t="s">
        <v>5362</v>
      </c>
      <c r="AF56" s="9">
        <f t="shared" si="8"/>
        <v>17.760000000000002</v>
      </c>
      <c r="AG56" s="9">
        <f t="shared" si="9"/>
        <v>0.8</v>
      </c>
      <c r="AH56" s="9">
        <f t="shared" si="10"/>
        <v>4.192839154828449E-2</v>
      </c>
      <c r="AI56" s="9">
        <f t="shared" si="11"/>
        <v>1.7579900178262542E-3</v>
      </c>
      <c r="AJ56" s="9">
        <f t="shared" si="12"/>
        <v>1.1880294632912333E-2</v>
      </c>
      <c r="AK56" s="9">
        <f t="shared" si="13"/>
        <v>1.4114140056480559E-4</v>
      </c>
      <c r="AL56" s="9">
        <f t="shared" si="14"/>
        <v>6.3273966332296871E-4</v>
      </c>
      <c r="AM56" s="9">
        <f t="shared" si="15"/>
        <v>4.0035948154206381E-7</v>
      </c>
      <c r="AN56" s="8" t="s">
        <v>969</v>
      </c>
    </row>
    <row r="57" spans="13:40" ht="23">
      <c r="M57" s="9" t="s">
        <v>3504</v>
      </c>
      <c r="N57" s="8" t="s">
        <v>2032</v>
      </c>
      <c r="O57" s="8"/>
      <c r="P57" s="8" t="s">
        <v>3693</v>
      </c>
      <c r="Q57" s="8"/>
      <c r="R57" s="8"/>
      <c r="S57" s="8"/>
      <c r="T57" s="8"/>
      <c r="U57" s="8"/>
      <c r="V57" s="8"/>
      <c r="W57" s="9" t="s">
        <v>3504</v>
      </c>
      <c r="X57" s="8">
        <v>3.03</v>
      </c>
      <c r="Y57" s="8">
        <v>5.94</v>
      </c>
      <c r="Z57" s="9">
        <v>2.5099999999999998</v>
      </c>
      <c r="AA57" s="8">
        <v>9.6999999999999993</v>
      </c>
      <c r="AB57" s="8">
        <v>8782</v>
      </c>
      <c r="AC57" s="22" t="s">
        <v>3504</v>
      </c>
      <c r="AD57" s="8" t="s">
        <v>3689</v>
      </c>
      <c r="AE57" s="8" t="s">
        <v>5362</v>
      </c>
      <c r="AF57" s="9">
        <f t="shared" si="8"/>
        <v>57.618000000000002</v>
      </c>
      <c r="AG57" s="9">
        <f t="shared" si="9"/>
        <v>27.645</v>
      </c>
      <c r="AH57" s="9">
        <f t="shared" si="10"/>
        <v>2.5419087376147467E-2</v>
      </c>
      <c r="AI57" s="9">
        <f t="shared" si="11"/>
        <v>6.4613000303621957E-4</v>
      </c>
      <c r="AJ57" s="9">
        <f t="shared" si="12"/>
        <v>3.8542726135086865E-2</v>
      </c>
      <c r="AK57" s="9">
        <f t="shared" si="13"/>
        <v>1.485541737924308E-3</v>
      </c>
      <c r="AL57" s="9">
        <f t="shared" si="14"/>
        <v>2.1865109990704335E-2</v>
      </c>
      <c r="AM57" s="9">
        <f t="shared" si="15"/>
        <v>4.7808303490559851E-4</v>
      </c>
      <c r="AN57" s="9" t="s">
        <v>3504</v>
      </c>
    </row>
    <row r="58" spans="13:40" ht="23">
      <c r="M58" s="8" t="s">
        <v>1067</v>
      </c>
      <c r="N58" s="8" t="s">
        <v>150</v>
      </c>
      <c r="O58" s="8"/>
      <c r="P58" s="8" t="s">
        <v>3691</v>
      </c>
      <c r="Q58" s="8"/>
      <c r="R58" s="8"/>
      <c r="S58" s="8"/>
      <c r="T58" s="8"/>
      <c r="U58" s="8"/>
      <c r="V58" s="8"/>
      <c r="W58" s="8" t="s">
        <v>1067</v>
      </c>
      <c r="X58" s="8">
        <v>17.89</v>
      </c>
      <c r="Y58" s="8">
        <v>5.24</v>
      </c>
      <c r="Z58" s="9">
        <v>4.0599999999999996</v>
      </c>
      <c r="AA58" s="8">
        <v>6.3</v>
      </c>
      <c r="AB58" s="8">
        <v>13123</v>
      </c>
      <c r="AC58" s="21" t="s">
        <v>1067</v>
      </c>
      <c r="AD58" s="8" t="s">
        <v>3689</v>
      </c>
      <c r="AE58" s="8" t="s">
        <v>5362</v>
      </c>
      <c r="AF58" s="9">
        <f t="shared" si="8"/>
        <v>33.012</v>
      </c>
      <c r="AG58" s="9">
        <f t="shared" si="9"/>
        <v>25.83</v>
      </c>
      <c r="AH58" s="9">
        <f t="shared" si="10"/>
        <v>1.6509304172137019E-2</v>
      </c>
      <c r="AI58" s="9">
        <f t="shared" si="11"/>
        <v>2.7255712424814079E-4</v>
      </c>
      <c r="AJ58" s="9">
        <f t="shared" si="12"/>
        <v>2.2082899010230965E-2</v>
      </c>
      <c r="AK58" s="9">
        <f t="shared" si="13"/>
        <v>4.8765442869605973E-4</v>
      </c>
      <c r="AL58" s="9">
        <f t="shared" si="14"/>
        <v>2.0429581879540349E-2</v>
      </c>
      <c r="AM58" s="9">
        <f t="shared" si="15"/>
        <v>4.173678157728434E-4</v>
      </c>
      <c r="AN58" s="8" t="s">
        <v>1067</v>
      </c>
    </row>
    <row r="59" spans="13:40" ht="23">
      <c r="M59" s="9" t="s">
        <v>2980</v>
      </c>
      <c r="N59" s="8" t="s">
        <v>1717</v>
      </c>
      <c r="O59" s="8"/>
      <c r="P59" s="8" t="s">
        <v>4711</v>
      </c>
      <c r="Q59" s="8"/>
      <c r="R59" s="8"/>
      <c r="S59" s="8"/>
      <c r="T59" s="8"/>
      <c r="U59" s="8"/>
      <c r="V59" s="8"/>
      <c r="W59" s="9" t="s">
        <v>2980</v>
      </c>
      <c r="X59" s="8">
        <v>29.86</v>
      </c>
      <c r="Y59" s="8">
        <v>6.02</v>
      </c>
      <c r="Z59" s="9">
        <v>6.58</v>
      </c>
      <c r="AA59" s="8">
        <v>5.2</v>
      </c>
      <c r="AB59" s="8">
        <v>14746</v>
      </c>
      <c r="AC59" s="22" t="s">
        <v>2980</v>
      </c>
      <c r="AD59" s="8" t="s">
        <v>3689</v>
      </c>
      <c r="AE59" s="8" t="s">
        <v>5362</v>
      </c>
      <c r="AF59" s="9">
        <f t="shared" si="8"/>
        <v>31.303999999999998</v>
      </c>
      <c r="AG59" s="9">
        <f t="shared" si="9"/>
        <v>36.226666666666667</v>
      </c>
      <c r="AH59" s="9">
        <f t="shared" si="10"/>
        <v>1.3626727253192458E-2</v>
      </c>
      <c r="AI59" s="9">
        <f t="shared" si="11"/>
        <v>1.8568769563289807E-4</v>
      </c>
      <c r="AJ59" s="9">
        <f t="shared" si="12"/>
        <v>2.0940357161525206E-2</v>
      </c>
      <c r="AK59" s="9">
        <f t="shared" si="13"/>
        <v>4.3849855805224E-4</v>
      </c>
      <c r="AL59" s="9">
        <f t="shared" si="14"/>
        <v>2.8652561087475093E-2</v>
      </c>
      <c r="AM59" s="9">
        <f t="shared" si="15"/>
        <v>8.2096925687149191E-4</v>
      </c>
      <c r="AN59" s="9" t="s">
        <v>2980</v>
      </c>
    </row>
    <row r="60" spans="13:40" ht="23">
      <c r="M60" s="8" t="s">
        <v>1874</v>
      </c>
      <c r="N60" s="8" t="s">
        <v>1869</v>
      </c>
      <c r="O60" s="8"/>
      <c r="P60" s="8"/>
      <c r="Q60" s="8"/>
      <c r="R60" s="8"/>
      <c r="S60" s="8"/>
      <c r="T60" s="8"/>
      <c r="U60" s="8"/>
      <c r="V60" s="8"/>
      <c r="W60" s="8" t="s">
        <v>1874</v>
      </c>
      <c r="X60" s="8">
        <v>40.479999999999997</v>
      </c>
      <c r="Y60" s="8">
        <v>2.52</v>
      </c>
      <c r="Z60" s="9">
        <v>2.27</v>
      </c>
      <c r="AA60" s="8">
        <v>5</v>
      </c>
      <c r="AB60" s="8">
        <v>26117</v>
      </c>
      <c r="AC60" s="21" t="s">
        <v>1874</v>
      </c>
      <c r="AD60" s="8" t="s">
        <v>3689</v>
      </c>
      <c r="AE60" s="8" t="s">
        <v>5362</v>
      </c>
      <c r="AF60" s="9">
        <f t="shared" si="8"/>
        <v>12.6</v>
      </c>
      <c r="AG60" s="9">
        <f t="shared" si="9"/>
        <v>12.25</v>
      </c>
      <c r="AH60" s="9">
        <f t="shared" si="10"/>
        <v>1.3102622358838903E-2</v>
      </c>
      <c r="AI60" s="9">
        <f t="shared" si="11"/>
        <v>1.7167871267834514E-4</v>
      </c>
      <c r="AJ60" s="9">
        <f t="shared" si="12"/>
        <v>8.4285874084851012E-3</v>
      </c>
      <c r="AK60" s="9">
        <f t="shared" si="13"/>
        <v>7.1041085702473601E-5</v>
      </c>
      <c r="AL60" s="9">
        <f t="shared" si="14"/>
        <v>9.6888260946329571E-3</v>
      </c>
      <c r="AM60" s="9">
        <f t="shared" si="15"/>
        <v>9.3873351092040518E-5</v>
      </c>
      <c r="AN60" s="8" t="s">
        <v>1874</v>
      </c>
    </row>
    <row r="61" spans="13:40" ht="23">
      <c r="M61" s="9" t="s">
        <v>3067</v>
      </c>
      <c r="N61" s="8" t="s">
        <v>1814</v>
      </c>
      <c r="O61" s="8"/>
      <c r="P61" s="8" t="s">
        <v>3694</v>
      </c>
      <c r="Q61" s="8"/>
      <c r="R61" s="8"/>
      <c r="S61" s="8"/>
      <c r="T61" s="8"/>
      <c r="U61" s="8"/>
      <c r="V61" s="8"/>
      <c r="W61" s="9" t="s">
        <v>3067</v>
      </c>
      <c r="X61" s="8">
        <v>17.48</v>
      </c>
      <c r="Y61" s="8">
        <v>7.68</v>
      </c>
      <c r="Z61" s="9">
        <v>3.3</v>
      </c>
      <c r="AA61" s="8">
        <v>4.9000000000000004</v>
      </c>
      <c r="AB61" s="8">
        <v>16295</v>
      </c>
      <c r="AC61" s="22" t="s">
        <v>3067</v>
      </c>
      <c r="AD61" s="8" t="s">
        <v>3689</v>
      </c>
      <c r="AE61" s="8" t="s">
        <v>5362</v>
      </c>
      <c r="AF61" s="9">
        <f t="shared" si="8"/>
        <v>37.631999999999998</v>
      </c>
      <c r="AG61" s="9">
        <f t="shared" si="9"/>
        <v>14.724500000000001</v>
      </c>
      <c r="AH61" s="9">
        <f t="shared" si="10"/>
        <v>1.2840569911662126E-2</v>
      </c>
      <c r="AI61" s="9">
        <f t="shared" si="11"/>
        <v>1.6488023565628269E-4</v>
      </c>
      <c r="AJ61" s="9">
        <f t="shared" si="12"/>
        <v>2.5173381060008833E-2</v>
      </c>
      <c r="AK61" s="9">
        <f t="shared" si="13"/>
        <v>6.3369911399241148E-4</v>
      </c>
      <c r="AL61" s="9">
        <f t="shared" si="14"/>
        <v>1.1645968965748816E-2</v>
      </c>
      <c r="AM61" s="9">
        <f t="shared" si="15"/>
        <v>1.3562859315118452E-4</v>
      </c>
      <c r="AN61" s="9" t="s">
        <v>3067</v>
      </c>
    </row>
    <row r="62" spans="13:40" ht="23">
      <c r="M62" s="9" t="s">
        <v>3631</v>
      </c>
      <c r="N62" s="8" t="s">
        <v>2093</v>
      </c>
      <c r="O62" s="8"/>
      <c r="P62" s="8"/>
      <c r="Q62" s="8"/>
      <c r="R62" s="8"/>
      <c r="S62" s="8"/>
      <c r="T62" s="8"/>
      <c r="U62" s="8"/>
      <c r="V62" s="8"/>
      <c r="W62" s="9" t="s">
        <v>3631</v>
      </c>
      <c r="X62" s="8">
        <v>59</v>
      </c>
      <c r="Y62" s="8">
        <v>1.8</v>
      </c>
      <c r="Z62" s="9">
        <v>1.4</v>
      </c>
      <c r="AA62" s="8">
        <v>4.8</v>
      </c>
      <c r="AB62" s="8">
        <v>25944</v>
      </c>
      <c r="AC62" s="22" t="s">
        <v>3631</v>
      </c>
      <c r="AD62" s="8" t="s">
        <v>3689</v>
      </c>
      <c r="AE62" s="8" t="s">
        <v>5362</v>
      </c>
      <c r="AF62" s="9">
        <f t="shared" si="8"/>
        <v>8.64</v>
      </c>
      <c r="AG62" s="9">
        <f t="shared" si="9"/>
        <v>4.8319999999999999</v>
      </c>
      <c r="AH62" s="9">
        <f t="shared" si="10"/>
        <v>1.2578517464485345E-2</v>
      </c>
      <c r="AI62" s="9">
        <f t="shared" si="11"/>
        <v>1.5821910160436283E-4</v>
      </c>
      <c r="AJ62" s="9">
        <f t="shared" si="12"/>
        <v>5.7796027943897831E-3</v>
      </c>
      <c r="AK62" s="9">
        <f t="shared" si="13"/>
        <v>3.3403808460918191E-5</v>
      </c>
      <c r="AL62" s="9">
        <f t="shared" si="14"/>
        <v>3.8217475664707305E-3</v>
      </c>
      <c r="AM62" s="9">
        <f t="shared" si="15"/>
        <v>1.4605754461824951E-5</v>
      </c>
      <c r="AN62" s="9" t="s">
        <v>3631</v>
      </c>
    </row>
    <row r="63" spans="13:40" ht="23">
      <c r="M63" s="9" t="s">
        <v>3530</v>
      </c>
      <c r="N63" s="8" t="s">
        <v>2041</v>
      </c>
      <c r="O63" s="8"/>
      <c r="P63" s="8" t="s">
        <v>3691</v>
      </c>
      <c r="Q63" s="8"/>
      <c r="R63" s="8"/>
      <c r="S63" s="8"/>
      <c r="T63" s="8"/>
      <c r="U63" s="8"/>
      <c r="V63" s="8"/>
      <c r="W63" s="9" t="s">
        <v>3530</v>
      </c>
      <c r="X63" s="8">
        <v>31.52</v>
      </c>
      <c r="Y63" s="8">
        <v>3.35</v>
      </c>
      <c r="Z63" s="9">
        <v>2.11</v>
      </c>
      <c r="AA63" s="8">
        <v>4.5</v>
      </c>
      <c r="AB63" s="8">
        <v>21878</v>
      </c>
      <c r="AC63" s="22" t="s">
        <v>3530</v>
      </c>
      <c r="AD63" s="8" t="s">
        <v>3689</v>
      </c>
      <c r="AE63" s="8" t="s">
        <v>5362</v>
      </c>
      <c r="AF63" s="9">
        <f t="shared" si="8"/>
        <v>15.075000000000001</v>
      </c>
      <c r="AG63" s="9">
        <f t="shared" si="9"/>
        <v>9.8249999999999993</v>
      </c>
      <c r="AH63" s="9">
        <f t="shared" si="10"/>
        <v>1.1792360122955012E-2</v>
      </c>
      <c r="AI63" s="9">
        <f t="shared" si="11"/>
        <v>1.3905975726945957E-4</v>
      </c>
      <c r="AJ63" s="9">
        <f t="shared" si="12"/>
        <v>1.0084202792294675E-2</v>
      </c>
      <c r="AK63" s="9">
        <f t="shared" si="13"/>
        <v>1.0169114595612372E-4</v>
      </c>
      <c r="AL63" s="9">
        <f t="shared" si="14"/>
        <v>7.7708339901852077E-3</v>
      </c>
      <c r="AM63" s="9">
        <f t="shared" si="15"/>
        <v>6.0385860903017757E-5</v>
      </c>
      <c r="AN63" s="9" t="s">
        <v>3530</v>
      </c>
    </row>
    <row r="64" spans="13:40" ht="23">
      <c r="M64" s="8" t="s">
        <v>1979</v>
      </c>
      <c r="N64" s="8" t="s">
        <v>1964</v>
      </c>
      <c r="O64" s="8"/>
      <c r="P64" s="8"/>
      <c r="Q64" s="8"/>
      <c r="R64" s="8"/>
      <c r="S64" s="8"/>
      <c r="T64" s="8"/>
      <c r="U64" s="8"/>
      <c r="V64" s="8"/>
      <c r="W64" s="8" t="s">
        <v>1979</v>
      </c>
      <c r="X64" s="8">
        <v>34.04</v>
      </c>
      <c r="Y64" s="8">
        <v>2.7</v>
      </c>
      <c r="Z64" s="9">
        <v>0.54</v>
      </c>
      <c r="AA64" s="8">
        <v>4.0999999999999996</v>
      </c>
      <c r="AB64" s="8">
        <v>31327</v>
      </c>
      <c r="AC64" s="21" t="s">
        <v>1979</v>
      </c>
      <c r="AD64" s="8" t="s">
        <v>3689</v>
      </c>
      <c r="AE64" s="8" t="s">
        <v>5362</v>
      </c>
      <c r="AF64" s="9">
        <f t="shared" si="8"/>
        <v>11.07</v>
      </c>
      <c r="AG64" s="9">
        <f t="shared" si="9"/>
        <v>3.69</v>
      </c>
      <c r="AH64" s="9">
        <f t="shared" si="10"/>
        <v>1.0744150334247899E-2</v>
      </c>
      <c r="AI64" s="9">
        <f t="shared" si="11"/>
        <v>1.1543676640491925E-4</v>
      </c>
      <c r="AJ64" s="9">
        <f t="shared" si="12"/>
        <v>7.4051160803119097E-3</v>
      </c>
      <c r="AK64" s="9">
        <f t="shared" si="13"/>
        <v>5.4835744162894019E-5</v>
      </c>
      <c r="AL64" s="9">
        <f t="shared" si="14"/>
        <v>2.9185116970771928E-3</v>
      </c>
      <c r="AM64" s="9">
        <f t="shared" si="15"/>
        <v>8.5177105259763966E-6</v>
      </c>
      <c r="AN64" s="8" t="s">
        <v>1979</v>
      </c>
    </row>
    <row r="65" spans="13:40" ht="23">
      <c r="M65" s="8" t="s">
        <v>106</v>
      </c>
      <c r="N65" s="8" t="s">
        <v>82</v>
      </c>
      <c r="O65" s="8"/>
      <c r="P65" s="8" t="s">
        <v>3691</v>
      </c>
      <c r="Q65" s="8"/>
      <c r="R65" s="8"/>
      <c r="S65" s="8"/>
      <c r="T65" s="8"/>
      <c r="U65" s="8"/>
      <c r="V65" s="8"/>
      <c r="W65" s="8" t="s">
        <v>106</v>
      </c>
      <c r="X65" s="8">
        <v>11.13</v>
      </c>
      <c r="Y65" s="8">
        <v>4.88</v>
      </c>
      <c r="Z65" s="9">
        <v>4.12</v>
      </c>
      <c r="AA65" s="8">
        <v>3.6</v>
      </c>
      <c r="AB65" s="8">
        <v>26536</v>
      </c>
      <c r="AC65" s="21" t="s">
        <v>106</v>
      </c>
      <c r="AD65" s="8" t="s">
        <v>3689</v>
      </c>
      <c r="AE65" s="8" t="s">
        <v>5362</v>
      </c>
      <c r="AF65" s="9">
        <f t="shared" si="8"/>
        <v>17.568000000000001</v>
      </c>
      <c r="AG65" s="9">
        <f t="shared" si="9"/>
        <v>15.120000000000001</v>
      </c>
      <c r="AH65" s="9">
        <f t="shared" si="10"/>
        <v>9.4338880983640093E-3</v>
      </c>
      <c r="AI65" s="9">
        <f t="shared" si="11"/>
        <v>8.8998244652454102E-5</v>
      </c>
      <c r="AJ65" s="9">
        <f t="shared" si="12"/>
        <v>1.1751859015259226E-2</v>
      </c>
      <c r="AK65" s="9">
        <f t="shared" si="13"/>
        <v>1.3810619031452955E-4</v>
      </c>
      <c r="AL65" s="9">
        <f t="shared" si="14"/>
        <v>1.1958779636804109E-2</v>
      </c>
      <c r="AM65" s="9">
        <f t="shared" si="15"/>
        <v>1.430124104016406E-4</v>
      </c>
      <c r="AN65" s="8" t="s">
        <v>106</v>
      </c>
    </row>
    <row r="66" spans="13:40" ht="23">
      <c r="M66" s="8" t="s">
        <v>291</v>
      </c>
      <c r="N66" s="8" t="s">
        <v>150</v>
      </c>
      <c r="O66" s="8"/>
      <c r="P66" s="8"/>
      <c r="Q66" s="8"/>
      <c r="R66" s="8"/>
      <c r="S66" s="8"/>
      <c r="T66" s="8"/>
      <c r="U66" s="8"/>
      <c r="V66" s="8"/>
      <c r="W66" s="8" t="s">
        <v>291</v>
      </c>
      <c r="X66" s="8">
        <v>47.94</v>
      </c>
      <c r="Y66" s="8">
        <v>1.72</v>
      </c>
      <c r="Z66" s="9">
        <v>1.45</v>
      </c>
      <c r="AA66" s="8">
        <v>3.6</v>
      </c>
      <c r="AB66" s="8">
        <v>32331</v>
      </c>
      <c r="AC66" s="21" t="s">
        <v>291</v>
      </c>
      <c r="AD66" s="8" t="s">
        <v>3689</v>
      </c>
      <c r="AE66" s="8" t="s">
        <v>5362</v>
      </c>
      <c r="AF66" s="9">
        <f t="shared" ref="AF66:AF82" si="16">(AA66*Y66)</f>
        <v>6.1920000000000002</v>
      </c>
      <c r="AG66" s="9">
        <f t="shared" ref="AG66:AG82" si="17">((((RIGHT(Z66,2))/60)+(LEFT(Z66,2)))*AA66)</f>
        <v>6.3</v>
      </c>
      <c r="AH66" s="9">
        <f t="shared" ref="AH66:AH82" si="18">(AA66/$AA$83)*100</f>
        <v>9.4338880983640093E-3</v>
      </c>
      <c r="AI66" s="9">
        <f t="shared" ref="AI66:AI82" si="19">(AH66*AH66)</f>
        <v>8.8998244652454102E-5</v>
      </c>
      <c r="AJ66" s="9">
        <f t="shared" ref="AJ66:AJ82" si="20">(AF66/$AF$83)*100</f>
        <v>4.1420486693126779E-3</v>
      </c>
      <c r="AK66" s="9">
        <f t="shared" ref="AK66:AK82" si="21">(AJ66*AJ66)</f>
        <v>1.7156567178954925E-5</v>
      </c>
      <c r="AL66" s="9">
        <f t="shared" ref="AL66:AL82" si="22">(AG66/$AG$83)*100</f>
        <v>4.9828248486683772E-3</v>
      </c>
      <c r="AM66" s="9">
        <f t="shared" ref="AM66:AM82" si="23">(AL66*AL66)</f>
        <v>2.4828543472507035E-5</v>
      </c>
      <c r="AN66" s="8" t="s">
        <v>291</v>
      </c>
    </row>
    <row r="67" spans="13:40" ht="23">
      <c r="M67" s="8" t="s">
        <v>110</v>
      </c>
      <c r="N67" s="8" t="s">
        <v>90</v>
      </c>
      <c r="O67" s="8"/>
      <c r="P67" s="8" t="s">
        <v>3698</v>
      </c>
      <c r="Q67" s="8"/>
      <c r="R67" s="8"/>
      <c r="S67" s="8"/>
      <c r="T67" s="8"/>
      <c r="U67" s="8"/>
      <c r="V67" s="8"/>
      <c r="W67" s="8" t="s">
        <v>110</v>
      </c>
      <c r="X67" s="8">
        <v>44.58</v>
      </c>
      <c r="Y67" s="8">
        <v>4.72</v>
      </c>
      <c r="Z67" s="9">
        <v>1.05</v>
      </c>
      <c r="AA67" s="8">
        <v>3.5</v>
      </c>
      <c r="AB67" s="8">
        <v>19829</v>
      </c>
      <c r="AC67" s="21" t="s">
        <v>110</v>
      </c>
      <c r="AD67" s="8" t="s">
        <v>3689</v>
      </c>
      <c r="AE67" s="8" t="s">
        <v>5362</v>
      </c>
      <c r="AF67" s="9">
        <f t="shared" si="16"/>
        <v>16.52</v>
      </c>
      <c r="AG67" s="9">
        <f t="shared" si="17"/>
        <v>3.7916666666666665</v>
      </c>
      <c r="AH67" s="9">
        <f t="shared" si="18"/>
        <v>9.1718356511872323E-3</v>
      </c>
      <c r="AI67" s="9">
        <f t="shared" si="19"/>
        <v>8.4122569212389116E-5</v>
      </c>
      <c r="AJ67" s="9">
        <f t="shared" si="20"/>
        <v>1.1050814602236021E-2</v>
      </c>
      <c r="AK67" s="9">
        <f t="shared" si="21"/>
        <v>1.2212050337299287E-4</v>
      </c>
      <c r="AL67" s="9">
        <f t="shared" si="22"/>
        <v>2.9989223626244866E-3</v>
      </c>
      <c r="AM67" s="9">
        <f t="shared" si="23"/>
        <v>8.9935353370492331E-6</v>
      </c>
      <c r="AN67" s="8" t="s">
        <v>110</v>
      </c>
    </row>
    <row r="68" spans="13:40" ht="23">
      <c r="M68" s="9" t="s">
        <v>3433</v>
      </c>
      <c r="N68" s="8" t="s">
        <v>2003</v>
      </c>
      <c r="O68" s="8"/>
      <c r="P68" s="8" t="s">
        <v>3692</v>
      </c>
      <c r="Q68" s="8"/>
      <c r="R68" s="8"/>
      <c r="S68" s="8"/>
      <c r="T68" s="8"/>
      <c r="U68" s="8"/>
      <c r="V68" s="8"/>
      <c r="W68" s="9" t="s">
        <v>4712</v>
      </c>
      <c r="X68" s="8">
        <v>15.37</v>
      </c>
      <c r="Y68" s="8">
        <v>3.38</v>
      </c>
      <c r="Z68" s="9">
        <v>2.4300000000000002</v>
      </c>
      <c r="AA68" s="8">
        <v>2.7</v>
      </c>
      <c r="AB68" s="8">
        <v>30731</v>
      </c>
      <c r="AC68" s="22" t="s">
        <v>4712</v>
      </c>
      <c r="AD68" s="8" t="s">
        <v>3689</v>
      </c>
      <c r="AE68" s="8" t="s">
        <v>5362</v>
      </c>
      <c r="AF68" s="9">
        <f t="shared" si="16"/>
        <v>9.1259999999999994</v>
      </c>
      <c r="AG68" s="9">
        <f t="shared" si="17"/>
        <v>7.3350000000000009</v>
      </c>
      <c r="AH68" s="9">
        <f t="shared" si="18"/>
        <v>7.075416073773007E-3</v>
      </c>
      <c r="AI68" s="9">
        <f t="shared" si="19"/>
        <v>5.0061512617005431E-5</v>
      </c>
      <c r="AJ68" s="9">
        <f t="shared" si="20"/>
        <v>6.1047054515742088E-3</v>
      </c>
      <c r="AK68" s="9">
        <f t="shared" si="21"/>
        <v>3.7267428650479865E-5</v>
      </c>
      <c r="AL68" s="9">
        <f t="shared" si="22"/>
        <v>5.801431788092469E-3</v>
      </c>
      <c r="AM68" s="9">
        <f t="shared" si="23"/>
        <v>3.3656610791889781E-5</v>
      </c>
      <c r="AN68" s="9" t="s">
        <v>4712</v>
      </c>
    </row>
    <row r="69" spans="13:40" ht="23">
      <c r="M69" s="9" t="s">
        <v>3076</v>
      </c>
      <c r="N69" s="8" t="s">
        <v>1814</v>
      </c>
      <c r="O69" s="8"/>
      <c r="P69" s="8"/>
      <c r="Q69" s="8"/>
      <c r="R69" s="8"/>
      <c r="S69" s="8"/>
      <c r="T69" s="8"/>
      <c r="U69" s="8"/>
      <c r="V69" s="8"/>
      <c r="W69" s="9" t="s">
        <v>3076</v>
      </c>
      <c r="X69" s="8">
        <v>42.01</v>
      </c>
      <c r="Y69" s="8">
        <v>1.99</v>
      </c>
      <c r="Z69" s="9">
        <v>0.24</v>
      </c>
      <c r="AA69" s="8">
        <v>2.5</v>
      </c>
      <c r="AB69" s="8">
        <v>36534</v>
      </c>
      <c r="AC69" s="22" t="s">
        <v>3076</v>
      </c>
      <c r="AD69" s="8" t="s">
        <v>3689</v>
      </c>
      <c r="AE69" s="8" t="s">
        <v>5362</v>
      </c>
      <c r="AF69" s="9">
        <f t="shared" si="16"/>
        <v>4.9749999999999996</v>
      </c>
      <c r="AG69" s="9">
        <f t="shared" si="17"/>
        <v>1</v>
      </c>
      <c r="AH69" s="9">
        <f t="shared" si="18"/>
        <v>6.5513111794194513E-3</v>
      </c>
      <c r="AI69" s="9">
        <f t="shared" si="19"/>
        <v>4.2919678169586284E-5</v>
      </c>
      <c r="AJ69" s="9">
        <f t="shared" si="20"/>
        <v>3.3279541553343948E-3</v>
      </c>
      <c r="AK69" s="9">
        <f t="shared" si="21"/>
        <v>1.1075278860007465E-5</v>
      </c>
      <c r="AL69" s="9">
        <f t="shared" si="22"/>
        <v>7.909245791537107E-4</v>
      </c>
      <c r="AM69" s="9">
        <f t="shared" si="23"/>
        <v>6.2556168990947435E-7</v>
      </c>
      <c r="AN69" s="9" t="s">
        <v>3076</v>
      </c>
    </row>
    <row r="70" spans="13:40" ht="23">
      <c r="M70" s="9" t="s">
        <v>2565</v>
      </c>
      <c r="N70" s="8" t="s">
        <v>150</v>
      </c>
      <c r="O70" s="8"/>
      <c r="P70" s="8"/>
      <c r="Q70" s="8"/>
      <c r="R70" s="8"/>
      <c r="S70" s="8"/>
      <c r="T70" s="8"/>
      <c r="U70" s="8"/>
      <c r="V70" s="8"/>
      <c r="W70" s="9" t="s">
        <v>2565</v>
      </c>
      <c r="X70" s="8">
        <v>17.8</v>
      </c>
      <c r="Y70" s="8">
        <v>4.42</v>
      </c>
      <c r="Z70" s="9">
        <v>1.1200000000000001</v>
      </c>
      <c r="AA70" s="8">
        <v>2.4</v>
      </c>
      <c r="AB70" s="8">
        <v>26942</v>
      </c>
      <c r="AC70" s="22" t="s">
        <v>2565</v>
      </c>
      <c r="AD70" s="8" t="s">
        <v>3689</v>
      </c>
      <c r="AE70" s="8" t="s">
        <v>5362</v>
      </c>
      <c r="AF70" s="9">
        <f t="shared" si="16"/>
        <v>10.607999999999999</v>
      </c>
      <c r="AG70" s="9">
        <f t="shared" si="17"/>
        <v>2.88</v>
      </c>
      <c r="AH70" s="9">
        <f t="shared" si="18"/>
        <v>6.2892587322426726E-3</v>
      </c>
      <c r="AI70" s="9">
        <f t="shared" si="19"/>
        <v>3.9554775401090708E-5</v>
      </c>
      <c r="AJ70" s="9">
        <f t="shared" si="20"/>
        <v>7.0960678753341222E-3</v>
      </c>
      <c r="AK70" s="9">
        <f t="shared" si="21"/>
        <v>5.0354179291348924E-5</v>
      </c>
      <c r="AL70" s="9">
        <f t="shared" si="22"/>
        <v>2.2778627879626871E-3</v>
      </c>
      <c r="AM70" s="9">
        <f t="shared" si="23"/>
        <v>5.1886588807851461E-6</v>
      </c>
      <c r="AN70" s="9" t="s">
        <v>2565</v>
      </c>
    </row>
    <row r="71" spans="13:40" ht="23">
      <c r="M71" s="8" t="s">
        <v>1850</v>
      </c>
      <c r="N71" s="8" t="s">
        <v>1814</v>
      </c>
      <c r="O71" s="8"/>
      <c r="P71" s="8" t="s">
        <v>3691</v>
      </c>
      <c r="Q71" s="8"/>
      <c r="R71" s="8"/>
      <c r="S71" s="8"/>
      <c r="T71" s="8"/>
      <c r="U71" s="8"/>
      <c r="V71" s="8"/>
      <c r="W71" s="8" t="s">
        <v>1850</v>
      </c>
      <c r="X71" s="8">
        <v>17.690000000000001</v>
      </c>
      <c r="Y71" s="8">
        <v>4.49</v>
      </c>
      <c r="Z71" s="9">
        <v>3.51</v>
      </c>
      <c r="AA71" s="8">
        <v>2.2999999999999998</v>
      </c>
      <c r="AB71" s="8">
        <v>36715</v>
      </c>
      <c r="AC71" s="21" t="s">
        <v>1850</v>
      </c>
      <c r="AD71" s="8" t="s">
        <v>3689</v>
      </c>
      <c r="AE71" s="8" t="s">
        <v>5362</v>
      </c>
      <c r="AF71" s="9">
        <f t="shared" si="16"/>
        <v>10.327</v>
      </c>
      <c r="AG71" s="9">
        <f t="shared" si="17"/>
        <v>8.8549999999999986</v>
      </c>
      <c r="AH71" s="9">
        <f t="shared" si="18"/>
        <v>6.0272062850658947E-3</v>
      </c>
      <c r="AI71" s="9">
        <f t="shared" si="19"/>
        <v>3.6327215602737825E-5</v>
      </c>
      <c r="AJ71" s="9">
        <f t="shared" si="20"/>
        <v>6.9080969974147331E-3</v>
      </c>
      <c r="AK71" s="9">
        <f t="shared" si="21"/>
        <v>4.7721804125690452E-5</v>
      </c>
      <c r="AL71" s="9">
        <f t="shared" si="22"/>
        <v>7.0036371484061078E-3</v>
      </c>
      <c r="AM71" s="9">
        <f t="shared" si="23"/>
        <v>4.9050933306534039E-5</v>
      </c>
      <c r="AN71" s="8" t="s">
        <v>1850</v>
      </c>
    </row>
    <row r="72" spans="13:40" ht="23">
      <c r="M72" s="9" t="s">
        <v>3546</v>
      </c>
      <c r="N72" s="8" t="s">
        <v>2041</v>
      </c>
      <c r="O72" s="8"/>
      <c r="P72" s="8" t="s">
        <v>3691</v>
      </c>
      <c r="Q72" s="8"/>
      <c r="R72" s="8"/>
      <c r="S72" s="8"/>
      <c r="T72" s="8"/>
      <c r="U72" s="8"/>
      <c r="V72" s="8"/>
      <c r="W72" s="9" t="s">
        <v>3546</v>
      </c>
      <c r="X72" s="8">
        <v>12.92</v>
      </c>
      <c r="Y72" s="8">
        <v>5.16</v>
      </c>
      <c r="Z72" s="9">
        <v>3.44</v>
      </c>
      <c r="AA72" s="8">
        <v>2.2000000000000002</v>
      </c>
      <c r="AB72" s="8">
        <v>30481</v>
      </c>
      <c r="AC72" s="22" t="s">
        <v>3546</v>
      </c>
      <c r="AD72" s="8" t="s">
        <v>3689</v>
      </c>
      <c r="AE72" s="8" t="s">
        <v>5362</v>
      </c>
      <c r="AF72" s="9">
        <f t="shared" si="16"/>
        <v>11.352000000000002</v>
      </c>
      <c r="AG72" s="9">
        <f t="shared" si="17"/>
        <v>8.2133333333333347</v>
      </c>
      <c r="AH72" s="9">
        <f t="shared" si="18"/>
        <v>5.7651538378891169E-3</v>
      </c>
      <c r="AI72" s="9">
        <f t="shared" si="19"/>
        <v>3.3236998774527613E-5</v>
      </c>
      <c r="AJ72" s="9">
        <f t="shared" si="20"/>
        <v>7.5937558937399108E-3</v>
      </c>
      <c r="AK72" s="9">
        <f t="shared" si="21"/>
        <v>5.7665128573709633E-5</v>
      </c>
      <c r="AL72" s="9">
        <f t="shared" si="22"/>
        <v>6.4961272101158127E-3</v>
      </c>
      <c r="AM72" s="9">
        <f t="shared" si="23"/>
        <v>4.2199668730007052E-5</v>
      </c>
      <c r="AN72" s="9" t="s">
        <v>3546</v>
      </c>
    </row>
    <row r="73" spans="13:40" ht="23">
      <c r="M73" s="8" t="s">
        <v>1476</v>
      </c>
      <c r="N73" s="8" t="s">
        <v>150</v>
      </c>
      <c r="O73" s="8"/>
      <c r="P73" s="8"/>
      <c r="Q73" s="8"/>
      <c r="R73" s="8"/>
      <c r="S73" s="8"/>
      <c r="T73" s="8"/>
      <c r="U73" s="8"/>
      <c r="V73" s="8"/>
      <c r="W73" s="8" t="s">
        <v>1476</v>
      </c>
      <c r="X73" s="8">
        <v>16.899999999999999</v>
      </c>
      <c r="Y73" s="8">
        <v>2.4900000000000002</v>
      </c>
      <c r="Z73" s="9">
        <v>1.38</v>
      </c>
      <c r="AA73" s="8">
        <v>2.2000000000000002</v>
      </c>
      <c r="AB73" s="8">
        <v>45868</v>
      </c>
      <c r="AC73" s="21" t="s">
        <v>1476</v>
      </c>
      <c r="AD73" s="8" t="s">
        <v>3689</v>
      </c>
      <c r="AE73" s="8" t="s">
        <v>5362</v>
      </c>
      <c r="AF73" s="9">
        <f t="shared" si="16"/>
        <v>5.4780000000000006</v>
      </c>
      <c r="AG73" s="9">
        <f t="shared" si="17"/>
        <v>3.5933333333333337</v>
      </c>
      <c r="AH73" s="9">
        <f t="shared" si="18"/>
        <v>5.7651538378891169E-3</v>
      </c>
      <c r="AI73" s="9">
        <f t="shared" si="19"/>
        <v>3.3236998774527613E-5</v>
      </c>
      <c r="AJ73" s="9">
        <f t="shared" si="20"/>
        <v>3.6644287161651896E-3</v>
      </c>
      <c r="AK73" s="9">
        <f t="shared" si="21"/>
        <v>1.342803781585606E-5</v>
      </c>
      <c r="AL73" s="9">
        <f t="shared" si="22"/>
        <v>2.8420556544256678E-3</v>
      </c>
      <c r="AM73" s="9">
        <f t="shared" si="23"/>
        <v>8.0772803428529111E-6</v>
      </c>
      <c r="AN73" s="8" t="s">
        <v>1476</v>
      </c>
    </row>
    <row r="74" spans="13:40" ht="23">
      <c r="M74" s="9" t="s">
        <v>2252</v>
      </c>
      <c r="N74" s="8" t="s">
        <v>150</v>
      </c>
      <c r="O74" s="8"/>
      <c r="P74" s="8" t="s">
        <v>3693</v>
      </c>
      <c r="Q74" s="8"/>
      <c r="R74" s="8"/>
      <c r="S74" s="8"/>
      <c r="T74" s="8"/>
      <c r="U74" s="8"/>
      <c r="V74" s="8"/>
      <c r="W74" s="9" t="s">
        <v>2252</v>
      </c>
      <c r="X74" s="8">
        <v>6.04</v>
      </c>
      <c r="Y74" s="8">
        <v>5.24</v>
      </c>
      <c r="Z74" s="9">
        <v>3.19</v>
      </c>
      <c r="AA74" s="8">
        <v>1.9</v>
      </c>
      <c r="AB74" s="8">
        <v>39885</v>
      </c>
      <c r="AC74" s="22" t="s">
        <v>2252</v>
      </c>
      <c r="AD74" s="8" t="s">
        <v>3689</v>
      </c>
      <c r="AE74" s="8" t="s">
        <v>5362</v>
      </c>
      <c r="AF74" s="9">
        <f t="shared" si="16"/>
        <v>9.9559999999999995</v>
      </c>
      <c r="AG74" s="9">
        <f t="shared" si="17"/>
        <v>6.3016666666666659</v>
      </c>
      <c r="AH74" s="9">
        <f t="shared" si="18"/>
        <v>4.9789964963587825E-3</v>
      </c>
      <c r="AI74" s="9">
        <f t="shared" si="19"/>
        <v>2.4790406110753033E-5</v>
      </c>
      <c r="AJ74" s="9">
        <f t="shared" si="20"/>
        <v>6.6599219237204483E-3</v>
      </c>
      <c r="AK74" s="9">
        <f t="shared" si="21"/>
        <v>4.4354560030052276E-5</v>
      </c>
      <c r="AL74" s="9">
        <f t="shared" si="22"/>
        <v>4.9841430563003003E-3</v>
      </c>
      <c r="AM74" s="9">
        <f t="shared" si="23"/>
        <v>2.4841682005666498E-5</v>
      </c>
      <c r="AN74" s="9" t="s">
        <v>2252</v>
      </c>
    </row>
    <row r="75" spans="13:40" ht="23">
      <c r="M75" s="9" t="s">
        <v>2760</v>
      </c>
      <c r="N75" s="8" t="s">
        <v>1614</v>
      </c>
      <c r="O75" s="8"/>
      <c r="P75" s="8" t="s">
        <v>3705</v>
      </c>
      <c r="Q75" s="8"/>
      <c r="R75" s="8"/>
      <c r="S75" s="8"/>
      <c r="T75" s="8"/>
      <c r="U75" s="8"/>
      <c r="V75" s="8"/>
      <c r="W75" s="9" t="s">
        <v>2760</v>
      </c>
      <c r="X75" s="8">
        <v>25.01</v>
      </c>
      <c r="Y75" s="8">
        <v>4.12</v>
      </c>
      <c r="Z75" s="9">
        <v>1.59</v>
      </c>
      <c r="AA75" s="8">
        <v>1.9</v>
      </c>
      <c r="AB75" s="8">
        <v>35233</v>
      </c>
      <c r="AC75" s="22" t="s">
        <v>2760</v>
      </c>
      <c r="AD75" s="8" t="s">
        <v>3689</v>
      </c>
      <c r="AE75" s="8" t="s">
        <v>5362</v>
      </c>
      <c r="AF75" s="9">
        <f t="shared" si="16"/>
        <v>7.8279999999999994</v>
      </c>
      <c r="AG75" s="9">
        <f t="shared" si="17"/>
        <v>3.7683333333333331</v>
      </c>
      <c r="AH75" s="9">
        <f t="shared" si="18"/>
        <v>4.9789964963587825E-3</v>
      </c>
      <c r="AI75" s="9">
        <f t="shared" si="19"/>
        <v>2.4790406110753033E-5</v>
      </c>
      <c r="AJ75" s="9">
        <f t="shared" si="20"/>
        <v>5.2364271613985214E-3</v>
      </c>
      <c r="AK75" s="9">
        <f t="shared" si="21"/>
        <v>2.7420169416632177E-5</v>
      </c>
      <c r="AL75" s="9">
        <f t="shared" si="22"/>
        <v>2.9804674557775668E-3</v>
      </c>
      <c r="AM75" s="9">
        <f t="shared" si="23"/>
        <v>8.8831862549492023E-6</v>
      </c>
      <c r="AN75" s="9" t="s">
        <v>2760</v>
      </c>
    </row>
    <row r="76" spans="13:40" ht="23">
      <c r="M76" s="9" t="s">
        <v>3648</v>
      </c>
      <c r="N76" s="8" t="s">
        <v>2100</v>
      </c>
      <c r="O76" s="8"/>
      <c r="P76" s="8"/>
      <c r="Q76" s="8"/>
      <c r="R76" s="8"/>
      <c r="S76" s="8"/>
      <c r="T76" s="8"/>
      <c r="U76" s="8"/>
      <c r="V76" s="8"/>
      <c r="W76" s="9" t="s">
        <v>3648</v>
      </c>
      <c r="X76" s="8">
        <v>14.61</v>
      </c>
      <c r="Y76" s="8">
        <v>2.95</v>
      </c>
      <c r="Z76" s="9">
        <v>1.02</v>
      </c>
      <c r="AA76" s="8">
        <v>1.9</v>
      </c>
      <c r="AB76" s="8">
        <v>59056</v>
      </c>
      <c r="AC76" s="22" t="s">
        <v>3648</v>
      </c>
      <c r="AD76" s="8" t="s">
        <v>3689</v>
      </c>
      <c r="AE76" s="8" t="s">
        <v>5362</v>
      </c>
      <c r="AF76" s="9">
        <f t="shared" si="16"/>
        <v>5.6050000000000004</v>
      </c>
      <c r="AG76" s="9">
        <f t="shared" si="17"/>
        <v>1.9633333333333334</v>
      </c>
      <c r="AH76" s="9">
        <f t="shared" si="18"/>
        <v>4.9789964963587825E-3</v>
      </c>
      <c r="AI76" s="9">
        <f t="shared" si="19"/>
        <v>2.4790406110753033E-5</v>
      </c>
      <c r="AJ76" s="9">
        <f t="shared" si="20"/>
        <v>3.74938352575865E-3</v>
      </c>
      <c r="AK76" s="9">
        <f t="shared" si="21"/>
        <v>1.4057876823230365E-5</v>
      </c>
      <c r="AL76" s="9">
        <f t="shared" si="22"/>
        <v>1.5528485904051188E-3</v>
      </c>
      <c r="AM76" s="9">
        <f t="shared" si="23"/>
        <v>2.4113387447231646E-6</v>
      </c>
      <c r="AN76" s="9" t="s">
        <v>3648</v>
      </c>
    </row>
    <row r="77" spans="13:40" ht="23">
      <c r="M77" s="8" t="s">
        <v>313</v>
      </c>
      <c r="N77" s="8" t="s">
        <v>150</v>
      </c>
      <c r="O77" s="8"/>
      <c r="P77" s="8"/>
      <c r="Q77" s="8"/>
      <c r="R77" s="8"/>
      <c r="S77" s="8"/>
      <c r="T77" s="8"/>
      <c r="U77" s="8"/>
      <c r="V77" s="8"/>
      <c r="W77" s="8" t="s">
        <v>313</v>
      </c>
      <c r="X77" s="8">
        <v>54.61</v>
      </c>
      <c r="Y77" s="8">
        <v>1.74</v>
      </c>
      <c r="Z77" s="9">
        <v>0.52</v>
      </c>
      <c r="AA77" s="8">
        <v>1.7</v>
      </c>
      <c r="AB77" s="8">
        <v>64157</v>
      </c>
      <c r="AC77" s="21" t="s">
        <v>313</v>
      </c>
      <c r="AD77" s="8" t="s">
        <v>3689</v>
      </c>
      <c r="AE77" s="8" t="s">
        <v>5362</v>
      </c>
      <c r="AF77" s="9">
        <f t="shared" si="16"/>
        <v>2.9579999999999997</v>
      </c>
      <c r="AG77" s="9">
        <f t="shared" si="17"/>
        <v>1.4733333333333334</v>
      </c>
      <c r="AH77" s="9">
        <f t="shared" si="18"/>
        <v>4.4548916020052268E-3</v>
      </c>
      <c r="AI77" s="9">
        <f t="shared" si="19"/>
        <v>1.9846059185616697E-5</v>
      </c>
      <c r="AJ77" s="9">
        <f t="shared" si="20"/>
        <v>1.9787112344681686E-3</v>
      </c>
      <c r="AK77" s="9">
        <f t="shared" si="21"/>
        <v>3.9152981494105437E-6</v>
      </c>
      <c r="AL77" s="9">
        <f t="shared" si="22"/>
        <v>1.1652955466198006E-3</v>
      </c>
      <c r="AM77" s="9">
        <f t="shared" si="23"/>
        <v>1.3579137109719399E-6</v>
      </c>
      <c r="AN77" s="8" t="s">
        <v>313</v>
      </c>
    </row>
    <row r="78" spans="13:40" ht="23">
      <c r="M78" s="8" t="s">
        <v>686</v>
      </c>
      <c r="N78" s="8" t="s">
        <v>150</v>
      </c>
      <c r="O78" s="8"/>
      <c r="P78" s="8"/>
      <c r="Q78" s="8"/>
      <c r="R78" s="8"/>
      <c r="S78" s="8"/>
      <c r="T78" s="8"/>
      <c r="U78" s="8"/>
      <c r="V78" s="8"/>
      <c r="W78" s="8" t="s">
        <v>686</v>
      </c>
      <c r="X78" s="8">
        <v>43.3</v>
      </c>
      <c r="Y78" s="8">
        <v>3.12</v>
      </c>
      <c r="Z78" s="9">
        <v>8.18</v>
      </c>
      <c r="AA78" s="8">
        <v>1.6</v>
      </c>
      <c r="AB78" s="8"/>
      <c r="AC78" s="21" t="s">
        <v>686</v>
      </c>
      <c r="AD78" s="8" t="s">
        <v>3689</v>
      </c>
      <c r="AE78" s="8" t="s">
        <v>5362</v>
      </c>
      <c r="AF78" s="9">
        <f t="shared" si="16"/>
        <v>4.9920000000000009</v>
      </c>
      <c r="AG78" s="9">
        <f t="shared" si="17"/>
        <v>13.280000000000001</v>
      </c>
      <c r="AH78" s="9">
        <f t="shared" si="18"/>
        <v>4.192839154828449E-3</v>
      </c>
      <c r="AI78" s="9">
        <f t="shared" si="19"/>
        <v>1.7579900178262543E-5</v>
      </c>
      <c r="AJ78" s="9">
        <f t="shared" si="20"/>
        <v>3.3393260589807644E-3</v>
      </c>
      <c r="AK78" s="9">
        <f t="shared" si="21"/>
        <v>1.1151098528188003E-5</v>
      </c>
      <c r="AL78" s="9">
        <f t="shared" si="22"/>
        <v>1.050347841116128E-2</v>
      </c>
      <c r="AM78" s="9">
        <f t="shared" si="23"/>
        <v>1.103230587337311E-4</v>
      </c>
      <c r="AN78" s="8" t="s">
        <v>686</v>
      </c>
    </row>
    <row r="79" spans="13:40" ht="23">
      <c r="M79" s="8" t="s">
        <v>494</v>
      </c>
      <c r="N79" s="8" t="s">
        <v>150</v>
      </c>
      <c r="O79" s="8"/>
      <c r="P79" s="8" t="s">
        <v>3691</v>
      </c>
      <c r="Q79" s="8"/>
      <c r="R79" s="8"/>
      <c r="S79" s="8"/>
      <c r="T79" s="8"/>
      <c r="U79" s="8"/>
      <c r="V79" s="8"/>
      <c r="W79" s="8" t="s">
        <v>494</v>
      </c>
      <c r="X79" s="8">
        <v>53.6</v>
      </c>
      <c r="Y79" s="8">
        <v>2.98</v>
      </c>
      <c r="Z79" s="9">
        <v>5.41</v>
      </c>
      <c r="AA79" s="8">
        <v>1.6</v>
      </c>
      <c r="AB79" s="8">
        <v>58729</v>
      </c>
      <c r="AC79" s="21" t="s">
        <v>494</v>
      </c>
      <c r="AD79" s="8" t="s">
        <v>3689</v>
      </c>
      <c r="AE79" s="8" t="s">
        <v>5362</v>
      </c>
      <c r="AF79" s="9">
        <f t="shared" si="16"/>
        <v>4.7679999999999998</v>
      </c>
      <c r="AG79" s="9">
        <f t="shared" si="17"/>
        <v>9.0933333333333337</v>
      </c>
      <c r="AH79" s="9">
        <f t="shared" si="18"/>
        <v>4.192839154828449E-3</v>
      </c>
      <c r="AI79" s="9">
        <f t="shared" si="19"/>
        <v>1.7579900178262543E-5</v>
      </c>
      <c r="AJ79" s="9">
        <f t="shared" si="20"/>
        <v>3.1894845050521397E-3</v>
      </c>
      <c r="AK79" s="9">
        <f t="shared" si="21"/>
        <v>1.0172811407967692E-5</v>
      </c>
      <c r="AL79" s="9">
        <f t="shared" si="22"/>
        <v>7.192140839771077E-3</v>
      </c>
      <c r="AM79" s="9">
        <f t="shared" si="23"/>
        <v>5.1726889859103015E-5</v>
      </c>
      <c r="AN79" s="8" t="s">
        <v>494</v>
      </c>
    </row>
    <row r="80" spans="13:40" ht="23">
      <c r="M80" s="8" t="s">
        <v>14</v>
      </c>
      <c r="N80" s="8" t="s">
        <v>13</v>
      </c>
      <c r="O80" s="8"/>
      <c r="P80" s="8"/>
      <c r="Q80" s="8"/>
      <c r="R80" s="8"/>
      <c r="S80" s="8"/>
      <c r="T80" s="8"/>
      <c r="U80" s="8"/>
      <c r="V80" s="8"/>
      <c r="W80" s="8" t="s">
        <v>14</v>
      </c>
      <c r="X80" s="8">
        <v>69.599999999999994</v>
      </c>
      <c r="Y80" s="8">
        <v>3.4</v>
      </c>
      <c r="Z80" s="9">
        <v>3.32</v>
      </c>
      <c r="AA80" s="8">
        <v>1.4</v>
      </c>
      <c r="AB80" s="8">
        <v>58454</v>
      </c>
      <c r="AC80" s="21" t="s">
        <v>14</v>
      </c>
      <c r="AD80" s="8" t="s">
        <v>3689</v>
      </c>
      <c r="AE80" s="8" t="s">
        <v>5362</v>
      </c>
      <c r="AF80" s="9">
        <f t="shared" si="16"/>
        <v>4.76</v>
      </c>
      <c r="AG80" s="9">
        <f t="shared" si="17"/>
        <v>4.9466666666666663</v>
      </c>
      <c r="AH80" s="9">
        <f t="shared" si="18"/>
        <v>3.6687342604748924E-3</v>
      </c>
      <c r="AI80" s="9">
        <f t="shared" si="19"/>
        <v>1.3459611073982256E-5</v>
      </c>
      <c r="AJ80" s="9">
        <f t="shared" si="20"/>
        <v>3.1841330209832603E-3</v>
      </c>
      <c r="AK80" s="9">
        <f t="shared" si="21"/>
        <v>1.0138703095315984E-5</v>
      </c>
      <c r="AL80" s="9">
        <f t="shared" si="22"/>
        <v>3.9124402515470225E-3</v>
      </c>
      <c r="AM80" s="9">
        <f t="shared" si="23"/>
        <v>1.5307188721925329E-5</v>
      </c>
      <c r="AN80" s="8" t="s">
        <v>14</v>
      </c>
    </row>
    <row r="81" spans="13:40" ht="25" customHeight="1">
      <c r="M81" s="8" t="s">
        <v>1713</v>
      </c>
      <c r="N81" s="8" t="s">
        <v>1614</v>
      </c>
      <c r="O81" s="8"/>
      <c r="P81" s="8"/>
      <c r="Q81" s="8"/>
      <c r="R81" s="8"/>
      <c r="S81" s="8"/>
      <c r="T81" s="8"/>
      <c r="U81" s="8"/>
      <c r="V81" s="8"/>
      <c r="W81" s="8" t="s">
        <v>1713</v>
      </c>
      <c r="X81" s="8">
        <v>10.87</v>
      </c>
      <c r="Y81" s="8">
        <v>6.91</v>
      </c>
      <c r="Z81" s="9">
        <v>4.46</v>
      </c>
      <c r="AA81" s="8">
        <v>1.3</v>
      </c>
      <c r="AB81" s="8">
        <v>38568</v>
      </c>
      <c r="AC81" s="21" t="s">
        <v>1713</v>
      </c>
      <c r="AD81" s="8" t="s">
        <v>3689</v>
      </c>
      <c r="AE81" s="8" t="s">
        <v>5362</v>
      </c>
      <c r="AF81" s="9">
        <f t="shared" si="16"/>
        <v>8.9830000000000005</v>
      </c>
      <c r="AG81" s="9">
        <f t="shared" si="17"/>
        <v>6.1966666666666672</v>
      </c>
      <c r="AH81" s="9">
        <f t="shared" si="18"/>
        <v>3.4066818132981146E-3</v>
      </c>
      <c r="AI81" s="9">
        <f t="shared" si="19"/>
        <v>1.160548097705613E-5</v>
      </c>
      <c r="AJ81" s="9">
        <f t="shared" si="20"/>
        <v>6.0090476738429892E-3</v>
      </c>
      <c r="AK81" s="9">
        <f t="shared" si="21"/>
        <v>3.6108653946517841E-5</v>
      </c>
      <c r="AL81" s="9">
        <f t="shared" si="22"/>
        <v>4.9010959754891619E-3</v>
      </c>
      <c r="AM81" s="9">
        <f t="shared" si="23"/>
        <v>2.4020741760956061E-5</v>
      </c>
      <c r="AN81" s="8" t="s">
        <v>1713</v>
      </c>
    </row>
    <row r="82" spans="13:40" ht="23">
      <c r="M82" s="8" t="s">
        <v>72</v>
      </c>
      <c r="N82" s="8" t="s">
        <v>23</v>
      </c>
      <c r="O82" s="8"/>
      <c r="P82" s="8"/>
      <c r="Q82" s="8"/>
      <c r="R82" s="8"/>
      <c r="S82" s="8"/>
      <c r="T82" s="8"/>
      <c r="U82" s="8"/>
      <c r="V82" s="8"/>
      <c r="W82" s="8" t="s">
        <v>72</v>
      </c>
      <c r="X82" s="8">
        <v>26.52</v>
      </c>
      <c r="Y82" s="8">
        <v>4.24</v>
      </c>
      <c r="Z82" s="9">
        <v>6.34</v>
      </c>
      <c r="AA82" s="8">
        <v>1.1000000000000001</v>
      </c>
      <c r="AB82" s="8"/>
      <c r="AC82" s="21" t="s">
        <v>72</v>
      </c>
      <c r="AD82" s="8" t="s">
        <v>3689</v>
      </c>
      <c r="AE82" s="8" t="s">
        <v>5362</v>
      </c>
      <c r="AF82" s="9">
        <f t="shared" si="16"/>
        <v>4.6640000000000006</v>
      </c>
      <c r="AG82" s="9">
        <f t="shared" si="17"/>
        <v>7.2233333333333336</v>
      </c>
      <c r="AH82" s="9">
        <f t="shared" si="18"/>
        <v>2.8825769189445584E-3</v>
      </c>
      <c r="AI82" s="9">
        <f t="shared" si="19"/>
        <v>8.3092496936319033E-6</v>
      </c>
      <c r="AJ82" s="9">
        <f t="shared" si="20"/>
        <v>3.1199152121567076E-3</v>
      </c>
      <c r="AK82" s="9">
        <f t="shared" si="21"/>
        <v>9.7338709310468331E-6</v>
      </c>
      <c r="AL82" s="9">
        <f t="shared" si="22"/>
        <v>5.7131118767536383E-3</v>
      </c>
      <c r="AM82" s="9">
        <f t="shared" si="23"/>
        <v>3.2639647316303482E-5</v>
      </c>
      <c r="AN82" s="8" t="s">
        <v>72</v>
      </c>
    </row>
    <row r="83" spans="13:40" ht="18"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9"/>
      <c r="AA83" s="48">
        <f>SUBTOTAL(109,Table13674[ترافیک کل])</f>
        <v>38160.299999999988</v>
      </c>
      <c r="AB83" s="48"/>
      <c r="AC83" s="53"/>
      <c r="AD83" s="48"/>
      <c r="AE83" s="48"/>
      <c r="AF83" s="49">
        <f>SUBTOTAL(109,Table13674[[مجموع صفحات  مشاهده شده   ]])</f>
        <v>149491.24200000011</v>
      </c>
      <c r="AG83" s="49">
        <f>SUBTOTAL(109,Table13674[[مجموع زمان حضور در سایت ]])</f>
        <v>126434.30566666671</v>
      </c>
      <c r="AH83" s="49">
        <f>SUBTOTAL(109,Table13674[سهم سایت از کل ترافیک طبقه بندی])</f>
        <v>100.00000000000004</v>
      </c>
      <c r="AI83" s="49">
        <f>SUBTOTAL(109,Table13674[شاخص هرفیندال هیرشمن (ترافیک)])</f>
        <v>719.57947060023116</v>
      </c>
      <c r="AJ83" s="49">
        <f>SUBTOTAL(109,Table13674[سهم سایت از کل صفحات مشاهده شده در طبقه بندی])</f>
        <v>99.999999999999929</v>
      </c>
      <c r="AK83" s="49">
        <f>SUBTOTAL(109,Table13674[شاخص هرفیندال -هیرشمن (صفحات مشاهده شده )])</f>
        <v>762.90170291357765</v>
      </c>
      <c r="AL83" s="49">
        <f>SUBTOTAL(109,Table13674[سهم سایت از کل زمان حضور در طبقه بندی])</f>
        <v>99.999999999999915</v>
      </c>
      <c r="AM83" s="49">
        <f>SUBTOTAL(109,Table13674[شاخص هرفیندال هیرشمن (زمان حضور)])</f>
        <v>837.31996409985925</v>
      </c>
      <c r="AN83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{97F96577-E666-4A17-B0FE-2B8BEA21C28C}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{9E37B42F-0996-457A-AC45-037B3E21AA3A}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{FEA9671E-F13A-4217-97C2-FDDEE62C957F}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{50FB7552-01A8-4E49-BC07-EF1F412BE54D}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{1976882B-8FE8-46EF-9DD3-C6A3A646E072}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{FA600D45-EBE4-4FB7-9327-96A27D2DB8F0}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7F96577-E666-4A17-B0FE-2B8BEA21C28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E37B42F-0996-457A-AC45-037B3E21AA3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EA9671E-F13A-4217-97C2-FDDEE62C957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0FB7552-01A8-4E49-BC07-EF1F412BE5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976882B-8FE8-46EF-9DD3-C6A3A646E07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FA600D45-EBE4-4FB7-9327-96A27D2DB8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8"/>
  <sheetViews>
    <sheetView showGridLines="0" rightToLeft="1" topLeftCell="Z1" zoomScale="70" zoomScaleNormal="70" workbookViewId="0">
      <selection activeCell="AD2" sqref="AD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2.83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470</v>
      </c>
      <c r="N2" s="8" t="s">
        <v>150</v>
      </c>
      <c r="O2" s="8"/>
      <c r="P2" s="8" t="s">
        <v>4073</v>
      </c>
      <c r="Q2" s="8"/>
      <c r="R2" s="8"/>
      <c r="S2" s="8"/>
      <c r="T2" s="8"/>
      <c r="U2" s="8"/>
      <c r="V2" s="8"/>
      <c r="W2" s="8" t="s">
        <v>470</v>
      </c>
      <c r="X2" s="8">
        <v>53.14</v>
      </c>
      <c r="Y2" s="8">
        <v>2.16</v>
      </c>
      <c r="Z2" s="9">
        <v>2.52</v>
      </c>
      <c r="AA2" s="8">
        <v>19786.3</v>
      </c>
      <c r="AB2" s="8">
        <v>98</v>
      </c>
      <c r="AC2" s="21" t="s">
        <v>470</v>
      </c>
      <c r="AD2" s="8" t="s">
        <v>4107</v>
      </c>
      <c r="AE2" s="8" t="s">
        <v>5362</v>
      </c>
      <c r="AF2" s="9">
        <f t="shared" ref="AF2:AF7" si="0">(AA2*Y2)</f>
        <v>42738.408000000003</v>
      </c>
      <c r="AG2" s="9">
        <f t="shared" ref="AG2:AG7" si="1">((((RIGHT(Z2,2))/60)+(LEFT(Z2,2)))*AA2)</f>
        <v>56720.726666666662</v>
      </c>
      <c r="AH2" s="9">
        <f t="shared" ref="AH2:AH7" si="2">(AA2/$AA$8)*100</f>
        <v>49.308087390568659</v>
      </c>
      <c r="AI2" s="9">
        <f t="shared" ref="AI2:AI7" si="3">(AH2*AH2)</f>
        <v>2431.2874821159558</v>
      </c>
      <c r="AJ2" s="9">
        <f t="shared" ref="AJ2:AJ7" si="4">(AF2/$AF$8)*100</f>
        <v>42.351404256020821</v>
      </c>
      <c r="AK2" s="9">
        <f t="shared" ref="AK2:AK7" si="5">(AJ2*AJ2)</f>
        <v>1793.6414424568984</v>
      </c>
      <c r="AL2" s="9">
        <f t="shared" ref="AL2:AL7" si="6">(AG2/$AG$8)*100</f>
        <v>48.752036483796388</v>
      </c>
      <c r="AM2" s="9">
        <f t="shared" ref="AM2:AM7" si="7">(AL2*AL2)</f>
        <v>2376.7610613174143</v>
      </c>
      <c r="AN2" s="8" t="s">
        <v>470</v>
      </c>
    </row>
    <row r="3" spans="8:40" ht="23">
      <c r="M3" s="8" t="s">
        <v>489</v>
      </c>
      <c r="N3" s="8" t="s">
        <v>150</v>
      </c>
      <c r="O3" s="8"/>
      <c r="P3" s="8" t="s">
        <v>3693</v>
      </c>
      <c r="Q3" s="8"/>
      <c r="R3" s="8"/>
      <c r="S3" s="8"/>
      <c r="T3" s="8"/>
      <c r="U3" s="8"/>
      <c r="V3" s="8"/>
      <c r="W3" s="8" t="s">
        <v>489</v>
      </c>
      <c r="X3" s="8">
        <v>57.36</v>
      </c>
      <c r="Y3" s="8">
        <v>2.82</v>
      </c>
      <c r="Z3" s="9">
        <v>2.4700000000000002</v>
      </c>
      <c r="AA3" s="8">
        <v>12750.1</v>
      </c>
      <c r="AB3" s="8">
        <v>79</v>
      </c>
      <c r="AC3" s="21" t="s">
        <v>489</v>
      </c>
      <c r="AD3" s="8" t="s">
        <v>4107</v>
      </c>
      <c r="AE3" s="8" t="s">
        <v>5362</v>
      </c>
      <c r="AF3" s="9">
        <f t="shared" si="0"/>
        <v>35955.281999999999</v>
      </c>
      <c r="AG3" s="9">
        <f t="shared" si="1"/>
        <v>35487.778333333335</v>
      </c>
      <c r="AH3" s="9">
        <f t="shared" si="2"/>
        <v>31.773653742159446</v>
      </c>
      <c r="AI3" s="9">
        <f t="shared" si="3"/>
        <v>1009.565072126643</v>
      </c>
      <c r="AJ3" s="9">
        <f t="shared" si="4"/>
        <v>35.629700645874046</v>
      </c>
      <c r="AK3" s="9">
        <f t="shared" si="5"/>
        <v>1269.4755681145973</v>
      </c>
      <c r="AL3" s="9">
        <f t="shared" si="6"/>
        <v>30.502103299961469</v>
      </c>
      <c r="AM3" s="9">
        <f t="shared" si="7"/>
        <v>930.37830572152029</v>
      </c>
      <c r="AN3" s="8" t="s">
        <v>489</v>
      </c>
    </row>
    <row r="4" spans="8:40" ht="23">
      <c r="M4" s="8" t="s">
        <v>823</v>
      </c>
      <c r="N4" s="8" t="s">
        <v>150</v>
      </c>
      <c r="O4" s="8"/>
      <c r="P4" s="8" t="s">
        <v>4073</v>
      </c>
      <c r="Q4" s="8"/>
      <c r="R4" s="8"/>
      <c r="S4" s="8"/>
      <c r="T4" s="8"/>
      <c r="U4" s="8"/>
      <c r="V4" s="8"/>
      <c r="W4" s="8" t="s">
        <v>823</v>
      </c>
      <c r="X4" s="8">
        <v>66.72</v>
      </c>
      <c r="Y4" s="8">
        <v>2.79</v>
      </c>
      <c r="Z4" s="9">
        <v>3.23</v>
      </c>
      <c r="AA4" s="8">
        <v>7018.6</v>
      </c>
      <c r="AB4" s="8">
        <v>295</v>
      </c>
      <c r="AC4" s="21" t="s">
        <v>823</v>
      </c>
      <c r="AD4" s="8" t="s">
        <v>4107</v>
      </c>
      <c r="AE4" s="8" t="s">
        <v>5362</v>
      </c>
      <c r="AF4" s="9">
        <f t="shared" si="0"/>
        <v>19581.894</v>
      </c>
      <c r="AG4" s="9">
        <f t="shared" si="1"/>
        <v>23746.263333333336</v>
      </c>
      <c r="AH4" s="9">
        <f t="shared" si="2"/>
        <v>17.49057388998677</v>
      </c>
      <c r="AI4" s="9">
        <f t="shared" si="3"/>
        <v>305.92017500108693</v>
      </c>
      <c r="AJ4" s="9">
        <f t="shared" si="4"/>
        <v>19.404576532016552</v>
      </c>
      <c r="AK4" s="9">
        <f t="shared" si="5"/>
        <v>376.53759038688753</v>
      </c>
      <c r="AL4" s="9">
        <f t="shared" si="6"/>
        <v>20.410152768032887</v>
      </c>
      <c r="AM4" s="9">
        <f t="shared" si="7"/>
        <v>416.57433601444052</v>
      </c>
      <c r="AN4" s="8" t="s">
        <v>823</v>
      </c>
    </row>
    <row r="5" spans="8:40" ht="23">
      <c r="M5" s="24" t="s">
        <v>5216</v>
      </c>
      <c r="N5" s="8" t="s">
        <v>150</v>
      </c>
      <c r="O5" s="24"/>
      <c r="P5" s="24" t="s">
        <v>3693</v>
      </c>
      <c r="Q5" s="24"/>
      <c r="R5" s="24"/>
      <c r="S5" s="24"/>
      <c r="T5" s="24"/>
      <c r="U5" s="24"/>
      <c r="V5" s="24"/>
      <c r="W5" s="24" t="s">
        <v>5216</v>
      </c>
      <c r="X5" s="24">
        <v>44.17</v>
      </c>
      <c r="Y5" s="24">
        <v>1.48</v>
      </c>
      <c r="Z5" s="25">
        <v>0.28000000000000003</v>
      </c>
      <c r="AA5" s="24">
        <v>401.9</v>
      </c>
      <c r="AB5" s="24">
        <v>3353</v>
      </c>
      <c r="AC5" s="21" t="s">
        <v>5216</v>
      </c>
      <c r="AD5" s="8" t="s">
        <v>4107</v>
      </c>
      <c r="AE5" s="8" t="s">
        <v>5362</v>
      </c>
      <c r="AF5" s="25">
        <f t="shared" si="0"/>
        <v>594.81200000000001</v>
      </c>
      <c r="AG5" s="25">
        <f t="shared" si="1"/>
        <v>187.55333333333331</v>
      </c>
      <c r="AH5" s="9">
        <f t="shared" si="2"/>
        <v>1.001547551703428</v>
      </c>
      <c r="AI5" s="25">
        <f t="shared" si="3"/>
        <v>1.0030974983231309</v>
      </c>
      <c r="AJ5" s="9">
        <f t="shared" si="4"/>
        <v>0.5894258735218274</v>
      </c>
      <c r="AK5" s="25">
        <f t="shared" si="5"/>
        <v>0.34742286037696929</v>
      </c>
      <c r="AL5" s="9">
        <f t="shared" si="6"/>
        <v>0.16120398109599252</v>
      </c>
      <c r="AM5" s="25">
        <f t="shared" si="7"/>
        <v>2.5986723521197113E-2</v>
      </c>
      <c r="AN5" s="24" t="s">
        <v>5216</v>
      </c>
    </row>
    <row r="6" spans="8:40" ht="23">
      <c r="M6" s="24" t="s">
        <v>5217</v>
      </c>
      <c r="N6" s="8" t="s">
        <v>150</v>
      </c>
      <c r="O6" s="24"/>
      <c r="P6" s="24"/>
      <c r="Q6" s="24"/>
      <c r="R6" s="24"/>
      <c r="S6" s="24"/>
      <c r="T6" s="24"/>
      <c r="U6" s="24"/>
      <c r="V6" s="24"/>
      <c r="W6" s="24" t="s">
        <v>5217</v>
      </c>
      <c r="X6" s="24">
        <v>1.1000000000000001</v>
      </c>
      <c r="Y6" s="24">
        <v>17.21</v>
      </c>
      <c r="Z6" s="25">
        <v>1.18</v>
      </c>
      <c r="AA6" s="24">
        <v>88.4</v>
      </c>
      <c r="AB6" s="24">
        <v>7320</v>
      </c>
      <c r="AC6" s="21" t="s">
        <v>5217</v>
      </c>
      <c r="AD6" s="8" t="s">
        <v>4107</v>
      </c>
      <c r="AE6" s="8" t="s">
        <v>5362</v>
      </c>
      <c r="AF6" s="25">
        <f t="shared" si="0"/>
        <v>1521.3640000000003</v>
      </c>
      <c r="AG6" s="25">
        <f t="shared" si="1"/>
        <v>114.92000000000002</v>
      </c>
      <c r="AH6" s="9">
        <f t="shared" si="2"/>
        <v>0.22029560480364035</v>
      </c>
      <c r="AI6" s="25">
        <f t="shared" si="3"/>
        <v>4.8530153495801691E-2</v>
      </c>
      <c r="AJ6" s="9">
        <f t="shared" si="4"/>
        <v>1.5075877834419305</v>
      </c>
      <c r="AK6" s="25">
        <f t="shared" si="5"/>
        <v>2.2728209247833528</v>
      </c>
      <c r="AL6" s="9">
        <f t="shared" si="6"/>
        <v>9.8774898735745201E-2</v>
      </c>
      <c r="AM6" s="25">
        <f t="shared" si="7"/>
        <v>9.7564806202567189E-3</v>
      </c>
      <c r="AN6" s="24" t="s">
        <v>5217</v>
      </c>
    </row>
    <row r="7" spans="8:40" ht="23">
      <c r="M7" s="24" t="s">
        <v>5218</v>
      </c>
      <c r="N7" s="24"/>
      <c r="O7" s="24"/>
      <c r="P7" s="24"/>
      <c r="Q7" s="24"/>
      <c r="R7" s="24"/>
      <c r="S7" s="24"/>
      <c r="T7" s="24"/>
      <c r="U7" s="24"/>
      <c r="V7" s="24"/>
      <c r="W7" s="24" t="s">
        <v>5218</v>
      </c>
      <c r="X7" s="24">
        <v>10.26</v>
      </c>
      <c r="Y7" s="24">
        <v>6.32</v>
      </c>
      <c r="Z7" s="25">
        <v>1.04</v>
      </c>
      <c r="AA7" s="24">
        <v>82.6</v>
      </c>
      <c r="AB7" s="24">
        <v>36869</v>
      </c>
      <c r="AC7" s="21" t="s">
        <v>5218</v>
      </c>
      <c r="AD7" s="8" t="s">
        <v>4107</v>
      </c>
      <c r="AE7" s="8" t="s">
        <v>5362</v>
      </c>
      <c r="AF7" s="25">
        <f t="shared" si="0"/>
        <v>522.03200000000004</v>
      </c>
      <c r="AG7" s="25">
        <f t="shared" si="1"/>
        <v>88.106666666666655</v>
      </c>
      <c r="AH7" s="9">
        <f t="shared" si="2"/>
        <v>0.2058418207780621</v>
      </c>
      <c r="AI7" s="25">
        <f t="shared" si="3"/>
        <v>4.2370855181227837E-2</v>
      </c>
      <c r="AJ7" s="9">
        <f t="shared" si="4"/>
        <v>0.5173049091248102</v>
      </c>
      <c r="AK7" s="25">
        <f t="shared" si="5"/>
        <v>0.26760436900462814</v>
      </c>
      <c r="AL7" s="9">
        <f t="shared" si="6"/>
        <v>7.5728568377515265E-2</v>
      </c>
      <c r="AM7" s="25">
        <f t="shared" si="7"/>
        <v>5.734816068508005E-3</v>
      </c>
      <c r="AN7" s="24" t="s">
        <v>5218</v>
      </c>
    </row>
    <row r="8" spans="8:40" ht="18"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9"/>
      <c r="AA8" s="48">
        <f>SUBTOTAL(109,Table1369111213[ترافیک کل])</f>
        <v>40127.9</v>
      </c>
      <c r="AB8" s="48"/>
      <c r="AC8" s="48"/>
      <c r="AD8" s="48"/>
      <c r="AE8" s="48"/>
      <c r="AF8" s="49">
        <f>SUBTOTAL(109,Table1369111213[[مجموع صفحات  مشاهده شده   ]])</f>
        <v>100913.79200000002</v>
      </c>
      <c r="AG8" s="49">
        <f>SUBTOTAL(109,Table1369111213[[مجموع زمان حضور در سایت ]])</f>
        <v>116345.34833333334</v>
      </c>
      <c r="AH8" s="49">
        <f>SUBTOTAL(109,Table1369111213[سهم سایت از کل ترافیک طبقه بندی])</f>
        <v>99.999999999999986</v>
      </c>
      <c r="AI8" s="49">
        <f>SUBTOTAL(109,Table1369111213[شاخص هرفیندال هیرشمن (ترافیک)])</f>
        <v>3747.8667277506861</v>
      </c>
      <c r="AJ8" s="49">
        <f>SUBTOTAL(109,Table1369111213[سهم سایت از کل صفحات مشاهده شده در طبقه بندی])</f>
        <v>99.999999999999986</v>
      </c>
      <c r="AK8" s="49">
        <f>SUBTOTAL(109,Table1369111213[شاخص هرفیندال -هیرشمن (صفحات مشاهده شده )])</f>
        <v>3442.5424491125477</v>
      </c>
      <c r="AL8" s="49">
        <f>SUBTOTAL(109,Table1369111213[سهم سایت از کل زمان حضور در طبقه بندی])</f>
        <v>100</v>
      </c>
      <c r="AM8" s="49">
        <f>SUBTOTAL(109,Table1369111213[شاخص هرفیندال هیرشمن (زمان حضور)])</f>
        <v>3723.7551810735849</v>
      </c>
      <c r="AN8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{D02DF0E0-5BED-4F82-8BBC-EC6CDA5E8AD2}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{D687FE1F-DB3D-45A3-A619-E1D709FD0BCB}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{D8F1DE7E-71A8-4FDC-BC96-7666C7BF62EC}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{49158497-40A4-4D11-8E20-8831730F6442}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{B5F00475-3CBC-4316-A1FC-169C832F0FD1}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{EF65B905-99E2-4BD5-8C9B-715AD27F724D}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2DF0E0-5BED-4F82-8BBC-EC6CDA5E8AD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D687FE1F-DB3D-45A3-A619-E1D709FD0BC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8F1DE7E-71A8-4FDC-BC96-7666C7BF62E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49158497-40A4-4D11-8E20-8831730F644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5F00475-3CBC-4316-A1FC-169C832F0F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EF65B905-99E2-4BD5-8C9B-715AD27F72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7"/>
  <sheetViews>
    <sheetView showGridLines="0" rightToLeft="1" topLeftCell="Z1" zoomScale="70" zoomScaleNormal="70" workbookViewId="0">
      <selection activeCell="Z2" sqref="Z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5.1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522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522</v>
      </c>
      <c r="X2" s="8">
        <v>37.71</v>
      </c>
      <c r="Y2" s="8">
        <v>6.24</v>
      </c>
      <c r="Z2" s="9">
        <v>3.32</v>
      </c>
      <c r="AA2" s="8">
        <v>479</v>
      </c>
      <c r="AB2" s="8">
        <v>765</v>
      </c>
      <c r="AC2" s="21" t="s">
        <v>522</v>
      </c>
      <c r="AD2" s="8" t="s">
        <v>4038</v>
      </c>
      <c r="AE2" s="8" t="s">
        <v>5362</v>
      </c>
      <c r="AF2" s="9">
        <f>(AA2*Y2)</f>
        <v>2988.96</v>
      </c>
      <c r="AG2" s="9">
        <f>((((RIGHT(Z2,2))/60)+(LEFT(Z2,2)))*AA2)</f>
        <v>1692.4666666666667</v>
      </c>
      <c r="AH2" s="9">
        <f>(AA2/$AA$7)*100</f>
        <v>49.315350561103685</v>
      </c>
      <c r="AI2" s="9">
        <f>(AH2*AH2)</f>
        <v>2432.0038009645496</v>
      </c>
      <c r="AJ2" s="9">
        <f>(AF2/$AF$7)*100</f>
        <v>59.666299428221912</v>
      </c>
      <c r="AK2" s="9">
        <f>(AJ2*AJ2)</f>
        <v>3560.0672874582342</v>
      </c>
      <c r="AL2" s="9">
        <f>(AG2/$AG$7)*100</f>
        <v>58.222590695439678</v>
      </c>
      <c r="AM2" s="9">
        <f>(AL2*AL2)</f>
        <v>3389.8700672886989</v>
      </c>
      <c r="AN2" s="8" t="s">
        <v>522</v>
      </c>
    </row>
    <row r="3" spans="8:40" ht="23">
      <c r="M3" s="8" t="s">
        <v>4411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4411</v>
      </c>
      <c r="X3" s="8">
        <v>12.91</v>
      </c>
      <c r="Y3" s="8">
        <v>4.37</v>
      </c>
      <c r="Z3" s="9">
        <v>2.34</v>
      </c>
      <c r="AA3" s="8">
        <v>281.3</v>
      </c>
      <c r="AB3" s="8">
        <v>4656</v>
      </c>
      <c r="AC3" s="21" t="s">
        <v>4411</v>
      </c>
      <c r="AD3" s="8" t="s">
        <v>4038</v>
      </c>
      <c r="AE3" s="8" t="s">
        <v>5362</v>
      </c>
      <c r="AF3" s="9">
        <f>(AA3*Y3)</f>
        <v>1229.2810000000002</v>
      </c>
      <c r="AG3" s="9">
        <f>((((RIGHT(Z3,2))/60)+(LEFT(Z3,2)))*AA3)</f>
        <v>722.00333333333333</v>
      </c>
      <c r="AH3" s="9">
        <f>(AA3/$AA$7)*100</f>
        <v>28.961186039328741</v>
      </c>
      <c r="AI3" s="9">
        <f>(AH3*AH3)</f>
        <v>838.75029680461</v>
      </c>
      <c r="AJ3" s="9">
        <f>(AF3/$AF$7)*100</f>
        <v>24.539186950452358</v>
      </c>
      <c r="AK3" s="9">
        <f>(AJ3*AJ3)</f>
        <v>602.17169618925129</v>
      </c>
      <c r="AL3" s="9">
        <f>(AG3/$AG$7)*100</f>
        <v>24.8376558223164</v>
      </c>
      <c r="AM3" s="9">
        <f>(AL3*AL3)</f>
        <v>616.90914674784779</v>
      </c>
      <c r="AN3" s="8" t="s">
        <v>4411</v>
      </c>
    </row>
    <row r="4" spans="8:40" ht="23">
      <c r="M4" s="8" t="s">
        <v>4412</v>
      </c>
      <c r="N4" s="8"/>
      <c r="O4" s="8"/>
      <c r="P4" s="8"/>
      <c r="Q4" s="8"/>
      <c r="R4" s="8"/>
      <c r="S4" s="8"/>
      <c r="T4" s="8"/>
      <c r="U4" s="8"/>
      <c r="V4" s="8"/>
      <c r="W4" s="8" t="s">
        <v>4412</v>
      </c>
      <c r="X4" s="8">
        <v>0.17</v>
      </c>
      <c r="Y4" s="8">
        <v>3.76</v>
      </c>
      <c r="Z4" s="9">
        <v>1.27</v>
      </c>
      <c r="AA4" s="8">
        <v>139.9</v>
      </c>
      <c r="AB4" s="8">
        <v>33661</v>
      </c>
      <c r="AC4" s="21" t="s">
        <v>4412</v>
      </c>
      <c r="AD4" s="8" t="s">
        <v>4038</v>
      </c>
      <c r="AE4" s="8" t="s">
        <v>5362</v>
      </c>
      <c r="AF4" s="9">
        <f>(AA4*Y4)</f>
        <v>526.024</v>
      </c>
      <c r="AG4" s="9">
        <f>((((RIGHT(Z4,2))/60)+(LEFT(Z4,2)))*AA4)</f>
        <v>202.85499999999999</v>
      </c>
      <c r="AH4" s="9">
        <f>(AA4/$AA$7)*100</f>
        <v>14.403376917533206</v>
      </c>
      <c r="AI4" s="9">
        <f>(AH4*AH4)</f>
        <v>207.45726662852837</v>
      </c>
      <c r="AJ4" s="9">
        <f>(AF4/$AF$7)*100</f>
        <v>10.50061074434954</v>
      </c>
      <c r="AK4" s="9">
        <f>(AJ4*AJ4)</f>
        <v>110.26282600434901</v>
      </c>
      <c r="AL4" s="9">
        <f>(AG4/$AG$7)*100</f>
        <v>6.9784202360598426</v>
      </c>
      <c r="AM4" s="9">
        <f>(AL4*AL4)</f>
        <v>48.698348991049507</v>
      </c>
      <c r="AN4" s="8" t="s">
        <v>4412</v>
      </c>
    </row>
    <row r="5" spans="8:40" ht="23">
      <c r="M5" s="9" t="s">
        <v>3675</v>
      </c>
      <c r="N5" s="8" t="s">
        <v>150</v>
      </c>
      <c r="O5" s="8"/>
      <c r="P5" s="8" t="s">
        <v>3693</v>
      </c>
      <c r="Q5" s="8"/>
      <c r="R5" s="8"/>
      <c r="S5" s="8"/>
      <c r="T5" s="8"/>
      <c r="U5" s="8"/>
      <c r="V5" s="8"/>
      <c r="W5" s="9" t="s">
        <v>3675</v>
      </c>
      <c r="X5" s="8">
        <v>53.34</v>
      </c>
      <c r="Y5" s="8">
        <v>1.45</v>
      </c>
      <c r="Z5" s="9">
        <v>0.48</v>
      </c>
      <c r="AA5" s="8">
        <v>53.8</v>
      </c>
      <c r="AB5" s="8">
        <v>11663</v>
      </c>
      <c r="AC5" s="22" t="s">
        <v>3675</v>
      </c>
      <c r="AD5" s="8" t="s">
        <v>4038</v>
      </c>
      <c r="AE5" s="8" t="s">
        <v>5362</v>
      </c>
      <c r="AF5" s="9">
        <f>(AA5*Y5)</f>
        <v>78.009999999999991</v>
      </c>
      <c r="AG5" s="9">
        <f>((((RIGHT(Z5,2))/60)+(LEFT(Z5,2)))*AA5)</f>
        <v>43.04</v>
      </c>
      <c r="AH5" s="9">
        <f>(AA5/$AA$7)*100</f>
        <v>5.5389683928755282</v>
      </c>
      <c r="AI5" s="9">
        <f>(AH5*AH5)</f>
        <v>30.680170857274113</v>
      </c>
      <c r="AJ5" s="9">
        <f>(AF5/$AF$7)*100</f>
        <v>1.5572533651824016</v>
      </c>
      <c r="AK5" s="9">
        <f>(AJ5*AJ5)</f>
        <v>2.4250380433719143</v>
      </c>
      <c r="AL5" s="9">
        <f>(AG5/$AG$7)*100</f>
        <v>1.4806201817062219</v>
      </c>
      <c r="AM5" s="9">
        <f>(AL5*AL5)</f>
        <v>2.1922361224757654</v>
      </c>
      <c r="AN5" s="9" t="s">
        <v>3675</v>
      </c>
    </row>
    <row r="6" spans="8:40" ht="23">
      <c r="M6" s="8" t="s">
        <v>609</v>
      </c>
      <c r="N6" s="8" t="s">
        <v>150</v>
      </c>
      <c r="O6" s="8"/>
      <c r="P6" s="8" t="s">
        <v>3700</v>
      </c>
      <c r="Q6" s="8"/>
      <c r="R6" s="8"/>
      <c r="S6" s="8"/>
      <c r="T6" s="8"/>
      <c r="U6" s="8"/>
      <c r="V6" s="8"/>
      <c r="W6" s="8" t="s">
        <v>609</v>
      </c>
      <c r="X6" s="8">
        <v>19.86</v>
      </c>
      <c r="Y6" s="8">
        <v>10.82</v>
      </c>
      <c r="Z6" s="9">
        <v>14.15</v>
      </c>
      <c r="AA6" s="8">
        <v>17.3</v>
      </c>
      <c r="AB6" s="8">
        <v>3978</v>
      </c>
      <c r="AC6" s="21" t="s">
        <v>609</v>
      </c>
      <c r="AD6" s="8" t="s">
        <v>4038</v>
      </c>
      <c r="AE6" s="8" t="s">
        <v>5362</v>
      </c>
      <c r="AF6" s="9">
        <f>(AA6*Y6)</f>
        <v>187.18600000000001</v>
      </c>
      <c r="AG6" s="9">
        <f>((((RIGHT(Z6,2))/60)+(LEFT(Z6,2)))*AA6)</f>
        <v>246.52500000000001</v>
      </c>
      <c r="AH6" s="9">
        <f>(AA6/$AA$7)*100</f>
        <v>1.7811180891588598</v>
      </c>
      <c r="AI6" s="9">
        <f>(AH6*AH6)</f>
        <v>3.1723816475289079</v>
      </c>
      <c r="AJ6" s="9">
        <f>(AF6/$AF$7)*100</f>
        <v>3.7366495117937841</v>
      </c>
      <c r="AK6" s="9">
        <f>(AJ6*AJ6)</f>
        <v>13.962549573988726</v>
      </c>
      <c r="AL6" s="9">
        <f>(AG6/$AG$7)*100</f>
        <v>8.4807130644778432</v>
      </c>
      <c r="AM6" s="9">
        <f>(AL6*AL6)</f>
        <v>71.922494082005173</v>
      </c>
      <c r="AN6" s="8" t="s">
        <v>609</v>
      </c>
    </row>
    <row r="7" spans="8:40" ht="18">
      <c r="M7" s="49"/>
      <c r="N7" s="48"/>
      <c r="O7" s="48"/>
      <c r="P7" s="48"/>
      <c r="Q7" s="48"/>
      <c r="R7" s="48"/>
      <c r="S7" s="48"/>
      <c r="T7" s="48"/>
      <c r="U7" s="48"/>
      <c r="V7" s="48"/>
      <c r="W7" s="49"/>
      <c r="X7" s="48"/>
      <c r="Y7" s="48"/>
      <c r="Z7" s="49"/>
      <c r="AA7" s="48">
        <f>SUBTOTAL(109,Table1364950[ترافیک کل])</f>
        <v>971.29999999999984</v>
      </c>
      <c r="AB7" s="48"/>
      <c r="AC7" s="49"/>
      <c r="AD7" s="48"/>
      <c r="AE7" s="48"/>
      <c r="AF7" s="49">
        <f>SUBTOTAL(109,Table1364950[[مجموع صفحات  مشاهده شده   ]])</f>
        <v>5009.4610000000002</v>
      </c>
      <c r="AG7" s="49">
        <f>SUBTOTAL(109,Table1364950[[مجموع زمان حضور در سایت ]])</f>
        <v>2906.8900000000003</v>
      </c>
      <c r="AH7" s="49">
        <f>SUBTOTAL(109,Table1364950[سهم سایت از کل ترافیک طبقه بندی])</f>
        <v>100.00000000000003</v>
      </c>
      <c r="AI7" s="49">
        <f>SUBTOTAL(107,Table1364950[شاخص هرفیندال هیرشمن (ترافیک)])</f>
        <v>1024.1112990515574</v>
      </c>
      <c r="AJ7" s="49">
        <f>SUBTOTAL(109,Table1364950[سهم سایت از کل صفحات مشاهده شده در طبقه بندی])</f>
        <v>100</v>
      </c>
      <c r="AK7" s="49">
        <f>SUBTOTAL(109,Table1364950[شاخص هرفیندال -هیرشمن (صفحات مشاهده شده )])</f>
        <v>4288.8893972691958</v>
      </c>
      <c r="AL7" s="49">
        <f>SUBTOTAL(109,Table1364950[سهم سایت از کل زمان حضور در طبقه بندی])</f>
        <v>99.999999999999986</v>
      </c>
      <c r="AM7" s="49">
        <f>SUBTOTAL(109,Table1364950[شاخص هرفیندال هیرشمن (زمان حضور)])</f>
        <v>4129.5922932320773</v>
      </c>
      <c r="AN7" s="4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{CC8D0325-8D89-41DF-AE77-D00BD235E7B2}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{9BBA4D79-DBE3-45B8-A607-16841965CA08}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{C7BB259E-6174-49A0-AB86-54D77FC8497E}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{265ADD83-8F81-4396-AF25-90EBCC8097BF}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{2F3D1FBA-FD7B-4A70-8338-AF623CC1B99C}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{04401A69-B37C-459B-9831-104A8E93B8ED}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8D0325-8D89-41DF-AE77-D00BD235E7B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BBA4D79-DBE3-45B8-A607-16841965CA0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7BB259E-6174-49A0-AB86-54D77FC8497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65ADD83-8F81-4396-AF25-90EBCC8097B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F3D1FBA-FD7B-4A70-8338-AF623CC1B9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04401A69-B37C-459B-9831-104A8E93B8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80"/>
  <sheetViews>
    <sheetView showGridLines="0" rightToLeft="1" topLeftCell="AB1" zoomScale="70" zoomScaleNormal="70" workbookViewId="0">
      <selection activeCell="AD2" sqref="AD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2.1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1564</v>
      </c>
      <c r="N2" s="8" t="s">
        <v>150</v>
      </c>
      <c r="O2" s="8" t="s">
        <v>4437</v>
      </c>
      <c r="P2" s="8"/>
      <c r="Q2" s="8"/>
      <c r="R2" s="8"/>
      <c r="S2" s="8"/>
      <c r="T2" s="8"/>
      <c r="U2" s="8"/>
      <c r="V2" s="8"/>
      <c r="W2" s="8" t="s">
        <v>1564</v>
      </c>
      <c r="X2" s="8">
        <v>51.58</v>
      </c>
      <c r="Y2" s="8">
        <v>3.02</v>
      </c>
      <c r="Z2" s="9">
        <v>2.02</v>
      </c>
      <c r="AA2" s="8">
        <v>2871.5</v>
      </c>
      <c r="AB2" s="8">
        <v>246</v>
      </c>
      <c r="AC2" s="21" t="s">
        <v>1564</v>
      </c>
      <c r="AD2" s="8" t="s">
        <v>4019</v>
      </c>
      <c r="AE2" s="8" t="s">
        <v>4085</v>
      </c>
      <c r="AF2" s="9">
        <f t="shared" ref="AF2:AF33" si="0">(AA2*Y2)</f>
        <v>8671.93</v>
      </c>
      <c r="AG2" s="9">
        <f t="shared" ref="AG2:AG33" si="1">((((RIGHT(Z2,2))/60)+(LEFT(Z2,2)))*AA2)</f>
        <v>5838.7166666666662</v>
      </c>
      <c r="AH2" s="9">
        <f t="shared" ref="AH2:AH33" si="2">(AA2/$AA$180)*100</f>
        <v>24.953725026722193</v>
      </c>
      <c r="AI2" s="9">
        <f t="shared" ref="AI2:AI33" si="3">(AH2*AH2)</f>
        <v>622.68839270926151</v>
      </c>
      <c r="AJ2" s="9">
        <f t="shared" ref="AJ2:AJ33" si="4">(AF2/$AF$180)*100</f>
        <v>14.165732799419864</v>
      </c>
      <c r="AK2" s="9">
        <f t="shared" ref="AK2:AK33" si="5">(AJ2*AJ2)</f>
        <v>200.66798574455973</v>
      </c>
      <c r="AL2" s="9">
        <f t="shared" ref="AL2:AL33" si="6">(AG2/$AG$180)*100</f>
        <v>10.601122080670875</v>
      </c>
      <c r="AM2" s="9">
        <f t="shared" ref="AM2:AM33" si="7">(AL2*AL2)</f>
        <v>112.38378936928757</v>
      </c>
      <c r="AN2" s="8" t="s">
        <v>1564</v>
      </c>
    </row>
    <row r="3" spans="8:40" ht="23">
      <c r="M3" s="8" t="s">
        <v>452</v>
      </c>
      <c r="N3" s="8" t="s">
        <v>150</v>
      </c>
      <c r="O3" s="8"/>
      <c r="P3" s="8" t="s">
        <v>4750</v>
      </c>
      <c r="Q3" s="8"/>
      <c r="R3" s="8"/>
      <c r="S3" s="8"/>
      <c r="T3" s="8"/>
      <c r="U3" s="8"/>
      <c r="V3" s="8"/>
      <c r="W3" s="8" t="s">
        <v>452</v>
      </c>
      <c r="X3" s="8">
        <v>46.24</v>
      </c>
      <c r="Y3" s="8">
        <v>3.1</v>
      </c>
      <c r="Z3" s="9">
        <v>4.18</v>
      </c>
      <c r="AA3" s="8">
        <v>1993.2</v>
      </c>
      <c r="AB3" s="8">
        <v>220</v>
      </c>
      <c r="AC3" s="21" t="s">
        <v>452</v>
      </c>
      <c r="AD3" s="8" t="s">
        <v>4019</v>
      </c>
      <c r="AE3" s="8" t="s">
        <v>4085</v>
      </c>
      <c r="AF3" s="9">
        <f t="shared" si="0"/>
        <v>6178.92</v>
      </c>
      <c r="AG3" s="9">
        <f t="shared" si="1"/>
        <v>8570.76</v>
      </c>
      <c r="AH3" s="9">
        <f t="shared" si="2"/>
        <v>17.321178730023568</v>
      </c>
      <c r="AI3" s="9">
        <f t="shared" si="3"/>
        <v>300.02323259742087</v>
      </c>
      <c r="AJ3" s="9">
        <f t="shared" si="4"/>
        <v>10.093362113046505</v>
      </c>
      <c r="AK3" s="9">
        <f t="shared" si="5"/>
        <v>101.8759587450826</v>
      </c>
      <c r="AL3" s="9">
        <f t="shared" si="6"/>
        <v>15.561582839402046</v>
      </c>
      <c r="AM3" s="9">
        <f t="shared" si="7"/>
        <v>242.16286046757224</v>
      </c>
      <c r="AN3" s="8" t="s">
        <v>452</v>
      </c>
    </row>
    <row r="4" spans="8:40" ht="23">
      <c r="M4" s="8" t="s">
        <v>789</v>
      </c>
      <c r="N4" s="8" t="s">
        <v>150</v>
      </c>
      <c r="O4" s="8"/>
      <c r="P4" s="8"/>
      <c r="Q4" s="8"/>
      <c r="R4" s="8"/>
      <c r="S4" s="8"/>
      <c r="T4" s="8"/>
      <c r="U4" s="8"/>
      <c r="V4" s="8"/>
      <c r="W4" s="8" t="s">
        <v>789</v>
      </c>
      <c r="X4" s="8">
        <v>58.97</v>
      </c>
      <c r="Y4" s="8">
        <v>1.37</v>
      </c>
      <c r="Z4" s="9">
        <v>3.55</v>
      </c>
      <c r="AA4" s="8">
        <v>875.9</v>
      </c>
      <c r="AB4" s="8">
        <v>706</v>
      </c>
      <c r="AC4" s="21" t="s">
        <v>789</v>
      </c>
      <c r="AD4" s="8" t="s">
        <v>4019</v>
      </c>
      <c r="AE4" s="8" t="s">
        <v>4085</v>
      </c>
      <c r="AF4" s="9">
        <f t="shared" si="0"/>
        <v>1199.9830000000002</v>
      </c>
      <c r="AG4" s="9">
        <f t="shared" si="1"/>
        <v>3430.6083333333331</v>
      </c>
      <c r="AH4" s="9">
        <f t="shared" si="2"/>
        <v>7.6116899707142496</v>
      </c>
      <c r="AI4" s="9">
        <f t="shared" si="3"/>
        <v>57.937824210271891</v>
      </c>
      <c r="AJ4" s="9">
        <f t="shared" si="4"/>
        <v>1.9601909311821299</v>
      </c>
      <c r="AK4" s="9">
        <f t="shared" si="5"/>
        <v>3.8423484866886657</v>
      </c>
      <c r="AL4" s="9">
        <f t="shared" si="6"/>
        <v>6.2288170207437439</v>
      </c>
      <c r="AM4" s="9">
        <f t="shared" si="7"/>
        <v>38.798161477906973</v>
      </c>
      <c r="AN4" s="8" t="s">
        <v>789</v>
      </c>
    </row>
    <row r="5" spans="8:40" ht="23">
      <c r="M5" s="8" t="s">
        <v>501</v>
      </c>
      <c r="N5" s="8" t="s">
        <v>150</v>
      </c>
      <c r="O5" s="8"/>
      <c r="P5" s="8" t="s">
        <v>3704</v>
      </c>
      <c r="Q5" s="8"/>
      <c r="R5" s="8"/>
      <c r="S5" s="8"/>
      <c r="T5" s="8"/>
      <c r="U5" s="8"/>
      <c r="V5" s="8"/>
      <c r="W5" s="8" t="s">
        <v>501</v>
      </c>
      <c r="X5" s="8">
        <v>15.83</v>
      </c>
      <c r="Y5" s="8">
        <v>9.36</v>
      </c>
      <c r="Z5" s="9">
        <v>8.4499999999999993</v>
      </c>
      <c r="AA5" s="8">
        <v>374.6</v>
      </c>
      <c r="AB5" s="8">
        <v>274</v>
      </c>
      <c r="AC5" s="21" t="s">
        <v>501</v>
      </c>
      <c r="AD5" s="8" t="s">
        <v>4477</v>
      </c>
      <c r="AE5" s="8" t="s">
        <v>4085</v>
      </c>
      <c r="AF5" s="9">
        <f t="shared" si="0"/>
        <v>3506.2559999999999</v>
      </c>
      <c r="AG5" s="9">
        <f t="shared" si="1"/>
        <v>3277.75</v>
      </c>
      <c r="AH5" s="9">
        <f t="shared" si="2"/>
        <v>3.2553248807278887</v>
      </c>
      <c r="AI5" s="9">
        <f t="shared" si="3"/>
        <v>10.597140079086042</v>
      </c>
      <c r="AJ5" s="9">
        <f t="shared" si="4"/>
        <v>5.7275238179231938</v>
      </c>
      <c r="AK5" s="9">
        <f t="shared" si="5"/>
        <v>32.80452908487748</v>
      </c>
      <c r="AL5" s="9">
        <f t="shared" si="6"/>
        <v>5.9512783174245989</v>
      </c>
      <c r="AM5" s="9">
        <f t="shared" si="7"/>
        <v>35.417713611448164</v>
      </c>
      <c r="AN5" s="8" t="s">
        <v>501</v>
      </c>
    </row>
    <row r="6" spans="8:40" ht="23">
      <c r="M6" s="8" t="s">
        <v>11</v>
      </c>
      <c r="N6" s="8" t="s">
        <v>8</v>
      </c>
      <c r="O6" s="8"/>
      <c r="P6" s="8" t="s">
        <v>4073</v>
      </c>
      <c r="Q6" s="8"/>
      <c r="R6" s="8"/>
      <c r="S6" s="8"/>
      <c r="T6" s="8"/>
      <c r="U6" s="8"/>
      <c r="V6" s="8"/>
      <c r="W6" s="8" t="s">
        <v>11</v>
      </c>
      <c r="X6" s="8">
        <v>31.07</v>
      </c>
      <c r="Y6" s="8">
        <v>4.0199999999999996</v>
      </c>
      <c r="Z6" s="9">
        <v>3.21</v>
      </c>
      <c r="AA6" s="8">
        <v>346.8</v>
      </c>
      <c r="AB6" s="8">
        <v>670</v>
      </c>
      <c r="AC6" s="21" t="s">
        <v>11</v>
      </c>
      <c r="AD6" s="8" t="s">
        <v>3688</v>
      </c>
      <c r="AE6" s="8" t="s">
        <v>4085</v>
      </c>
      <c r="AF6" s="9">
        <f t="shared" si="0"/>
        <v>1394.136</v>
      </c>
      <c r="AG6" s="9">
        <f t="shared" si="1"/>
        <v>1161.78</v>
      </c>
      <c r="AH6" s="9">
        <f t="shared" si="2"/>
        <v>3.0137391047422102</v>
      </c>
      <c r="AI6" s="9">
        <f t="shared" si="3"/>
        <v>9.082623391452378</v>
      </c>
      <c r="AJ6" s="9">
        <f t="shared" si="4"/>
        <v>2.2773428823862747</v>
      </c>
      <c r="AK6" s="9">
        <f t="shared" si="5"/>
        <v>5.1862906039554257</v>
      </c>
      <c r="AL6" s="9">
        <f t="shared" si="6"/>
        <v>2.109397032603936</v>
      </c>
      <c r="AM6" s="9">
        <f t="shared" si="7"/>
        <v>4.4495558411582907</v>
      </c>
      <c r="AN6" s="8" t="s">
        <v>11</v>
      </c>
    </row>
    <row r="7" spans="8:40" ht="25.5" customHeight="1">
      <c r="M7" s="8" t="s">
        <v>329</v>
      </c>
      <c r="N7" s="8" t="s">
        <v>150</v>
      </c>
      <c r="O7" s="8"/>
      <c r="P7" s="8" t="s">
        <v>3691</v>
      </c>
      <c r="Q7" s="8"/>
      <c r="R7" s="8"/>
      <c r="S7" s="8"/>
      <c r="T7" s="8"/>
      <c r="U7" s="8"/>
      <c r="V7" s="8"/>
      <c r="W7" s="8" t="s">
        <v>329</v>
      </c>
      <c r="X7" s="8">
        <v>30.17</v>
      </c>
      <c r="Y7" s="8">
        <v>9.0399999999999991</v>
      </c>
      <c r="Z7" s="9">
        <v>7.1</v>
      </c>
      <c r="AA7" s="8">
        <v>307.39999999999998</v>
      </c>
      <c r="AB7" s="8">
        <v>527</v>
      </c>
      <c r="AC7" s="21" t="s">
        <v>329</v>
      </c>
      <c r="AD7" s="8" t="s">
        <v>3688</v>
      </c>
      <c r="AE7" s="8" t="s">
        <v>4085</v>
      </c>
      <c r="AF7" s="9">
        <f t="shared" si="0"/>
        <v>2778.8959999999997</v>
      </c>
      <c r="AG7" s="9">
        <f t="shared" si="1"/>
        <v>2152.3123333333333</v>
      </c>
      <c r="AH7" s="9">
        <f t="shared" si="2"/>
        <v>2.6713477531653846</v>
      </c>
      <c r="AI7" s="9">
        <f t="shared" si="3"/>
        <v>7.1360988183417486</v>
      </c>
      <c r="AJ7" s="9">
        <f t="shared" si="4"/>
        <v>4.5393699226558164</v>
      </c>
      <c r="AK7" s="9">
        <f t="shared" si="5"/>
        <v>20.605879294712274</v>
      </c>
      <c r="AL7" s="9">
        <f t="shared" si="6"/>
        <v>3.9078665919280642</v>
      </c>
      <c r="AM7" s="9">
        <f t="shared" si="7"/>
        <v>15.271421300307463</v>
      </c>
      <c r="AN7" s="8" t="s">
        <v>329</v>
      </c>
    </row>
    <row r="8" spans="8:40" ht="21.5" customHeight="1">
      <c r="M8" s="9" t="s">
        <v>3379</v>
      </c>
      <c r="N8" s="8" t="s">
        <v>1964</v>
      </c>
      <c r="O8" s="8"/>
      <c r="P8" s="8" t="s">
        <v>4751</v>
      </c>
      <c r="Q8" s="8"/>
      <c r="R8" s="8"/>
      <c r="S8" s="8"/>
      <c r="T8" s="8"/>
      <c r="U8" s="8"/>
      <c r="V8" s="8"/>
      <c r="W8" s="9" t="s">
        <v>3379</v>
      </c>
      <c r="X8" s="8">
        <v>13.18</v>
      </c>
      <c r="Y8" s="8">
        <v>8.5500000000000007</v>
      </c>
      <c r="Z8" s="9">
        <v>6.17</v>
      </c>
      <c r="AA8" s="8">
        <v>294.89999999999998</v>
      </c>
      <c r="AB8" s="8">
        <v>491</v>
      </c>
      <c r="AC8" s="22" t="s">
        <v>3379</v>
      </c>
      <c r="AD8" s="8" t="s">
        <v>4019</v>
      </c>
      <c r="AE8" s="8" t="s">
        <v>4085</v>
      </c>
      <c r="AF8" s="9">
        <f t="shared" si="0"/>
        <v>2521.395</v>
      </c>
      <c r="AG8" s="9">
        <f t="shared" si="1"/>
        <v>1852.9549999999999</v>
      </c>
      <c r="AH8" s="9">
        <f t="shared" si="2"/>
        <v>2.5627210553300972</v>
      </c>
      <c r="AI8" s="9">
        <f t="shared" si="3"/>
        <v>6.5675392074322074</v>
      </c>
      <c r="AJ8" s="9">
        <f t="shared" si="4"/>
        <v>4.1187380262286766</v>
      </c>
      <c r="AK8" s="9">
        <f t="shared" si="5"/>
        <v>16.964002928702094</v>
      </c>
      <c r="AL8" s="9">
        <f t="shared" si="6"/>
        <v>3.3643355700292878</v>
      </c>
      <c r="AM8" s="9">
        <f t="shared" si="7"/>
        <v>11.318753827764294</v>
      </c>
      <c r="AN8" s="9" t="s">
        <v>3379</v>
      </c>
    </row>
    <row r="9" spans="8:40" ht="23">
      <c r="M9" s="8" t="s">
        <v>486</v>
      </c>
      <c r="N9" s="8" t="s">
        <v>150</v>
      </c>
      <c r="O9" s="8"/>
      <c r="P9" s="8" t="s">
        <v>4013</v>
      </c>
      <c r="Q9" s="8"/>
      <c r="R9" s="8"/>
      <c r="S9" s="8"/>
      <c r="T9" s="8"/>
      <c r="U9" s="8"/>
      <c r="V9" s="8"/>
      <c r="W9" s="8" t="s">
        <v>486</v>
      </c>
      <c r="X9" s="8">
        <v>36.08</v>
      </c>
      <c r="Y9" s="8">
        <v>2.34</v>
      </c>
      <c r="Z9" s="9">
        <v>2.19</v>
      </c>
      <c r="AA9" s="8">
        <v>251.9</v>
      </c>
      <c r="AB9" s="8">
        <v>1525</v>
      </c>
      <c r="AC9" s="21" t="s">
        <v>486</v>
      </c>
      <c r="AD9" s="8" t="s">
        <v>4019</v>
      </c>
      <c r="AE9" s="8" t="s">
        <v>4085</v>
      </c>
      <c r="AF9" s="9">
        <f t="shared" si="0"/>
        <v>589.44600000000003</v>
      </c>
      <c r="AG9" s="9">
        <f t="shared" si="1"/>
        <v>583.56833333333327</v>
      </c>
      <c r="AH9" s="9">
        <f t="shared" si="2"/>
        <v>2.189045214776709</v>
      </c>
      <c r="AI9" s="9">
        <f t="shared" si="3"/>
        <v>4.7919189523368084</v>
      </c>
      <c r="AJ9" s="9">
        <f t="shared" si="4"/>
        <v>0.96286922699870048</v>
      </c>
      <c r="AK9" s="9">
        <f t="shared" si="5"/>
        <v>0.92711714830107494</v>
      </c>
      <c r="AL9" s="9">
        <f t="shared" si="6"/>
        <v>1.0595614579825421</v>
      </c>
      <c r="AM9" s="9">
        <f t="shared" si="7"/>
        <v>1.1226704832420904</v>
      </c>
      <c r="AN9" s="8" t="s">
        <v>486</v>
      </c>
    </row>
    <row r="10" spans="8:40" ht="23">
      <c r="M10" s="8" t="s">
        <v>785</v>
      </c>
      <c r="N10" s="8" t="s">
        <v>150</v>
      </c>
      <c r="O10" s="8"/>
      <c r="P10" s="8" t="s">
        <v>3692</v>
      </c>
      <c r="Q10" s="8"/>
      <c r="R10" s="8"/>
      <c r="S10" s="8"/>
      <c r="T10" s="8"/>
      <c r="U10" s="8"/>
      <c r="V10" s="8"/>
      <c r="W10" s="8" t="s">
        <v>785</v>
      </c>
      <c r="X10" s="8">
        <v>43.98</v>
      </c>
      <c r="Y10" s="8">
        <v>1.92</v>
      </c>
      <c r="Z10" s="9">
        <v>1.39</v>
      </c>
      <c r="AA10" s="8">
        <v>224.8</v>
      </c>
      <c r="AB10" s="8">
        <v>2195</v>
      </c>
      <c r="AC10" s="21" t="s">
        <v>785</v>
      </c>
      <c r="AD10" s="8" t="s">
        <v>4019</v>
      </c>
      <c r="AE10" s="8" t="s">
        <v>4085</v>
      </c>
      <c r="AF10" s="9">
        <f t="shared" si="0"/>
        <v>431.61599999999999</v>
      </c>
      <c r="AG10" s="9">
        <f t="shared" si="1"/>
        <v>370.92</v>
      </c>
      <c r="AH10" s="9">
        <f t="shared" si="2"/>
        <v>1.9535425338698065</v>
      </c>
      <c r="AI10" s="9">
        <f t="shared" si="3"/>
        <v>3.816328431638464</v>
      </c>
      <c r="AJ10" s="9">
        <f t="shared" si="4"/>
        <v>0.70505146235663829</v>
      </c>
      <c r="AK10" s="9">
        <f t="shared" si="5"/>
        <v>0.49709756457123416</v>
      </c>
      <c r="AL10" s="9">
        <f t="shared" si="6"/>
        <v>0.67346446602063381</v>
      </c>
      <c r="AM10" s="9">
        <f t="shared" si="7"/>
        <v>0.45355438699245743</v>
      </c>
      <c r="AN10" s="8" t="s">
        <v>785</v>
      </c>
    </row>
    <row r="11" spans="8:40" ht="23">
      <c r="M11" s="8" t="s">
        <v>1735</v>
      </c>
      <c r="N11" s="8" t="s">
        <v>1717</v>
      </c>
      <c r="O11" s="8"/>
      <c r="P11" s="8" t="s">
        <v>3691</v>
      </c>
      <c r="Q11" s="8"/>
      <c r="R11" s="8"/>
      <c r="S11" s="8"/>
      <c r="T11" s="8"/>
      <c r="U11" s="8"/>
      <c r="V11" s="8"/>
      <c r="W11" s="8" t="s">
        <v>1735</v>
      </c>
      <c r="X11" s="8">
        <v>30.74</v>
      </c>
      <c r="Y11" s="8">
        <v>4.7699999999999996</v>
      </c>
      <c r="Z11" s="9">
        <v>4.22</v>
      </c>
      <c r="AA11" s="8">
        <v>217.4</v>
      </c>
      <c r="AB11" s="8">
        <v>834</v>
      </c>
      <c r="AC11" s="21" t="s">
        <v>1735</v>
      </c>
      <c r="AD11" s="8" t="s">
        <v>4019</v>
      </c>
      <c r="AE11" s="8" t="s">
        <v>4085</v>
      </c>
      <c r="AF11" s="9">
        <f t="shared" si="0"/>
        <v>1036.998</v>
      </c>
      <c r="AG11" s="9">
        <f t="shared" si="1"/>
        <v>949.31333333333328</v>
      </c>
      <c r="AH11" s="9">
        <f t="shared" si="2"/>
        <v>1.8892355287513163</v>
      </c>
      <c r="AI11" s="9">
        <f t="shared" si="3"/>
        <v>3.5692108830962654</v>
      </c>
      <c r="AJ11" s="9">
        <f t="shared" si="4"/>
        <v>1.693952393703916</v>
      </c>
      <c r="AK11" s="9">
        <f t="shared" si="5"/>
        <v>2.8694747121352271</v>
      </c>
      <c r="AL11" s="9">
        <f t="shared" si="6"/>
        <v>1.7236298854728815</v>
      </c>
      <c r="AM11" s="9">
        <f t="shared" si="7"/>
        <v>2.9708999820952586</v>
      </c>
      <c r="AN11" s="8" t="s">
        <v>1735</v>
      </c>
    </row>
    <row r="12" spans="8:40" ht="23">
      <c r="M12" s="8" t="s">
        <v>1020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1020</v>
      </c>
      <c r="X12" s="8">
        <v>26.32</v>
      </c>
      <c r="Y12" s="8">
        <v>1.52</v>
      </c>
      <c r="Z12" s="9">
        <v>0.34</v>
      </c>
      <c r="AA12" s="8">
        <v>203.8</v>
      </c>
      <c r="AB12" s="8">
        <v>2450</v>
      </c>
      <c r="AC12" s="21" t="s">
        <v>1020</v>
      </c>
      <c r="AD12" s="8" t="s">
        <v>4019</v>
      </c>
      <c r="AE12" s="8" t="s">
        <v>4085</v>
      </c>
      <c r="AF12" s="9">
        <f t="shared" si="0"/>
        <v>309.77600000000001</v>
      </c>
      <c r="AG12" s="9">
        <f t="shared" si="1"/>
        <v>115.48666666666666</v>
      </c>
      <c r="AH12" s="9">
        <f t="shared" si="2"/>
        <v>1.7710496815065238</v>
      </c>
      <c r="AI12" s="9">
        <f t="shared" si="3"/>
        <v>3.136616974364359</v>
      </c>
      <c r="AJ12" s="9">
        <f t="shared" si="4"/>
        <v>0.50602392358714687</v>
      </c>
      <c r="AK12" s="9">
        <f t="shared" si="5"/>
        <v>0.25606021124253064</v>
      </c>
      <c r="AL12" s="9">
        <f t="shared" si="6"/>
        <v>0.20968447724352851</v>
      </c>
      <c r="AM12" s="9">
        <f t="shared" si="7"/>
        <v>4.3967579996891826E-2</v>
      </c>
      <c r="AN12" s="8" t="s">
        <v>1020</v>
      </c>
    </row>
    <row r="13" spans="8:40" ht="23">
      <c r="M13" s="8" t="s">
        <v>1593</v>
      </c>
      <c r="N13" s="8" t="s">
        <v>150</v>
      </c>
      <c r="O13" s="8"/>
      <c r="P13" s="8" t="s">
        <v>3705</v>
      </c>
      <c r="Q13" s="8"/>
      <c r="R13" s="8"/>
      <c r="S13" s="8"/>
      <c r="T13" s="8"/>
      <c r="U13" s="8"/>
      <c r="V13" s="8"/>
      <c r="W13" s="8" t="s">
        <v>1593</v>
      </c>
      <c r="X13" s="8">
        <v>25.85</v>
      </c>
      <c r="Y13" s="8">
        <v>7</v>
      </c>
      <c r="Z13" s="9">
        <v>7.31</v>
      </c>
      <c r="AA13" s="8">
        <v>202.5</v>
      </c>
      <c r="AB13" s="8">
        <v>615</v>
      </c>
      <c r="AC13" s="21" t="s">
        <v>1593</v>
      </c>
      <c r="AD13" s="8" t="s">
        <v>4019</v>
      </c>
      <c r="AE13" s="8" t="s">
        <v>4085</v>
      </c>
      <c r="AF13" s="9">
        <f t="shared" si="0"/>
        <v>1417.5</v>
      </c>
      <c r="AG13" s="9">
        <f t="shared" si="1"/>
        <v>1522.125</v>
      </c>
      <c r="AH13" s="9">
        <f t="shared" si="2"/>
        <v>1.759752504931654</v>
      </c>
      <c r="AI13" s="9">
        <f t="shared" si="3"/>
        <v>3.0967288786132312</v>
      </c>
      <c r="AJ13" s="9">
        <f t="shared" si="4"/>
        <v>2.3155083404937145</v>
      </c>
      <c r="AK13" s="9">
        <f t="shared" si="5"/>
        <v>5.3615788748959554</v>
      </c>
      <c r="AL13" s="9">
        <f t="shared" si="6"/>
        <v>2.7636608981496202</v>
      </c>
      <c r="AM13" s="9">
        <f t="shared" si="7"/>
        <v>7.6378215599611652</v>
      </c>
      <c r="AN13" s="8" t="s">
        <v>1593</v>
      </c>
    </row>
    <row r="14" spans="8:40" ht="23">
      <c r="M14" s="8" t="s">
        <v>340</v>
      </c>
      <c r="N14" s="8" t="s">
        <v>150</v>
      </c>
      <c r="O14" s="8"/>
      <c r="P14" s="8" t="s">
        <v>4034</v>
      </c>
      <c r="Q14" s="8"/>
      <c r="R14" s="8"/>
      <c r="S14" s="8"/>
      <c r="T14" s="8"/>
      <c r="U14" s="8"/>
      <c r="V14" s="8"/>
      <c r="W14" s="8" t="s">
        <v>340</v>
      </c>
      <c r="X14" s="8">
        <v>22.47</v>
      </c>
      <c r="Y14" s="8">
        <v>4.54</v>
      </c>
      <c r="Z14" s="9">
        <v>5.24</v>
      </c>
      <c r="AA14" s="8">
        <v>164</v>
      </c>
      <c r="AB14" s="8">
        <v>900</v>
      </c>
      <c r="AC14" s="21" t="s">
        <v>340</v>
      </c>
      <c r="AD14" s="8" t="s">
        <v>3688</v>
      </c>
      <c r="AE14" s="8" t="s">
        <v>4085</v>
      </c>
      <c r="AF14" s="9">
        <f t="shared" si="0"/>
        <v>744.56000000000006</v>
      </c>
      <c r="AG14" s="9">
        <f t="shared" si="1"/>
        <v>885.6</v>
      </c>
      <c r="AH14" s="9">
        <f t="shared" si="2"/>
        <v>1.4251822755989689</v>
      </c>
      <c r="AI14" s="9">
        <f t="shared" si="3"/>
        <v>2.0311445186814554</v>
      </c>
      <c r="AJ14" s="9">
        <f t="shared" si="4"/>
        <v>1.2162503633142858</v>
      </c>
      <c r="AK14" s="9">
        <f t="shared" si="5"/>
        <v>1.4792649462621323</v>
      </c>
      <c r="AL14" s="9">
        <f t="shared" si="6"/>
        <v>1.6079481589234155</v>
      </c>
      <c r="AM14" s="9">
        <f t="shared" si="7"/>
        <v>2.5854972817852016</v>
      </c>
      <c r="AN14" s="8" t="s">
        <v>340</v>
      </c>
    </row>
    <row r="15" spans="8:40" ht="23">
      <c r="M15" s="8" t="s">
        <v>3872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3872</v>
      </c>
      <c r="X15" s="8">
        <v>13.19</v>
      </c>
      <c r="Y15" s="8">
        <v>10.76</v>
      </c>
      <c r="Z15" s="9">
        <v>13.47</v>
      </c>
      <c r="AA15" s="8">
        <v>149.9</v>
      </c>
      <c r="AB15" s="8">
        <v>617</v>
      </c>
      <c r="AC15" s="21" t="s">
        <v>3872</v>
      </c>
      <c r="AD15" s="8" t="s">
        <v>4019</v>
      </c>
      <c r="AE15" s="8" t="s">
        <v>4085</v>
      </c>
      <c r="AF15" s="9">
        <f t="shared" si="0"/>
        <v>1612.924</v>
      </c>
      <c r="AG15" s="9">
        <f t="shared" si="1"/>
        <v>2066.1216666666669</v>
      </c>
      <c r="AH15" s="9">
        <f t="shared" si="2"/>
        <v>1.302651360440765</v>
      </c>
      <c r="AI15" s="9">
        <f t="shared" si="3"/>
        <v>1.6969005668581758</v>
      </c>
      <c r="AJ15" s="9">
        <f t="shared" si="4"/>
        <v>2.6347364900052792</v>
      </c>
      <c r="AK15" s="9">
        <f t="shared" si="5"/>
        <v>6.9418363717653389</v>
      </c>
      <c r="AL15" s="9">
        <f t="shared" si="6"/>
        <v>3.7513736788939087</v>
      </c>
      <c r="AM15" s="9">
        <f t="shared" si="7"/>
        <v>14.07280447869802</v>
      </c>
      <c r="AN15" s="8" t="s">
        <v>3872</v>
      </c>
    </row>
    <row r="16" spans="8:40" ht="23">
      <c r="M16" s="8" t="s">
        <v>1001</v>
      </c>
      <c r="N16" s="8" t="s">
        <v>150</v>
      </c>
      <c r="O16" s="8"/>
      <c r="P16" s="8" t="s">
        <v>3691</v>
      </c>
      <c r="Q16" s="8"/>
      <c r="R16" s="8"/>
      <c r="S16" s="8"/>
      <c r="T16" s="8"/>
      <c r="U16" s="8"/>
      <c r="V16" s="8"/>
      <c r="W16" s="8" t="s">
        <v>1001</v>
      </c>
      <c r="X16" s="8">
        <v>19.77</v>
      </c>
      <c r="Y16" s="8">
        <v>6.05</v>
      </c>
      <c r="Z16" s="9">
        <v>8.3000000000000007</v>
      </c>
      <c r="AA16" s="8">
        <v>146.19999999999999</v>
      </c>
      <c r="AB16" s="8">
        <v>800</v>
      </c>
      <c r="AC16" s="21" t="s">
        <v>1001</v>
      </c>
      <c r="AD16" s="8" t="s">
        <v>4479</v>
      </c>
      <c r="AE16" s="8" t="s">
        <v>4085</v>
      </c>
      <c r="AF16" s="9">
        <f t="shared" si="0"/>
        <v>884.50999999999988</v>
      </c>
      <c r="AG16" s="9">
        <f t="shared" si="1"/>
        <v>1170.3310000000001</v>
      </c>
      <c r="AH16" s="9">
        <f t="shared" si="2"/>
        <v>1.27049785788152</v>
      </c>
      <c r="AI16" s="9">
        <f t="shared" si="3"/>
        <v>1.6141648068815311</v>
      </c>
      <c r="AJ16" s="9">
        <f t="shared" si="4"/>
        <v>1.4448608693122362</v>
      </c>
      <c r="AK16" s="9">
        <f t="shared" si="5"/>
        <v>2.0876229316697108</v>
      </c>
      <c r="AL16" s="9">
        <f t="shared" si="6"/>
        <v>2.1249227380092592</v>
      </c>
      <c r="AM16" s="9">
        <f t="shared" si="7"/>
        <v>4.5152966425087673</v>
      </c>
      <c r="AN16" s="8" t="s">
        <v>1001</v>
      </c>
    </row>
    <row r="17" spans="13:40" ht="23">
      <c r="M17" s="8" t="s">
        <v>1646</v>
      </c>
      <c r="N17" s="8" t="s">
        <v>1614</v>
      </c>
      <c r="O17" s="8"/>
      <c r="P17" s="8" t="s">
        <v>3705</v>
      </c>
      <c r="Q17" s="8"/>
      <c r="R17" s="8"/>
      <c r="S17" s="8"/>
      <c r="T17" s="8"/>
      <c r="U17" s="8"/>
      <c r="V17" s="8"/>
      <c r="W17" s="8" t="s">
        <v>1646</v>
      </c>
      <c r="X17" s="8">
        <v>14.35</v>
      </c>
      <c r="Y17" s="8">
        <v>17.13</v>
      </c>
      <c r="Z17" s="9">
        <v>13.53</v>
      </c>
      <c r="AA17" s="8">
        <v>142.69999999999999</v>
      </c>
      <c r="AB17" s="8">
        <v>517</v>
      </c>
      <c r="AC17" s="21" t="s">
        <v>1646</v>
      </c>
      <c r="AD17" s="8" t="s">
        <v>4019</v>
      </c>
      <c r="AE17" s="8" t="s">
        <v>4085</v>
      </c>
      <c r="AF17" s="9">
        <f t="shared" si="0"/>
        <v>2444.4509999999996</v>
      </c>
      <c r="AG17" s="9">
        <f t="shared" si="1"/>
        <v>1981.1516666666664</v>
      </c>
      <c r="AH17" s="9">
        <f t="shared" si="2"/>
        <v>1.2400823824876395</v>
      </c>
      <c r="AI17" s="9">
        <f t="shared" si="3"/>
        <v>1.5378043153562202</v>
      </c>
      <c r="AJ17" s="9">
        <f t="shared" si="4"/>
        <v>3.9930488031239495</v>
      </c>
      <c r="AK17" s="9">
        <f t="shared" si="5"/>
        <v>15.944438744129606</v>
      </c>
      <c r="AL17" s="9">
        <f t="shared" si="6"/>
        <v>3.5970970810351424</v>
      </c>
      <c r="AM17" s="9">
        <f t="shared" si="7"/>
        <v>12.939107410391541</v>
      </c>
      <c r="AN17" s="8" t="s">
        <v>1646</v>
      </c>
    </row>
    <row r="18" spans="13:40" ht="23">
      <c r="M18" s="8" t="s">
        <v>1616</v>
      </c>
      <c r="N18" s="8" t="s">
        <v>1614</v>
      </c>
      <c r="O18" s="8"/>
      <c r="P18" s="8" t="s">
        <v>3691</v>
      </c>
      <c r="Q18" s="8"/>
      <c r="R18" s="8"/>
      <c r="S18" s="8"/>
      <c r="T18" s="8"/>
      <c r="U18" s="8"/>
      <c r="V18" s="8"/>
      <c r="W18" s="8" t="s">
        <v>1616</v>
      </c>
      <c r="X18" s="8">
        <v>27.34</v>
      </c>
      <c r="Y18" s="8">
        <v>2.86</v>
      </c>
      <c r="Z18" s="9">
        <v>1.55</v>
      </c>
      <c r="AA18" s="8">
        <v>114.3</v>
      </c>
      <c r="AB18" s="8">
        <v>3014</v>
      </c>
      <c r="AC18" s="21" t="s">
        <v>1616</v>
      </c>
      <c r="AD18" s="8" t="s">
        <v>4019</v>
      </c>
      <c r="AE18" s="8" t="s">
        <v>4085</v>
      </c>
      <c r="AF18" s="9">
        <f t="shared" si="0"/>
        <v>326.89799999999997</v>
      </c>
      <c r="AG18" s="9">
        <f t="shared" si="1"/>
        <v>219.07499999999999</v>
      </c>
      <c r="AH18" s="9">
        <f t="shared" si="2"/>
        <v>0.99328252500586678</v>
      </c>
      <c r="AI18" s="9">
        <f t="shared" si="3"/>
        <v>0.98661017448203037</v>
      </c>
      <c r="AJ18" s="9">
        <f t="shared" si="4"/>
        <v>0.53399297741849316</v>
      </c>
      <c r="AK18" s="9">
        <f t="shared" si="5"/>
        <v>0.28514849993226737</v>
      </c>
      <c r="AL18" s="9">
        <f t="shared" si="6"/>
        <v>0.39776563111579399</v>
      </c>
      <c r="AM18" s="9">
        <f t="shared" si="7"/>
        <v>0.1582174972969459</v>
      </c>
      <c r="AN18" s="8" t="s">
        <v>1616</v>
      </c>
    </row>
    <row r="19" spans="13:40" ht="23">
      <c r="M19" s="8" t="s">
        <v>1525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1525</v>
      </c>
      <c r="X19" s="8">
        <v>38.340000000000003</v>
      </c>
      <c r="Y19" s="8">
        <v>3.24</v>
      </c>
      <c r="Z19" s="9">
        <v>2.2000000000000002</v>
      </c>
      <c r="AA19" s="8">
        <v>114.2</v>
      </c>
      <c r="AB19" s="8">
        <v>2490</v>
      </c>
      <c r="AC19" s="21" t="s">
        <v>1525</v>
      </c>
      <c r="AD19" s="8" t="s">
        <v>4479</v>
      </c>
      <c r="AE19" s="8" t="s">
        <v>4085</v>
      </c>
      <c r="AF19" s="9">
        <f t="shared" si="0"/>
        <v>370.00800000000004</v>
      </c>
      <c r="AG19" s="9">
        <f t="shared" si="1"/>
        <v>228.78066666666669</v>
      </c>
      <c r="AH19" s="9">
        <f t="shared" si="2"/>
        <v>0.99241351142318446</v>
      </c>
      <c r="AI19" s="9">
        <f t="shared" si="3"/>
        <v>0.98488457765529502</v>
      </c>
      <c r="AJ19" s="9">
        <f t="shared" si="4"/>
        <v>0.60441383425001649</v>
      </c>
      <c r="AK19" s="9">
        <f t="shared" si="5"/>
        <v>0.36531608303280638</v>
      </c>
      <c r="AL19" s="9">
        <f t="shared" si="6"/>
        <v>0.41538781816162862</v>
      </c>
      <c r="AM19" s="9">
        <f t="shared" si="7"/>
        <v>0.17254703947707825</v>
      </c>
      <c r="AN19" s="8" t="s">
        <v>1525</v>
      </c>
    </row>
    <row r="20" spans="13:40" ht="23">
      <c r="M20" s="8" t="s">
        <v>1352</v>
      </c>
      <c r="N20" s="8" t="s">
        <v>150</v>
      </c>
      <c r="O20" s="8"/>
      <c r="P20" s="8" t="s">
        <v>3691</v>
      </c>
      <c r="Q20" s="8"/>
      <c r="R20" s="8"/>
      <c r="S20" s="8"/>
      <c r="T20" s="8"/>
      <c r="U20" s="8"/>
      <c r="V20" s="8"/>
      <c r="W20" s="8" t="s">
        <v>1352</v>
      </c>
      <c r="X20" s="8">
        <v>26.51</v>
      </c>
      <c r="Y20" s="8">
        <v>1.74</v>
      </c>
      <c r="Z20" s="9">
        <v>0.59</v>
      </c>
      <c r="AA20" s="8">
        <v>111.3</v>
      </c>
      <c r="AB20" s="8">
        <v>2842</v>
      </c>
      <c r="AC20" s="21" t="s">
        <v>1352</v>
      </c>
      <c r="AD20" s="8" t="s">
        <v>4019</v>
      </c>
      <c r="AE20" s="8" t="s">
        <v>4085</v>
      </c>
      <c r="AF20" s="9">
        <f t="shared" si="0"/>
        <v>193.66200000000001</v>
      </c>
      <c r="AG20" s="9">
        <f t="shared" si="1"/>
        <v>109.44499999999999</v>
      </c>
      <c r="AH20" s="9">
        <f t="shared" si="2"/>
        <v>0.96721211752539782</v>
      </c>
      <c r="AI20" s="9">
        <f t="shared" si="3"/>
        <v>0.93549928028796392</v>
      </c>
      <c r="AJ20" s="9">
        <f t="shared" si="4"/>
        <v>0.31634989505234123</v>
      </c>
      <c r="AK20" s="9">
        <f t="shared" si="5"/>
        <v>0.10007725609962731</v>
      </c>
      <c r="AL20" s="9">
        <f t="shared" si="6"/>
        <v>0.19871486704310434</v>
      </c>
      <c r="AM20" s="9">
        <f t="shared" si="7"/>
        <v>3.9487598383958634E-2</v>
      </c>
      <c r="AN20" s="8" t="s">
        <v>1352</v>
      </c>
    </row>
    <row r="21" spans="13:40" ht="23">
      <c r="M21" s="8" t="s">
        <v>143</v>
      </c>
      <c r="N21" s="8" t="s">
        <v>150</v>
      </c>
      <c r="O21" s="8"/>
      <c r="P21" s="8" t="s">
        <v>3691</v>
      </c>
      <c r="Q21" s="8"/>
      <c r="R21" s="8"/>
      <c r="S21" s="8"/>
      <c r="T21" s="8"/>
      <c r="U21" s="8"/>
      <c r="V21" s="8"/>
      <c r="W21" s="8" t="s">
        <v>143</v>
      </c>
      <c r="X21" s="8">
        <v>21.4</v>
      </c>
      <c r="Y21" s="8">
        <v>1.93</v>
      </c>
      <c r="Z21" s="9">
        <v>0.47</v>
      </c>
      <c r="AA21" s="8">
        <v>109.5</v>
      </c>
      <c r="AB21" s="8">
        <v>6153</v>
      </c>
      <c r="AC21" s="21" t="s">
        <v>143</v>
      </c>
      <c r="AD21" s="8" t="s">
        <v>3688</v>
      </c>
      <c r="AE21" s="8" t="s">
        <v>4085</v>
      </c>
      <c r="AF21" s="9">
        <f t="shared" si="0"/>
        <v>211.33499999999998</v>
      </c>
      <c r="AG21" s="9">
        <f t="shared" si="1"/>
        <v>85.775000000000006</v>
      </c>
      <c r="AH21" s="9">
        <f t="shared" si="2"/>
        <v>0.9515698730371166</v>
      </c>
      <c r="AI21" s="9">
        <f t="shared" si="3"/>
        <v>0.9054852232718742</v>
      </c>
      <c r="AJ21" s="9">
        <f t="shared" si="4"/>
        <v>0.345219015970539</v>
      </c>
      <c r="AK21" s="9">
        <f t="shared" si="5"/>
        <v>0.11917616898766727</v>
      </c>
      <c r="AL21" s="9">
        <f t="shared" si="6"/>
        <v>0.15573820385236672</v>
      </c>
      <c r="AM21" s="9">
        <f t="shared" si="7"/>
        <v>2.4254388139161333E-2</v>
      </c>
      <c r="AN21" s="8" t="s">
        <v>143</v>
      </c>
    </row>
    <row r="22" spans="13:40" ht="23">
      <c r="M22" s="8" t="s">
        <v>47</v>
      </c>
      <c r="N22" s="8" t="s">
        <v>19</v>
      </c>
      <c r="O22" s="8"/>
      <c r="P22" s="8" t="s">
        <v>3691</v>
      </c>
      <c r="Q22" s="8"/>
      <c r="R22" s="8"/>
      <c r="S22" s="8"/>
      <c r="T22" s="8"/>
      <c r="U22" s="8"/>
      <c r="V22" s="8"/>
      <c r="W22" s="8" t="s">
        <v>47</v>
      </c>
      <c r="X22" s="8">
        <v>29.46</v>
      </c>
      <c r="Y22" s="8">
        <v>65.8</v>
      </c>
      <c r="Z22" s="9">
        <v>39.33</v>
      </c>
      <c r="AA22" s="8">
        <v>106.4</v>
      </c>
      <c r="AB22" s="8">
        <v>430</v>
      </c>
      <c r="AC22" s="21" t="s">
        <v>47</v>
      </c>
      <c r="AD22" s="8" t="s">
        <v>3688</v>
      </c>
      <c r="AE22" s="8" t="s">
        <v>4085</v>
      </c>
      <c r="AF22" s="9">
        <f t="shared" si="0"/>
        <v>7001.12</v>
      </c>
      <c r="AG22" s="9">
        <f t="shared" si="1"/>
        <v>4208.12</v>
      </c>
      <c r="AH22" s="9">
        <f t="shared" si="2"/>
        <v>0.92463045197396532</v>
      </c>
      <c r="AI22" s="9">
        <f t="shared" si="3"/>
        <v>0.85494147271757936</v>
      </c>
      <c r="AJ22" s="9">
        <f t="shared" si="4"/>
        <v>11.436438626312064</v>
      </c>
      <c r="AK22" s="9">
        <f t="shared" si="5"/>
        <v>130.79212845340257</v>
      </c>
      <c r="AL22" s="9">
        <f t="shared" si="6"/>
        <v>7.6405135575076821</v>
      </c>
      <c r="AM22" s="9">
        <f t="shared" si="7"/>
        <v>58.377447422458694</v>
      </c>
      <c r="AN22" s="8" t="s">
        <v>47</v>
      </c>
    </row>
    <row r="23" spans="13:40" ht="23">
      <c r="M23" s="8" t="s">
        <v>331</v>
      </c>
      <c r="N23" s="8" t="s">
        <v>150</v>
      </c>
      <c r="O23" s="8"/>
      <c r="P23" s="8" t="s">
        <v>3691</v>
      </c>
      <c r="Q23" s="8"/>
      <c r="R23" s="8"/>
      <c r="S23" s="8"/>
      <c r="T23" s="8"/>
      <c r="U23" s="8"/>
      <c r="V23" s="8"/>
      <c r="W23" s="8" t="s">
        <v>331</v>
      </c>
      <c r="X23" s="8">
        <v>6.6</v>
      </c>
      <c r="Y23" s="8">
        <v>25.12</v>
      </c>
      <c r="Z23" s="9">
        <v>15</v>
      </c>
      <c r="AA23" s="8">
        <v>93.5</v>
      </c>
      <c r="AB23" s="8">
        <v>761</v>
      </c>
      <c r="AC23" s="21" t="s">
        <v>331</v>
      </c>
      <c r="AD23" s="8" t="s">
        <v>3688</v>
      </c>
      <c r="AE23" s="8" t="s">
        <v>4085</v>
      </c>
      <c r="AF23" s="9">
        <f t="shared" si="0"/>
        <v>2348.7200000000003</v>
      </c>
      <c r="AG23" s="9">
        <f t="shared" si="1"/>
        <v>1425.875</v>
      </c>
      <c r="AH23" s="9">
        <f t="shared" si="2"/>
        <v>0.81252769980794881</v>
      </c>
      <c r="AI23" s="9">
        <f t="shared" si="3"/>
        <v>0.66020126295519621</v>
      </c>
      <c r="AJ23" s="9">
        <f t="shared" si="4"/>
        <v>3.8366707227403154</v>
      </c>
      <c r="AK23" s="9">
        <f t="shared" si="5"/>
        <v>14.720042234732695</v>
      </c>
      <c r="AL23" s="9">
        <f t="shared" si="6"/>
        <v>2.5889036597842421</v>
      </c>
      <c r="AM23" s="9">
        <f t="shared" si="7"/>
        <v>6.702422159644243</v>
      </c>
      <c r="AN23" s="8" t="s">
        <v>331</v>
      </c>
    </row>
    <row r="24" spans="13:40" ht="23">
      <c r="M24" s="8" t="s">
        <v>268</v>
      </c>
      <c r="N24" s="8" t="s">
        <v>150</v>
      </c>
      <c r="O24" s="8"/>
      <c r="P24" s="8" t="s">
        <v>3691</v>
      </c>
      <c r="Q24" s="8"/>
      <c r="R24" s="8"/>
      <c r="S24" s="8"/>
      <c r="T24" s="8"/>
      <c r="U24" s="8"/>
      <c r="V24" s="8"/>
      <c r="W24" s="8" t="s">
        <v>268</v>
      </c>
      <c r="X24" s="8">
        <v>50.21</v>
      </c>
      <c r="Y24" s="8">
        <v>2.5299999999999998</v>
      </c>
      <c r="Z24" s="9">
        <v>3.23</v>
      </c>
      <c r="AA24" s="8">
        <v>83.5</v>
      </c>
      <c r="AB24" s="8">
        <v>1936</v>
      </c>
      <c r="AC24" s="21" t="s">
        <v>268</v>
      </c>
      <c r="AD24" s="8" t="s">
        <v>4019</v>
      </c>
      <c r="AE24" s="8" t="s">
        <v>4085</v>
      </c>
      <c r="AF24" s="9">
        <f t="shared" si="0"/>
        <v>211.255</v>
      </c>
      <c r="AG24" s="9">
        <f t="shared" si="1"/>
        <v>282.50833333333333</v>
      </c>
      <c r="AH24" s="9">
        <f t="shared" si="2"/>
        <v>0.72562634153971906</v>
      </c>
      <c r="AI24" s="9">
        <f t="shared" si="3"/>
        <v>0.52653358753631696</v>
      </c>
      <c r="AJ24" s="9">
        <f t="shared" si="4"/>
        <v>0.34508833472380923</v>
      </c>
      <c r="AK24" s="9">
        <f t="shared" si="5"/>
        <v>0.1190859587624518</v>
      </c>
      <c r="AL24" s="9">
        <f t="shared" si="6"/>
        <v>0.51293897297183366</v>
      </c>
      <c r="AM24" s="9">
        <f t="shared" si="7"/>
        <v>0.26310638999339953</v>
      </c>
      <c r="AN24" s="8" t="s">
        <v>268</v>
      </c>
    </row>
    <row r="25" spans="13:40" ht="23">
      <c r="M25" s="8" t="s">
        <v>224</v>
      </c>
      <c r="N25" s="8" t="s">
        <v>150</v>
      </c>
      <c r="O25" s="8"/>
      <c r="P25" s="8" t="s">
        <v>4008</v>
      </c>
      <c r="Q25" s="8"/>
      <c r="R25" s="8"/>
      <c r="S25" s="8"/>
      <c r="T25" s="8"/>
      <c r="U25" s="8"/>
      <c r="V25" s="8"/>
      <c r="W25" s="8" t="s">
        <v>224</v>
      </c>
      <c r="X25" s="8">
        <v>38.31</v>
      </c>
      <c r="Y25" s="8">
        <v>1.86</v>
      </c>
      <c r="Z25" s="9">
        <v>1.02</v>
      </c>
      <c r="AA25" s="8">
        <v>76.599999999999994</v>
      </c>
      <c r="AB25" s="8">
        <v>4066</v>
      </c>
      <c r="AC25" s="21" t="s">
        <v>224</v>
      </c>
      <c r="AD25" s="8" t="s">
        <v>3688</v>
      </c>
      <c r="AE25" s="8" t="s">
        <v>4085</v>
      </c>
      <c r="AF25" s="9">
        <f t="shared" si="0"/>
        <v>142.476</v>
      </c>
      <c r="AG25" s="9">
        <f t="shared" si="1"/>
        <v>79.153333333333336</v>
      </c>
      <c r="AH25" s="9">
        <f t="shared" si="2"/>
        <v>0.66566440433464036</v>
      </c>
      <c r="AI25" s="9">
        <f t="shared" si="3"/>
        <v>0.44310909919819158</v>
      </c>
      <c r="AJ25" s="9">
        <f t="shared" si="4"/>
        <v>0.23273676636344437</v>
      </c>
      <c r="AK25" s="9">
        <f t="shared" si="5"/>
        <v>5.4166402417312493E-2</v>
      </c>
      <c r="AL25" s="9">
        <f t="shared" si="6"/>
        <v>0.14371551107270183</v>
      </c>
      <c r="AM25" s="9">
        <f t="shared" si="7"/>
        <v>2.0654148122887885E-2</v>
      </c>
      <c r="AN25" s="8" t="s">
        <v>224</v>
      </c>
    </row>
    <row r="26" spans="13:40" ht="23">
      <c r="M26" s="8" t="s">
        <v>1829</v>
      </c>
      <c r="N26" s="8" t="s">
        <v>1814</v>
      </c>
      <c r="O26" s="8"/>
      <c r="P26" s="8" t="s">
        <v>3691</v>
      </c>
      <c r="Q26" s="8"/>
      <c r="R26" s="8"/>
      <c r="S26" s="8"/>
      <c r="T26" s="8"/>
      <c r="U26" s="8"/>
      <c r="V26" s="8"/>
      <c r="W26" s="8" t="s">
        <v>1829</v>
      </c>
      <c r="X26" s="8">
        <v>22.5</v>
      </c>
      <c r="Y26" s="8">
        <v>32.69</v>
      </c>
      <c r="Z26" s="9">
        <v>17.38</v>
      </c>
      <c r="AA26" s="8">
        <v>70.2</v>
      </c>
      <c r="AB26" s="8">
        <v>675</v>
      </c>
      <c r="AC26" s="21" t="s">
        <v>1829</v>
      </c>
      <c r="AD26" s="8" t="s">
        <v>4019</v>
      </c>
      <c r="AE26" s="8" t="s">
        <v>4085</v>
      </c>
      <c r="AF26" s="9">
        <f t="shared" si="0"/>
        <v>2294.8379999999997</v>
      </c>
      <c r="AG26" s="9">
        <f t="shared" si="1"/>
        <v>1237.8600000000001</v>
      </c>
      <c r="AH26" s="9">
        <f t="shared" si="2"/>
        <v>0.61004753504297338</v>
      </c>
      <c r="AI26" s="9">
        <f t="shared" si="3"/>
        <v>0.3721579950120078</v>
      </c>
      <c r="AJ26" s="9">
        <f t="shared" si="4"/>
        <v>3.7486536360366229</v>
      </c>
      <c r="AK26" s="9">
        <f t="shared" si="5"/>
        <v>14.052404082970593</v>
      </c>
      <c r="AL26" s="9">
        <f t="shared" si="6"/>
        <v>2.2475324164464081</v>
      </c>
      <c r="AM26" s="9">
        <f t="shared" si="7"/>
        <v>5.0514019629774305</v>
      </c>
      <c r="AN26" s="8" t="s">
        <v>1829</v>
      </c>
    </row>
    <row r="27" spans="13:40" ht="23">
      <c r="M27" s="8" t="s">
        <v>1661</v>
      </c>
      <c r="N27" s="8" t="s">
        <v>1614</v>
      </c>
      <c r="O27" s="8"/>
      <c r="P27" s="8"/>
      <c r="Q27" s="8"/>
      <c r="R27" s="8"/>
      <c r="S27" s="8"/>
      <c r="T27" s="8"/>
      <c r="U27" s="8"/>
      <c r="V27" s="8"/>
      <c r="W27" s="8" t="s">
        <v>1661</v>
      </c>
      <c r="X27" s="8">
        <v>31.41</v>
      </c>
      <c r="Y27" s="8">
        <v>3.71</v>
      </c>
      <c r="Z27" s="9">
        <v>4.47</v>
      </c>
      <c r="AA27" s="8">
        <v>66.3</v>
      </c>
      <c r="AB27" s="8">
        <v>2125</v>
      </c>
      <c r="AC27" s="21" t="s">
        <v>1661</v>
      </c>
      <c r="AD27" s="8" t="s">
        <v>4019</v>
      </c>
      <c r="AE27" s="8" t="s">
        <v>4085</v>
      </c>
      <c r="AF27" s="9">
        <f t="shared" si="0"/>
        <v>245.97299999999998</v>
      </c>
      <c r="AG27" s="9">
        <f t="shared" si="1"/>
        <v>317.13499999999999</v>
      </c>
      <c r="AH27" s="9">
        <f t="shared" si="2"/>
        <v>0.57615600531836364</v>
      </c>
      <c r="AI27" s="9">
        <f t="shared" si="3"/>
        <v>0.33195574246441428</v>
      </c>
      <c r="AJ27" s="9">
        <f t="shared" si="4"/>
        <v>0.40180072877337591</v>
      </c>
      <c r="AK27" s="9">
        <f t="shared" si="5"/>
        <v>0.16144382564281601</v>
      </c>
      <c r="AL27" s="9">
        <f t="shared" si="6"/>
        <v>0.57580921339225077</v>
      </c>
      <c r="AM27" s="9">
        <f t="shared" si="7"/>
        <v>0.33155625022740259</v>
      </c>
      <c r="AN27" s="8" t="s">
        <v>1661</v>
      </c>
    </row>
    <row r="28" spans="13:40" ht="23">
      <c r="M28" s="9" t="s">
        <v>3149</v>
      </c>
      <c r="N28" s="8" t="s">
        <v>1869</v>
      </c>
      <c r="O28" s="8"/>
      <c r="P28" s="8" t="s">
        <v>3691</v>
      </c>
      <c r="Q28" s="8"/>
      <c r="R28" s="8"/>
      <c r="S28" s="8"/>
      <c r="T28" s="8"/>
      <c r="U28" s="8"/>
      <c r="V28" s="8"/>
      <c r="W28" s="9" t="s">
        <v>3149</v>
      </c>
      <c r="X28" s="8">
        <v>22.55</v>
      </c>
      <c r="Y28" s="8">
        <v>5.67</v>
      </c>
      <c r="Z28" s="9">
        <v>4.43</v>
      </c>
      <c r="AA28" s="8">
        <v>64.8</v>
      </c>
      <c r="AB28" s="8">
        <v>1706</v>
      </c>
      <c r="AC28" s="22" t="s">
        <v>3149</v>
      </c>
      <c r="AD28" s="8" t="s">
        <v>4019</v>
      </c>
      <c r="AE28" s="8" t="s">
        <v>4085</v>
      </c>
      <c r="AF28" s="9">
        <f t="shared" si="0"/>
        <v>367.416</v>
      </c>
      <c r="AG28" s="9">
        <f t="shared" si="1"/>
        <v>305.64</v>
      </c>
      <c r="AH28" s="9">
        <f t="shared" si="2"/>
        <v>0.56312080157812927</v>
      </c>
      <c r="AI28" s="9">
        <f t="shared" si="3"/>
        <v>0.31710503716999483</v>
      </c>
      <c r="AJ28" s="9">
        <f t="shared" si="4"/>
        <v>0.60017976185597066</v>
      </c>
      <c r="AK28" s="9">
        <f t="shared" si="5"/>
        <v>0.36021574654148963</v>
      </c>
      <c r="AL28" s="9">
        <f t="shared" si="6"/>
        <v>0.55493820606747135</v>
      </c>
      <c r="AM28" s="9">
        <f t="shared" si="7"/>
        <v>0.3079564125533833</v>
      </c>
      <c r="AN28" s="9" t="s">
        <v>3149</v>
      </c>
    </row>
    <row r="29" spans="13:40" ht="23">
      <c r="M29" s="8" t="s">
        <v>1437</v>
      </c>
      <c r="N29" s="8" t="s">
        <v>150</v>
      </c>
      <c r="O29" s="8"/>
      <c r="P29" s="8" t="s">
        <v>4662</v>
      </c>
      <c r="Q29" s="8"/>
      <c r="R29" s="8"/>
      <c r="S29" s="8"/>
      <c r="T29" s="8"/>
      <c r="U29" s="8"/>
      <c r="V29" s="8"/>
      <c r="W29" s="8" t="s">
        <v>1437</v>
      </c>
      <c r="X29" s="8">
        <v>14.56</v>
      </c>
      <c r="Y29" s="8">
        <v>2.12</v>
      </c>
      <c r="Z29" s="9">
        <v>1</v>
      </c>
      <c r="AA29" s="8">
        <v>64.099999999999994</v>
      </c>
      <c r="AB29" s="8">
        <v>5628</v>
      </c>
      <c r="AC29" s="21" t="s">
        <v>1437</v>
      </c>
      <c r="AD29" s="8" t="s">
        <v>4019</v>
      </c>
      <c r="AE29" s="8" t="s">
        <v>4085</v>
      </c>
      <c r="AF29" s="9">
        <f t="shared" si="0"/>
        <v>135.892</v>
      </c>
      <c r="AG29" s="9">
        <f t="shared" si="1"/>
        <v>65.168333333333322</v>
      </c>
      <c r="AH29" s="9">
        <f t="shared" si="2"/>
        <v>0.55703770649935314</v>
      </c>
      <c r="AI29" s="9">
        <f t="shared" si="3"/>
        <v>0.31029100646205948</v>
      </c>
      <c r="AJ29" s="9">
        <f t="shared" si="4"/>
        <v>0.22198169975758153</v>
      </c>
      <c r="AK29" s="9">
        <f t="shared" si="5"/>
        <v>4.9275875027265069E-2</v>
      </c>
      <c r="AL29" s="9">
        <f t="shared" si="6"/>
        <v>0.1183235112956648</v>
      </c>
      <c r="AM29" s="9">
        <f t="shared" si="7"/>
        <v>1.4000453325335317E-2</v>
      </c>
      <c r="AN29" s="8" t="s">
        <v>1437</v>
      </c>
    </row>
    <row r="30" spans="13:40" ht="23">
      <c r="M30" s="9" t="s">
        <v>2779</v>
      </c>
      <c r="N30" s="8" t="s">
        <v>1614</v>
      </c>
      <c r="O30" s="8"/>
      <c r="P30" s="8"/>
      <c r="Q30" s="8"/>
      <c r="R30" s="8"/>
      <c r="S30" s="8"/>
      <c r="T30" s="8"/>
      <c r="U30" s="8"/>
      <c r="V30" s="8"/>
      <c r="W30" s="9" t="s">
        <v>2779</v>
      </c>
      <c r="X30" s="8">
        <v>5.76</v>
      </c>
      <c r="Y30" s="8">
        <v>2.7</v>
      </c>
      <c r="Z30" s="9">
        <v>1.35</v>
      </c>
      <c r="AA30" s="8">
        <v>63.9</v>
      </c>
      <c r="AB30" s="8">
        <v>7281</v>
      </c>
      <c r="AC30" s="22" t="s">
        <v>2779</v>
      </c>
      <c r="AD30" s="8" t="s">
        <v>4479</v>
      </c>
      <c r="AE30" s="8" t="s">
        <v>4085</v>
      </c>
      <c r="AF30" s="9">
        <f t="shared" si="0"/>
        <v>172.53</v>
      </c>
      <c r="AG30" s="9">
        <f t="shared" si="1"/>
        <v>101.17500000000001</v>
      </c>
      <c r="AH30" s="9">
        <f t="shared" si="2"/>
        <v>0.55529967933398849</v>
      </c>
      <c r="AI30" s="9">
        <f t="shared" si="3"/>
        <v>0.30835773386843046</v>
      </c>
      <c r="AJ30" s="9">
        <f t="shared" si="4"/>
        <v>0.2818304437286635</v>
      </c>
      <c r="AK30" s="9">
        <f t="shared" si="5"/>
        <v>7.942839901229537E-2</v>
      </c>
      <c r="AL30" s="9">
        <f t="shared" si="6"/>
        <v>0.1836993619908272</v>
      </c>
      <c r="AM30" s="9">
        <f t="shared" si="7"/>
        <v>3.3745455595836971E-2</v>
      </c>
      <c r="AN30" s="9" t="s">
        <v>2779</v>
      </c>
    </row>
    <row r="31" spans="13:40" ht="23">
      <c r="M31" s="8" t="s">
        <v>1741</v>
      </c>
      <c r="N31" s="8" t="s">
        <v>1717</v>
      </c>
      <c r="O31" s="8"/>
      <c r="P31" s="8" t="s">
        <v>3698</v>
      </c>
      <c r="Q31" s="8"/>
      <c r="R31" s="8"/>
      <c r="S31" s="8"/>
      <c r="T31" s="8"/>
      <c r="U31" s="8"/>
      <c r="V31" s="8"/>
      <c r="W31" s="8" t="s">
        <v>1741</v>
      </c>
      <c r="X31" s="8">
        <v>21.75</v>
      </c>
      <c r="Y31" s="8">
        <v>7.4</v>
      </c>
      <c r="Z31" s="9">
        <v>7.51</v>
      </c>
      <c r="AA31" s="8">
        <v>56.6</v>
      </c>
      <c r="AB31" s="8">
        <v>1858</v>
      </c>
      <c r="AC31" s="21" t="s">
        <v>1741</v>
      </c>
      <c r="AD31" s="8" t="s">
        <v>4019</v>
      </c>
      <c r="AE31" s="8" t="s">
        <v>4085</v>
      </c>
      <c r="AF31" s="9">
        <f t="shared" si="0"/>
        <v>418.84000000000003</v>
      </c>
      <c r="AG31" s="9">
        <f t="shared" si="1"/>
        <v>444.31</v>
      </c>
      <c r="AH31" s="9">
        <f t="shared" si="2"/>
        <v>0.49186168779818079</v>
      </c>
      <c r="AI31" s="9">
        <f t="shared" si="3"/>
        <v>0.24192791992367507</v>
      </c>
      <c r="AJ31" s="9">
        <f t="shared" si="4"/>
        <v>0.68418166725388885</v>
      </c>
      <c r="AK31" s="9">
        <f t="shared" si="5"/>
        <v>0.46810455380631105</v>
      </c>
      <c r="AL31" s="9">
        <f t="shared" si="6"/>
        <v>0.80671572548697223</v>
      </c>
      <c r="AM31" s="9">
        <f t="shared" si="7"/>
        <v>0.65079026174797194</v>
      </c>
      <c r="AN31" s="8" t="s">
        <v>1741</v>
      </c>
    </row>
    <row r="32" spans="13:40" ht="23">
      <c r="M32" s="8" t="s">
        <v>1326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1326</v>
      </c>
      <c r="X32" s="8">
        <v>37.770000000000003</v>
      </c>
      <c r="Y32" s="8">
        <v>3.6</v>
      </c>
      <c r="Z32" s="9">
        <v>3.22</v>
      </c>
      <c r="AA32" s="8">
        <v>55.7</v>
      </c>
      <c r="AB32" s="8">
        <v>2429</v>
      </c>
      <c r="AC32" s="21" t="s">
        <v>1326</v>
      </c>
      <c r="AD32" s="8" t="s">
        <v>4019</v>
      </c>
      <c r="AE32" s="8" t="s">
        <v>4085</v>
      </c>
      <c r="AF32" s="9">
        <f t="shared" si="0"/>
        <v>200.52</v>
      </c>
      <c r="AG32" s="9">
        <f t="shared" si="1"/>
        <v>187.52333333333334</v>
      </c>
      <c r="AH32" s="9">
        <f t="shared" si="2"/>
        <v>0.48404056555404013</v>
      </c>
      <c r="AI32" s="9">
        <f t="shared" si="3"/>
        <v>0.23429526910187501</v>
      </c>
      <c r="AJ32" s="9">
        <f t="shared" si="4"/>
        <v>0.32755254492825364</v>
      </c>
      <c r="AK32" s="9">
        <f t="shared" si="5"/>
        <v>0.10729066968897562</v>
      </c>
      <c r="AL32" s="9">
        <f t="shared" si="6"/>
        <v>0.34047854402497207</v>
      </c>
      <c r="AM32" s="9">
        <f t="shared" si="7"/>
        <v>0.11592563894136484</v>
      </c>
      <c r="AN32" s="8" t="s">
        <v>1326</v>
      </c>
    </row>
    <row r="33" spans="13:40" ht="23">
      <c r="M33" s="8" t="s">
        <v>404</v>
      </c>
      <c r="N33" s="8" t="s">
        <v>150</v>
      </c>
      <c r="O33" s="8"/>
      <c r="P33" s="8" t="s">
        <v>3691</v>
      </c>
      <c r="Q33" s="8"/>
      <c r="R33" s="8"/>
      <c r="S33" s="8"/>
      <c r="T33" s="8"/>
      <c r="U33" s="8"/>
      <c r="V33" s="8"/>
      <c r="W33" s="8" t="s">
        <v>404</v>
      </c>
      <c r="X33" s="8">
        <v>3.77</v>
      </c>
      <c r="Y33" s="8">
        <v>3.36</v>
      </c>
      <c r="Z33" s="9">
        <v>2.02</v>
      </c>
      <c r="AA33" s="8">
        <v>48.4</v>
      </c>
      <c r="AB33" s="8">
        <v>9532</v>
      </c>
      <c r="AC33" s="21" t="s">
        <v>404</v>
      </c>
      <c r="AD33" s="8" t="s">
        <v>4019</v>
      </c>
      <c r="AE33" s="8" t="s">
        <v>4085</v>
      </c>
      <c r="AF33" s="9">
        <f t="shared" si="0"/>
        <v>162.624</v>
      </c>
      <c r="AG33" s="9">
        <f t="shared" si="1"/>
        <v>98.413333333333327</v>
      </c>
      <c r="AH33" s="9">
        <f t="shared" si="2"/>
        <v>0.42060257401823231</v>
      </c>
      <c r="AI33" s="9">
        <f t="shared" si="3"/>
        <v>0.17690652527076259</v>
      </c>
      <c r="AJ33" s="9">
        <f t="shared" si="4"/>
        <v>0.26564883835234548</v>
      </c>
      <c r="AK33" s="9">
        <f t="shared" si="5"/>
        <v>7.0569305317950581E-2</v>
      </c>
      <c r="AL33" s="9">
        <f t="shared" si="6"/>
        <v>0.17868511534197121</v>
      </c>
      <c r="AM33" s="9">
        <f t="shared" si="7"/>
        <v>3.1928370444773556E-2</v>
      </c>
      <c r="AN33" s="8" t="s">
        <v>404</v>
      </c>
    </row>
    <row r="34" spans="13:40" ht="23">
      <c r="M34" s="8" t="s">
        <v>1663</v>
      </c>
      <c r="N34" s="8" t="s">
        <v>1614</v>
      </c>
      <c r="O34" s="8"/>
      <c r="P34" s="8"/>
      <c r="Q34" s="8"/>
      <c r="R34" s="8"/>
      <c r="S34" s="8"/>
      <c r="T34" s="8"/>
      <c r="U34" s="8"/>
      <c r="V34" s="8"/>
      <c r="W34" s="8" t="s">
        <v>1663</v>
      </c>
      <c r="X34" s="8">
        <v>42.69</v>
      </c>
      <c r="Y34" s="8">
        <v>1.1200000000000001</v>
      </c>
      <c r="Z34" s="9">
        <v>1.02</v>
      </c>
      <c r="AA34" s="8">
        <v>48.2</v>
      </c>
      <c r="AB34" s="8">
        <v>100009</v>
      </c>
      <c r="AC34" s="21" t="s">
        <v>1663</v>
      </c>
      <c r="AD34" s="8" t="s">
        <v>4019</v>
      </c>
      <c r="AE34" s="8" t="s">
        <v>4085</v>
      </c>
      <c r="AF34" s="9">
        <f t="shared" ref="AF34:AF65" si="8">(AA34*Y34)</f>
        <v>53.984000000000009</v>
      </c>
      <c r="AG34" s="9">
        <f t="shared" ref="AG34:AG65" si="9">((((RIGHT(Z34,2))/60)+(LEFT(Z34,2)))*AA34)</f>
        <v>49.806666666666672</v>
      </c>
      <c r="AH34" s="9">
        <f t="shared" ref="AH34:AH65" si="10">(AA34/$AA$180)*100</f>
        <v>0.41886454685286773</v>
      </c>
      <c r="AI34" s="9">
        <f t="shared" ref="AI34:AI65" si="11">(AH34*AH34)</f>
        <v>0.17544750861025823</v>
      </c>
      <c r="AJ34" s="9">
        <f t="shared" ref="AJ34:AJ65" si="12">(AF34/$AF$180)*100</f>
        <v>8.8183705293271741E-2</v>
      </c>
      <c r="AK34" s="9">
        <f t="shared" ref="AK34:AK65" si="13">(AJ34*AJ34)</f>
        <v>7.7763658792506024E-3</v>
      </c>
      <c r="AL34" s="9">
        <f t="shared" ref="AL34:AL65" si="14">(AG34/$AG$180)*100</f>
        <v>9.0431953442613955E-2</v>
      </c>
      <c r="AM34" s="9">
        <f t="shared" ref="AM34:AM65" si="15">(AL34*AL34)</f>
        <v>8.1779382034470986E-3</v>
      </c>
      <c r="AN34" s="8" t="s">
        <v>1663</v>
      </c>
    </row>
    <row r="35" spans="13:40" ht="23">
      <c r="M35" s="8" t="s">
        <v>4757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8" t="s">
        <v>4757</v>
      </c>
      <c r="X35" s="8">
        <v>3.01</v>
      </c>
      <c r="Y35" s="8">
        <v>9.6</v>
      </c>
      <c r="Z35" s="9">
        <v>5.54</v>
      </c>
      <c r="AA35" s="8">
        <v>47.5</v>
      </c>
      <c r="AB35" s="8">
        <v>11614</v>
      </c>
      <c r="AC35" s="21" t="s">
        <v>4757</v>
      </c>
      <c r="AD35" s="8" t="s">
        <v>4019</v>
      </c>
      <c r="AE35" s="8" t="s">
        <v>4085</v>
      </c>
      <c r="AF35" s="9">
        <f t="shared" si="8"/>
        <v>456</v>
      </c>
      <c r="AG35" s="9">
        <f t="shared" si="9"/>
        <v>280.25</v>
      </c>
      <c r="AH35" s="9">
        <f t="shared" si="10"/>
        <v>0.41278145177409165</v>
      </c>
      <c r="AI35" s="9">
        <f t="shared" si="11"/>
        <v>0.17038852692872675</v>
      </c>
      <c r="AJ35" s="9">
        <f t="shared" si="12"/>
        <v>0.74488310635988264</v>
      </c>
      <c r="AK35" s="9">
        <f t="shared" si="13"/>
        <v>0.55485084214034819</v>
      </c>
      <c r="AL35" s="9">
        <f t="shared" si="14"/>
        <v>0.50883860833139927</v>
      </c>
      <c r="AM35" s="9">
        <f t="shared" si="15"/>
        <v>0.25891672932863513</v>
      </c>
      <c r="AN35" s="8" t="s">
        <v>4757</v>
      </c>
    </row>
    <row r="36" spans="13:40" ht="23">
      <c r="M36" s="9" t="s">
        <v>2897</v>
      </c>
      <c r="N36" s="8" t="s">
        <v>1717</v>
      </c>
      <c r="O36" s="8"/>
      <c r="P36" s="8" t="s">
        <v>4667</v>
      </c>
      <c r="Q36" s="8"/>
      <c r="R36" s="8"/>
      <c r="S36" s="8"/>
      <c r="T36" s="8"/>
      <c r="U36" s="8"/>
      <c r="V36" s="8"/>
      <c r="W36" s="9" t="s">
        <v>2897</v>
      </c>
      <c r="X36" s="8">
        <v>15.35</v>
      </c>
      <c r="Y36" s="8">
        <v>1.98</v>
      </c>
      <c r="Z36" s="9">
        <v>1.04</v>
      </c>
      <c r="AA36" s="8">
        <v>40.4</v>
      </c>
      <c r="AB36" s="8">
        <v>5739</v>
      </c>
      <c r="AC36" s="22" t="s">
        <v>2897</v>
      </c>
      <c r="AD36" s="8" t="s">
        <v>4019</v>
      </c>
      <c r="AE36" s="8" t="s">
        <v>4085</v>
      </c>
      <c r="AF36" s="9">
        <f t="shared" si="8"/>
        <v>79.99199999999999</v>
      </c>
      <c r="AG36" s="9">
        <f t="shared" si="9"/>
        <v>43.093333333333334</v>
      </c>
      <c r="AH36" s="9">
        <f t="shared" si="10"/>
        <v>0.35108148740364847</v>
      </c>
      <c r="AI36" s="9">
        <f t="shared" si="11"/>
        <v>0.12325821079755818</v>
      </c>
      <c r="AJ36" s="9">
        <f t="shared" si="12"/>
        <v>0.130668178605131</v>
      </c>
      <c r="AK36" s="9">
        <f t="shared" si="13"/>
        <v>1.7074172899982414E-2</v>
      </c>
      <c r="AL36" s="9">
        <f t="shared" si="14"/>
        <v>7.8242825197839191E-2</v>
      </c>
      <c r="AM36" s="9">
        <f t="shared" si="15"/>
        <v>6.1219396949396196E-3</v>
      </c>
      <c r="AN36" s="9" t="s">
        <v>2897</v>
      </c>
    </row>
    <row r="37" spans="13:40" ht="23">
      <c r="M37" s="8" t="s">
        <v>1658</v>
      </c>
      <c r="N37" s="8" t="s">
        <v>1614</v>
      </c>
      <c r="O37" s="8"/>
      <c r="P37" s="8" t="s">
        <v>3692</v>
      </c>
      <c r="Q37" s="8"/>
      <c r="R37" s="8"/>
      <c r="S37" s="8"/>
      <c r="T37" s="8"/>
      <c r="U37" s="8"/>
      <c r="V37" s="8"/>
      <c r="W37" s="8" t="s">
        <v>1658</v>
      </c>
      <c r="X37" s="8">
        <v>10.46</v>
      </c>
      <c r="Y37" s="8">
        <v>48.5</v>
      </c>
      <c r="Z37" s="9">
        <v>46.09</v>
      </c>
      <c r="AA37" s="8">
        <v>39.1</v>
      </c>
      <c r="AB37" s="8">
        <v>1048</v>
      </c>
      <c r="AC37" s="21" t="s">
        <v>1658</v>
      </c>
      <c r="AD37" s="8" t="s">
        <v>4019</v>
      </c>
      <c r="AE37" s="8" t="s">
        <v>4085</v>
      </c>
      <c r="AF37" s="9">
        <f t="shared" si="8"/>
        <v>1896.3500000000001</v>
      </c>
      <c r="AG37" s="9">
        <f t="shared" si="9"/>
        <v>1804.4649999999999</v>
      </c>
      <c r="AH37" s="9">
        <f t="shared" si="10"/>
        <v>0.33978431082877858</v>
      </c>
      <c r="AI37" s="9">
        <f t="shared" si="11"/>
        <v>0.11545337788538802</v>
      </c>
      <c r="AJ37" s="9">
        <f t="shared" si="12"/>
        <v>3.0977172779507973</v>
      </c>
      <c r="AK37" s="9">
        <f t="shared" si="13"/>
        <v>9.5958523341148965</v>
      </c>
      <c r="AL37" s="9">
        <f t="shared" si="14"/>
        <v>3.2762942350855244</v>
      </c>
      <c r="AM37" s="9">
        <f t="shared" si="15"/>
        <v>10.734103914854641</v>
      </c>
      <c r="AN37" s="8" t="s">
        <v>1658</v>
      </c>
    </row>
    <row r="38" spans="13:40" ht="23">
      <c r="M38" s="8" t="s">
        <v>218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8" t="s">
        <v>218</v>
      </c>
      <c r="X38" s="8">
        <v>45.55</v>
      </c>
      <c r="Y38" s="8">
        <v>1.0900000000000001</v>
      </c>
      <c r="Z38" s="9">
        <v>0.06</v>
      </c>
      <c r="AA38" s="8">
        <v>35.700000000000003</v>
      </c>
      <c r="AB38" s="8">
        <v>37635</v>
      </c>
      <c r="AC38" s="21" t="s">
        <v>218</v>
      </c>
      <c r="AD38" s="8" t="s">
        <v>3688</v>
      </c>
      <c r="AE38" s="8" t="s">
        <v>4085</v>
      </c>
      <c r="AF38" s="9">
        <f t="shared" si="8"/>
        <v>38.913000000000004</v>
      </c>
      <c r="AG38" s="9">
        <f t="shared" si="9"/>
        <v>3.5700000000000003</v>
      </c>
      <c r="AH38" s="9">
        <f t="shared" si="10"/>
        <v>0.31023784901758045</v>
      </c>
      <c r="AI38" s="9">
        <f t="shared" si="11"/>
        <v>9.6247522963055041E-2</v>
      </c>
      <c r="AJ38" s="9">
        <f t="shared" si="12"/>
        <v>6.3564991924960776E-2</v>
      </c>
      <c r="AK38" s="9">
        <f t="shared" si="13"/>
        <v>4.0405081984203287E-3</v>
      </c>
      <c r="AL38" s="9">
        <f t="shared" si="14"/>
        <v>6.481904841188566E-3</v>
      </c>
      <c r="AM38" s="9">
        <f t="shared" si="15"/>
        <v>4.2015090370223766E-5</v>
      </c>
      <c r="AN38" s="8" t="s">
        <v>218</v>
      </c>
    </row>
    <row r="39" spans="13:40" ht="23">
      <c r="M39" s="8" t="s">
        <v>270</v>
      </c>
      <c r="N39" s="8" t="s">
        <v>150</v>
      </c>
      <c r="O39" s="8"/>
      <c r="P39" s="8" t="s">
        <v>4672</v>
      </c>
      <c r="Q39" s="8"/>
      <c r="R39" s="8"/>
      <c r="S39" s="8"/>
      <c r="T39" s="8"/>
      <c r="U39" s="8"/>
      <c r="V39" s="8"/>
      <c r="W39" s="8" t="s">
        <v>270</v>
      </c>
      <c r="X39" s="8">
        <v>21.96</v>
      </c>
      <c r="Y39" s="8">
        <v>7.48</v>
      </c>
      <c r="Z39" s="9">
        <v>7.26</v>
      </c>
      <c r="AA39" s="8">
        <v>34.5</v>
      </c>
      <c r="AB39" s="8">
        <v>2712</v>
      </c>
      <c r="AC39" s="21" t="s">
        <v>270</v>
      </c>
      <c r="AD39" s="8" t="s">
        <v>4019</v>
      </c>
      <c r="AE39" s="8" t="s">
        <v>4085</v>
      </c>
      <c r="AF39" s="9">
        <f t="shared" si="8"/>
        <v>258.06</v>
      </c>
      <c r="AG39" s="9">
        <f t="shared" si="9"/>
        <v>256.45</v>
      </c>
      <c r="AH39" s="9">
        <f t="shared" si="10"/>
        <v>0.29980968602539287</v>
      </c>
      <c r="AI39" s="9">
        <f t="shared" si="11"/>
        <v>8.988584783464465E-2</v>
      </c>
      <c r="AJ39" s="9">
        <f t="shared" si="12"/>
        <v>0.42154503163866519</v>
      </c>
      <c r="AK39" s="9">
        <f t="shared" si="13"/>
        <v>0.17770021369924324</v>
      </c>
      <c r="AL39" s="9">
        <f t="shared" si="14"/>
        <v>0.46562590939014215</v>
      </c>
      <c r="AM39" s="9">
        <f t="shared" si="15"/>
        <v>0.21680748749539686</v>
      </c>
      <c r="AN39" s="8" t="s">
        <v>270</v>
      </c>
    </row>
    <row r="40" spans="13:40" ht="23">
      <c r="M40" s="8" t="s">
        <v>1912</v>
      </c>
      <c r="N40" s="8" t="s">
        <v>1902</v>
      </c>
      <c r="O40" s="8"/>
      <c r="P40" s="8" t="s">
        <v>3691</v>
      </c>
      <c r="Q40" s="8"/>
      <c r="R40" s="8"/>
      <c r="S40" s="8"/>
      <c r="T40" s="8"/>
      <c r="U40" s="8"/>
      <c r="V40" s="8"/>
      <c r="W40" s="8" t="s">
        <v>1912</v>
      </c>
      <c r="X40" s="8">
        <v>28.21</v>
      </c>
      <c r="Y40" s="8">
        <v>5.6</v>
      </c>
      <c r="Z40" s="9">
        <v>6.54</v>
      </c>
      <c r="AA40" s="8">
        <v>33.9</v>
      </c>
      <c r="AB40" s="8">
        <v>2957</v>
      </c>
      <c r="AC40" s="21" t="s">
        <v>1912</v>
      </c>
      <c r="AD40" s="8" t="s">
        <v>4019</v>
      </c>
      <c r="AE40" s="8" t="s">
        <v>4085</v>
      </c>
      <c r="AF40" s="9">
        <f t="shared" si="8"/>
        <v>189.83999999999997</v>
      </c>
      <c r="AG40" s="9">
        <f t="shared" si="9"/>
        <v>233.91</v>
      </c>
      <c r="AH40" s="9">
        <f t="shared" si="10"/>
        <v>0.29459560452929906</v>
      </c>
      <c r="AI40" s="9">
        <f t="shared" si="11"/>
        <v>8.6786570207983166E-2</v>
      </c>
      <c r="AJ40" s="9">
        <f t="shared" si="12"/>
        <v>0.3101065984898248</v>
      </c>
      <c r="AK40" s="9">
        <f t="shared" si="13"/>
        <v>9.6166102426929412E-2</v>
      </c>
      <c r="AL40" s="9">
        <f t="shared" si="14"/>
        <v>0.42470094156930455</v>
      </c>
      <c r="AM40" s="9">
        <f t="shared" si="15"/>
        <v>0.18037088976985383</v>
      </c>
      <c r="AN40" s="8" t="s">
        <v>1912</v>
      </c>
    </row>
    <row r="41" spans="13:40" ht="23">
      <c r="M41" s="8" t="s">
        <v>4752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8" t="s">
        <v>4752</v>
      </c>
      <c r="X41" s="8">
        <v>8.74</v>
      </c>
      <c r="Y41" s="8">
        <v>10.52</v>
      </c>
      <c r="Z41" s="9">
        <v>5.14</v>
      </c>
      <c r="AA41" s="8">
        <v>33.299999999999997</v>
      </c>
      <c r="AB41" s="8">
        <v>18205</v>
      </c>
      <c r="AC41" s="21" t="s">
        <v>4752</v>
      </c>
      <c r="AD41" s="8" t="s">
        <v>4019</v>
      </c>
      <c r="AE41" s="8" t="s">
        <v>4085</v>
      </c>
      <c r="AF41" s="9">
        <f t="shared" si="8"/>
        <v>350.31599999999997</v>
      </c>
      <c r="AG41" s="9">
        <f t="shared" si="9"/>
        <v>174.26999999999998</v>
      </c>
      <c r="AH41" s="9">
        <f t="shared" si="10"/>
        <v>0.28938152303320525</v>
      </c>
      <c r="AI41" s="9">
        <f t="shared" si="11"/>
        <v>8.3741665873017498E-2</v>
      </c>
      <c r="AJ41" s="9">
        <f t="shared" si="12"/>
        <v>0.57224664536747505</v>
      </c>
      <c r="AK41" s="9">
        <f t="shared" si="13"/>
        <v>0.32746622313432877</v>
      </c>
      <c r="AL41" s="9">
        <f t="shared" si="14"/>
        <v>0.31641500186944849</v>
      </c>
      <c r="AM41" s="9">
        <f t="shared" si="15"/>
        <v>0.1001184534080431</v>
      </c>
      <c r="AN41" s="8" t="s">
        <v>4752</v>
      </c>
    </row>
    <row r="42" spans="13:40" ht="23">
      <c r="M42" s="8" t="s">
        <v>1627</v>
      </c>
      <c r="N42" s="8" t="s">
        <v>1614</v>
      </c>
      <c r="O42" s="8"/>
      <c r="P42" s="8" t="s">
        <v>3703</v>
      </c>
      <c r="Q42" s="8"/>
      <c r="R42" s="8"/>
      <c r="S42" s="8"/>
      <c r="T42" s="8"/>
      <c r="U42" s="8"/>
      <c r="V42" s="8"/>
      <c r="W42" s="8" t="s">
        <v>1627</v>
      </c>
      <c r="X42" s="8">
        <v>29.86</v>
      </c>
      <c r="Y42" s="8">
        <v>7.95</v>
      </c>
      <c r="Z42" s="9">
        <v>8</v>
      </c>
      <c r="AA42" s="8">
        <v>31.5</v>
      </c>
      <c r="AB42" s="8">
        <v>2771</v>
      </c>
      <c r="AC42" s="21" t="s">
        <v>1627</v>
      </c>
      <c r="AD42" s="8" t="s">
        <v>4019</v>
      </c>
      <c r="AE42" s="8" t="s">
        <v>4085</v>
      </c>
      <c r="AF42" s="9">
        <f t="shared" si="8"/>
        <v>250.42500000000001</v>
      </c>
      <c r="AG42" s="9">
        <f t="shared" si="9"/>
        <v>256.2</v>
      </c>
      <c r="AH42" s="9">
        <f t="shared" si="10"/>
        <v>0.27373927854492397</v>
      </c>
      <c r="AI42" s="9">
        <f t="shared" si="11"/>
        <v>7.4933192618295466E-2</v>
      </c>
      <c r="AJ42" s="9">
        <f t="shared" si="12"/>
        <v>0.40907314015388951</v>
      </c>
      <c r="AK42" s="9">
        <f t="shared" si="13"/>
        <v>0.16734083399536373</v>
      </c>
      <c r="AL42" s="9">
        <f t="shared" si="14"/>
        <v>0.46517199448529695</v>
      </c>
      <c r="AM42" s="9">
        <f t="shared" si="15"/>
        <v>0.21638498445342913</v>
      </c>
      <c r="AN42" s="8" t="s">
        <v>1627</v>
      </c>
    </row>
    <row r="43" spans="13:40" ht="23">
      <c r="M43" s="9" t="s">
        <v>3185</v>
      </c>
      <c r="N43" s="8" t="s">
        <v>1869</v>
      </c>
      <c r="O43" s="8"/>
      <c r="P43" s="8" t="s">
        <v>4755</v>
      </c>
      <c r="Q43" s="8"/>
      <c r="R43" s="8"/>
      <c r="S43" s="8"/>
      <c r="T43" s="8"/>
      <c r="U43" s="8"/>
      <c r="V43" s="8"/>
      <c r="W43" s="9" t="s">
        <v>3185</v>
      </c>
      <c r="X43" s="8">
        <v>20.59</v>
      </c>
      <c r="Y43" s="8">
        <v>8.24</v>
      </c>
      <c r="Z43" s="9">
        <v>10.220000000000001</v>
      </c>
      <c r="AA43" s="8">
        <v>30.7</v>
      </c>
      <c r="AB43" s="8">
        <v>3849</v>
      </c>
      <c r="AC43" s="22" t="s">
        <v>3185</v>
      </c>
      <c r="AD43" s="8" t="s">
        <v>4019</v>
      </c>
      <c r="AE43" s="8" t="s">
        <v>4085</v>
      </c>
      <c r="AF43" s="9">
        <f t="shared" si="8"/>
        <v>252.96799999999999</v>
      </c>
      <c r="AG43" s="9">
        <f t="shared" si="9"/>
        <v>318.25666666666666</v>
      </c>
      <c r="AH43" s="9">
        <f t="shared" si="10"/>
        <v>0.26678716988346557</v>
      </c>
      <c r="AI43" s="9">
        <f t="shared" si="11"/>
        <v>7.1175394014429114E-2</v>
      </c>
      <c r="AJ43" s="9">
        <f t="shared" si="12"/>
        <v>0.41322717028431316</v>
      </c>
      <c r="AK43" s="9">
        <f t="shared" si="13"/>
        <v>0.17075669426118076</v>
      </c>
      <c r="AL43" s="9">
        <f t="shared" si="14"/>
        <v>0.57784577826532268</v>
      </c>
      <c r="AM43" s="9">
        <f t="shared" si="15"/>
        <v>0.33390574345905649</v>
      </c>
      <c r="AN43" s="9" t="s">
        <v>3185</v>
      </c>
    </row>
    <row r="44" spans="13:40" ht="23">
      <c r="M44" s="9" t="s">
        <v>2714</v>
      </c>
      <c r="N44" s="8" t="s">
        <v>1614</v>
      </c>
      <c r="O44" s="8"/>
      <c r="P44" s="8" t="s">
        <v>3692</v>
      </c>
      <c r="Q44" s="8"/>
      <c r="R44" s="8"/>
      <c r="S44" s="8"/>
      <c r="T44" s="8"/>
      <c r="U44" s="8"/>
      <c r="V44" s="8"/>
      <c r="W44" s="9" t="s">
        <v>2714</v>
      </c>
      <c r="X44" s="8">
        <v>45.35</v>
      </c>
      <c r="Y44" s="8">
        <v>1.8</v>
      </c>
      <c r="Z44" s="9">
        <v>1</v>
      </c>
      <c r="AA44" s="8">
        <v>29.5</v>
      </c>
      <c r="AB44" s="8">
        <v>11381</v>
      </c>
      <c r="AC44" s="22" t="s">
        <v>2714</v>
      </c>
      <c r="AD44" s="8" t="s">
        <v>3688</v>
      </c>
      <c r="AE44" s="8" t="s">
        <v>4085</v>
      </c>
      <c r="AF44" s="9">
        <f t="shared" si="8"/>
        <v>53.1</v>
      </c>
      <c r="AG44" s="9">
        <f t="shared" si="9"/>
        <v>29.991666666666664</v>
      </c>
      <c r="AH44" s="9">
        <f t="shared" si="10"/>
        <v>0.256359006891278</v>
      </c>
      <c r="AI44" s="9">
        <f t="shared" si="11"/>
        <v>6.5719940414282321E-2</v>
      </c>
      <c r="AJ44" s="9">
        <f t="shared" si="12"/>
        <v>8.6739677516907393E-2</v>
      </c>
      <c r="AK44" s="9">
        <f t="shared" si="13"/>
        <v>7.5237716557370899E-3</v>
      </c>
      <c r="AL44" s="9">
        <f t="shared" si="14"/>
        <v>5.4454658084588332E-2</v>
      </c>
      <c r="AM44" s="9">
        <f t="shared" si="15"/>
        <v>2.9653097871094212E-3</v>
      </c>
      <c r="AN44" s="9" t="s">
        <v>2714</v>
      </c>
    </row>
    <row r="45" spans="13:40" ht="28.5" customHeight="1">
      <c r="M45" s="8" t="s">
        <v>432</v>
      </c>
      <c r="N45" s="8" t="s">
        <v>150</v>
      </c>
      <c r="O45" s="8"/>
      <c r="P45" s="8" t="s">
        <v>3704</v>
      </c>
      <c r="Q45" s="8"/>
      <c r="R45" s="8"/>
      <c r="S45" s="8"/>
      <c r="T45" s="8"/>
      <c r="U45" s="8"/>
      <c r="V45" s="8"/>
      <c r="W45" s="8" t="s">
        <v>432</v>
      </c>
      <c r="X45" s="8">
        <v>15.33</v>
      </c>
      <c r="Y45" s="8">
        <v>4.18</v>
      </c>
      <c r="Z45" s="9">
        <v>4.0999999999999996</v>
      </c>
      <c r="AA45" s="8">
        <v>29</v>
      </c>
      <c r="AB45" s="8">
        <v>3824</v>
      </c>
      <c r="AC45" s="21" t="s">
        <v>432</v>
      </c>
      <c r="AD45" s="8" t="s">
        <v>4477</v>
      </c>
      <c r="AE45" s="8" t="s">
        <v>4085</v>
      </c>
      <c r="AF45" s="9">
        <f t="shared" si="8"/>
        <v>121.22</v>
      </c>
      <c r="AG45" s="9">
        <f t="shared" si="9"/>
        <v>116.04833333333335</v>
      </c>
      <c r="AH45" s="9">
        <f t="shared" si="10"/>
        <v>0.2520139389778665</v>
      </c>
      <c r="AI45" s="9">
        <f t="shared" si="11"/>
        <v>6.351102543913982E-2</v>
      </c>
      <c r="AJ45" s="9">
        <f t="shared" si="12"/>
        <v>0.19801475910733546</v>
      </c>
      <c r="AK45" s="9">
        <f t="shared" si="13"/>
        <v>3.9209844824336093E-2</v>
      </c>
      <c r="AL45" s="9">
        <f t="shared" si="14"/>
        <v>0.21070427272974726</v>
      </c>
      <c r="AM45" s="9">
        <f t="shared" si="15"/>
        <v>4.4396290546571716E-2</v>
      </c>
      <c r="AN45" s="8" t="s">
        <v>432</v>
      </c>
    </row>
    <row r="46" spans="13:40" ht="23">
      <c r="M46" s="9" t="s">
        <v>2946</v>
      </c>
      <c r="N46" s="8" t="s">
        <v>1717</v>
      </c>
      <c r="O46" s="8"/>
      <c r="P46" s="8" t="s">
        <v>3693</v>
      </c>
      <c r="Q46" s="8"/>
      <c r="R46" s="8"/>
      <c r="S46" s="8"/>
      <c r="T46" s="8"/>
      <c r="U46" s="8"/>
      <c r="V46" s="8"/>
      <c r="W46" s="9" t="s">
        <v>2946</v>
      </c>
      <c r="X46" s="8">
        <v>42.97</v>
      </c>
      <c r="Y46" s="8">
        <v>2.62</v>
      </c>
      <c r="Z46" s="9">
        <v>2.0699999999999998</v>
      </c>
      <c r="AA46" s="8">
        <v>28.3</v>
      </c>
      <c r="AB46" s="8">
        <v>8355</v>
      </c>
      <c r="AC46" s="22" t="s">
        <v>2946</v>
      </c>
      <c r="AD46" s="8" t="s">
        <v>4019</v>
      </c>
      <c r="AE46" s="8" t="s">
        <v>4085</v>
      </c>
      <c r="AF46" s="9">
        <f t="shared" si="8"/>
        <v>74.146000000000001</v>
      </c>
      <c r="AG46" s="9">
        <f t="shared" si="9"/>
        <v>59.901666666666671</v>
      </c>
      <c r="AH46" s="9">
        <f t="shared" si="10"/>
        <v>0.2459308438990904</v>
      </c>
      <c r="AI46" s="9">
        <f t="shared" si="11"/>
        <v>6.0481979980918768E-2</v>
      </c>
      <c r="AJ46" s="9">
        <f t="shared" si="12"/>
        <v>0.12111864650035056</v>
      </c>
      <c r="AK46" s="9">
        <f t="shared" si="13"/>
        <v>1.4669726530076881E-2</v>
      </c>
      <c r="AL46" s="9">
        <f t="shared" si="14"/>
        <v>0.10876103730026061</v>
      </c>
      <c r="AM46" s="9">
        <f t="shared" si="15"/>
        <v>1.1828963234628681E-2</v>
      </c>
      <c r="AN46" s="9" t="s">
        <v>2946</v>
      </c>
    </row>
    <row r="47" spans="13:40" ht="23">
      <c r="M47" s="9" t="s">
        <v>2881</v>
      </c>
      <c r="N47" s="8" t="s">
        <v>1717</v>
      </c>
      <c r="O47" s="8"/>
      <c r="P47" s="8" t="s">
        <v>3692</v>
      </c>
      <c r="Q47" s="8"/>
      <c r="R47" s="8"/>
      <c r="S47" s="8"/>
      <c r="T47" s="8"/>
      <c r="U47" s="8"/>
      <c r="V47" s="8"/>
      <c r="W47" s="9" t="s">
        <v>2881</v>
      </c>
      <c r="X47" s="8">
        <v>34.31</v>
      </c>
      <c r="Y47" s="8">
        <v>2.98</v>
      </c>
      <c r="Z47" s="9">
        <v>5.07</v>
      </c>
      <c r="AA47" s="8">
        <v>27.6</v>
      </c>
      <c r="AB47" s="8">
        <v>5389</v>
      </c>
      <c r="AC47" s="22" t="s">
        <v>2881</v>
      </c>
      <c r="AD47" s="8" t="s">
        <v>4477</v>
      </c>
      <c r="AE47" s="8" t="s">
        <v>4085</v>
      </c>
      <c r="AF47" s="9">
        <f t="shared" si="8"/>
        <v>82.248000000000005</v>
      </c>
      <c r="AG47" s="9">
        <f t="shared" si="9"/>
        <v>141.22</v>
      </c>
      <c r="AH47" s="9">
        <f t="shared" si="10"/>
        <v>0.23984774882031432</v>
      </c>
      <c r="AI47" s="9">
        <f t="shared" si="11"/>
        <v>5.7526942614172585E-2</v>
      </c>
      <c r="AJ47" s="9">
        <f t="shared" si="12"/>
        <v>0.13435338976291147</v>
      </c>
      <c r="AK47" s="9">
        <f t="shared" si="13"/>
        <v>1.8050833340784805E-2</v>
      </c>
      <c r="AL47" s="9">
        <f t="shared" si="14"/>
        <v>0.25640745144892135</v>
      </c>
      <c r="AM47" s="9">
        <f t="shared" si="15"/>
        <v>6.5744781158530954E-2</v>
      </c>
      <c r="AN47" s="9" t="s">
        <v>2881</v>
      </c>
    </row>
    <row r="48" spans="13:40" ht="23">
      <c r="M48" s="8" t="s">
        <v>260</v>
      </c>
      <c r="N48" s="8" t="s">
        <v>150</v>
      </c>
      <c r="O48" s="8"/>
      <c r="P48" s="8" t="s">
        <v>3694</v>
      </c>
      <c r="Q48" s="8"/>
      <c r="R48" s="8"/>
      <c r="S48" s="8"/>
      <c r="T48" s="8"/>
      <c r="U48" s="8"/>
      <c r="V48" s="8"/>
      <c r="W48" s="8" t="s">
        <v>260</v>
      </c>
      <c r="X48" s="8">
        <v>26.01</v>
      </c>
      <c r="Y48" s="8">
        <v>3.47</v>
      </c>
      <c r="Z48" s="9">
        <v>2.1800000000000002</v>
      </c>
      <c r="AA48" s="8">
        <v>25.8</v>
      </c>
      <c r="AB48" s="8">
        <v>4642</v>
      </c>
      <c r="AC48" s="21" t="s">
        <v>260</v>
      </c>
      <c r="AD48" s="8" t="s">
        <v>3688</v>
      </c>
      <c r="AE48" s="8" t="s">
        <v>4085</v>
      </c>
      <c r="AF48" s="9">
        <f t="shared" si="8"/>
        <v>89.52600000000001</v>
      </c>
      <c r="AG48" s="9">
        <f t="shared" si="9"/>
        <v>59.339999999999996</v>
      </c>
      <c r="AH48" s="9">
        <f t="shared" si="10"/>
        <v>0.22420550433203293</v>
      </c>
      <c r="AI48" s="9">
        <f t="shared" si="11"/>
        <v>5.026810817278124E-2</v>
      </c>
      <c r="AJ48" s="9">
        <f t="shared" si="12"/>
        <v>0.14624211618415539</v>
      </c>
      <c r="AK48" s="9">
        <f t="shared" si="13"/>
        <v>2.1386756546020003E-2</v>
      </c>
      <c r="AL48" s="9">
        <f t="shared" si="14"/>
        <v>0.10774124181404186</v>
      </c>
      <c r="AM48" s="9">
        <f t="shared" si="15"/>
        <v>1.1608175187631842E-2</v>
      </c>
      <c r="AN48" s="8" t="s">
        <v>260</v>
      </c>
    </row>
    <row r="49" spans="13:40" ht="23">
      <c r="M49" s="8" t="s">
        <v>55</v>
      </c>
      <c r="N49" s="8" t="s">
        <v>23</v>
      </c>
      <c r="O49" s="8"/>
      <c r="P49" s="8" t="s">
        <v>3691</v>
      </c>
      <c r="Q49" s="8"/>
      <c r="R49" s="8"/>
      <c r="S49" s="8"/>
      <c r="T49" s="8"/>
      <c r="U49" s="8"/>
      <c r="V49" s="8"/>
      <c r="W49" s="8" t="s">
        <v>55</v>
      </c>
      <c r="X49" s="8">
        <v>6.04</v>
      </c>
      <c r="Y49" s="8">
        <v>5.51</v>
      </c>
      <c r="Z49" s="9">
        <v>0.31</v>
      </c>
      <c r="AA49" s="8">
        <v>24.3</v>
      </c>
      <c r="AB49" s="8">
        <v>25986</v>
      </c>
      <c r="AC49" s="21" t="s">
        <v>55</v>
      </c>
      <c r="AD49" s="8" t="s">
        <v>3688</v>
      </c>
      <c r="AE49" s="8" t="s">
        <v>4085</v>
      </c>
      <c r="AF49" s="9">
        <f t="shared" si="8"/>
        <v>133.893</v>
      </c>
      <c r="AG49" s="9">
        <f t="shared" si="9"/>
        <v>12.555000000000001</v>
      </c>
      <c r="AH49" s="9">
        <f t="shared" si="10"/>
        <v>0.21117030059179848</v>
      </c>
      <c r="AI49" s="9">
        <f t="shared" si="11"/>
        <v>4.4592895852030523E-2</v>
      </c>
      <c r="AJ49" s="9">
        <f t="shared" si="12"/>
        <v>0.21871630210492055</v>
      </c>
      <c r="AK49" s="9">
        <f t="shared" si="13"/>
        <v>4.7836820806450873E-2</v>
      </c>
      <c r="AL49" s="9">
        <f t="shared" si="14"/>
        <v>2.2795606521322814E-2</v>
      </c>
      <c r="AM49" s="9">
        <f t="shared" si="15"/>
        <v>5.1963967667497518E-4</v>
      </c>
      <c r="AN49" s="8" t="s">
        <v>55</v>
      </c>
    </row>
    <row r="50" spans="13:40" ht="23">
      <c r="M50" s="8" t="s">
        <v>266</v>
      </c>
      <c r="N50" s="8" t="s">
        <v>150</v>
      </c>
      <c r="O50" s="8"/>
      <c r="P50" s="8"/>
      <c r="Q50" s="8"/>
      <c r="R50" s="8"/>
      <c r="S50" s="8"/>
      <c r="T50" s="8"/>
      <c r="U50" s="8"/>
      <c r="V50" s="8"/>
      <c r="W50" s="8" t="s">
        <v>266</v>
      </c>
      <c r="X50" s="8">
        <v>31.83</v>
      </c>
      <c r="Y50" s="8">
        <v>5.96</v>
      </c>
      <c r="Z50" s="9">
        <v>6.18</v>
      </c>
      <c r="AA50" s="8">
        <v>23.6</v>
      </c>
      <c r="AB50" s="8">
        <v>3676</v>
      </c>
      <c r="AC50" s="21" t="s">
        <v>266</v>
      </c>
      <c r="AD50" s="8" t="s">
        <v>4019</v>
      </c>
      <c r="AE50" s="8" t="s">
        <v>4085</v>
      </c>
      <c r="AF50" s="9">
        <f t="shared" si="8"/>
        <v>140.65600000000001</v>
      </c>
      <c r="AG50" s="9">
        <f t="shared" si="9"/>
        <v>148.68</v>
      </c>
      <c r="AH50" s="9">
        <f t="shared" si="10"/>
        <v>0.20508720551302237</v>
      </c>
      <c r="AI50" s="9">
        <f t="shared" si="11"/>
        <v>4.206076186514067E-2</v>
      </c>
      <c r="AJ50" s="9">
        <f t="shared" si="12"/>
        <v>0.22976376800034137</v>
      </c>
      <c r="AK50" s="9">
        <f t="shared" si="13"/>
        <v>5.2791389085714693E-2</v>
      </c>
      <c r="AL50" s="9">
        <f t="shared" si="14"/>
        <v>0.26995227220950024</v>
      </c>
      <c r="AM50" s="9">
        <f t="shared" si="15"/>
        <v>7.2874229271072122E-2</v>
      </c>
      <c r="AN50" s="8" t="s">
        <v>266</v>
      </c>
    </row>
    <row r="51" spans="13:40" ht="23">
      <c r="M51" s="8" t="s">
        <v>1330</v>
      </c>
      <c r="N51" s="8" t="s">
        <v>150</v>
      </c>
      <c r="O51" s="8"/>
      <c r="P51" s="8" t="s">
        <v>3715</v>
      </c>
      <c r="Q51" s="8"/>
      <c r="R51" s="8"/>
      <c r="S51" s="8"/>
      <c r="T51" s="8"/>
      <c r="U51" s="8"/>
      <c r="V51" s="8"/>
      <c r="W51" s="8" t="s">
        <v>1330</v>
      </c>
      <c r="X51" s="8">
        <v>24.49</v>
      </c>
      <c r="Y51" s="8">
        <v>5.57</v>
      </c>
      <c r="Z51" s="9">
        <v>5.38</v>
      </c>
      <c r="AA51" s="8">
        <v>23.5</v>
      </c>
      <c r="AB51" s="8">
        <v>3822</v>
      </c>
      <c r="AC51" s="21" t="s">
        <v>1330</v>
      </c>
      <c r="AD51" s="8" t="s">
        <v>4019</v>
      </c>
      <c r="AE51" s="8" t="s">
        <v>4085</v>
      </c>
      <c r="AF51" s="9">
        <f t="shared" si="8"/>
        <v>130.89500000000001</v>
      </c>
      <c r="AG51" s="9">
        <f t="shared" si="9"/>
        <v>132.38333333333333</v>
      </c>
      <c r="AH51" s="9">
        <f t="shared" si="10"/>
        <v>0.20421819193034008</v>
      </c>
      <c r="AI51" s="9">
        <f t="shared" si="11"/>
        <v>4.1705069915297217E-2</v>
      </c>
      <c r="AJ51" s="9">
        <f t="shared" si="12"/>
        <v>0.21381902238372116</v>
      </c>
      <c r="AK51" s="9">
        <f t="shared" si="13"/>
        <v>4.571857433313025E-2</v>
      </c>
      <c r="AL51" s="9">
        <f t="shared" si="14"/>
        <v>0.2403630726123285</v>
      </c>
      <c r="AM51" s="9">
        <f t="shared" si="15"/>
        <v>5.7774406675639503E-2</v>
      </c>
      <c r="AN51" s="8" t="s">
        <v>1330</v>
      </c>
    </row>
    <row r="52" spans="13:40" ht="23">
      <c r="M52" s="8" t="s">
        <v>336</v>
      </c>
      <c r="N52" s="8" t="s">
        <v>150</v>
      </c>
      <c r="O52" s="8"/>
      <c r="P52" s="8" t="s">
        <v>3692</v>
      </c>
      <c r="Q52" s="8"/>
      <c r="R52" s="8"/>
      <c r="S52" s="8"/>
      <c r="T52" s="8"/>
      <c r="U52" s="8"/>
      <c r="V52" s="8"/>
      <c r="W52" s="8" t="s">
        <v>336</v>
      </c>
      <c r="X52" s="8">
        <v>30.43</v>
      </c>
      <c r="Y52" s="8">
        <v>1.52</v>
      </c>
      <c r="Z52" s="9">
        <v>0.43</v>
      </c>
      <c r="AA52" s="8">
        <v>22.8</v>
      </c>
      <c r="AB52" s="8">
        <v>17899</v>
      </c>
      <c r="AC52" s="21" t="s">
        <v>336</v>
      </c>
      <c r="AD52" s="8" t="s">
        <v>3688</v>
      </c>
      <c r="AE52" s="8" t="s">
        <v>4085</v>
      </c>
      <c r="AF52" s="9">
        <f t="shared" si="8"/>
        <v>34.655999999999999</v>
      </c>
      <c r="AG52" s="9">
        <f t="shared" si="9"/>
        <v>16.34</v>
      </c>
      <c r="AH52" s="9">
        <f t="shared" si="10"/>
        <v>0.198135096851564</v>
      </c>
      <c r="AI52" s="9">
        <f t="shared" si="11"/>
        <v>3.9257516604378644E-2</v>
      </c>
      <c r="AJ52" s="9">
        <f t="shared" si="12"/>
        <v>5.6611116083351079E-2</v>
      </c>
      <c r="AK52" s="9">
        <f t="shared" si="13"/>
        <v>3.204818464202651E-3</v>
      </c>
      <c r="AL52" s="9">
        <f t="shared" si="14"/>
        <v>2.9667878180678196E-2</v>
      </c>
      <c r="AM52" s="9">
        <f t="shared" si="15"/>
        <v>8.8018299574356136E-4</v>
      </c>
      <c r="AN52" s="8" t="s">
        <v>336</v>
      </c>
    </row>
    <row r="53" spans="13:40" ht="23">
      <c r="M53" s="8" t="s">
        <v>1918</v>
      </c>
      <c r="N53" s="8" t="s">
        <v>1902</v>
      </c>
      <c r="O53" s="8"/>
      <c r="P53" s="8" t="s">
        <v>3696</v>
      </c>
      <c r="Q53" s="8"/>
      <c r="R53" s="8"/>
      <c r="S53" s="8"/>
      <c r="T53" s="8"/>
      <c r="U53" s="8"/>
      <c r="V53" s="8"/>
      <c r="W53" s="8" t="s">
        <v>1918</v>
      </c>
      <c r="X53" s="8">
        <v>79.78</v>
      </c>
      <c r="Y53" s="8">
        <v>1.98</v>
      </c>
      <c r="Z53" s="9">
        <v>1.03</v>
      </c>
      <c r="AA53" s="8">
        <v>20.9</v>
      </c>
      <c r="AB53" s="8">
        <v>15647</v>
      </c>
      <c r="AC53" s="21" t="s">
        <v>1918</v>
      </c>
      <c r="AD53" s="8" t="s">
        <v>4019</v>
      </c>
      <c r="AE53" s="8" t="s">
        <v>4085</v>
      </c>
      <c r="AF53" s="9">
        <f t="shared" si="8"/>
        <v>41.381999999999998</v>
      </c>
      <c r="AG53" s="9">
        <f t="shared" si="9"/>
        <v>21.945</v>
      </c>
      <c r="AH53" s="9">
        <f t="shared" si="10"/>
        <v>0.18162383878060032</v>
      </c>
      <c r="AI53" s="9">
        <f t="shared" si="11"/>
        <v>3.2987218813401498E-2</v>
      </c>
      <c r="AJ53" s="9">
        <f t="shared" si="12"/>
        <v>6.7598141902159348E-2</v>
      </c>
      <c r="AK53" s="9">
        <f t="shared" si="13"/>
        <v>4.5695087886244712E-3</v>
      </c>
      <c r="AL53" s="9">
        <f t="shared" si="14"/>
        <v>3.9844650347306179E-2</v>
      </c>
      <c r="AM53" s="9">
        <f t="shared" si="15"/>
        <v>1.5875961612990864E-3</v>
      </c>
      <c r="AN53" s="8" t="s">
        <v>1918</v>
      </c>
    </row>
    <row r="54" spans="13:40" ht="23">
      <c r="M54" s="8" t="s">
        <v>808</v>
      </c>
      <c r="N54" s="8" t="s">
        <v>150</v>
      </c>
      <c r="O54" s="8" t="s">
        <v>4163</v>
      </c>
      <c r="P54" s="8" t="s">
        <v>3691</v>
      </c>
      <c r="Q54" s="8"/>
      <c r="R54" s="8"/>
      <c r="S54" s="8"/>
      <c r="T54" s="8"/>
      <c r="U54" s="8"/>
      <c r="V54" s="8"/>
      <c r="W54" s="8" t="s">
        <v>808</v>
      </c>
      <c r="X54" s="8">
        <v>19.399999999999999</v>
      </c>
      <c r="Y54" s="8">
        <v>6.47</v>
      </c>
      <c r="Z54" s="9">
        <v>9.08</v>
      </c>
      <c r="AA54" s="8">
        <v>19.2</v>
      </c>
      <c r="AB54" s="8">
        <v>4591</v>
      </c>
      <c r="AC54" s="21" t="s">
        <v>808</v>
      </c>
      <c r="AD54" s="8" t="s">
        <v>4019</v>
      </c>
      <c r="AE54" s="8" t="s">
        <v>4085</v>
      </c>
      <c r="AF54" s="9">
        <f t="shared" si="8"/>
        <v>124.22399999999999</v>
      </c>
      <c r="AG54" s="9">
        <f t="shared" si="9"/>
        <v>175.35999999999999</v>
      </c>
      <c r="AH54" s="9">
        <f t="shared" si="10"/>
        <v>0.16685060787500125</v>
      </c>
      <c r="AI54" s="9">
        <f t="shared" si="11"/>
        <v>2.7839125348257429E-2</v>
      </c>
      <c r="AJ54" s="9">
        <f t="shared" si="12"/>
        <v>0.2029218399220396</v>
      </c>
      <c r="AK54" s="9">
        <f t="shared" si="13"/>
        <v>4.1177273117345869E-2</v>
      </c>
      <c r="AL54" s="9">
        <f t="shared" si="14"/>
        <v>0.31839407085457333</v>
      </c>
      <c r="AM54" s="9">
        <f t="shared" si="15"/>
        <v>0.10137478435534707</v>
      </c>
      <c r="AN54" s="8" t="s">
        <v>808</v>
      </c>
    </row>
    <row r="55" spans="13:40" ht="23">
      <c r="M55" s="8" t="s">
        <v>896</v>
      </c>
      <c r="N55" s="8" t="s">
        <v>150</v>
      </c>
      <c r="O55" s="8"/>
      <c r="P55" s="8" t="s">
        <v>3691</v>
      </c>
      <c r="Q55" s="8"/>
      <c r="R55" s="8"/>
      <c r="S55" s="8"/>
      <c r="T55" s="8"/>
      <c r="U55" s="8"/>
      <c r="V55" s="8"/>
      <c r="W55" s="8" t="s">
        <v>896</v>
      </c>
      <c r="X55" s="8">
        <v>29.4</v>
      </c>
      <c r="Y55" s="8">
        <v>4.88</v>
      </c>
      <c r="Z55" s="9">
        <v>4.45</v>
      </c>
      <c r="AA55" s="8">
        <v>17.899999999999999</v>
      </c>
      <c r="AB55" s="8">
        <v>6058</v>
      </c>
      <c r="AC55" s="21" t="s">
        <v>896</v>
      </c>
      <c r="AD55" s="8" t="s">
        <v>4019</v>
      </c>
      <c r="AE55" s="8" t="s">
        <v>4085</v>
      </c>
      <c r="AF55" s="9">
        <f t="shared" si="8"/>
        <v>87.35199999999999</v>
      </c>
      <c r="AG55" s="9">
        <f t="shared" si="9"/>
        <v>85.024999999999991</v>
      </c>
      <c r="AH55" s="9">
        <f t="shared" si="10"/>
        <v>0.15555343130013136</v>
      </c>
      <c r="AI55" s="9">
        <f t="shared" si="11"/>
        <v>2.4196869989244685E-2</v>
      </c>
      <c r="AJ55" s="9">
        <f t="shared" si="12"/>
        <v>0.14269085330427295</v>
      </c>
      <c r="AK55" s="9">
        <f t="shared" si="13"/>
        <v>2.036067961670154E-2</v>
      </c>
      <c r="AL55" s="9">
        <f t="shared" si="14"/>
        <v>0.1543764591378313</v>
      </c>
      <c r="AM55" s="9">
        <f t="shared" si="15"/>
        <v>2.3832091135934496E-2</v>
      </c>
      <c r="AN55" s="8" t="s">
        <v>896</v>
      </c>
    </row>
    <row r="56" spans="13:40" ht="23">
      <c r="M56" s="8" t="s">
        <v>1622</v>
      </c>
      <c r="N56" s="8" t="s">
        <v>1614</v>
      </c>
      <c r="O56" s="8"/>
      <c r="P56" s="8" t="s">
        <v>3691</v>
      </c>
      <c r="Q56" s="8"/>
      <c r="R56" s="8"/>
      <c r="S56" s="8"/>
      <c r="T56" s="8"/>
      <c r="U56" s="8"/>
      <c r="V56" s="8"/>
      <c r="W56" s="8" t="s">
        <v>1622</v>
      </c>
      <c r="X56" s="8">
        <v>27.8</v>
      </c>
      <c r="Y56" s="8">
        <v>5.16</v>
      </c>
      <c r="Z56" s="9">
        <v>4.41</v>
      </c>
      <c r="AA56" s="8">
        <v>17.8</v>
      </c>
      <c r="AB56" s="8">
        <v>4927</v>
      </c>
      <c r="AC56" s="21" t="s">
        <v>1622</v>
      </c>
      <c r="AD56" s="8" t="s">
        <v>4019</v>
      </c>
      <c r="AE56" s="8" t="s">
        <v>4085</v>
      </c>
      <c r="AF56" s="9">
        <f t="shared" si="8"/>
        <v>91.848000000000013</v>
      </c>
      <c r="AG56" s="9">
        <f t="shared" si="9"/>
        <v>83.363333333333344</v>
      </c>
      <c r="AH56" s="9">
        <f t="shared" si="10"/>
        <v>0.15468441771744909</v>
      </c>
      <c r="AI56" s="9">
        <f t="shared" si="11"/>
        <v>2.3927269084586276E-2</v>
      </c>
      <c r="AJ56" s="9">
        <f t="shared" si="12"/>
        <v>0.15003513937048796</v>
      </c>
      <c r="AK56" s="9">
        <f t="shared" si="13"/>
        <v>2.2510543045921746E-2</v>
      </c>
      <c r="AL56" s="9">
        <f t="shared" si="14"/>
        <v>0.15135943807029398</v>
      </c>
      <c r="AM56" s="9">
        <f t="shared" si="15"/>
        <v>2.2909679492955158E-2</v>
      </c>
      <c r="AN56" s="8" t="s">
        <v>1622</v>
      </c>
    </row>
    <row r="57" spans="13:40" ht="23">
      <c r="M57" s="8" t="s">
        <v>787</v>
      </c>
      <c r="N57" s="8" t="s">
        <v>150</v>
      </c>
      <c r="O57" s="8"/>
      <c r="P57" s="8" t="s">
        <v>3692</v>
      </c>
      <c r="Q57" s="8"/>
      <c r="R57" s="8"/>
      <c r="S57" s="8"/>
      <c r="T57" s="8"/>
      <c r="U57" s="8"/>
      <c r="V57" s="8"/>
      <c r="W57" s="8" t="s">
        <v>787</v>
      </c>
      <c r="X57" s="8">
        <v>23.02</v>
      </c>
      <c r="Y57" s="8">
        <v>8.5500000000000007</v>
      </c>
      <c r="Z57" s="9">
        <v>7.3</v>
      </c>
      <c r="AA57" s="8">
        <v>17.600000000000001</v>
      </c>
      <c r="AB57" s="8">
        <v>4248</v>
      </c>
      <c r="AC57" s="21" t="s">
        <v>787</v>
      </c>
      <c r="AD57" s="8" t="s">
        <v>4019</v>
      </c>
      <c r="AE57" s="8" t="s">
        <v>4085</v>
      </c>
      <c r="AF57" s="9">
        <f t="shared" si="8"/>
        <v>150.48000000000002</v>
      </c>
      <c r="AG57" s="9">
        <f t="shared" si="9"/>
        <v>123.28800000000001</v>
      </c>
      <c r="AH57" s="9">
        <f t="shared" si="10"/>
        <v>0.1529463905520845</v>
      </c>
      <c r="AI57" s="9">
        <f t="shared" si="11"/>
        <v>2.3392598382910763E-2</v>
      </c>
      <c r="AJ57" s="9">
        <f t="shared" si="12"/>
        <v>0.2458114250987613</v>
      </c>
      <c r="AK57" s="9">
        <f t="shared" si="13"/>
        <v>6.0423256709083939E-2</v>
      </c>
      <c r="AL57" s="9">
        <f t="shared" si="14"/>
        <v>0.2238490431541893</v>
      </c>
      <c r="AM57" s="9">
        <f t="shared" si="15"/>
        <v>5.0108394121046104E-2</v>
      </c>
      <c r="AN57" s="8" t="s">
        <v>787</v>
      </c>
    </row>
    <row r="58" spans="13:40" ht="23">
      <c r="M58" s="9" t="s">
        <v>3093</v>
      </c>
      <c r="N58" s="8" t="s">
        <v>1814</v>
      </c>
      <c r="O58" s="8"/>
      <c r="P58" s="8" t="s">
        <v>3693</v>
      </c>
      <c r="Q58" s="8"/>
      <c r="R58" s="8"/>
      <c r="S58" s="8"/>
      <c r="T58" s="8"/>
      <c r="U58" s="8"/>
      <c r="V58" s="8"/>
      <c r="W58" s="9" t="s">
        <v>3093</v>
      </c>
      <c r="X58" s="8">
        <v>10.32</v>
      </c>
      <c r="Y58" s="8">
        <v>54</v>
      </c>
      <c r="Z58" s="9">
        <v>41.49</v>
      </c>
      <c r="AA58" s="8">
        <v>16.7</v>
      </c>
      <c r="AB58" s="8">
        <v>869</v>
      </c>
      <c r="AC58" s="22" t="s">
        <v>3093</v>
      </c>
      <c r="AD58" s="8" t="s">
        <v>4019</v>
      </c>
      <c r="AE58" s="8" t="s">
        <v>4085</v>
      </c>
      <c r="AF58" s="9">
        <f t="shared" si="8"/>
        <v>901.8</v>
      </c>
      <c r="AG58" s="9">
        <f t="shared" si="9"/>
        <v>698.33833333333337</v>
      </c>
      <c r="AH58" s="9">
        <f t="shared" si="10"/>
        <v>0.14512526830794378</v>
      </c>
      <c r="AI58" s="9">
        <f t="shared" si="11"/>
        <v>2.1061343501452671E-2</v>
      </c>
      <c r="AJ58" s="9">
        <f t="shared" si="12"/>
        <v>1.4731043537617152</v>
      </c>
      <c r="AK58" s="9">
        <f t="shared" si="13"/>
        <v>2.1700364370717207</v>
      </c>
      <c r="AL58" s="9">
        <f t="shared" si="14"/>
        <v>1.2679447124988479</v>
      </c>
      <c r="AM58" s="9">
        <f t="shared" si="15"/>
        <v>1.607683793953786</v>
      </c>
      <c r="AN58" s="9" t="s">
        <v>3093</v>
      </c>
    </row>
    <row r="59" spans="13:40" ht="23">
      <c r="M59" s="8" t="s">
        <v>1648</v>
      </c>
      <c r="N59" s="8" t="s">
        <v>1614</v>
      </c>
      <c r="O59" s="8"/>
      <c r="P59" s="8" t="s">
        <v>3703</v>
      </c>
      <c r="Q59" s="8"/>
      <c r="R59" s="8"/>
      <c r="S59" s="8"/>
      <c r="T59" s="8"/>
      <c r="U59" s="8"/>
      <c r="V59" s="8"/>
      <c r="W59" s="8" t="s">
        <v>1648</v>
      </c>
      <c r="X59" s="8">
        <v>28.23</v>
      </c>
      <c r="Y59" s="8">
        <v>5.39</v>
      </c>
      <c r="Z59" s="9">
        <v>5.28</v>
      </c>
      <c r="AA59" s="8">
        <v>15.5</v>
      </c>
      <c r="AB59" s="8">
        <v>5762</v>
      </c>
      <c r="AC59" s="21" t="s">
        <v>1648</v>
      </c>
      <c r="AD59" s="8" t="s">
        <v>3688</v>
      </c>
      <c r="AE59" s="8" t="s">
        <v>4085</v>
      </c>
      <c r="AF59" s="9">
        <f t="shared" si="8"/>
        <v>83.545000000000002</v>
      </c>
      <c r="AG59" s="9">
        <f t="shared" si="9"/>
        <v>84.733333333333334</v>
      </c>
      <c r="AH59" s="9">
        <f t="shared" si="10"/>
        <v>0.13469710531575624</v>
      </c>
      <c r="AI59" s="9">
        <f t="shared" si="11"/>
        <v>1.8143310180443926E-2</v>
      </c>
      <c r="AJ59" s="9">
        <f t="shared" si="12"/>
        <v>0.13647205947551841</v>
      </c>
      <c r="AK59" s="9">
        <f t="shared" si="13"/>
        <v>1.8624623017489433E-2</v>
      </c>
      <c r="AL59" s="9">
        <f t="shared" si="14"/>
        <v>0.1538468917488453</v>
      </c>
      <c r="AM59" s="9">
        <f t="shared" si="15"/>
        <v>2.3668866100780925E-2</v>
      </c>
      <c r="AN59" s="8" t="s">
        <v>1648</v>
      </c>
    </row>
    <row r="60" spans="13:40" ht="23">
      <c r="M60" s="8" t="s">
        <v>475</v>
      </c>
      <c r="N60" s="8" t="s">
        <v>150</v>
      </c>
      <c r="O60" s="8"/>
      <c r="P60" s="8" t="s">
        <v>3694</v>
      </c>
      <c r="Q60" s="8"/>
      <c r="R60" s="8"/>
      <c r="S60" s="8"/>
      <c r="T60" s="8"/>
      <c r="U60" s="8"/>
      <c r="V60" s="8"/>
      <c r="W60" s="8" t="s">
        <v>475</v>
      </c>
      <c r="X60" s="8">
        <v>19.579999999999998</v>
      </c>
      <c r="Y60" s="8">
        <v>6.89</v>
      </c>
      <c r="Z60" s="9">
        <v>8.18</v>
      </c>
      <c r="AA60" s="8">
        <v>15.4</v>
      </c>
      <c r="AB60" s="8">
        <v>5373</v>
      </c>
      <c r="AC60" s="21" t="s">
        <v>475</v>
      </c>
      <c r="AD60" s="8" t="s">
        <v>4019</v>
      </c>
      <c r="AE60" s="8" t="s">
        <v>4085</v>
      </c>
      <c r="AF60" s="9">
        <f t="shared" si="8"/>
        <v>106.10599999999999</v>
      </c>
      <c r="AG60" s="9">
        <f t="shared" si="9"/>
        <v>127.82000000000001</v>
      </c>
      <c r="AH60" s="9">
        <f t="shared" si="10"/>
        <v>0.13382809173307392</v>
      </c>
      <c r="AI60" s="9">
        <f t="shared" si="11"/>
        <v>1.7909958136916048E-2</v>
      </c>
      <c r="AJ60" s="9">
        <f t="shared" si="12"/>
        <v>0.17332580456890725</v>
      </c>
      <c r="AK60" s="9">
        <f t="shared" si="13"/>
        <v>3.0041834529459032E-2</v>
      </c>
      <c r="AL60" s="9">
        <f t="shared" si="14"/>
        <v>0.23207761254922196</v>
      </c>
      <c r="AM60" s="9">
        <f t="shared" si="15"/>
        <v>5.3860018246546786E-2</v>
      </c>
      <c r="AN60" s="8" t="s">
        <v>475</v>
      </c>
    </row>
    <row r="61" spans="13:40" ht="23">
      <c r="M61" s="8" t="s">
        <v>425</v>
      </c>
      <c r="N61" s="8" t="s">
        <v>150</v>
      </c>
      <c r="O61" s="8"/>
      <c r="P61" s="8" t="s">
        <v>3693</v>
      </c>
      <c r="Q61" s="8"/>
      <c r="R61" s="8"/>
      <c r="S61" s="8"/>
      <c r="T61" s="8"/>
      <c r="U61" s="8"/>
      <c r="V61" s="8"/>
      <c r="W61" s="8" t="s">
        <v>425</v>
      </c>
      <c r="X61" s="8">
        <v>16.73</v>
      </c>
      <c r="Y61" s="8">
        <v>9.2100000000000009</v>
      </c>
      <c r="Z61" s="9">
        <v>12.33</v>
      </c>
      <c r="AA61" s="8">
        <v>14.9</v>
      </c>
      <c r="AB61" s="8">
        <v>5583</v>
      </c>
      <c r="AC61" s="21" t="s">
        <v>425</v>
      </c>
      <c r="AD61" s="8" t="s">
        <v>4019</v>
      </c>
      <c r="AE61" s="8" t="s">
        <v>4085</v>
      </c>
      <c r="AF61" s="9">
        <f t="shared" si="8"/>
        <v>137.22900000000001</v>
      </c>
      <c r="AG61" s="9">
        <f t="shared" si="9"/>
        <v>186.995</v>
      </c>
      <c r="AH61" s="9">
        <f t="shared" si="10"/>
        <v>0.12948302381966245</v>
      </c>
      <c r="AI61" s="9">
        <f t="shared" si="11"/>
        <v>1.6765853457483274E-2</v>
      </c>
      <c r="AJ61" s="9">
        <f t="shared" si="12"/>
        <v>0.22416571009355341</v>
      </c>
      <c r="AK61" s="9">
        <f t="shared" si="13"/>
        <v>5.0250265581747028E-2</v>
      </c>
      <c r="AL61" s="9">
        <f t="shared" si="14"/>
        <v>0.33951927052606601</v>
      </c>
      <c r="AM61" s="9">
        <f t="shared" si="15"/>
        <v>0.115273335058552</v>
      </c>
      <c r="AN61" s="8" t="s">
        <v>425</v>
      </c>
    </row>
    <row r="62" spans="13:40" ht="23">
      <c r="M62" s="8" t="s">
        <v>1140</v>
      </c>
      <c r="N62" s="8" t="s">
        <v>150</v>
      </c>
      <c r="O62" s="8"/>
      <c r="P62" s="8" t="s">
        <v>3713</v>
      </c>
      <c r="Q62" s="8"/>
      <c r="R62" s="8"/>
      <c r="S62" s="8"/>
      <c r="T62" s="8"/>
      <c r="U62" s="8"/>
      <c r="V62" s="8"/>
      <c r="W62" s="8" t="s">
        <v>1140</v>
      </c>
      <c r="X62" s="8">
        <v>49.81</v>
      </c>
      <c r="Y62" s="8">
        <v>1.84</v>
      </c>
      <c r="Z62" s="9">
        <v>0.49</v>
      </c>
      <c r="AA62" s="8">
        <v>14.8</v>
      </c>
      <c r="AB62" s="8">
        <v>35536</v>
      </c>
      <c r="AC62" s="21" t="s">
        <v>1140</v>
      </c>
      <c r="AD62" s="8" t="s">
        <v>4019</v>
      </c>
      <c r="AE62" s="8" t="s">
        <v>4085</v>
      </c>
      <c r="AF62" s="9">
        <f t="shared" si="8"/>
        <v>27.232000000000003</v>
      </c>
      <c r="AG62" s="9">
        <f t="shared" si="9"/>
        <v>12.086666666666668</v>
      </c>
      <c r="AH62" s="9">
        <f t="shared" si="10"/>
        <v>0.12861401023698016</v>
      </c>
      <c r="AI62" s="9">
        <f t="shared" si="11"/>
        <v>1.6541563629238035E-2</v>
      </c>
      <c r="AJ62" s="9">
        <f t="shared" si="12"/>
        <v>4.4483896386825275E-2</v>
      </c>
      <c r="AK62" s="9">
        <f t="shared" si="13"/>
        <v>1.9788170377538069E-3</v>
      </c>
      <c r="AL62" s="9">
        <f t="shared" si="14"/>
        <v>2.1945272599579586E-2</v>
      </c>
      <c r="AM62" s="9">
        <f t="shared" si="15"/>
        <v>4.8159498946985854E-4</v>
      </c>
      <c r="AN62" s="8" t="s">
        <v>1140</v>
      </c>
    </row>
    <row r="63" spans="13:40" ht="23">
      <c r="M63" s="8" t="s">
        <v>578</v>
      </c>
      <c r="N63" s="8" t="s">
        <v>150</v>
      </c>
      <c r="O63" s="8"/>
      <c r="P63" s="8"/>
      <c r="Q63" s="8"/>
      <c r="R63" s="8"/>
      <c r="S63" s="8"/>
      <c r="T63" s="8"/>
      <c r="U63" s="8"/>
      <c r="V63" s="8"/>
      <c r="W63" s="8" t="s">
        <v>578</v>
      </c>
      <c r="X63" s="8">
        <v>32.840000000000003</v>
      </c>
      <c r="Y63" s="8">
        <v>1.1399999999999999</v>
      </c>
      <c r="Z63" s="9">
        <v>0.06</v>
      </c>
      <c r="AA63" s="8">
        <v>14.7</v>
      </c>
      <c r="AB63" s="8">
        <v>84213</v>
      </c>
      <c r="AC63" s="21" t="s">
        <v>578</v>
      </c>
      <c r="AD63" s="8" t="s">
        <v>4019</v>
      </c>
      <c r="AE63" s="8" t="s">
        <v>4085</v>
      </c>
      <c r="AF63" s="9">
        <f t="shared" si="8"/>
        <v>16.757999999999999</v>
      </c>
      <c r="AG63" s="9">
        <f t="shared" si="9"/>
        <v>1.47</v>
      </c>
      <c r="AH63" s="9">
        <f t="shared" si="10"/>
        <v>0.12774499665429781</v>
      </c>
      <c r="AI63" s="9">
        <f t="shared" si="11"/>
        <v>1.631878417020656E-2</v>
      </c>
      <c r="AJ63" s="9">
        <f t="shared" si="12"/>
        <v>2.7374454158725685E-2</v>
      </c>
      <c r="AK63" s="9">
        <f t="shared" si="13"/>
        <v>7.4936074048817395E-4</v>
      </c>
      <c r="AL63" s="9">
        <f t="shared" si="14"/>
        <v>2.6690196404894092E-3</v>
      </c>
      <c r="AM63" s="9">
        <f t="shared" si="15"/>
        <v>7.1236658413182152E-6</v>
      </c>
      <c r="AN63" s="8" t="s">
        <v>578</v>
      </c>
    </row>
    <row r="64" spans="13:40" ht="23">
      <c r="M64" s="8" t="s">
        <v>1700</v>
      </c>
      <c r="N64" s="8" t="s">
        <v>1614</v>
      </c>
      <c r="O64" s="8"/>
      <c r="P64" s="8" t="s">
        <v>3693</v>
      </c>
      <c r="Q64" s="8"/>
      <c r="R64" s="8"/>
      <c r="S64" s="8"/>
      <c r="T64" s="8"/>
      <c r="U64" s="8"/>
      <c r="V64" s="8"/>
      <c r="W64" s="8" t="s">
        <v>1700</v>
      </c>
      <c r="X64" s="8">
        <v>27.38</v>
      </c>
      <c r="Y64" s="8">
        <v>5.56</v>
      </c>
      <c r="Z64" s="9">
        <v>9.19</v>
      </c>
      <c r="AA64" s="8">
        <v>14.6</v>
      </c>
      <c r="AB64" s="8">
        <v>5832</v>
      </c>
      <c r="AC64" s="21" t="s">
        <v>1700</v>
      </c>
      <c r="AD64" s="8" t="s">
        <v>4019</v>
      </c>
      <c r="AE64" s="8" t="s">
        <v>4085</v>
      </c>
      <c r="AF64" s="9">
        <f t="shared" si="8"/>
        <v>81.175999999999988</v>
      </c>
      <c r="AG64" s="9">
        <f t="shared" si="9"/>
        <v>136.02333333333334</v>
      </c>
      <c r="AH64" s="9">
        <f t="shared" si="10"/>
        <v>0.12687598307161554</v>
      </c>
      <c r="AI64" s="9">
        <f t="shared" si="11"/>
        <v>1.6097515080388876E-2</v>
      </c>
      <c r="AJ64" s="9">
        <f t="shared" si="12"/>
        <v>0.13260226105673206</v>
      </c>
      <c r="AK64" s="9">
        <f t="shared" si="13"/>
        <v>1.7583359637357722E-2</v>
      </c>
      <c r="AL64" s="9">
        <f t="shared" si="14"/>
        <v>0.24697207362687373</v>
      </c>
      <c r="AM64" s="9">
        <f t="shared" si="15"/>
        <v>6.0995205151557944E-2</v>
      </c>
      <c r="AN64" s="8" t="s">
        <v>1700</v>
      </c>
    </row>
    <row r="65" spans="13:40" ht="23">
      <c r="M65" s="9" t="s">
        <v>3416</v>
      </c>
      <c r="N65" s="8" t="s">
        <v>1990</v>
      </c>
      <c r="O65" s="8"/>
      <c r="P65" s="8" t="s">
        <v>3700</v>
      </c>
      <c r="Q65" s="8"/>
      <c r="R65" s="8"/>
      <c r="S65" s="8"/>
      <c r="T65" s="8"/>
      <c r="U65" s="8"/>
      <c r="V65" s="8"/>
      <c r="W65" s="9" t="s">
        <v>3416</v>
      </c>
      <c r="X65" s="8">
        <v>40.46</v>
      </c>
      <c r="Y65" s="8">
        <v>4.49</v>
      </c>
      <c r="Z65" s="9">
        <v>4.04</v>
      </c>
      <c r="AA65" s="8">
        <v>14.3</v>
      </c>
      <c r="AB65" s="8">
        <v>7563</v>
      </c>
      <c r="AC65" s="22" t="s">
        <v>3416</v>
      </c>
      <c r="AD65" s="8" t="s">
        <v>4019</v>
      </c>
      <c r="AE65" s="8" t="s">
        <v>4085</v>
      </c>
      <c r="AF65" s="9">
        <f t="shared" si="8"/>
        <v>64.207000000000008</v>
      </c>
      <c r="AG65" s="9">
        <f t="shared" si="9"/>
        <v>58.153333333333336</v>
      </c>
      <c r="AH65" s="9">
        <f t="shared" si="10"/>
        <v>0.12426894232356865</v>
      </c>
      <c r="AI65" s="9">
        <f t="shared" si="11"/>
        <v>1.5442770026218432E-2</v>
      </c>
      <c r="AJ65" s="9">
        <f t="shared" si="12"/>
        <v>0.10488313510975655</v>
      </c>
      <c r="AK65" s="9">
        <f t="shared" si="13"/>
        <v>1.1000472030451448E-2</v>
      </c>
      <c r="AL65" s="9">
        <f t="shared" si="14"/>
        <v>0.10558665906571028</v>
      </c>
      <c r="AM65" s="9">
        <f t="shared" si="15"/>
        <v>1.114854257265854E-2</v>
      </c>
      <c r="AN65" s="9" t="s">
        <v>3416</v>
      </c>
    </row>
    <row r="66" spans="13:40" ht="23">
      <c r="M66" s="8" t="s">
        <v>838</v>
      </c>
      <c r="N66" s="8" t="s">
        <v>150</v>
      </c>
      <c r="O66" s="8"/>
      <c r="P66" s="8"/>
      <c r="Q66" s="8"/>
      <c r="R66" s="8"/>
      <c r="S66" s="8"/>
      <c r="T66" s="8"/>
      <c r="U66" s="8"/>
      <c r="V66" s="8"/>
      <c r="W66" s="8" t="s">
        <v>838</v>
      </c>
      <c r="X66" s="8">
        <v>34.94</v>
      </c>
      <c r="Y66" s="8">
        <v>1.32</v>
      </c>
      <c r="Z66" s="9">
        <v>0.17</v>
      </c>
      <c r="AA66" s="8">
        <v>13.9</v>
      </c>
      <c r="AB66" s="8">
        <v>29903</v>
      </c>
      <c r="AC66" s="21" t="s">
        <v>838</v>
      </c>
      <c r="AD66" s="8" t="s">
        <v>4477</v>
      </c>
      <c r="AE66" s="8" t="s">
        <v>4085</v>
      </c>
      <c r="AF66" s="9">
        <f t="shared" ref="AF66:AF97" si="16">(AA66*Y66)</f>
        <v>18.348000000000003</v>
      </c>
      <c r="AG66" s="9">
        <f t="shared" ref="AG66:AG97" si="17">((((RIGHT(Z66,2))/60)+(LEFT(Z66,2)))*AA66)</f>
        <v>3.9383333333333335</v>
      </c>
      <c r="AH66" s="9">
        <f t="shared" ref="AH66:AH97" si="18">(AA66/$AA$180)*100</f>
        <v>0.12079288799283945</v>
      </c>
      <c r="AI66" s="9">
        <f t="shared" ref="AI66:AI97" si="19">(AH66*AH66)</f>
        <v>1.4590921789650657E-2</v>
      </c>
      <c r="AJ66" s="9">
        <f t="shared" ref="AJ66:AJ97" si="20">(AF66/$AF$180)*100</f>
        <v>2.9971743937480543E-2</v>
      </c>
      <c r="AK66" s="9">
        <f t="shared" ref="AK66:AK97" si="21">(AJ66*AJ66)</f>
        <v>8.983054346539017E-4</v>
      </c>
      <c r="AL66" s="9">
        <f t="shared" ref="AL66:AL97" si="22">(AG66/$AG$180)*100</f>
        <v>7.1506728009937343E-3</v>
      </c>
      <c r="AM66" s="9">
        <f t="shared" ref="AM66:AM97" si="23">(AL66*AL66)</f>
        <v>5.1132121506871579E-5</v>
      </c>
      <c r="AN66" s="8" t="s">
        <v>838</v>
      </c>
    </row>
    <row r="67" spans="13:40" ht="23">
      <c r="M67" s="9" t="s">
        <v>2516</v>
      </c>
      <c r="N67" s="8" t="s">
        <v>150</v>
      </c>
      <c r="O67" s="8"/>
      <c r="P67" s="8" t="s">
        <v>3691</v>
      </c>
      <c r="Q67" s="8"/>
      <c r="R67" s="8"/>
      <c r="S67" s="8"/>
      <c r="T67" s="8"/>
      <c r="U67" s="8"/>
      <c r="V67" s="8"/>
      <c r="W67" s="9" t="s">
        <v>2516</v>
      </c>
      <c r="X67" s="8">
        <v>16.5</v>
      </c>
      <c r="Y67" s="8">
        <v>4.05</v>
      </c>
      <c r="Z67" s="9">
        <v>3.22</v>
      </c>
      <c r="AA67" s="8">
        <v>13.8</v>
      </c>
      <c r="AB67" s="8">
        <v>13053</v>
      </c>
      <c r="AC67" s="22" t="s">
        <v>2516</v>
      </c>
      <c r="AD67" s="8" t="s">
        <v>4019</v>
      </c>
      <c r="AE67" s="8" t="s">
        <v>4085</v>
      </c>
      <c r="AF67" s="9">
        <f t="shared" si="16"/>
        <v>55.89</v>
      </c>
      <c r="AG67" s="9">
        <f t="shared" si="17"/>
        <v>46.46</v>
      </c>
      <c r="AH67" s="9">
        <f t="shared" si="18"/>
        <v>0.11992387441015716</v>
      </c>
      <c r="AI67" s="9">
        <f t="shared" si="19"/>
        <v>1.4381735653543146E-2</v>
      </c>
      <c r="AJ67" s="9">
        <f t="shared" si="20"/>
        <v>9.1297185996609312E-2</v>
      </c>
      <c r="AK67" s="9">
        <f t="shared" si="21"/>
        <v>8.3351761708994748E-3</v>
      </c>
      <c r="AL67" s="9">
        <f t="shared" si="22"/>
        <v>8.4355545916420374E-2</v>
      </c>
      <c r="AM67" s="9">
        <f t="shared" si="23"/>
        <v>7.115858126857306E-3</v>
      </c>
      <c r="AN67" s="9" t="s">
        <v>2516</v>
      </c>
    </row>
    <row r="68" spans="13:40" ht="23">
      <c r="M68" s="8" t="s">
        <v>2055</v>
      </c>
      <c r="N68" s="8" t="s">
        <v>2041</v>
      </c>
      <c r="O68" s="8"/>
      <c r="P68" s="8" t="s">
        <v>3693</v>
      </c>
      <c r="Q68" s="8"/>
      <c r="R68" s="8"/>
      <c r="S68" s="8"/>
      <c r="T68" s="8"/>
      <c r="U68" s="8"/>
      <c r="V68" s="8"/>
      <c r="W68" s="8" t="s">
        <v>2055</v>
      </c>
      <c r="X68" s="8">
        <v>50.67</v>
      </c>
      <c r="Y68" s="8">
        <v>3.57</v>
      </c>
      <c r="Z68" s="9">
        <v>2.37</v>
      </c>
      <c r="AA68" s="8">
        <v>13.2</v>
      </c>
      <c r="AB68" s="8">
        <v>8344</v>
      </c>
      <c r="AC68" s="21" t="s">
        <v>2055</v>
      </c>
      <c r="AD68" s="8" t="s">
        <v>4019</v>
      </c>
      <c r="AE68" s="8" t="s">
        <v>4085</v>
      </c>
      <c r="AF68" s="9">
        <f t="shared" si="16"/>
        <v>47.123999999999995</v>
      </c>
      <c r="AG68" s="9">
        <f t="shared" si="17"/>
        <v>34.54</v>
      </c>
      <c r="AH68" s="9">
        <f t="shared" si="18"/>
        <v>0.11470979291406334</v>
      </c>
      <c r="AI68" s="9">
        <f t="shared" si="19"/>
        <v>1.3158336590387298E-2</v>
      </c>
      <c r="AJ68" s="9">
        <f t="shared" si="20"/>
        <v>7.6977788386191029E-2</v>
      </c>
      <c r="AK68" s="9">
        <f t="shared" si="21"/>
        <v>5.9255799048292066E-3</v>
      </c>
      <c r="AL68" s="9">
        <f t="shared" si="22"/>
        <v>6.2712883253404211E-2</v>
      </c>
      <c r="AM68" s="9">
        <f t="shared" si="23"/>
        <v>3.9329057259551064E-3</v>
      </c>
      <c r="AN68" s="8" t="s">
        <v>2055</v>
      </c>
    </row>
    <row r="69" spans="13:40" ht="23">
      <c r="M69" s="8" t="s">
        <v>1657</v>
      </c>
      <c r="N69" s="8" t="s">
        <v>1614</v>
      </c>
      <c r="O69" s="8"/>
      <c r="P69" s="8" t="s">
        <v>3691</v>
      </c>
      <c r="Q69" s="8"/>
      <c r="R69" s="8"/>
      <c r="S69" s="8"/>
      <c r="T69" s="8"/>
      <c r="U69" s="8"/>
      <c r="V69" s="8"/>
      <c r="W69" s="8" t="s">
        <v>1657</v>
      </c>
      <c r="X69" s="8">
        <v>31.09</v>
      </c>
      <c r="Y69" s="8">
        <v>1.35</v>
      </c>
      <c r="Z69" s="9">
        <v>0.12</v>
      </c>
      <c r="AA69" s="8">
        <v>13.1</v>
      </c>
      <c r="AB69" s="8">
        <v>31994</v>
      </c>
      <c r="AC69" s="21" t="s">
        <v>1657</v>
      </c>
      <c r="AD69" s="8" t="s">
        <v>4019</v>
      </c>
      <c r="AE69" s="8" t="s">
        <v>4085</v>
      </c>
      <c r="AF69" s="9">
        <f t="shared" si="16"/>
        <v>17.685000000000002</v>
      </c>
      <c r="AG69" s="9">
        <f t="shared" si="17"/>
        <v>2.62</v>
      </c>
      <c r="AH69" s="9">
        <f t="shared" si="18"/>
        <v>0.11384077933138106</v>
      </c>
      <c r="AI69" s="9">
        <f t="shared" si="19"/>
        <v>1.2959723038776199E-2</v>
      </c>
      <c r="AJ69" s="9">
        <f t="shared" si="20"/>
        <v>2.8888723105207296E-2</v>
      </c>
      <c r="AK69" s="9">
        <f t="shared" si="21"/>
        <v>8.3455832264933791E-4</v>
      </c>
      <c r="AL69" s="9">
        <f t="shared" si="22"/>
        <v>4.7570282027770416E-3</v>
      </c>
      <c r="AM69" s="9">
        <f t="shared" si="23"/>
        <v>2.262931732201617E-5</v>
      </c>
      <c r="AN69" s="8" t="s">
        <v>1657</v>
      </c>
    </row>
    <row r="70" spans="13:40" ht="23">
      <c r="M70" s="8" t="s">
        <v>1225</v>
      </c>
      <c r="N70" s="8" t="s">
        <v>150</v>
      </c>
      <c r="O70" s="8"/>
      <c r="P70" s="8" t="s">
        <v>3694</v>
      </c>
      <c r="Q70" s="8"/>
      <c r="R70" s="8"/>
      <c r="S70" s="8"/>
      <c r="T70" s="8"/>
      <c r="U70" s="8"/>
      <c r="V70" s="8"/>
      <c r="W70" s="8" t="s">
        <v>1225</v>
      </c>
      <c r="X70" s="8">
        <v>20.45</v>
      </c>
      <c r="Y70" s="8">
        <v>6.07</v>
      </c>
      <c r="Z70" s="9">
        <v>8.09</v>
      </c>
      <c r="AA70" s="8">
        <v>12.9</v>
      </c>
      <c r="AB70" s="8">
        <v>7582</v>
      </c>
      <c r="AC70" s="21" t="s">
        <v>1225</v>
      </c>
      <c r="AD70" s="8" t="s">
        <v>4019</v>
      </c>
      <c r="AE70" s="8" t="s">
        <v>4085</v>
      </c>
      <c r="AF70" s="9">
        <f t="shared" si="16"/>
        <v>78.303000000000011</v>
      </c>
      <c r="AG70" s="9">
        <f t="shared" si="17"/>
        <v>105.13500000000001</v>
      </c>
      <c r="AH70" s="9">
        <f t="shared" si="18"/>
        <v>0.11210275216601646</v>
      </c>
      <c r="AI70" s="9">
        <f t="shared" si="19"/>
        <v>1.256702704319531E-2</v>
      </c>
      <c r="AJ70" s="9">
        <f t="shared" si="20"/>
        <v>0.12790917078354802</v>
      </c>
      <c r="AK70" s="9">
        <f t="shared" si="21"/>
        <v>1.6360755970534855E-2</v>
      </c>
      <c r="AL70" s="9">
        <f t="shared" si="22"/>
        <v>0.19088937408357418</v>
      </c>
      <c r="AM70" s="9">
        <f t="shared" si="23"/>
        <v>3.6438753138018719E-2</v>
      </c>
      <c r="AN70" s="8" t="s">
        <v>1225</v>
      </c>
    </row>
    <row r="71" spans="13:40" ht="23">
      <c r="M71" s="8" t="s">
        <v>1655</v>
      </c>
      <c r="N71" s="8" t="s">
        <v>1614</v>
      </c>
      <c r="O71" s="8"/>
      <c r="P71" s="8"/>
      <c r="Q71" s="8"/>
      <c r="R71" s="8"/>
      <c r="S71" s="8"/>
      <c r="T71" s="8"/>
      <c r="U71" s="8"/>
      <c r="V71" s="8"/>
      <c r="W71" s="8" t="s">
        <v>1655</v>
      </c>
      <c r="X71" s="8">
        <v>25.08</v>
      </c>
      <c r="Y71" s="8">
        <v>3.97</v>
      </c>
      <c r="Z71" s="9">
        <v>3.19</v>
      </c>
      <c r="AA71" s="8">
        <v>12.6</v>
      </c>
      <c r="AB71" s="8">
        <v>7713</v>
      </c>
      <c r="AC71" s="21" t="s">
        <v>1655</v>
      </c>
      <c r="AD71" s="8" t="s">
        <v>3688</v>
      </c>
      <c r="AE71" s="8" t="s">
        <v>4085</v>
      </c>
      <c r="AF71" s="9">
        <f t="shared" si="16"/>
        <v>50.021999999999998</v>
      </c>
      <c r="AG71" s="9">
        <f t="shared" si="17"/>
        <v>41.79</v>
      </c>
      <c r="AH71" s="9">
        <f t="shared" si="18"/>
        <v>0.10949571141796957</v>
      </c>
      <c r="AI71" s="9">
        <f t="shared" si="19"/>
        <v>1.1989310818927273E-2</v>
      </c>
      <c r="AJ71" s="9">
        <f t="shared" si="20"/>
        <v>8.1711716548978172E-2</v>
      </c>
      <c r="AK71" s="9">
        <f t="shared" si="21"/>
        <v>6.6768046213805535E-3</v>
      </c>
      <c r="AL71" s="9">
        <f t="shared" si="22"/>
        <v>7.5876415493913191E-2</v>
      </c>
      <c r="AM71" s="9">
        <f t="shared" si="23"/>
        <v>5.7572304282049501E-3</v>
      </c>
      <c r="AN71" s="8" t="s">
        <v>1655</v>
      </c>
    </row>
    <row r="72" spans="13:40" ht="23">
      <c r="M72" s="8" t="s">
        <v>4758</v>
      </c>
      <c r="N72" s="8" t="s">
        <v>2100</v>
      </c>
      <c r="O72" s="8"/>
      <c r="P72" s="8" t="s">
        <v>3691</v>
      </c>
      <c r="Q72" s="8"/>
      <c r="R72" s="8"/>
      <c r="S72" s="8"/>
      <c r="T72" s="8"/>
      <c r="U72" s="8"/>
      <c r="V72" s="8"/>
      <c r="W72" s="8" t="s">
        <v>4758</v>
      </c>
      <c r="X72" s="8">
        <v>17.47</v>
      </c>
      <c r="Y72" s="8">
        <v>9.6199999999999992</v>
      </c>
      <c r="Z72" s="9">
        <v>15.1</v>
      </c>
      <c r="AA72" s="8">
        <v>12.3</v>
      </c>
      <c r="AB72" s="8">
        <v>5671</v>
      </c>
      <c r="AC72" s="21" t="s">
        <v>4758</v>
      </c>
      <c r="AD72" s="8" t="s">
        <v>4019</v>
      </c>
      <c r="AE72" s="8" t="s">
        <v>4085</v>
      </c>
      <c r="AF72" s="9">
        <f t="shared" si="16"/>
        <v>118.32599999999999</v>
      </c>
      <c r="AG72" s="9">
        <f t="shared" si="17"/>
        <v>184.52050000000003</v>
      </c>
      <c r="AH72" s="9">
        <f t="shared" si="18"/>
        <v>0.10688867066992269</v>
      </c>
      <c r="AI72" s="9">
        <f t="shared" si="19"/>
        <v>1.1425187917583192E-2</v>
      </c>
      <c r="AJ72" s="9">
        <f t="shared" si="20"/>
        <v>0.19328736500688481</v>
      </c>
      <c r="AK72" s="9">
        <f t="shared" si="21"/>
        <v>3.7360005471304719E-2</v>
      </c>
      <c r="AL72" s="9">
        <f t="shared" si="22"/>
        <v>0.3350264207979089</v>
      </c>
      <c r="AM72" s="9">
        <f t="shared" si="23"/>
        <v>0.11224270263265752</v>
      </c>
      <c r="AN72" s="8" t="s">
        <v>4758</v>
      </c>
    </row>
    <row r="73" spans="13:40" ht="23">
      <c r="M73" s="9" t="s">
        <v>3328</v>
      </c>
      <c r="N73" s="8" t="s">
        <v>1939</v>
      </c>
      <c r="O73" s="8"/>
      <c r="P73" s="8" t="s">
        <v>4745</v>
      </c>
      <c r="Q73" s="8"/>
      <c r="R73" s="8"/>
      <c r="S73" s="8"/>
      <c r="T73" s="8"/>
      <c r="U73" s="8"/>
      <c r="V73" s="8"/>
      <c r="W73" s="9" t="s">
        <v>3328</v>
      </c>
      <c r="X73" s="8">
        <v>51.77</v>
      </c>
      <c r="Y73" s="8">
        <v>23.69</v>
      </c>
      <c r="Z73" s="9">
        <v>3.24</v>
      </c>
      <c r="AA73" s="8">
        <v>12.3</v>
      </c>
      <c r="AB73" s="8">
        <v>3457</v>
      </c>
      <c r="AC73" s="22" t="s">
        <v>3328</v>
      </c>
      <c r="AD73" s="8" t="s">
        <v>4019</v>
      </c>
      <c r="AE73" s="8" t="s">
        <v>4085</v>
      </c>
      <c r="AF73" s="9">
        <f t="shared" si="16"/>
        <v>291.38700000000006</v>
      </c>
      <c r="AG73" s="9">
        <f t="shared" si="17"/>
        <v>41.82</v>
      </c>
      <c r="AH73" s="9">
        <f t="shared" si="18"/>
        <v>0.10688867066992269</v>
      </c>
      <c r="AI73" s="9">
        <f t="shared" si="19"/>
        <v>1.1425187917583192E-2</v>
      </c>
      <c r="AJ73" s="9">
        <f t="shared" si="20"/>
        <v>0.47598520551071749</v>
      </c>
      <c r="AK73" s="9">
        <f t="shared" si="21"/>
        <v>0.22656191586507995</v>
      </c>
      <c r="AL73" s="9">
        <f t="shared" si="22"/>
        <v>7.5930885282494615E-2</v>
      </c>
      <c r="AM73" s="9">
        <f t="shared" si="23"/>
        <v>5.7654993397833572E-3</v>
      </c>
      <c r="AN73" s="9" t="s">
        <v>3328</v>
      </c>
    </row>
    <row r="74" spans="13:40" ht="23">
      <c r="M74" s="8" t="s">
        <v>1096</v>
      </c>
      <c r="N74" s="8" t="s">
        <v>150</v>
      </c>
      <c r="O74" s="8"/>
      <c r="P74" s="8" t="s">
        <v>3691</v>
      </c>
      <c r="Q74" s="8"/>
      <c r="R74" s="8"/>
      <c r="S74" s="8"/>
      <c r="T74" s="8"/>
      <c r="U74" s="8"/>
      <c r="V74" s="8"/>
      <c r="W74" s="8" t="s">
        <v>1096</v>
      </c>
      <c r="X74" s="8">
        <v>35.47</v>
      </c>
      <c r="Y74" s="8">
        <v>4.07</v>
      </c>
      <c r="Z74" s="9">
        <v>3.11</v>
      </c>
      <c r="AA74" s="8">
        <v>12.3</v>
      </c>
      <c r="AB74" s="8">
        <v>8537</v>
      </c>
      <c r="AC74" s="21" t="s">
        <v>1096</v>
      </c>
      <c r="AD74" s="8" t="s">
        <v>4019</v>
      </c>
      <c r="AE74" s="8" t="s">
        <v>4085</v>
      </c>
      <c r="AF74" s="9">
        <f t="shared" si="16"/>
        <v>50.061000000000007</v>
      </c>
      <c r="AG74" s="9">
        <f t="shared" si="17"/>
        <v>39.155000000000001</v>
      </c>
      <c r="AH74" s="9">
        <f t="shared" si="18"/>
        <v>0.10688867066992269</v>
      </c>
      <c r="AI74" s="9">
        <f t="shared" si="19"/>
        <v>1.1425187917583192E-2</v>
      </c>
      <c r="AJ74" s="9">
        <f t="shared" si="20"/>
        <v>8.1775423656758967E-2</v>
      </c>
      <c r="AK74" s="9">
        <f t="shared" si="21"/>
        <v>6.6872199142424139E-3</v>
      </c>
      <c r="AL74" s="9">
        <f t="shared" si="22"/>
        <v>7.1092152396845451E-2</v>
      </c>
      <c r="AM74" s="9">
        <f t="shared" si="23"/>
        <v>5.0540941324162987E-3</v>
      </c>
      <c r="AN74" s="8" t="s">
        <v>1096</v>
      </c>
    </row>
    <row r="75" spans="13:40" ht="23">
      <c r="M75" s="8" t="s">
        <v>2077</v>
      </c>
      <c r="N75" s="8" t="s">
        <v>2074</v>
      </c>
      <c r="O75" s="8"/>
      <c r="P75" s="8"/>
      <c r="Q75" s="8"/>
      <c r="R75" s="8"/>
      <c r="S75" s="8"/>
      <c r="T75" s="8"/>
      <c r="U75" s="8"/>
      <c r="V75" s="8"/>
      <c r="W75" s="8" t="s">
        <v>2077</v>
      </c>
      <c r="X75" s="8">
        <v>14.2</v>
      </c>
      <c r="Y75" s="8">
        <v>8.7100000000000009</v>
      </c>
      <c r="Z75" s="9">
        <v>10.4</v>
      </c>
      <c r="AA75" s="8">
        <v>11.9</v>
      </c>
      <c r="AB75" s="8">
        <v>6788</v>
      </c>
      <c r="AC75" s="21" t="s">
        <v>2077</v>
      </c>
      <c r="AD75" s="8" t="s">
        <v>4019</v>
      </c>
      <c r="AE75" s="8" t="s">
        <v>4085</v>
      </c>
      <c r="AF75" s="9">
        <f t="shared" si="16"/>
        <v>103.64900000000002</v>
      </c>
      <c r="AG75" s="9">
        <f t="shared" si="17"/>
        <v>119.07933333333332</v>
      </c>
      <c r="AH75" s="9">
        <f t="shared" si="18"/>
        <v>0.10341261633919349</v>
      </c>
      <c r="AI75" s="9">
        <f t="shared" si="19"/>
        <v>1.0694169218117229E-2</v>
      </c>
      <c r="AJ75" s="9">
        <f t="shared" si="20"/>
        <v>0.16931225677871817</v>
      </c>
      <c r="AK75" s="9">
        <f t="shared" si="21"/>
        <v>2.8666640295502595E-2</v>
      </c>
      <c r="AL75" s="9">
        <f t="shared" si="22"/>
        <v>0.21620753703608966</v>
      </c>
      <c r="AM75" s="9">
        <f t="shared" si="23"/>
        <v>4.6745699071212087E-2</v>
      </c>
      <c r="AN75" s="8" t="s">
        <v>2077</v>
      </c>
    </row>
    <row r="76" spans="13:40" ht="23">
      <c r="M76" s="8" t="s">
        <v>1966</v>
      </c>
      <c r="N76" s="8" t="s">
        <v>1964</v>
      </c>
      <c r="O76" s="8"/>
      <c r="P76" s="8" t="s">
        <v>3705</v>
      </c>
      <c r="Q76" s="8"/>
      <c r="R76" s="8"/>
      <c r="S76" s="8"/>
      <c r="T76" s="8"/>
      <c r="U76" s="8"/>
      <c r="V76" s="8"/>
      <c r="W76" s="8" t="s">
        <v>1966</v>
      </c>
      <c r="X76" s="8">
        <v>31.3</v>
      </c>
      <c r="Y76" s="8">
        <v>6.02</v>
      </c>
      <c r="Z76" s="9">
        <v>5.0599999999999996</v>
      </c>
      <c r="AA76" s="8">
        <v>10.9</v>
      </c>
      <c r="AB76" s="8">
        <v>7430</v>
      </c>
      <c r="AC76" s="21" t="s">
        <v>1966</v>
      </c>
      <c r="AD76" s="8" t="s">
        <v>4019</v>
      </c>
      <c r="AE76" s="8" t="s">
        <v>4085</v>
      </c>
      <c r="AF76" s="9">
        <f t="shared" si="16"/>
        <v>65.617999999999995</v>
      </c>
      <c r="AG76" s="9">
        <f t="shared" si="17"/>
        <v>55.589999999999996</v>
      </c>
      <c r="AH76" s="9">
        <f t="shared" si="18"/>
        <v>9.4722480512370505E-2</v>
      </c>
      <c r="AI76" s="9">
        <f t="shared" si="19"/>
        <v>8.9723483144164094E-3</v>
      </c>
      <c r="AJ76" s="9">
        <f t="shared" si="20"/>
        <v>0.10718802559895346</v>
      </c>
      <c r="AK76" s="9">
        <f t="shared" si="21"/>
        <v>1.1489272831801903E-2</v>
      </c>
      <c r="AL76" s="9">
        <f t="shared" si="22"/>
        <v>0.10093251824136479</v>
      </c>
      <c r="AM76" s="9">
        <f t="shared" si="23"/>
        <v>1.0187373238543436E-2</v>
      </c>
      <c r="AN76" s="8" t="s">
        <v>1966</v>
      </c>
    </row>
    <row r="77" spans="13:40" ht="23">
      <c r="M77" s="9" t="s">
        <v>4753</v>
      </c>
      <c r="N77" s="8" t="s">
        <v>150</v>
      </c>
      <c r="O77" s="8"/>
      <c r="P77" s="8" t="s">
        <v>3691</v>
      </c>
      <c r="Q77" s="8"/>
      <c r="R77" s="8"/>
      <c r="S77" s="8"/>
      <c r="T77" s="8"/>
      <c r="U77" s="8"/>
      <c r="V77" s="8"/>
      <c r="W77" s="9" t="s">
        <v>4753</v>
      </c>
      <c r="X77" s="8">
        <v>26.92</v>
      </c>
      <c r="Y77" s="8">
        <v>2.81</v>
      </c>
      <c r="Z77" s="9">
        <v>2.57</v>
      </c>
      <c r="AA77" s="8">
        <v>10.8</v>
      </c>
      <c r="AB77" s="8">
        <v>11310</v>
      </c>
      <c r="AC77" s="22" t="s">
        <v>4753</v>
      </c>
      <c r="AD77" s="8" t="s">
        <v>4019</v>
      </c>
      <c r="AE77" s="8" t="s">
        <v>4085</v>
      </c>
      <c r="AF77" s="9">
        <f t="shared" si="16"/>
        <v>30.348000000000003</v>
      </c>
      <c r="AG77" s="9">
        <f t="shared" si="17"/>
        <v>31.860000000000003</v>
      </c>
      <c r="AH77" s="9">
        <f t="shared" si="18"/>
        <v>9.3853466929688212E-2</v>
      </c>
      <c r="AI77" s="9">
        <f t="shared" si="19"/>
        <v>8.8084732547220792E-3</v>
      </c>
      <c r="AJ77" s="9">
        <f t="shared" si="20"/>
        <v>4.9573930946951145E-2</v>
      </c>
      <c r="AK77" s="9">
        <f t="shared" si="21"/>
        <v>2.4575746295330803E-3</v>
      </c>
      <c r="AL77" s="9">
        <f t="shared" si="22"/>
        <v>5.7846915473464336E-2</v>
      </c>
      <c r="AM77" s="9">
        <f t="shared" si="23"/>
        <v>3.3462656297941276E-3</v>
      </c>
      <c r="AN77" s="9" t="s">
        <v>4753</v>
      </c>
    </row>
    <row r="78" spans="13:40" ht="23">
      <c r="M78" s="9" t="s">
        <v>3145</v>
      </c>
      <c r="N78" s="8" t="s">
        <v>1869</v>
      </c>
      <c r="O78" s="8"/>
      <c r="P78" s="8"/>
      <c r="Q78" s="8"/>
      <c r="R78" s="8"/>
      <c r="S78" s="8"/>
      <c r="T78" s="8"/>
      <c r="U78" s="8"/>
      <c r="V78" s="8"/>
      <c r="W78" s="9" t="s">
        <v>3145</v>
      </c>
      <c r="X78" s="8">
        <v>37.92</v>
      </c>
      <c r="Y78" s="8">
        <v>1.27</v>
      </c>
      <c r="Z78" s="9">
        <v>0.09</v>
      </c>
      <c r="AA78" s="8">
        <v>10.8</v>
      </c>
      <c r="AB78" s="8">
        <v>25885</v>
      </c>
      <c r="AC78" s="22" t="s">
        <v>3145</v>
      </c>
      <c r="AD78" s="8" t="s">
        <v>4019</v>
      </c>
      <c r="AE78" s="8" t="s">
        <v>4085</v>
      </c>
      <c r="AF78" s="9">
        <f t="shared" si="16"/>
        <v>13.716000000000001</v>
      </c>
      <c r="AG78" s="9">
        <f t="shared" si="17"/>
        <v>1.62</v>
      </c>
      <c r="AH78" s="9">
        <f t="shared" si="18"/>
        <v>9.3853466929688212E-2</v>
      </c>
      <c r="AI78" s="9">
        <f t="shared" si="19"/>
        <v>8.8084732547220792E-3</v>
      </c>
      <c r="AJ78" s="9">
        <f t="shared" si="20"/>
        <v>2.2405299751824894E-2</v>
      </c>
      <c r="AK78" s="9">
        <f t="shared" si="21"/>
        <v>5.0199745696912466E-4</v>
      </c>
      <c r="AL78" s="9">
        <f t="shared" si="22"/>
        <v>2.9413685833964919E-3</v>
      </c>
      <c r="AM78" s="9">
        <f t="shared" si="23"/>
        <v>8.6516491433918861E-6</v>
      </c>
      <c r="AN78" s="9" t="s">
        <v>3145</v>
      </c>
    </row>
    <row r="79" spans="13:40" ht="23">
      <c r="M79" s="8" t="s">
        <v>1023</v>
      </c>
      <c r="N79" s="8" t="s">
        <v>150</v>
      </c>
      <c r="O79" s="8"/>
      <c r="P79" s="8"/>
      <c r="Q79" s="8"/>
      <c r="R79" s="8"/>
      <c r="S79" s="8"/>
      <c r="T79" s="8"/>
      <c r="U79" s="8"/>
      <c r="V79" s="8"/>
      <c r="W79" s="8" t="s">
        <v>1023</v>
      </c>
      <c r="X79" s="8">
        <v>31.9</v>
      </c>
      <c r="Y79" s="8">
        <v>2.04</v>
      </c>
      <c r="Z79" s="9">
        <v>1.1200000000000001</v>
      </c>
      <c r="AA79" s="8">
        <v>10.5</v>
      </c>
      <c r="AB79" s="8">
        <v>16046</v>
      </c>
      <c r="AC79" s="21" t="s">
        <v>1023</v>
      </c>
      <c r="AD79" s="8" t="s">
        <v>4019</v>
      </c>
      <c r="AE79" s="8" t="s">
        <v>4085</v>
      </c>
      <c r="AF79" s="9">
        <f t="shared" si="16"/>
        <v>21.42</v>
      </c>
      <c r="AG79" s="9">
        <f t="shared" si="17"/>
        <v>12.6</v>
      </c>
      <c r="AH79" s="9">
        <f t="shared" si="18"/>
        <v>9.1246426181641319E-2</v>
      </c>
      <c r="AI79" s="9">
        <f t="shared" si="19"/>
        <v>8.3259102909217179E-3</v>
      </c>
      <c r="AJ79" s="9">
        <f t="shared" si="20"/>
        <v>3.4989903811905018E-2</v>
      </c>
      <c r="AK79" s="9">
        <f t="shared" si="21"/>
        <v>1.2242933687663653E-3</v>
      </c>
      <c r="AL79" s="9">
        <f t="shared" si="22"/>
        <v>2.2877311204194936E-2</v>
      </c>
      <c r="AM79" s="9">
        <f t="shared" si="23"/>
        <v>5.2337136793358314E-4</v>
      </c>
      <c r="AN79" s="8" t="s">
        <v>1023</v>
      </c>
    </row>
    <row r="80" spans="13:40" ht="23">
      <c r="M80" s="8" t="s">
        <v>91</v>
      </c>
      <c r="N80" s="8" t="s">
        <v>90</v>
      </c>
      <c r="O80" s="8"/>
      <c r="P80" s="8" t="s">
        <v>3696</v>
      </c>
      <c r="Q80" s="8"/>
      <c r="R80" s="8"/>
      <c r="S80" s="8"/>
      <c r="T80" s="8"/>
      <c r="U80" s="8"/>
      <c r="V80" s="8"/>
      <c r="W80" s="8" t="s">
        <v>91</v>
      </c>
      <c r="X80" s="8">
        <v>11.72</v>
      </c>
      <c r="Y80" s="8">
        <v>6.8</v>
      </c>
      <c r="Z80" s="9">
        <v>7.47</v>
      </c>
      <c r="AA80" s="8">
        <v>10.199999999999999</v>
      </c>
      <c r="AB80" s="8">
        <v>6880</v>
      </c>
      <c r="AC80" s="21" t="s">
        <v>91</v>
      </c>
      <c r="AD80" s="8" t="s">
        <v>3688</v>
      </c>
      <c r="AE80" s="8" t="s">
        <v>4085</v>
      </c>
      <c r="AF80" s="9">
        <f t="shared" si="16"/>
        <v>69.36</v>
      </c>
      <c r="AG80" s="9">
        <f t="shared" si="17"/>
        <v>79.389999999999986</v>
      </c>
      <c r="AH80" s="9">
        <f t="shared" si="18"/>
        <v>8.8639385433594411E-2</v>
      </c>
      <c r="AI80" s="9">
        <f t="shared" si="19"/>
        <v>7.856940650045309E-3</v>
      </c>
      <c r="AJ80" s="9">
        <f t="shared" si="20"/>
        <v>0.11330064091474004</v>
      </c>
      <c r="AK80" s="9">
        <f t="shared" si="21"/>
        <v>1.2837035231690865E-2</v>
      </c>
      <c r="AL80" s="9">
        <f t="shared" si="22"/>
        <v>0.14414521718262188</v>
      </c>
      <c r="AM80" s="9">
        <f t="shared" si="23"/>
        <v>2.0777843636625229E-2</v>
      </c>
      <c r="AN80" s="8" t="s">
        <v>91</v>
      </c>
    </row>
    <row r="81" spans="13:40" ht="23">
      <c r="M81" s="8" t="s">
        <v>2109</v>
      </c>
      <c r="N81" s="8" t="s">
        <v>2107</v>
      </c>
      <c r="O81" s="8"/>
      <c r="P81" s="8" t="s">
        <v>3696</v>
      </c>
      <c r="Q81" s="8"/>
      <c r="R81" s="8"/>
      <c r="S81" s="8"/>
      <c r="T81" s="8"/>
      <c r="U81" s="8"/>
      <c r="V81" s="8"/>
      <c r="W81" s="8" t="s">
        <v>2109</v>
      </c>
      <c r="X81" s="8">
        <v>18.53</v>
      </c>
      <c r="Y81" s="8">
        <v>6.45</v>
      </c>
      <c r="Z81" s="9">
        <v>5.2</v>
      </c>
      <c r="AA81" s="8">
        <v>9.9</v>
      </c>
      <c r="AB81" s="8">
        <v>8588</v>
      </c>
      <c r="AC81" s="21" t="s">
        <v>2109</v>
      </c>
      <c r="AD81" s="8" t="s">
        <v>4019</v>
      </c>
      <c r="AE81" s="8" t="s">
        <v>4085</v>
      </c>
      <c r="AF81" s="9">
        <f t="shared" si="16"/>
        <v>63.855000000000004</v>
      </c>
      <c r="AG81" s="9">
        <f t="shared" si="17"/>
        <v>49.533000000000001</v>
      </c>
      <c r="AH81" s="9">
        <f t="shared" si="18"/>
        <v>8.6032344685547518E-2</v>
      </c>
      <c r="AI81" s="9">
        <f t="shared" si="19"/>
        <v>7.4015643320928561E-3</v>
      </c>
      <c r="AJ81" s="9">
        <f t="shared" si="20"/>
        <v>0.10430813762414543</v>
      </c>
      <c r="AK81" s="9">
        <f t="shared" si="21"/>
        <v>1.0880187574617662E-2</v>
      </c>
      <c r="AL81" s="9">
        <f t="shared" si="22"/>
        <v>8.9935067926776802E-2</v>
      </c>
      <c r="AM81" s="9">
        <f t="shared" si="23"/>
        <v>8.0883164429939574E-3</v>
      </c>
      <c r="AN81" s="8" t="s">
        <v>2109</v>
      </c>
    </row>
    <row r="82" spans="13:40" ht="23">
      <c r="M82" s="9" t="s">
        <v>3619</v>
      </c>
      <c r="N82" s="8" t="s">
        <v>2093</v>
      </c>
      <c r="O82" s="8"/>
      <c r="P82" s="8" t="s">
        <v>3691</v>
      </c>
      <c r="Q82" s="8"/>
      <c r="R82" s="8"/>
      <c r="S82" s="8"/>
      <c r="T82" s="8"/>
      <c r="U82" s="8"/>
      <c r="V82" s="8"/>
      <c r="W82" s="9" t="s">
        <v>3619</v>
      </c>
      <c r="X82" s="8">
        <v>15.15</v>
      </c>
      <c r="Y82" s="8">
        <v>22.16</v>
      </c>
      <c r="Z82" s="9">
        <v>32.58</v>
      </c>
      <c r="AA82" s="8">
        <v>9.6</v>
      </c>
      <c r="AB82" s="8">
        <v>5708</v>
      </c>
      <c r="AC82" s="22" t="s">
        <v>3619</v>
      </c>
      <c r="AD82" s="8" t="s">
        <v>4019</v>
      </c>
      <c r="AE82" s="8" t="s">
        <v>4085</v>
      </c>
      <c r="AF82" s="9">
        <f t="shared" si="16"/>
        <v>212.73599999999999</v>
      </c>
      <c r="AG82" s="9">
        <f t="shared" si="17"/>
        <v>316.48</v>
      </c>
      <c r="AH82" s="9">
        <f t="shared" si="18"/>
        <v>8.3425303937500625E-2</v>
      </c>
      <c r="AI82" s="9">
        <f t="shared" si="19"/>
        <v>6.9597813370643573E-3</v>
      </c>
      <c r="AJ82" s="9">
        <f t="shared" si="20"/>
        <v>0.3475075713038947</v>
      </c>
      <c r="AK82" s="9">
        <f t="shared" si="21"/>
        <v>0.12076151211353146</v>
      </c>
      <c r="AL82" s="9">
        <f t="shared" si="22"/>
        <v>0.5746199563415566</v>
      </c>
      <c r="AM82" s="9">
        <f t="shared" si="23"/>
        <v>0.3301880942259724</v>
      </c>
      <c r="AN82" s="9" t="s">
        <v>3619</v>
      </c>
    </row>
    <row r="83" spans="13:40" ht="23">
      <c r="M83" s="8" t="s">
        <v>1682</v>
      </c>
      <c r="N83" s="8" t="s">
        <v>1614</v>
      </c>
      <c r="O83" s="8"/>
      <c r="P83" s="8" t="s">
        <v>3691</v>
      </c>
      <c r="Q83" s="8"/>
      <c r="R83" s="8"/>
      <c r="S83" s="8"/>
      <c r="T83" s="8"/>
      <c r="U83" s="8"/>
      <c r="V83" s="8"/>
      <c r="W83" s="8" t="s">
        <v>1682</v>
      </c>
      <c r="X83" s="8">
        <v>16.25</v>
      </c>
      <c r="Y83" s="8">
        <v>8.35</v>
      </c>
      <c r="Z83" s="9">
        <v>13.09</v>
      </c>
      <c r="AA83" s="8">
        <v>9.4</v>
      </c>
      <c r="AB83" s="8">
        <v>8163</v>
      </c>
      <c r="AC83" s="21" t="s">
        <v>1682</v>
      </c>
      <c r="AD83" s="8" t="s">
        <v>4019</v>
      </c>
      <c r="AE83" s="8" t="s">
        <v>4085</v>
      </c>
      <c r="AF83" s="9">
        <f t="shared" si="16"/>
        <v>78.489999999999995</v>
      </c>
      <c r="AG83" s="9">
        <f t="shared" si="17"/>
        <v>123.61000000000001</v>
      </c>
      <c r="AH83" s="9">
        <f t="shared" si="18"/>
        <v>8.1687276772136025E-2</v>
      </c>
      <c r="AI83" s="9">
        <f t="shared" si="19"/>
        <v>6.6728111864475534E-3</v>
      </c>
      <c r="AJ83" s="9">
        <f t="shared" si="20"/>
        <v>0.1282146381977789</v>
      </c>
      <c r="AK83" s="9">
        <f t="shared" si="21"/>
        <v>1.6438993448187344E-2</v>
      </c>
      <c r="AL83" s="9">
        <f t="shared" si="22"/>
        <v>0.22443368555162985</v>
      </c>
      <c r="AM83" s="9">
        <f t="shared" si="23"/>
        <v>5.0370479210287866E-2</v>
      </c>
      <c r="AN83" s="8" t="s">
        <v>1682</v>
      </c>
    </row>
    <row r="84" spans="13:40" ht="23">
      <c r="M84" s="9" t="s">
        <v>2691</v>
      </c>
      <c r="N84" s="8" t="s">
        <v>1614</v>
      </c>
      <c r="O84" s="8"/>
      <c r="P84" s="8" t="s">
        <v>3693</v>
      </c>
      <c r="Q84" s="8"/>
      <c r="R84" s="8"/>
      <c r="S84" s="8"/>
      <c r="T84" s="8"/>
      <c r="U84" s="8"/>
      <c r="V84" s="8"/>
      <c r="W84" s="9" t="s">
        <v>2691</v>
      </c>
      <c r="X84" s="8">
        <v>13.79</v>
      </c>
      <c r="Y84" s="8">
        <v>6.81</v>
      </c>
      <c r="Z84" s="9">
        <v>7.02</v>
      </c>
      <c r="AA84" s="8">
        <v>9.3000000000000007</v>
      </c>
      <c r="AB84" s="8">
        <v>9565</v>
      </c>
      <c r="AC84" s="22" t="s">
        <v>2691</v>
      </c>
      <c r="AD84" s="8" t="s">
        <v>3688</v>
      </c>
      <c r="AE84" s="8" t="s">
        <v>4085</v>
      </c>
      <c r="AF84" s="9">
        <f t="shared" si="16"/>
        <v>63.332999999999998</v>
      </c>
      <c r="AG84" s="9">
        <f t="shared" si="17"/>
        <v>65.410000000000011</v>
      </c>
      <c r="AH84" s="9">
        <f t="shared" si="18"/>
        <v>8.0818263189453746E-2</v>
      </c>
      <c r="AI84" s="9">
        <f t="shared" si="19"/>
        <v>6.5315916649598144E-3</v>
      </c>
      <c r="AJ84" s="9">
        <f t="shared" si="20"/>
        <v>0.10345544248923344</v>
      </c>
      <c r="AK84" s="9">
        <f t="shared" si="21"/>
        <v>1.0703028580643087E-2</v>
      </c>
      <c r="AL84" s="9">
        <f t="shared" si="22"/>
        <v>0.11876229570368182</v>
      </c>
      <c r="AM84" s="9">
        <f t="shared" si="23"/>
        <v>1.4104482880808763E-2</v>
      </c>
      <c r="AN84" s="9" t="s">
        <v>2691</v>
      </c>
    </row>
    <row r="85" spans="13:40" ht="23">
      <c r="M85" s="9" t="s">
        <v>2539</v>
      </c>
      <c r="N85" s="8" t="s">
        <v>150</v>
      </c>
      <c r="O85" s="8"/>
      <c r="P85" s="8" t="s">
        <v>3691</v>
      </c>
      <c r="Q85" s="8"/>
      <c r="R85" s="8"/>
      <c r="S85" s="8"/>
      <c r="T85" s="8"/>
      <c r="U85" s="8"/>
      <c r="V85" s="8"/>
      <c r="W85" s="9" t="s">
        <v>2539</v>
      </c>
      <c r="X85" s="8">
        <v>14.94</v>
      </c>
      <c r="Y85" s="8">
        <v>12.07</v>
      </c>
      <c r="Z85" s="9">
        <v>17.23</v>
      </c>
      <c r="AA85" s="8">
        <v>9.1999999999999993</v>
      </c>
      <c r="AB85" s="8">
        <v>6964</v>
      </c>
      <c r="AC85" s="22" t="s">
        <v>2539</v>
      </c>
      <c r="AD85" s="8" t="s">
        <v>4019</v>
      </c>
      <c r="AE85" s="8" t="s">
        <v>4085</v>
      </c>
      <c r="AF85" s="9">
        <f t="shared" si="16"/>
        <v>111.044</v>
      </c>
      <c r="AG85" s="9">
        <f t="shared" si="17"/>
        <v>159.92666666666665</v>
      </c>
      <c r="AH85" s="9">
        <f t="shared" si="18"/>
        <v>7.9949249606771425E-2</v>
      </c>
      <c r="AI85" s="9">
        <f t="shared" si="19"/>
        <v>6.3918825126858406E-3</v>
      </c>
      <c r="AJ85" s="9">
        <f t="shared" si="20"/>
        <v>0.1813921045233044</v>
      </c>
      <c r="AK85" s="9">
        <f t="shared" si="21"/>
        <v>3.2903095583393389E-2</v>
      </c>
      <c r="AL85" s="9">
        <f t="shared" si="22"/>
        <v>0.29037239072880011</v>
      </c>
      <c r="AM85" s="9">
        <f t="shared" si="23"/>
        <v>8.4316125297558955E-2</v>
      </c>
      <c r="AN85" s="9" t="s">
        <v>2539</v>
      </c>
    </row>
    <row r="86" spans="13:40" ht="23">
      <c r="M86" s="8" t="s">
        <v>1817</v>
      </c>
      <c r="N86" s="8" t="s">
        <v>1814</v>
      </c>
      <c r="O86" s="8"/>
      <c r="P86" s="8" t="s">
        <v>4754</v>
      </c>
      <c r="Q86" s="8"/>
      <c r="R86" s="8"/>
      <c r="S86" s="8"/>
      <c r="T86" s="8"/>
      <c r="U86" s="8"/>
      <c r="V86" s="8"/>
      <c r="W86" s="8" t="s">
        <v>1817</v>
      </c>
      <c r="X86" s="8">
        <v>33.340000000000003</v>
      </c>
      <c r="Y86" s="8">
        <v>5.23</v>
      </c>
      <c r="Z86" s="9">
        <v>5.57</v>
      </c>
      <c r="AA86" s="8">
        <v>9.1</v>
      </c>
      <c r="AB86" s="8">
        <v>9974</v>
      </c>
      <c r="AC86" s="21" t="s">
        <v>1817</v>
      </c>
      <c r="AD86" s="8" t="s">
        <v>4019</v>
      </c>
      <c r="AE86" s="8" t="s">
        <v>4085</v>
      </c>
      <c r="AF86" s="9">
        <f t="shared" si="16"/>
        <v>47.593000000000004</v>
      </c>
      <c r="AG86" s="9">
        <f t="shared" si="17"/>
        <v>54.144999999999996</v>
      </c>
      <c r="AH86" s="9">
        <f t="shared" si="18"/>
        <v>7.9080236024089132E-2</v>
      </c>
      <c r="AI86" s="9">
        <f t="shared" si="19"/>
        <v>6.2536837296256441E-3</v>
      </c>
      <c r="AJ86" s="9">
        <f t="shared" si="20"/>
        <v>7.7743907195144513E-2</v>
      </c>
      <c r="AK86" s="9">
        <f t="shared" si="21"/>
        <v>6.0441151059672429E-3</v>
      </c>
      <c r="AL86" s="9">
        <f t="shared" si="22"/>
        <v>9.8308890091359902E-2</v>
      </c>
      <c r="AM86" s="9">
        <f t="shared" si="23"/>
        <v>9.6646378709950818E-3</v>
      </c>
      <c r="AN86" s="8" t="s">
        <v>1817</v>
      </c>
    </row>
    <row r="87" spans="13:40" ht="23">
      <c r="M87" s="8" t="s">
        <v>978</v>
      </c>
      <c r="N87" s="8" t="s">
        <v>150</v>
      </c>
      <c r="O87" s="8"/>
      <c r="P87" s="8"/>
      <c r="Q87" s="8"/>
      <c r="R87" s="8"/>
      <c r="S87" s="8"/>
      <c r="T87" s="8"/>
      <c r="U87" s="8"/>
      <c r="V87" s="8"/>
      <c r="W87" s="8" t="s">
        <v>978</v>
      </c>
      <c r="X87" s="8">
        <v>21.46</v>
      </c>
      <c r="Y87" s="8">
        <v>6.8</v>
      </c>
      <c r="Z87" s="9">
        <v>7.12</v>
      </c>
      <c r="AA87" s="8">
        <v>9</v>
      </c>
      <c r="AB87" s="8">
        <v>9196</v>
      </c>
      <c r="AC87" s="21" t="s">
        <v>978</v>
      </c>
      <c r="AD87" s="8" t="s">
        <v>4019</v>
      </c>
      <c r="AE87" s="8" t="s">
        <v>4085</v>
      </c>
      <c r="AF87" s="9">
        <f t="shared" si="16"/>
        <v>61.199999999999996</v>
      </c>
      <c r="AG87" s="9">
        <f t="shared" si="17"/>
        <v>64.8</v>
      </c>
      <c r="AH87" s="9">
        <f t="shared" si="18"/>
        <v>7.8211222441406839E-2</v>
      </c>
      <c r="AI87" s="9">
        <f t="shared" si="19"/>
        <v>6.1169953157792206E-3</v>
      </c>
      <c r="AJ87" s="9">
        <f t="shared" si="20"/>
        <v>9.9971153748300026E-2</v>
      </c>
      <c r="AK87" s="9">
        <f t="shared" si="21"/>
        <v>9.9942315817662421E-3</v>
      </c>
      <c r="AL87" s="9">
        <f t="shared" si="22"/>
        <v>0.11765474333585967</v>
      </c>
      <c r="AM87" s="9">
        <f t="shared" si="23"/>
        <v>1.3842638629427015E-2</v>
      </c>
      <c r="AN87" s="8" t="s">
        <v>978</v>
      </c>
    </row>
    <row r="88" spans="13:40" ht="23">
      <c r="M88" s="9" t="s">
        <v>2574</v>
      </c>
      <c r="N88" s="8" t="s">
        <v>150</v>
      </c>
      <c r="O88" s="8"/>
      <c r="P88" s="8" t="s">
        <v>4756</v>
      </c>
      <c r="Q88" s="8"/>
      <c r="R88" s="8"/>
      <c r="S88" s="8"/>
      <c r="T88" s="8"/>
      <c r="U88" s="8"/>
      <c r="V88" s="8"/>
      <c r="W88" s="9" t="s">
        <v>2574</v>
      </c>
      <c r="X88" s="8">
        <v>10.83</v>
      </c>
      <c r="Y88" s="8">
        <v>7.86</v>
      </c>
      <c r="Z88" s="9">
        <v>7.41</v>
      </c>
      <c r="AA88" s="8">
        <v>8.9</v>
      </c>
      <c r="AB88" s="8">
        <v>8976</v>
      </c>
      <c r="AC88" s="22" t="s">
        <v>2574</v>
      </c>
      <c r="AD88" s="8" t="s">
        <v>4019</v>
      </c>
      <c r="AE88" s="8" t="s">
        <v>4085</v>
      </c>
      <c r="AF88" s="9">
        <f t="shared" si="16"/>
        <v>69.954000000000008</v>
      </c>
      <c r="AG88" s="9">
        <f t="shared" si="17"/>
        <v>68.381666666666675</v>
      </c>
      <c r="AH88" s="9">
        <f t="shared" si="18"/>
        <v>7.7342208858724545E-2</v>
      </c>
      <c r="AI88" s="9">
        <f t="shared" si="19"/>
        <v>5.9818172711465691E-3</v>
      </c>
      <c r="AJ88" s="9">
        <f t="shared" si="20"/>
        <v>0.11427094917170885</v>
      </c>
      <c r="AK88" s="9">
        <f t="shared" si="21"/>
        <v>1.3057849824603267E-2</v>
      </c>
      <c r="AL88" s="9">
        <f t="shared" si="22"/>
        <v>0.12415783087260768</v>
      </c>
      <c r="AM88" s="9">
        <f t="shared" si="23"/>
        <v>1.5415166966991052E-2</v>
      </c>
      <c r="AN88" s="9" t="s">
        <v>2574</v>
      </c>
    </row>
    <row r="89" spans="13:40" ht="23">
      <c r="M89" s="9" t="s">
        <v>3366</v>
      </c>
      <c r="N89" s="8" t="s">
        <v>1964</v>
      </c>
      <c r="O89" s="8"/>
      <c r="P89" s="8" t="s">
        <v>3696</v>
      </c>
      <c r="Q89" s="8"/>
      <c r="R89" s="8"/>
      <c r="S89" s="8"/>
      <c r="T89" s="8"/>
      <c r="U89" s="8"/>
      <c r="V89" s="8"/>
      <c r="W89" s="9" t="s">
        <v>3366</v>
      </c>
      <c r="X89" s="8">
        <v>15.75</v>
      </c>
      <c r="Y89" s="8">
        <v>11.2</v>
      </c>
      <c r="Z89" s="9">
        <v>11.33</v>
      </c>
      <c r="AA89" s="8">
        <v>8.3000000000000007</v>
      </c>
      <c r="AB89" s="8">
        <v>6875</v>
      </c>
      <c r="AC89" s="22" t="s">
        <v>3366</v>
      </c>
      <c r="AD89" s="8" t="s">
        <v>4019</v>
      </c>
      <c r="AE89" s="8" t="s">
        <v>4085</v>
      </c>
      <c r="AF89" s="9">
        <f t="shared" si="16"/>
        <v>92.960000000000008</v>
      </c>
      <c r="AG89" s="9">
        <f t="shared" si="17"/>
        <v>95.865000000000009</v>
      </c>
      <c r="AH89" s="9">
        <f t="shared" si="18"/>
        <v>7.2128127362630759E-2</v>
      </c>
      <c r="AI89" s="9">
        <f t="shared" si="19"/>
        <v>5.2024667568398844E-3</v>
      </c>
      <c r="AJ89" s="9">
        <f t="shared" si="20"/>
        <v>0.15185160870003223</v>
      </c>
      <c r="AK89" s="9">
        <f t="shared" si="21"/>
        <v>2.3058911064787704E-2</v>
      </c>
      <c r="AL89" s="9">
        <f t="shared" si="22"/>
        <v>0.17405820941191646</v>
      </c>
      <c r="AM89" s="9">
        <f t="shared" si="23"/>
        <v>3.0296260263682564E-2</v>
      </c>
      <c r="AN89" s="9" t="s">
        <v>3366</v>
      </c>
    </row>
    <row r="90" spans="13:40" ht="23">
      <c r="M90" s="8" t="s">
        <v>1792</v>
      </c>
      <c r="N90" s="8" t="s">
        <v>1717</v>
      </c>
      <c r="O90" s="8"/>
      <c r="P90" s="8" t="s">
        <v>3709</v>
      </c>
      <c r="Q90" s="8"/>
      <c r="R90" s="8"/>
      <c r="S90" s="8"/>
      <c r="T90" s="8"/>
      <c r="U90" s="8"/>
      <c r="V90" s="8"/>
      <c r="W90" s="8" t="s">
        <v>1792</v>
      </c>
      <c r="X90" s="8">
        <v>14.72</v>
      </c>
      <c r="Y90" s="8">
        <v>6.7</v>
      </c>
      <c r="Z90" s="9">
        <v>5.42</v>
      </c>
      <c r="AA90" s="8">
        <v>8.3000000000000007</v>
      </c>
      <c r="AB90" s="8">
        <v>9940</v>
      </c>
      <c r="AC90" s="21" t="s">
        <v>1792</v>
      </c>
      <c r="AD90" s="8" t="s">
        <v>4477</v>
      </c>
      <c r="AE90" s="8" t="s">
        <v>4085</v>
      </c>
      <c r="AF90" s="9">
        <f t="shared" si="16"/>
        <v>55.610000000000007</v>
      </c>
      <c r="AG90" s="9">
        <f t="shared" si="17"/>
        <v>47.31</v>
      </c>
      <c r="AH90" s="9">
        <f t="shared" si="18"/>
        <v>7.2128127362630759E-2</v>
      </c>
      <c r="AI90" s="9">
        <f t="shared" si="19"/>
        <v>5.2024667568398844E-3</v>
      </c>
      <c r="AJ90" s="9">
        <f t="shared" si="20"/>
        <v>9.0839801633054995E-2</v>
      </c>
      <c r="AK90" s="9">
        <f t="shared" si="21"/>
        <v>8.2518695607327816E-3</v>
      </c>
      <c r="AL90" s="9">
        <f t="shared" si="22"/>
        <v>8.5898856592893841E-2</v>
      </c>
      <c r="AM90" s="9">
        <f t="shared" si="23"/>
        <v>7.3786135639665419E-3</v>
      </c>
      <c r="AN90" s="8" t="s">
        <v>1792</v>
      </c>
    </row>
    <row r="91" spans="13:40" ht="23">
      <c r="M91" s="9" t="s">
        <v>3611</v>
      </c>
      <c r="N91" s="8" t="s">
        <v>2084</v>
      </c>
      <c r="O91" s="8"/>
      <c r="P91" s="8" t="s">
        <v>4653</v>
      </c>
      <c r="Q91" s="8"/>
      <c r="R91" s="8"/>
      <c r="S91" s="8"/>
      <c r="T91" s="8"/>
      <c r="U91" s="8"/>
      <c r="V91" s="8"/>
      <c r="W91" s="9" t="s">
        <v>3611</v>
      </c>
      <c r="X91" s="8">
        <v>20.88</v>
      </c>
      <c r="Y91" s="8">
        <v>5.03</v>
      </c>
      <c r="Z91" s="9">
        <v>4.46</v>
      </c>
      <c r="AA91" s="8">
        <v>8</v>
      </c>
      <c r="AB91" s="8">
        <v>12233</v>
      </c>
      <c r="AC91" s="22" t="s">
        <v>3611</v>
      </c>
      <c r="AD91" s="8" t="s">
        <v>4019</v>
      </c>
      <c r="AE91" s="8" t="s">
        <v>4085</v>
      </c>
      <c r="AF91" s="9">
        <f t="shared" si="16"/>
        <v>40.24</v>
      </c>
      <c r="AG91" s="9">
        <f t="shared" si="17"/>
        <v>38.133333333333333</v>
      </c>
      <c r="AH91" s="9">
        <f t="shared" si="18"/>
        <v>6.9521086614583852E-2</v>
      </c>
      <c r="AI91" s="9">
        <f t="shared" si="19"/>
        <v>4.8331814840724702E-3</v>
      </c>
      <c r="AJ91" s="9">
        <f t="shared" si="20"/>
        <v>6.5732667105091402E-2</v>
      </c>
      <c r="AK91" s="9">
        <f t="shared" si="21"/>
        <v>4.3207835247487652E-3</v>
      </c>
      <c r="AL91" s="9">
        <f t="shared" si="22"/>
        <v>6.9237153485711647E-2</v>
      </c>
      <c r="AM91" s="9">
        <f t="shared" si="23"/>
        <v>4.7937834228039926E-3</v>
      </c>
      <c r="AN91" s="9" t="s">
        <v>3611</v>
      </c>
    </row>
    <row r="92" spans="13:40" ht="23">
      <c r="M92" s="8" t="s">
        <v>1382</v>
      </c>
      <c r="N92" s="8" t="s">
        <v>150</v>
      </c>
      <c r="O92" s="8"/>
      <c r="P92" s="8" t="s">
        <v>3691</v>
      </c>
      <c r="Q92" s="8"/>
      <c r="R92" s="8"/>
      <c r="S92" s="8"/>
      <c r="T92" s="8"/>
      <c r="U92" s="8"/>
      <c r="V92" s="8"/>
      <c r="W92" s="8" t="s">
        <v>1382</v>
      </c>
      <c r="X92" s="8">
        <v>46.12</v>
      </c>
      <c r="Y92" s="8">
        <v>2.4300000000000002</v>
      </c>
      <c r="Z92" s="9">
        <v>2.16</v>
      </c>
      <c r="AA92" s="8">
        <v>7.9</v>
      </c>
      <c r="AB92" s="8">
        <v>14987</v>
      </c>
      <c r="AC92" s="21" t="s">
        <v>1382</v>
      </c>
      <c r="AD92" s="8" t="s">
        <v>4019</v>
      </c>
      <c r="AE92" s="8" t="s">
        <v>4085</v>
      </c>
      <c r="AF92" s="9">
        <f t="shared" si="16"/>
        <v>19.197000000000003</v>
      </c>
      <c r="AG92" s="9">
        <f t="shared" si="17"/>
        <v>17.906666666666666</v>
      </c>
      <c r="AH92" s="9">
        <f t="shared" si="18"/>
        <v>6.8652073031901559E-2</v>
      </c>
      <c r="AI92" s="9">
        <f t="shared" si="19"/>
        <v>4.7131071315775451E-3</v>
      </c>
      <c r="AJ92" s="9">
        <f t="shared" si="20"/>
        <v>3.1358598668400586E-2</v>
      </c>
      <c r="AK92" s="9">
        <f t="shared" si="21"/>
        <v>9.8336171044581511E-4</v>
      </c>
      <c r="AL92" s="9">
        <f t="shared" si="22"/>
        <v>3.2512411584374387E-2</v>
      </c>
      <c r="AM92" s="9">
        <f t="shared" si="23"/>
        <v>1.0570569070317618E-3</v>
      </c>
      <c r="AN92" s="8" t="s">
        <v>1382</v>
      </c>
    </row>
    <row r="93" spans="13:40" ht="23">
      <c r="M93" s="8" t="s">
        <v>2043</v>
      </c>
      <c r="N93" s="8" t="s">
        <v>2041</v>
      </c>
      <c r="O93" s="8"/>
      <c r="P93" s="8" t="s">
        <v>3705</v>
      </c>
      <c r="Q93" s="8"/>
      <c r="R93" s="8"/>
      <c r="S93" s="8"/>
      <c r="T93" s="8"/>
      <c r="U93" s="8"/>
      <c r="V93" s="8"/>
      <c r="W93" s="8" t="s">
        <v>2043</v>
      </c>
      <c r="X93" s="8">
        <v>20.53</v>
      </c>
      <c r="Y93" s="8">
        <v>3.59</v>
      </c>
      <c r="Z93" s="9">
        <v>2.4300000000000002</v>
      </c>
      <c r="AA93" s="8">
        <v>7.8</v>
      </c>
      <c r="AB93" s="8"/>
      <c r="AC93" s="21" t="s">
        <v>2043</v>
      </c>
      <c r="AD93" s="8" t="s">
        <v>4019</v>
      </c>
      <c r="AE93" s="8" t="s">
        <v>4085</v>
      </c>
      <c r="AF93" s="9">
        <f t="shared" si="16"/>
        <v>28.001999999999999</v>
      </c>
      <c r="AG93" s="9">
        <f t="shared" si="17"/>
        <v>21.19</v>
      </c>
      <c r="AH93" s="9">
        <f t="shared" si="18"/>
        <v>6.7783059449219266E-2</v>
      </c>
      <c r="AI93" s="9">
        <f t="shared" si="19"/>
        <v>4.5945431482963929E-3</v>
      </c>
      <c r="AJ93" s="9">
        <f t="shared" si="20"/>
        <v>4.5741703386599636E-2</v>
      </c>
      <c r="AK93" s="9">
        <f t="shared" si="21"/>
        <v>2.0923034287076607E-3</v>
      </c>
      <c r="AL93" s="9">
        <f t="shared" si="22"/>
        <v>3.8473827334673867E-2</v>
      </c>
      <c r="AM93" s="9">
        <f t="shared" si="23"/>
        <v>1.4802353897782981E-3</v>
      </c>
      <c r="AN93" s="8" t="s">
        <v>2043</v>
      </c>
    </row>
    <row r="94" spans="13:40" ht="23">
      <c r="M94" s="9" t="s">
        <v>2424</v>
      </c>
      <c r="N94" s="8" t="s">
        <v>150</v>
      </c>
      <c r="O94" s="8"/>
      <c r="P94" s="8"/>
      <c r="Q94" s="8"/>
      <c r="R94" s="8"/>
      <c r="S94" s="8"/>
      <c r="T94" s="8"/>
      <c r="U94" s="8"/>
      <c r="V94" s="8"/>
      <c r="W94" s="9" t="s">
        <v>2424</v>
      </c>
      <c r="X94" s="8">
        <v>29.63</v>
      </c>
      <c r="Y94" s="8">
        <v>6.55</v>
      </c>
      <c r="Z94" s="9">
        <v>8.42</v>
      </c>
      <c r="AA94" s="8">
        <v>7.7</v>
      </c>
      <c r="AB94" s="8">
        <v>9938</v>
      </c>
      <c r="AC94" s="22" t="s">
        <v>2424</v>
      </c>
      <c r="AD94" s="8" t="s">
        <v>4478</v>
      </c>
      <c r="AE94" s="8" t="s">
        <v>4085</v>
      </c>
      <c r="AF94" s="9">
        <f t="shared" si="16"/>
        <v>50.435000000000002</v>
      </c>
      <c r="AG94" s="9">
        <f t="shared" si="17"/>
        <v>66.989999999999995</v>
      </c>
      <c r="AH94" s="9">
        <f t="shared" si="18"/>
        <v>6.6914045866536959E-2</v>
      </c>
      <c r="AI94" s="9">
        <f t="shared" si="19"/>
        <v>4.477489534229012E-3</v>
      </c>
      <c r="AJ94" s="9">
        <f t="shared" si="20"/>
        <v>8.2386358485220801E-2</v>
      </c>
      <c r="AK94" s="9">
        <f t="shared" si="21"/>
        <v>6.7875120644553134E-3</v>
      </c>
      <c r="AL94" s="9">
        <f t="shared" si="22"/>
        <v>0.12163103790230306</v>
      </c>
      <c r="AM94" s="9">
        <f t="shared" si="23"/>
        <v>1.4794109381191484E-2</v>
      </c>
      <c r="AN94" s="9" t="s">
        <v>2424</v>
      </c>
    </row>
    <row r="95" spans="13:40" ht="23">
      <c r="M95" s="8" t="s">
        <v>107</v>
      </c>
      <c r="N95" s="8" t="s">
        <v>82</v>
      </c>
      <c r="O95" s="8"/>
      <c r="P95" s="8" t="s">
        <v>3691</v>
      </c>
      <c r="Q95" s="8"/>
      <c r="R95" s="8"/>
      <c r="S95" s="8"/>
      <c r="T95" s="8"/>
      <c r="U95" s="8"/>
      <c r="V95" s="8"/>
      <c r="W95" s="8" t="s">
        <v>107</v>
      </c>
      <c r="X95" s="8">
        <v>8.42</v>
      </c>
      <c r="Y95" s="8">
        <v>2.54</v>
      </c>
      <c r="Z95" s="9">
        <v>0.46</v>
      </c>
      <c r="AA95" s="8">
        <v>7.6</v>
      </c>
      <c r="AB95" s="8">
        <v>18314</v>
      </c>
      <c r="AC95" s="21" t="s">
        <v>107</v>
      </c>
      <c r="AD95" s="8" t="s">
        <v>3688</v>
      </c>
      <c r="AE95" s="8" t="s">
        <v>4085</v>
      </c>
      <c r="AF95" s="9">
        <f t="shared" si="16"/>
        <v>19.303999999999998</v>
      </c>
      <c r="AG95" s="9">
        <f t="shared" si="17"/>
        <v>5.8266666666666671</v>
      </c>
      <c r="AH95" s="9">
        <f t="shared" si="18"/>
        <v>6.6045032283854666E-2</v>
      </c>
      <c r="AI95" s="9">
        <f t="shared" si="19"/>
        <v>4.3619462893754049E-3</v>
      </c>
      <c r="AJ95" s="9">
        <f t="shared" si="20"/>
        <v>3.15333848359017E-2</v>
      </c>
      <c r="AK95" s="9">
        <f t="shared" si="21"/>
        <v>9.9435435920907527E-4</v>
      </c>
      <c r="AL95" s="9">
        <f t="shared" si="22"/>
        <v>1.0579243382257341E-2</v>
      </c>
      <c r="AM95" s="9">
        <f t="shared" si="23"/>
        <v>1.1192039054103573E-4</v>
      </c>
      <c r="AN95" s="8" t="s">
        <v>107</v>
      </c>
    </row>
    <row r="96" spans="13:40" ht="23">
      <c r="M96" s="8" t="s">
        <v>612</v>
      </c>
      <c r="N96" s="8" t="s">
        <v>150</v>
      </c>
      <c r="O96" s="8"/>
      <c r="P96" s="8" t="s">
        <v>3693</v>
      </c>
      <c r="Q96" s="8"/>
      <c r="R96" s="8"/>
      <c r="S96" s="8"/>
      <c r="T96" s="8"/>
      <c r="U96" s="8"/>
      <c r="V96" s="8"/>
      <c r="W96" s="8" t="s">
        <v>612</v>
      </c>
      <c r="X96" s="8">
        <v>15.03</v>
      </c>
      <c r="Y96" s="8">
        <v>15.62</v>
      </c>
      <c r="Z96" s="9">
        <v>9.15</v>
      </c>
      <c r="AA96" s="8">
        <v>7.4</v>
      </c>
      <c r="AB96" s="8">
        <v>8245</v>
      </c>
      <c r="AC96" s="21" t="s">
        <v>612</v>
      </c>
      <c r="AD96" s="8" t="s">
        <v>4477</v>
      </c>
      <c r="AE96" s="8" t="s">
        <v>4085</v>
      </c>
      <c r="AF96" s="9">
        <f t="shared" si="16"/>
        <v>115.58799999999999</v>
      </c>
      <c r="AG96" s="9">
        <f t="shared" si="17"/>
        <v>68.45</v>
      </c>
      <c r="AH96" s="9">
        <f t="shared" si="18"/>
        <v>6.4307005118490079E-2</v>
      </c>
      <c r="AI96" s="9">
        <f t="shared" si="19"/>
        <v>4.1353909073095088E-3</v>
      </c>
      <c r="AJ96" s="9">
        <f t="shared" si="20"/>
        <v>0.18881479933755724</v>
      </c>
      <c r="AK96" s="9">
        <f t="shared" si="21"/>
        <v>3.5651028448882002E-2</v>
      </c>
      <c r="AL96" s="9">
        <f t="shared" si="22"/>
        <v>0.12428190094659869</v>
      </c>
      <c r="AM96" s="9">
        <f t="shared" si="23"/>
        <v>1.5445990902900168E-2</v>
      </c>
      <c r="AN96" s="8" t="s">
        <v>612</v>
      </c>
    </row>
    <row r="97" spans="13:40" ht="23">
      <c r="M97" s="8" t="s">
        <v>2049</v>
      </c>
      <c r="N97" s="8" t="s">
        <v>2041</v>
      </c>
      <c r="O97" s="8"/>
      <c r="P97" s="8" t="s">
        <v>3691</v>
      </c>
      <c r="Q97" s="8"/>
      <c r="R97" s="8"/>
      <c r="S97" s="8"/>
      <c r="T97" s="8"/>
      <c r="U97" s="8"/>
      <c r="V97" s="8"/>
      <c r="W97" s="8" t="s">
        <v>2049</v>
      </c>
      <c r="X97" s="8">
        <v>26.21</v>
      </c>
      <c r="Y97" s="8">
        <v>17.11</v>
      </c>
      <c r="Z97" s="9">
        <v>15.49</v>
      </c>
      <c r="AA97" s="8">
        <v>7.3</v>
      </c>
      <c r="AB97" s="8">
        <v>7084</v>
      </c>
      <c r="AC97" s="21" t="s">
        <v>2049</v>
      </c>
      <c r="AD97" s="8" t="s">
        <v>4019</v>
      </c>
      <c r="AE97" s="8" t="s">
        <v>4085</v>
      </c>
      <c r="AF97" s="9">
        <f t="shared" si="16"/>
        <v>124.90299999999999</v>
      </c>
      <c r="AG97" s="9">
        <f t="shared" si="17"/>
        <v>115.46166666666666</v>
      </c>
      <c r="AH97" s="9">
        <f t="shared" si="18"/>
        <v>6.3437991535807772E-2</v>
      </c>
      <c r="AI97" s="9">
        <f t="shared" si="19"/>
        <v>4.024378770097219E-3</v>
      </c>
      <c r="AJ97" s="9">
        <f t="shared" si="20"/>
        <v>0.20403099700365881</v>
      </c>
      <c r="AK97" s="9">
        <f t="shared" si="21"/>
        <v>4.1628647738307031E-2</v>
      </c>
      <c r="AL97" s="9">
        <f t="shared" si="22"/>
        <v>0.20963908575304396</v>
      </c>
      <c r="AM97" s="9">
        <f t="shared" si="23"/>
        <v>4.3948546275372119E-2</v>
      </c>
      <c r="AN97" s="8" t="s">
        <v>2049</v>
      </c>
    </row>
    <row r="98" spans="13:40" ht="23">
      <c r="M98" s="8" t="s">
        <v>422</v>
      </c>
      <c r="N98" s="8" t="s">
        <v>150</v>
      </c>
      <c r="O98" s="8"/>
      <c r="P98" s="8" t="s">
        <v>3692</v>
      </c>
      <c r="Q98" s="8"/>
      <c r="R98" s="8"/>
      <c r="S98" s="8"/>
      <c r="T98" s="8"/>
      <c r="U98" s="8"/>
      <c r="V98" s="8"/>
      <c r="W98" s="8" t="s">
        <v>422</v>
      </c>
      <c r="X98" s="8">
        <v>44.6</v>
      </c>
      <c r="Y98" s="8">
        <v>3.16</v>
      </c>
      <c r="Z98" s="9">
        <v>1.49</v>
      </c>
      <c r="AA98" s="8">
        <v>7.3</v>
      </c>
      <c r="AB98" s="8">
        <v>18497</v>
      </c>
      <c r="AC98" s="21" t="s">
        <v>422</v>
      </c>
      <c r="AD98" s="8" t="s">
        <v>4019</v>
      </c>
      <c r="AE98" s="8" t="s">
        <v>4085</v>
      </c>
      <c r="AF98" s="9">
        <f t="shared" ref="AF98:AF129" si="24">(AA98*Y98)</f>
        <v>23.068000000000001</v>
      </c>
      <c r="AG98" s="9">
        <f t="shared" ref="AG98:AG129" si="25">((((RIGHT(Z98,2))/60)+(LEFT(Z98,2)))*AA98)</f>
        <v>13.261666666666667</v>
      </c>
      <c r="AH98" s="9">
        <f t="shared" ref="AH98:AH129" si="26">(AA98/$AA$180)*100</f>
        <v>6.3437991535807772E-2</v>
      </c>
      <c r="AI98" s="9">
        <f t="shared" ref="AI98:AI129" si="27">(AH98*AH98)</f>
        <v>4.024378770097219E-3</v>
      </c>
      <c r="AJ98" s="9">
        <f t="shared" ref="AJ98:AJ129" si="28">(AF98/$AF$180)*100</f>
        <v>3.7681937494538978E-2</v>
      </c>
      <c r="AK98" s="9">
        <f t="shared" ref="AK98:AK129" si="29">(AJ98*AJ98)</f>
        <v>1.4199284133423425E-3</v>
      </c>
      <c r="AL98" s="9">
        <f t="shared" ref="AL98:AL129" si="30">(AG98/$AG$180)*100</f>
        <v>2.4078672652351731E-2</v>
      </c>
      <c r="AM98" s="9">
        <f t="shared" ref="AM98:AM129" si="31">(AL98*AL98)</f>
        <v>5.7978247669911111E-4</v>
      </c>
      <c r="AN98" s="8" t="s">
        <v>422</v>
      </c>
    </row>
    <row r="99" spans="13:40" ht="23">
      <c r="M99" s="8" t="s">
        <v>2033</v>
      </c>
      <c r="N99" s="8" t="s">
        <v>2032</v>
      </c>
      <c r="O99" s="8"/>
      <c r="P99" s="8"/>
      <c r="Q99" s="8"/>
      <c r="R99" s="8"/>
      <c r="S99" s="8"/>
      <c r="T99" s="8"/>
      <c r="U99" s="8"/>
      <c r="V99" s="8"/>
      <c r="W99" s="8" t="s">
        <v>2033</v>
      </c>
      <c r="X99" s="8">
        <v>34.770000000000003</v>
      </c>
      <c r="Y99" s="8">
        <v>2.37</v>
      </c>
      <c r="Z99" s="9">
        <v>0.52</v>
      </c>
      <c r="AA99" s="8">
        <v>7.1</v>
      </c>
      <c r="AB99" s="8">
        <v>16560</v>
      </c>
      <c r="AC99" s="21" t="s">
        <v>2033</v>
      </c>
      <c r="AD99" s="8" t="s">
        <v>4019</v>
      </c>
      <c r="AE99" s="8" t="s">
        <v>4085</v>
      </c>
      <c r="AF99" s="9">
        <f t="shared" si="24"/>
        <v>16.826999999999998</v>
      </c>
      <c r="AG99" s="9">
        <f t="shared" si="25"/>
        <v>6.1533333333333333</v>
      </c>
      <c r="AH99" s="9">
        <f t="shared" si="26"/>
        <v>6.1699964370443165E-2</v>
      </c>
      <c r="AI99" s="9">
        <f t="shared" si="27"/>
        <v>3.806885603313956E-3</v>
      </c>
      <c r="AJ99" s="9">
        <f t="shared" si="28"/>
        <v>2.7487166734030139E-2</v>
      </c>
      <c r="AK99" s="9">
        <f t="shared" si="29"/>
        <v>7.5554433506437309E-4</v>
      </c>
      <c r="AL99" s="9">
        <f t="shared" si="30"/>
        <v>1.1172358857921654E-2</v>
      </c>
      <c r="AM99" s="9">
        <f t="shared" si="31"/>
        <v>1.2482160245018046E-4</v>
      </c>
      <c r="AN99" s="8" t="s">
        <v>2033</v>
      </c>
    </row>
    <row r="100" spans="13:40" ht="23">
      <c r="M100" s="9" t="s">
        <v>2883</v>
      </c>
      <c r="N100" s="8" t="s">
        <v>1717</v>
      </c>
      <c r="O100" s="8"/>
      <c r="P100" s="8" t="s">
        <v>3691</v>
      </c>
      <c r="Q100" s="8"/>
      <c r="R100" s="8"/>
      <c r="S100" s="8"/>
      <c r="T100" s="8"/>
      <c r="U100" s="8"/>
      <c r="V100" s="8"/>
      <c r="W100" s="9" t="s">
        <v>2883</v>
      </c>
      <c r="X100" s="8">
        <v>40.74</v>
      </c>
      <c r="Y100" s="8">
        <v>5.97</v>
      </c>
      <c r="Z100" s="9">
        <v>8.0299999999999994</v>
      </c>
      <c r="AA100" s="8">
        <v>6.8</v>
      </c>
      <c r="AB100" s="8">
        <v>12111</v>
      </c>
      <c r="AC100" s="22" t="s">
        <v>2883</v>
      </c>
      <c r="AD100" s="8" t="s">
        <v>4019</v>
      </c>
      <c r="AE100" s="8" t="s">
        <v>4085</v>
      </c>
      <c r="AF100" s="9">
        <f t="shared" si="24"/>
        <v>40.595999999999997</v>
      </c>
      <c r="AG100" s="9">
        <f t="shared" si="25"/>
        <v>54.74</v>
      </c>
      <c r="AH100" s="9">
        <f t="shared" si="26"/>
        <v>5.9092923622396272E-2</v>
      </c>
      <c r="AI100" s="9">
        <f t="shared" si="27"/>
        <v>3.4919736222423594E-3</v>
      </c>
      <c r="AJ100" s="9">
        <f t="shared" si="28"/>
        <v>6.6314198653039017E-2</v>
      </c>
      <c r="AK100" s="9">
        <f t="shared" si="29"/>
        <v>4.397572942994722E-3</v>
      </c>
      <c r="AL100" s="9">
        <f t="shared" si="30"/>
        <v>9.9389207564891321E-2</v>
      </c>
      <c r="AM100" s="9">
        <f t="shared" si="31"/>
        <v>9.87821458037705E-3</v>
      </c>
      <c r="AN100" s="9" t="s">
        <v>2883</v>
      </c>
    </row>
    <row r="101" spans="13:40" ht="23">
      <c r="M101" s="8" t="s">
        <v>638</v>
      </c>
      <c r="N101" s="8" t="s">
        <v>150</v>
      </c>
      <c r="O101" s="8"/>
      <c r="P101" s="8" t="s">
        <v>3691</v>
      </c>
      <c r="Q101" s="8"/>
      <c r="R101" s="8"/>
      <c r="S101" s="8"/>
      <c r="T101" s="8"/>
      <c r="U101" s="8"/>
      <c r="V101" s="8"/>
      <c r="W101" s="8" t="s">
        <v>638</v>
      </c>
      <c r="X101" s="8">
        <v>32.61</v>
      </c>
      <c r="Y101" s="8">
        <v>3.11</v>
      </c>
      <c r="Z101" s="9">
        <v>2.4</v>
      </c>
      <c r="AA101" s="8">
        <v>6.5</v>
      </c>
      <c r="AB101" s="8">
        <v>14763</v>
      </c>
      <c r="AC101" s="21" t="s">
        <v>638</v>
      </c>
      <c r="AD101" s="8" t="s">
        <v>4019</v>
      </c>
      <c r="AE101" s="8" t="s">
        <v>4085</v>
      </c>
      <c r="AF101" s="9">
        <f t="shared" si="24"/>
        <v>20.215</v>
      </c>
      <c r="AG101" s="9">
        <f t="shared" si="25"/>
        <v>13.043333333333335</v>
      </c>
      <c r="AH101" s="9">
        <f t="shared" si="26"/>
        <v>5.6485882874349386E-2</v>
      </c>
      <c r="AI101" s="9">
        <f t="shared" si="27"/>
        <v>3.1906549640947171E-3</v>
      </c>
      <c r="AJ101" s="9">
        <f t="shared" si="28"/>
        <v>3.3021517533037337E-2</v>
      </c>
      <c r="AK101" s="9">
        <f t="shared" si="29"/>
        <v>1.0904206201846922E-3</v>
      </c>
      <c r="AL101" s="9">
        <f t="shared" si="30"/>
        <v>2.3682253635453648E-2</v>
      </c>
      <c r="AM101" s="9">
        <f t="shared" si="31"/>
        <v>5.6084913725395753E-4</v>
      </c>
      <c r="AN101" s="8" t="s">
        <v>638</v>
      </c>
    </row>
    <row r="102" spans="13:40" ht="23">
      <c r="M102" s="9" t="s">
        <v>2481</v>
      </c>
      <c r="N102" s="8" t="s">
        <v>150</v>
      </c>
      <c r="O102" s="8"/>
      <c r="P102" s="8" t="s">
        <v>3693</v>
      </c>
      <c r="Q102" s="8"/>
      <c r="R102" s="8"/>
      <c r="S102" s="8"/>
      <c r="T102" s="8"/>
      <c r="U102" s="8"/>
      <c r="V102" s="8"/>
      <c r="W102" s="9" t="s">
        <v>2481</v>
      </c>
      <c r="X102" s="8">
        <v>15.07</v>
      </c>
      <c r="Y102" s="8">
        <v>23.88</v>
      </c>
      <c r="Z102" s="9">
        <v>21.02</v>
      </c>
      <c r="AA102" s="8">
        <v>6.3</v>
      </c>
      <c r="AB102" s="8">
        <v>15087</v>
      </c>
      <c r="AC102" s="22" t="s">
        <v>2481</v>
      </c>
      <c r="AD102" s="8" t="s">
        <v>4019</v>
      </c>
      <c r="AE102" s="8" t="s">
        <v>4085</v>
      </c>
      <c r="AF102" s="9">
        <f t="shared" si="24"/>
        <v>150.44399999999999</v>
      </c>
      <c r="AG102" s="9">
        <f t="shared" si="25"/>
        <v>132.51000000000002</v>
      </c>
      <c r="AH102" s="9">
        <f t="shared" si="26"/>
        <v>5.4747855708984786E-2</v>
      </c>
      <c r="AI102" s="9">
        <f t="shared" si="27"/>
        <v>2.9973277047318182E-3</v>
      </c>
      <c r="AJ102" s="9">
        <f t="shared" si="28"/>
        <v>0.24575261853773284</v>
      </c>
      <c r="AK102" s="9">
        <f t="shared" si="29"/>
        <v>6.0394349518152431E-2</v>
      </c>
      <c r="AL102" s="9">
        <f t="shared" si="30"/>
        <v>0.24059305616411678</v>
      </c>
      <c r="AM102" s="9">
        <f t="shared" si="31"/>
        <v>5.7885018674389846E-2</v>
      </c>
      <c r="AN102" s="9" t="s">
        <v>2481</v>
      </c>
    </row>
    <row r="103" spans="13:40" ht="23">
      <c r="M103" s="8" t="s">
        <v>1004</v>
      </c>
      <c r="N103" s="8" t="s">
        <v>150</v>
      </c>
      <c r="O103" s="8"/>
      <c r="P103" s="8" t="s">
        <v>3693</v>
      </c>
      <c r="Q103" s="8"/>
      <c r="R103" s="8"/>
      <c r="S103" s="8"/>
      <c r="T103" s="8"/>
      <c r="U103" s="8"/>
      <c r="V103" s="8"/>
      <c r="W103" s="8" t="s">
        <v>1004</v>
      </c>
      <c r="X103" s="8">
        <v>13.21</v>
      </c>
      <c r="Y103" s="8">
        <v>6.52</v>
      </c>
      <c r="Z103" s="9">
        <v>4.1900000000000004</v>
      </c>
      <c r="AA103" s="8">
        <v>6.3</v>
      </c>
      <c r="AB103" s="8">
        <v>17160</v>
      </c>
      <c r="AC103" s="21" t="s">
        <v>1004</v>
      </c>
      <c r="AD103" s="8" t="s">
        <v>4019</v>
      </c>
      <c r="AE103" s="8" t="s">
        <v>4085</v>
      </c>
      <c r="AF103" s="9">
        <f t="shared" si="24"/>
        <v>41.075999999999993</v>
      </c>
      <c r="AG103" s="9">
        <f t="shared" si="25"/>
        <v>27.194999999999997</v>
      </c>
      <c r="AH103" s="9">
        <f t="shared" si="26"/>
        <v>5.4747855708984786E-2</v>
      </c>
      <c r="AI103" s="9">
        <f t="shared" si="27"/>
        <v>2.9973277047318182E-3</v>
      </c>
      <c r="AJ103" s="9">
        <f t="shared" si="28"/>
        <v>6.7098286133417839E-2</v>
      </c>
      <c r="AK103" s="9">
        <f t="shared" si="29"/>
        <v>4.502180002042013E-3</v>
      </c>
      <c r="AL103" s="9">
        <f t="shared" si="30"/>
        <v>4.9376863349054063E-2</v>
      </c>
      <c r="AM103" s="9">
        <f t="shared" si="31"/>
        <v>2.4380746341911585E-3</v>
      </c>
      <c r="AN103" s="8" t="s">
        <v>1004</v>
      </c>
    </row>
    <row r="104" spans="13:40" ht="23">
      <c r="M104" s="8" t="s">
        <v>1156</v>
      </c>
      <c r="N104" s="8" t="s">
        <v>150</v>
      </c>
      <c r="O104" s="8"/>
      <c r="P104" s="8" t="s">
        <v>4167</v>
      </c>
      <c r="Q104" s="8"/>
      <c r="R104" s="8"/>
      <c r="S104" s="8"/>
      <c r="T104" s="8"/>
      <c r="U104" s="8"/>
      <c r="V104" s="8"/>
      <c r="W104" s="8" t="s">
        <v>1156</v>
      </c>
      <c r="X104" s="8">
        <v>11.99</v>
      </c>
      <c r="Y104" s="8">
        <v>8.6999999999999993</v>
      </c>
      <c r="Z104" s="9">
        <v>4.3</v>
      </c>
      <c r="AA104" s="8">
        <v>6.3</v>
      </c>
      <c r="AB104" s="8">
        <v>10622</v>
      </c>
      <c r="AC104" s="21" t="s">
        <v>1156</v>
      </c>
      <c r="AD104" s="8" t="s">
        <v>4019</v>
      </c>
      <c r="AE104" s="8" t="s">
        <v>4085</v>
      </c>
      <c r="AF104" s="9">
        <f t="shared" si="24"/>
        <v>54.809999999999995</v>
      </c>
      <c r="AG104" s="9">
        <f t="shared" si="25"/>
        <v>25.231499999999997</v>
      </c>
      <c r="AH104" s="9">
        <f t="shared" si="26"/>
        <v>5.4747855708984786E-2</v>
      </c>
      <c r="AI104" s="9">
        <f t="shared" si="27"/>
        <v>2.9973277047318182E-3</v>
      </c>
      <c r="AJ104" s="9">
        <f t="shared" si="28"/>
        <v>8.9532989165756943E-2</v>
      </c>
      <c r="AK104" s="9">
        <f t="shared" si="29"/>
        <v>8.016156148955551E-3</v>
      </c>
      <c r="AL104" s="9">
        <f t="shared" si="30"/>
        <v>4.5811815686400352E-2</v>
      </c>
      <c r="AM104" s="9">
        <f t="shared" si="31"/>
        <v>2.0987224564847176E-3</v>
      </c>
      <c r="AN104" s="8" t="s">
        <v>1156</v>
      </c>
    </row>
    <row r="105" spans="13:40" ht="23">
      <c r="M105" s="9" t="s">
        <v>3576</v>
      </c>
      <c r="N105" s="8" t="s">
        <v>2074</v>
      </c>
      <c r="O105" s="8"/>
      <c r="P105" s="8"/>
      <c r="Q105" s="8"/>
      <c r="R105" s="8"/>
      <c r="S105" s="8"/>
      <c r="T105" s="8"/>
      <c r="U105" s="8"/>
      <c r="V105" s="8"/>
      <c r="W105" s="9" t="s">
        <v>3576</v>
      </c>
      <c r="X105" s="8">
        <v>25.3</v>
      </c>
      <c r="Y105" s="8">
        <v>5.55</v>
      </c>
      <c r="Z105" s="9">
        <v>5.58</v>
      </c>
      <c r="AA105" s="8">
        <v>6.2</v>
      </c>
      <c r="AB105" s="8">
        <v>15704</v>
      </c>
      <c r="AC105" s="22" t="s">
        <v>3576</v>
      </c>
      <c r="AD105" s="8" t="s">
        <v>4019</v>
      </c>
      <c r="AE105" s="8" t="s">
        <v>4085</v>
      </c>
      <c r="AF105" s="9">
        <f t="shared" si="24"/>
        <v>34.409999999999997</v>
      </c>
      <c r="AG105" s="9">
        <f t="shared" si="25"/>
        <v>36.993333333333332</v>
      </c>
      <c r="AH105" s="9">
        <f t="shared" si="26"/>
        <v>5.3878842126302492E-2</v>
      </c>
      <c r="AI105" s="9">
        <f t="shared" si="27"/>
        <v>2.902929628871028E-3</v>
      </c>
      <c r="AJ105" s="9">
        <f t="shared" si="28"/>
        <v>5.6209271249656925E-2</v>
      </c>
      <c r="AK105" s="9">
        <f t="shared" si="29"/>
        <v>3.1594821744175086E-3</v>
      </c>
      <c r="AL105" s="9">
        <f t="shared" si="30"/>
        <v>6.716730151961782E-2</v>
      </c>
      <c r="AM105" s="9">
        <f t="shared" si="31"/>
        <v>4.511446393427254E-3</v>
      </c>
      <c r="AN105" s="9" t="s">
        <v>3576</v>
      </c>
    </row>
    <row r="106" spans="13:40" ht="23">
      <c r="M106" s="8" t="s">
        <v>1477</v>
      </c>
      <c r="N106" s="8" t="s">
        <v>150</v>
      </c>
      <c r="O106" s="8"/>
      <c r="P106" s="8"/>
      <c r="Q106" s="8"/>
      <c r="R106" s="8"/>
      <c r="S106" s="8"/>
      <c r="T106" s="8"/>
      <c r="U106" s="8"/>
      <c r="V106" s="8"/>
      <c r="W106" s="8" t="s">
        <v>1477</v>
      </c>
      <c r="X106" s="8">
        <v>16.600000000000001</v>
      </c>
      <c r="Y106" s="8">
        <v>10.15</v>
      </c>
      <c r="Z106" s="9">
        <v>8.59</v>
      </c>
      <c r="AA106" s="8">
        <v>6</v>
      </c>
      <c r="AB106" s="8">
        <v>9713</v>
      </c>
      <c r="AC106" s="21" t="s">
        <v>1477</v>
      </c>
      <c r="AD106" s="8" t="s">
        <v>4019</v>
      </c>
      <c r="AE106" s="8" t="s">
        <v>4085</v>
      </c>
      <c r="AF106" s="9">
        <f t="shared" si="24"/>
        <v>60.900000000000006</v>
      </c>
      <c r="AG106" s="9">
        <f t="shared" si="25"/>
        <v>53.899999999999991</v>
      </c>
      <c r="AH106" s="9">
        <f t="shared" si="26"/>
        <v>5.2140814960937892E-2</v>
      </c>
      <c r="AI106" s="9">
        <f t="shared" si="27"/>
        <v>2.7186645847907648E-3</v>
      </c>
      <c r="AJ106" s="9">
        <f t="shared" si="28"/>
        <v>9.9481099073063281E-2</v>
      </c>
      <c r="AK106" s="9">
        <f t="shared" si="29"/>
        <v>9.8964890727846321E-3</v>
      </c>
      <c r="AL106" s="9">
        <f t="shared" si="30"/>
        <v>9.7864053484611635E-2</v>
      </c>
      <c r="AM106" s="9">
        <f t="shared" si="31"/>
        <v>9.577372964438927E-3</v>
      </c>
      <c r="AN106" s="8" t="s">
        <v>1477</v>
      </c>
    </row>
    <row r="107" spans="13:40" ht="23">
      <c r="M107" s="8" t="s">
        <v>1893</v>
      </c>
      <c r="N107" s="8" t="s">
        <v>1869</v>
      </c>
      <c r="O107" s="8"/>
      <c r="P107" s="8" t="s">
        <v>4156</v>
      </c>
      <c r="Q107" s="8"/>
      <c r="R107" s="8"/>
      <c r="S107" s="8"/>
      <c r="T107" s="8"/>
      <c r="U107" s="8"/>
      <c r="V107" s="8"/>
      <c r="W107" s="8" t="s">
        <v>1893</v>
      </c>
      <c r="X107" s="8">
        <v>11.16</v>
      </c>
      <c r="Y107" s="8">
        <v>7.03</v>
      </c>
      <c r="Z107" s="9">
        <v>6.17</v>
      </c>
      <c r="AA107" s="8">
        <v>5.7</v>
      </c>
      <c r="AB107" s="8">
        <v>15575</v>
      </c>
      <c r="AC107" s="21" t="s">
        <v>1893</v>
      </c>
      <c r="AD107" s="8" t="s">
        <v>4019</v>
      </c>
      <c r="AE107" s="8" t="s">
        <v>4085</v>
      </c>
      <c r="AF107" s="9">
        <f t="shared" si="24"/>
        <v>40.071000000000005</v>
      </c>
      <c r="AG107" s="9">
        <f t="shared" si="25"/>
        <v>35.814999999999998</v>
      </c>
      <c r="AH107" s="9">
        <f t="shared" si="26"/>
        <v>4.9533774212890999E-2</v>
      </c>
      <c r="AI107" s="9">
        <f t="shared" si="27"/>
        <v>2.4535947877736652E-3</v>
      </c>
      <c r="AJ107" s="9">
        <f t="shared" si="28"/>
        <v>6.5456602971374692E-2</v>
      </c>
      <c r="AK107" s="9">
        <f t="shared" si="29"/>
        <v>4.2845668725521781E-3</v>
      </c>
      <c r="AL107" s="9">
        <f t="shared" si="30"/>
        <v>6.5027849268114404E-2</v>
      </c>
      <c r="AM107" s="9">
        <f t="shared" si="31"/>
        <v>4.2286211804366067E-3</v>
      </c>
      <c r="AN107" s="8" t="s">
        <v>1893</v>
      </c>
    </row>
    <row r="108" spans="13:40" ht="23">
      <c r="M108" s="8" t="s">
        <v>2040</v>
      </c>
      <c r="N108" s="8" t="s">
        <v>2032</v>
      </c>
      <c r="O108" s="8"/>
      <c r="P108" s="8" t="s">
        <v>3693</v>
      </c>
      <c r="Q108" s="8"/>
      <c r="R108" s="8"/>
      <c r="S108" s="8"/>
      <c r="T108" s="8"/>
      <c r="U108" s="8"/>
      <c r="V108" s="8"/>
      <c r="W108" s="8" t="s">
        <v>2040</v>
      </c>
      <c r="X108" s="8">
        <v>7.89</v>
      </c>
      <c r="Y108" s="8">
        <v>6.87</v>
      </c>
      <c r="Z108" s="9">
        <v>8.56</v>
      </c>
      <c r="AA108" s="8">
        <v>5.6</v>
      </c>
      <c r="AB108" s="8">
        <v>18436</v>
      </c>
      <c r="AC108" s="21" t="s">
        <v>2040</v>
      </c>
      <c r="AD108" s="8" t="s">
        <v>4019</v>
      </c>
      <c r="AE108" s="8" t="s">
        <v>4085</v>
      </c>
      <c r="AF108" s="9">
        <f t="shared" si="24"/>
        <v>38.472000000000001</v>
      </c>
      <c r="AG108" s="9">
        <f t="shared" si="25"/>
        <v>50.026666666666664</v>
      </c>
      <c r="AH108" s="9">
        <f t="shared" si="26"/>
        <v>4.8664760630208699E-2</v>
      </c>
      <c r="AI108" s="9">
        <f t="shared" si="27"/>
        <v>2.3682589271955107E-3</v>
      </c>
      <c r="AJ108" s="9">
        <f t="shared" si="28"/>
        <v>6.2844611552362734E-2</v>
      </c>
      <c r="AK108" s="9">
        <f t="shared" si="29"/>
        <v>3.9494452011673634E-3</v>
      </c>
      <c r="AL108" s="9">
        <f t="shared" si="30"/>
        <v>9.083139855887766E-2</v>
      </c>
      <c r="AM108" s="9">
        <f t="shared" si="31"/>
        <v>8.2503429641616818E-3</v>
      </c>
      <c r="AN108" s="8" t="s">
        <v>2040</v>
      </c>
    </row>
    <row r="109" spans="13:40" ht="23">
      <c r="M109" s="9" t="s">
        <v>3293</v>
      </c>
      <c r="N109" s="8" t="s">
        <v>1939</v>
      </c>
      <c r="O109" s="8"/>
      <c r="P109" s="8" t="s">
        <v>3691</v>
      </c>
      <c r="Q109" s="8"/>
      <c r="R109" s="8"/>
      <c r="S109" s="8"/>
      <c r="T109" s="8"/>
      <c r="U109" s="8"/>
      <c r="V109" s="8"/>
      <c r="W109" s="9" t="s">
        <v>3293</v>
      </c>
      <c r="X109" s="8">
        <v>21.64</v>
      </c>
      <c r="Y109" s="8">
        <v>3.84</v>
      </c>
      <c r="Z109" s="9">
        <v>3.24</v>
      </c>
      <c r="AA109" s="8">
        <v>5.6</v>
      </c>
      <c r="AB109" s="8">
        <v>18421</v>
      </c>
      <c r="AC109" s="22" t="s">
        <v>3293</v>
      </c>
      <c r="AD109" s="8" t="s">
        <v>4019</v>
      </c>
      <c r="AE109" s="8" t="s">
        <v>4085</v>
      </c>
      <c r="AF109" s="9">
        <f t="shared" si="24"/>
        <v>21.503999999999998</v>
      </c>
      <c r="AG109" s="9">
        <f t="shared" si="25"/>
        <v>19.04</v>
      </c>
      <c r="AH109" s="9">
        <f t="shared" si="26"/>
        <v>4.8664760630208699E-2</v>
      </c>
      <c r="AI109" s="9">
        <f t="shared" si="27"/>
        <v>2.3682589271955107E-3</v>
      </c>
      <c r="AJ109" s="9">
        <f t="shared" si="28"/>
        <v>3.5127119120971308E-2</v>
      </c>
      <c r="AK109" s="9">
        <f t="shared" si="29"/>
        <v>1.2339144977389081E-3</v>
      </c>
      <c r="AL109" s="9">
        <f t="shared" si="30"/>
        <v>3.4570159153005681E-2</v>
      </c>
      <c r="AM109" s="9">
        <f t="shared" si="31"/>
        <v>1.1950959038641424E-3</v>
      </c>
      <c r="AN109" s="9" t="s">
        <v>3293</v>
      </c>
    </row>
    <row r="110" spans="13:40" ht="23">
      <c r="M110" s="9" t="s">
        <v>3350</v>
      </c>
      <c r="N110" s="8" t="s">
        <v>1964</v>
      </c>
      <c r="O110" s="8"/>
      <c r="P110" s="8"/>
      <c r="Q110" s="8"/>
      <c r="R110" s="8"/>
      <c r="S110" s="8"/>
      <c r="T110" s="8"/>
      <c r="U110" s="8"/>
      <c r="V110" s="8"/>
      <c r="W110" s="9" t="s">
        <v>3350</v>
      </c>
      <c r="X110" s="8">
        <v>36.28</v>
      </c>
      <c r="Y110" s="8">
        <v>1.77</v>
      </c>
      <c r="Z110" s="9">
        <v>2.35</v>
      </c>
      <c r="AA110" s="8">
        <v>5.6</v>
      </c>
      <c r="AB110" s="8">
        <v>23566</v>
      </c>
      <c r="AC110" s="22" t="s">
        <v>3350</v>
      </c>
      <c r="AD110" s="8" t="s">
        <v>4019</v>
      </c>
      <c r="AE110" s="8" t="s">
        <v>4085</v>
      </c>
      <c r="AF110" s="9">
        <f t="shared" si="24"/>
        <v>9.911999999999999</v>
      </c>
      <c r="AG110" s="9">
        <f t="shared" si="25"/>
        <v>14.466666666666667</v>
      </c>
      <c r="AH110" s="9">
        <f t="shared" si="26"/>
        <v>4.8664760630208699E-2</v>
      </c>
      <c r="AI110" s="9">
        <f t="shared" si="27"/>
        <v>2.3682589271955107E-3</v>
      </c>
      <c r="AJ110" s="9">
        <f t="shared" si="28"/>
        <v>1.619140646982271E-2</v>
      </c>
      <c r="AK110" s="9">
        <f t="shared" si="29"/>
        <v>2.6216164347101672E-4</v>
      </c>
      <c r="AL110" s="9">
        <f t="shared" si="30"/>
        <v>2.6266542493705296E-2</v>
      </c>
      <c r="AM110" s="9">
        <f t="shared" si="31"/>
        <v>6.8993125457362603E-4</v>
      </c>
      <c r="AN110" s="9" t="s">
        <v>3350</v>
      </c>
    </row>
    <row r="111" spans="13:40" ht="23">
      <c r="M111" s="8" t="s">
        <v>1413</v>
      </c>
      <c r="N111" s="8" t="s">
        <v>150</v>
      </c>
      <c r="O111" s="8"/>
      <c r="P111" s="8"/>
      <c r="Q111" s="8"/>
      <c r="R111" s="8"/>
      <c r="S111" s="8"/>
      <c r="T111" s="8"/>
      <c r="U111" s="8"/>
      <c r="V111" s="8"/>
      <c r="W111" s="8" t="s">
        <v>1413</v>
      </c>
      <c r="X111" s="8">
        <v>42.82</v>
      </c>
      <c r="Y111" s="8">
        <v>2.54</v>
      </c>
      <c r="Z111" s="9">
        <v>2.23</v>
      </c>
      <c r="AA111" s="8">
        <v>5.6</v>
      </c>
      <c r="AB111" s="8">
        <v>25039</v>
      </c>
      <c r="AC111" s="21" t="s">
        <v>1413</v>
      </c>
      <c r="AD111" s="8" t="s">
        <v>4479</v>
      </c>
      <c r="AE111" s="8" t="s">
        <v>4085</v>
      </c>
      <c r="AF111" s="9">
        <f t="shared" si="24"/>
        <v>14.223999999999998</v>
      </c>
      <c r="AG111" s="9">
        <f t="shared" si="25"/>
        <v>13.346666666666666</v>
      </c>
      <c r="AH111" s="9">
        <f t="shared" si="26"/>
        <v>4.8664760630208699E-2</v>
      </c>
      <c r="AI111" s="9">
        <f t="shared" si="27"/>
        <v>2.3682589271955107E-3</v>
      </c>
      <c r="AJ111" s="9">
        <f t="shared" si="28"/>
        <v>2.3235125668559144E-2</v>
      </c>
      <c r="AK111" s="9">
        <f t="shared" si="29"/>
        <v>5.3987106483373607E-4</v>
      </c>
      <c r="AL111" s="9">
        <f t="shared" si="30"/>
        <v>2.4233003719999077E-2</v>
      </c>
      <c r="AM111" s="9">
        <f t="shared" si="31"/>
        <v>5.8723846929348907E-4</v>
      </c>
      <c r="AN111" s="8" t="s">
        <v>1413</v>
      </c>
    </row>
    <row r="112" spans="13:40" ht="23">
      <c r="M112" s="9" t="s">
        <v>3334</v>
      </c>
      <c r="N112" s="8" t="s">
        <v>1964</v>
      </c>
      <c r="O112" s="8"/>
      <c r="P112" s="8" t="s">
        <v>3693</v>
      </c>
      <c r="Q112" s="8"/>
      <c r="R112" s="8"/>
      <c r="S112" s="8"/>
      <c r="T112" s="8"/>
      <c r="U112" s="8"/>
      <c r="V112" s="8"/>
      <c r="W112" s="9" t="s">
        <v>3334</v>
      </c>
      <c r="X112" s="8">
        <v>10.47</v>
      </c>
      <c r="Y112" s="8">
        <v>7.47</v>
      </c>
      <c r="Z112" s="9">
        <v>7.04</v>
      </c>
      <c r="AA112" s="8">
        <v>5.5</v>
      </c>
      <c r="AB112" s="8">
        <v>13535</v>
      </c>
      <c r="AC112" s="22" t="s">
        <v>3334</v>
      </c>
      <c r="AD112" s="8" t="s">
        <v>4019</v>
      </c>
      <c r="AE112" s="8" t="s">
        <v>4085</v>
      </c>
      <c r="AF112" s="9">
        <f t="shared" si="24"/>
        <v>41.085000000000001</v>
      </c>
      <c r="AG112" s="9">
        <f t="shared" si="25"/>
        <v>38.866666666666667</v>
      </c>
      <c r="AH112" s="9">
        <f t="shared" si="26"/>
        <v>4.7795747047526399E-2</v>
      </c>
      <c r="AI112" s="9">
        <f t="shared" si="27"/>
        <v>2.2844334358311283E-3</v>
      </c>
      <c r="AJ112" s="9">
        <f t="shared" si="28"/>
        <v>6.7112987773674956E-2</v>
      </c>
      <c r="AK112" s="9">
        <f t="shared" si="29"/>
        <v>4.5041531279094438E-3</v>
      </c>
      <c r="AL112" s="9">
        <f t="shared" si="30"/>
        <v>7.056863720659072E-2</v>
      </c>
      <c r="AM112" s="9">
        <f t="shared" si="31"/>
        <v>4.9799325571954203E-3</v>
      </c>
      <c r="AN112" s="9" t="s">
        <v>3334</v>
      </c>
    </row>
    <row r="113" spans="13:40" ht="23">
      <c r="M113" s="9" t="s">
        <v>3375</v>
      </c>
      <c r="N113" s="8" t="s">
        <v>1964</v>
      </c>
      <c r="O113" s="8"/>
      <c r="P113" s="8"/>
      <c r="Q113" s="8"/>
      <c r="R113" s="8"/>
      <c r="S113" s="8"/>
      <c r="T113" s="8"/>
      <c r="U113" s="8"/>
      <c r="V113" s="8"/>
      <c r="W113" s="9" t="s">
        <v>3375</v>
      </c>
      <c r="X113" s="8">
        <v>21.64</v>
      </c>
      <c r="Y113" s="8">
        <v>7.24</v>
      </c>
      <c r="Z113" s="9">
        <v>6.37</v>
      </c>
      <c r="AA113" s="8">
        <v>5.4</v>
      </c>
      <c r="AB113" s="8">
        <v>12418</v>
      </c>
      <c r="AC113" s="22" t="s">
        <v>3375</v>
      </c>
      <c r="AD113" s="8" t="s">
        <v>4019</v>
      </c>
      <c r="AE113" s="8" t="s">
        <v>4085</v>
      </c>
      <c r="AF113" s="9">
        <f t="shared" si="24"/>
        <v>39.096000000000004</v>
      </c>
      <c r="AG113" s="9">
        <f t="shared" si="25"/>
        <v>35.730000000000004</v>
      </c>
      <c r="AH113" s="9">
        <f t="shared" si="26"/>
        <v>4.6926733464844106E-2</v>
      </c>
      <c r="AI113" s="9">
        <f t="shared" si="27"/>
        <v>2.2021183136805198E-3</v>
      </c>
      <c r="AJ113" s="9">
        <f t="shared" si="28"/>
        <v>6.3863925276855207E-2</v>
      </c>
      <c r="AK113" s="9">
        <f t="shared" si="29"/>
        <v>4.0786009517677453E-3</v>
      </c>
      <c r="AL113" s="9">
        <f t="shared" si="30"/>
        <v>6.4873518200467065E-2</v>
      </c>
      <c r="AM113" s="9">
        <f t="shared" si="31"/>
        <v>4.2085733637063317E-3</v>
      </c>
      <c r="AN113" s="9" t="s">
        <v>3375</v>
      </c>
    </row>
    <row r="114" spans="13:40" ht="23">
      <c r="M114" s="8" t="s">
        <v>1838</v>
      </c>
      <c r="N114" s="8" t="s">
        <v>1814</v>
      </c>
      <c r="O114" s="8"/>
      <c r="P114" s="8" t="s">
        <v>3691</v>
      </c>
      <c r="Q114" s="8"/>
      <c r="R114" s="8"/>
      <c r="S114" s="8"/>
      <c r="T114" s="8"/>
      <c r="U114" s="8"/>
      <c r="V114" s="8"/>
      <c r="W114" s="8" t="s">
        <v>1838</v>
      </c>
      <c r="X114" s="8">
        <v>13.79</v>
      </c>
      <c r="Y114" s="8">
        <v>6.32</v>
      </c>
      <c r="Z114" s="9">
        <v>5.39</v>
      </c>
      <c r="AA114" s="8">
        <v>5.4</v>
      </c>
      <c r="AB114" s="8">
        <v>15979</v>
      </c>
      <c r="AC114" s="21" t="s">
        <v>1838</v>
      </c>
      <c r="AD114" s="8" t="s">
        <v>4019</v>
      </c>
      <c r="AE114" s="8" t="s">
        <v>4085</v>
      </c>
      <c r="AF114" s="9">
        <f t="shared" si="24"/>
        <v>34.128000000000007</v>
      </c>
      <c r="AG114" s="9">
        <f t="shared" si="25"/>
        <v>30.510000000000005</v>
      </c>
      <c r="AH114" s="9">
        <f t="shared" si="26"/>
        <v>4.6926733464844106E-2</v>
      </c>
      <c r="AI114" s="9">
        <f t="shared" si="27"/>
        <v>2.2021183136805198E-3</v>
      </c>
      <c r="AJ114" s="9">
        <f t="shared" si="28"/>
        <v>5.5748619854934386E-2</v>
      </c>
      <c r="AK114" s="9">
        <f t="shared" si="29"/>
        <v>3.1079086157299843E-3</v>
      </c>
      <c r="AL114" s="9">
        <f t="shared" si="30"/>
        <v>5.5395774987300604E-2</v>
      </c>
      <c r="AM114" s="9">
        <f t="shared" si="31"/>
        <v>3.0686918864436391E-3</v>
      </c>
      <c r="AN114" s="8" t="s">
        <v>1838</v>
      </c>
    </row>
    <row r="115" spans="13:40" ht="23">
      <c r="M115" s="8" t="s">
        <v>1417</v>
      </c>
      <c r="N115" s="8" t="s">
        <v>150</v>
      </c>
      <c r="O115" s="8"/>
      <c r="P115" s="8"/>
      <c r="Q115" s="8"/>
      <c r="R115" s="8"/>
      <c r="S115" s="8"/>
      <c r="T115" s="8"/>
      <c r="U115" s="8"/>
      <c r="V115" s="8"/>
      <c r="W115" s="8" t="s">
        <v>1417</v>
      </c>
      <c r="X115" s="8">
        <v>50.54</v>
      </c>
      <c r="Y115" s="8">
        <v>2.2799999999999998</v>
      </c>
      <c r="Z115" s="9">
        <v>1.36</v>
      </c>
      <c r="AA115" s="8">
        <v>5.4</v>
      </c>
      <c r="AB115" s="8">
        <v>20087</v>
      </c>
      <c r="AC115" s="21" t="s">
        <v>1417</v>
      </c>
      <c r="AD115" s="8" t="s">
        <v>4019</v>
      </c>
      <c r="AE115" s="8" t="s">
        <v>4085</v>
      </c>
      <c r="AF115" s="9">
        <f t="shared" si="24"/>
        <v>12.311999999999999</v>
      </c>
      <c r="AG115" s="9">
        <f t="shared" si="25"/>
        <v>8.64</v>
      </c>
      <c r="AH115" s="9">
        <f t="shared" si="26"/>
        <v>4.6926733464844106E-2</v>
      </c>
      <c r="AI115" s="9">
        <f t="shared" si="27"/>
        <v>2.2021183136805198E-3</v>
      </c>
      <c r="AJ115" s="9">
        <f t="shared" si="28"/>
        <v>2.0111843871716831E-2</v>
      </c>
      <c r="AK115" s="9">
        <f t="shared" si="29"/>
        <v>4.0448626392031384E-4</v>
      </c>
      <c r="AL115" s="9">
        <f t="shared" si="30"/>
        <v>1.5687299111447957E-2</v>
      </c>
      <c r="AM115" s="9">
        <f t="shared" si="31"/>
        <v>2.4609135341203584E-4</v>
      </c>
      <c r="AN115" s="8" t="s">
        <v>1417</v>
      </c>
    </row>
    <row r="116" spans="13:40" ht="23">
      <c r="M116" s="8" t="s">
        <v>1176</v>
      </c>
      <c r="N116" s="8" t="s">
        <v>150</v>
      </c>
      <c r="O116" s="8"/>
      <c r="P116" s="8"/>
      <c r="Q116" s="8"/>
      <c r="R116" s="8"/>
      <c r="S116" s="8"/>
      <c r="T116" s="8"/>
      <c r="U116" s="8"/>
      <c r="V116" s="8"/>
      <c r="W116" s="8" t="s">
        <v>1176</v>
      </c>
      <c r="X116" s="8">
        <v>16.64</v>
      </c>
      <c r="Y116" s="8">
        <v>19.37</v>
      </c>
      <c r="Z116" s="9">
        <v>15.12</v>
      </c>
      <c r="AA116" s="8">
        <v>5.2</v>
      </c>
      <c r="AB116" s="8">
        <v>10840</v>
      </c>
      <c r="AC116" s="21" t="s">
        <v>1176</v>
      </c>
      <c r="AD116" s="8" t="s">
        <v>4019</v>
      </c>
      <c r="AE116" s="8" t="s">
        <v>4085</v>
      </c>
      <c r="AF116" s="9">
        <f t="shared" si="24"/>
        <v>100.724</v>
      </c>
      <c r="AG116" s="9">
        <f t="shared" si="25"/>
        <v>79.039999999999992</v>
      </c>
      <c r="AH116" s="9">
        <f t="shared" si="26"/>
        <v>4.5188706299479506E-2</v>
      </c>
      <c r="AI116" s="9">
        <f t="shared" si="27"/>
        <v>2.0420191770206186E-3</v>
      </c>
      <c r="AJ116" s="9">
        <f t="shared" si="28"/>
        <v>0.16453422369515969</v>
      </c>
      <c r="AK116" s="9">
        <f t="shared" si="29"/>
        <v>2.7071510766968846E-2</v>
      </c>
      <c r="AL116" s="9">
        <f t="shared" si="30"/>
        <v>0.14350973631583869</v>
      </c>
      <c r="AM116" s="9">
        <f t="shared" si="31"/>
        <v>2.059504441744155E-2</v>
      </c>
      <c r="AN116" s="8" t="s">
        <v>1176</v>
      </c>
    </row>
    <row r="117" spans="13:40" ht="23">
      <c r="M117" s="8" t="s">
        <v>480</v>
      </c>
      <c r="N117" s="8" t="s">
        <v>150</v>
      </c>
      <c r="O117" s="8"/>
      <c r="P117" s="8" t="s">
        <v>3691</v>
      </c>
      <c r="Q117" s="8"/>
      <c r="R117" s="8"/>
      <c r="S117" s="8"/>
      <c r="T117" s="8"/>
      <c r="U117" s="8"/>
      <c r="V117" s="8"/>
      <c r="W117" s="8" t="s">
        <v>480</v>
      </c>
      <c r="X117" s="8">
        <v>11.56</v>
      </c>
      <c r="Y117" s="8">
        <v>4.7</v>
      </c>
      <c r="Z117" s="9">
        <v>3.13</v>
      </c>
      <c r="AA117" s="8">
        <v>4.8</v>
      </c>
      <c r="AB117" s="8">
        <v>16449</v>
      </c>
      <c r="AC117" s="21" t="s">
        <v>480</v>
      </c>
      <c r="AD117" s="8" t="s">
        <v>4019</v>
      </c>
      <c r="AE117" s="8" t="s">
        <v>4085</v>
      </c>
      <c r="AF117" s="9">
        <f t="shared" si="24"/>
        <v>22.56</v>
      </c>
      <c r="AG117" s="9">
        <f t="shared" si="25"/>
        <v>15.44</v>
      </c>
      <c r="AH117" s="9">
        <f t="shared" si="26"/>
        <v>4.1712651968750313E-2</v>
      </c>
      <c r="AI117" s="9">
        <f t="shared" si="27"/>
        <v>1.7399453342660893E-3</v>
      </c>
      <c r="AJ117" s="9">
        <f t="shared" si="28"/>
        <v>3.6852111577804714E-2</v>
      </c>
      <c r="AK117" s="9">
        <f t="shared" si="29"/>
        <v>1.3580781277429683E-3</v>
      </c>
      <c r="AL117" s="9">
        <f t="shared" si="30"/>
        <v>2.8033784523235693E-2</v>
      </c>
      <c r="AM117" s="9">
        <f t="shared" si="31"/>
        <v>7.8589307469520908E-4</v>
      </c>
      <c r="AN117" s="8" t="s">
        <v>480</v>
      </c>
    </row>
    <row r="118" spans="13:40" ht="23">
      <c r="M118" s="9" t="s">
        <v>3431</v>
      </c>
      <c r="N118" s="8" t="s">
        <v>2003</v>
      </c>
      <c r="O118" s="8"/>
      <c r="P118" s="8" t="s">
        <v>3713</v>
      </c>
      <c r="Q118" s="8"/>
      <c r="R118" s="8"/>
      <c r="S118" s="8"/>
      <c r="T118" s="8"/>
      <c r="U118" s="8"/>
      <c r="V118" s="8"/>
      <c r="W118" s="9" t="s">
        <v>3431</v>
      </c>
      <c r="X118" s="8">
        <v>24.69</v>
      </c>
      <c r="Y118" s="8">
        <v>4.68</v>
      </c>
      <c r="Z118" s="9">
        <v>6.16</v>
      </c>
      <c r="AA118" s="8">
        <v>4.7</v>
      </c>
      <c r="AB118" s="8">
        <v>17631</v>
      </c>
      <c r="AC118" s="22" t="s">
        <v>3431</v>
      </c>
      <c r="AD118" s="8" t="s">
        <v>4019</v>
      </c>
      <c r="AE118" s="8" t="s">
        <v>4085</v>
      </c>
      <c r="AF118" s="9">
        <f t="shared" si="24"/>
        <v>21.995999999999999</v>
      </c>
      <c r="AG118" s="9">
        <f t="shared" si="25"/>
        <v>29.453333333333333</v>
      </c>
      <c r="AH118" s="9">
        <f t="shared" si="26"/>
        <v>4.0843638386068012E-2</v>
      </c>
      <c r="AI118" s="9">
        <f t="shared" si="27"/>
        <v>1.6682027966118884E-3</v>
      </c>
      <c r="AJ118" s="9">
        <f t="shared" si="28"/>
        <v>3.5930808788359601E-2</v>
      </c>
      <c r="AK118" s="9">
        <f t="shared" si="29"/>
        <v>1.2910230201856597E-3</v>
      </c>
      <c r="AL118" s="9">
        <f t="shared" si="30"/>
        <v>5.3477227989488479E-2</v>
      </c>
      <c r="AM118" s="9">
        <f t="shared" si="31"/>
        <v>2.8598139134397302E-3</v>
      </c>
      <c r="AN118" s="9" t="s">
        <v>3431</v>
      </c>
    </row>
    <row r="119" spans="13:40" ht="23">
      <c r="M119" s="8" t="s">
        <v>1639</v>
      </c>
      <c r="N119" s="8" t="s">
        <v>1614</v>
      </c>
      <c r="O119" s="8"/>
      <c r="P119" s="8" t="s">
        <v>3691</v>
      </c>
      <c r="Q119" s="8"/>
      <c r="R119" s="8"/>
      <c r="S119" s="8"/>
      <c r="T119" s="8"/>
      <c r="U119" s="8"/>
      <c r="V119" s="8"/>
      <c r="W119" s="8" t="s">
        <v>1639</v>
      </c>
      <c r="X119" s="8">
        <v>39.97</v>
      </c>
      <c r="Y119" s="8">
        <v>3.53</v>
      </c>
      <c r="Z119" s="9">
        <v>1.06</v>
      </c>
      <c r="AA119" s="8">
        <v>4.5999999999999996</v>
      </c>
      <c r="AB119" s="8">
        <v>21390</v>
      </c>
      <c r="AC119" s="21" t="s">
        <v>1639</v>
      </c>
      <c r="AD119" s="8" t="s">
        <v>4019</v>
      </c>
      <c r="AE119" s="8" t="s">
        <v>4085</v>
      </c>
      <c r="AF119" s="9">
        <f t="shared" si="24"/>
        <v>16.238</v>
      </c>
      <c r="AG119" s="9">
        <f t="shared" si="25"/>
        <v>5.0599999999999996</v>
      </c>
      <c r="AH119" s="9">
        <f t="shared" si="26"/>
        <v>3.9974624803385712E-2</v>
      </c>
      <c r="AI119" s="9">
        <f t="shared" si="27"/>
        <v>1.5979706281714602E-3</v>
      </c>
      <c r="AJ119" s="9">
        <f t="shared" si="28"/>
        <v>2.652502605498196E-2</v>
      </c>
      <c r="AK119" s="9">
        <f t="shared" si="29"/>
        <v>7.0357700721747189E-4</v>
      </c>
      <c r="AL119" s="9">
        <f t="shared" si="30"/>
        <v>9.1872376740655855E-3</v>
      </c>
      <c r="AM119" s="9">
        <f t="shared" si="31"/>
        <v>8.4405336079770027E-5</v>
      </c>
      <c r="AN119" s="8" t="s">
        <v>1639</v>
      </c>
    </row>
    <row r="120" spans="13:40" ht="23">
      <c r="M120" s="8" t="s">
        <v>2073</v>
      </c>
      <c r="N120" s="8" t="s">
        <v>2066</v>
      </c>
      <c r="O120" s="8"/>
      <c r="P120" s="8" t="s">
        <v>3691</v>
      </c>
      <c r="Q120" s="8"/>
      <c r="R120" s="8"/>
      <c r="S120" s="8"/>
      <c r="T120" s="8"/>
      <c r="U120" s="8"/>
      <c r="V120" s="8"/>
      <c r="W120" s="8" t="s">
        <v>2073</v>
      </c>
      <c r="X120" s="8">
        <v>22.06</v>
      </c>
      <c r="Y120" s="8">
        <v>5.85</v>
      </c>
      <c r="Z120" s="9">
        <v>6.33</v>
      </c>
      <c r="AA120" s="8">
        <v>4.5</v>
      </c>
      <c r="AB120" s="8">
        <v>21394</v>
      </c>
      <c r="AC120" s="21" t="s">
        <v>2073</v>
      </c>
      <c r="AD120" s="8" t="s">
        <v>4019</v>
      </c>
      <c r="AE120" s="8" t="s">
        <v>4085</v>
      </c>
      <c r="AF120" s="9">
        <f t="shared" si="24"/>
        <v>26.324999999999999</v>
      </c>
      <c r="AG120" s="9">
        <f t="shared" si="25"/>
        <v>29.474999999999998</v>
      </c>
      <c r="AH120" s="9">
        <f t="shared" si="26"/>
        <v>3.9105611220703419E-2</v>
      </c>
      <c r="AI120" s="9">
        <f t="shared" si="27"/>
        <v>1.5292488289448051E-3</v>
      </c>
      <c r="AJ120" s="9">
        <f t="shared" si="28"/>
        <v>4.3002297752026117E-2</v>
      </c>
      <c r="AK120" s="9">
        <f t="shared" si="29"/>
        <v>1.8491976119539104E-3</v>
      </c>
      <c r="AL120" s="9">
        <f t="shared" si="30"/>
        <v>5.3516567281241718E-2</v>
      </c>
      <c r="AM120" s="9">
        <f t="shared" si="31"/>
        <v>2.8640229735676717E-3</v>
      </c>
      <c r="AN120" s="8" t="s">
        <v>2073</v>
      </c>
    </row>
    <row r="121" spans="13:40" ht="23">
      <c r="M121" s="9" t="s">
        <v>3301</v>
      </c>
      <c r="N121" s="8" t="s">
        <v>1939</v>
      </c>
      <c r="O121" s="8"/>
      <c r="P121" s="8" t="s">
        <v>4667</v>
      </c>
      <c r="Q121" s="8"/>
      <c r="R121" s="8"/>
      <c r="S121" s="8"/>
      <c r="T121" s="8"/>
      <c r="U121" s="8"/>
      <c r="V121" s="8"/>
      <c r="W121" s="9" t="s">
        <v>3301</v>
      </c>
      <c r="X121" s="8">
        <v>29.83</v>
      </c>
      <c r="Y121" s="8">
        <v>2.76</v>
      </c>
      <c r="Z121" s="9">
        <v>3.31</v>
      </c>
      <c r="AA121" s="8">
        <v>4.5</v>
      </c>
      <c r="AB121" s="8">
        <v>22183</v>
      </c>
      <c r="AC121" s="22" t="s">
        <v>3301</v>
      </c>
      <c r="AD121" s="8" t="s">
        <v>4019</v>
      </c>
      <c r="AE121" s="8" t="s">
        <v>4085</v>
      </c>
      <c r="AF121" s="9">
        <f t="shared" si="24"/>
        <v>12.419999999999998</v>
      </c>
      <c r="AG121" s="9">
        <f t="shared" si="25"/>
        <v>15.824999999999999</v>
      </c>
      <c r="AH121" s="9">
        <f t="shared" si="26"/>
        <v>3.9105611220703419E-2</v>
      </c>
      <c r="AI121" s="9">
        <f t="shared" si="27"/>
        <v>1.5292488289448051E-3</v>
      </c>
      <c r="AJ121" s="9">
        <f t="shared" si="28"/>
        <v>2.0288263554802063E-2</v>
      </c>
      <c r="AK121" s="9">
        <f t="shared" si="29"/>
        <v>4.1161363806910961E-4</v>
      </c>
      <c r="AL121" s="9">
        <f t="shared" si="30"/>
        <v>2.8732813476697209E-2</v>
      </c>
      <c r="AM121" s="9">
        <f t="shared" si="31"/>
        <v>8.2557457028667274E-4</v>
      </c>
      <c r="AN121" s="9" t="s">
        <v>3301</v>
      </c>
    </row>
    <row r="122" spans="13:40" ht="23">
      <c r="M122" s="9" t="s">
        <v>3197</v>
      </c>
      <c r="N122" s="8" t="s">
        <v>1869</v>
      </c>
      <c r="O122" s="8"/>
      <c r="P122" s="8" t="s">
        <v>4667</v>
      </c>
      <c r="Q122" s="8"/>
      <c r="R122" s="8"/>
      <c r="S122" s="8"/>
      <c r="T122" s="8"/>
      <c r="U122" s="8"/>
      <c r="V122" s="8"/>
      <c r="W122" s="9" t="s">
        <v>3197</v>
      </c>
      <c r="X122" s="8">
        <v>25.69</v>
      </c>
      <c r="Y122" s="8">
        <v>4.49</v>
      </c>
      <c r="Z122" s="9">
        <v>8.26</v>
      </c>
      <c r="AA122" s="8">
        <v>4.3</v>
      </c>
      <c r="AB122" s="8">
        <v>18934</v>
      </c>
      <c r="AC122" s="22" t="s">
        <v>3197</v>
      </c>
      <c r="AD122" s="8" t="s">
        <v>4019</v>
      </c>
      <c r="AE122" s="8" t="s">
        <v>4085</v>
      </c>
      <c r="AF122" s="9">
        <f t="shared" si="24"/>
        <v>19.306999999999999</v>
      </c>
      <c r="AG122" s="9">
        <f t="shared" si="25"/>
        <v>36.263333333333335</v>
      </c>
      <c r="AH122" s="9">
        <f t="shared" si="26"/>
        <v>3.7367584055338819E-2</v>
      </c>
      <c r="AI122" s="9">
        <f t="shared" si="27"/>
        <v>1.3963363381328119E-3</v>
      </c>
      <c r="AJ122" s="9">
        <f t="shared" si="28"/>
        <v>3.153828538265406E-2</v>
      </c>
      <c r="AK122" s="9">
        <f t="shared" si="29"/>
        <v>9.9466344487773081E-4</v>
      </c>
      <c r="AL122" s="9">
        <f t="shared" si="30"/>
        <v>6.5841869997470034E-2</v>
      </c>
      <c r="AM122" s="9">
        <f t="shared" si="31"/>
        <v>4.3351518447637448E-3</v>
      </c>
      <c r="AN122" s="9" t="s">
        <v>3197</v>
      </c>
    </row>
    <row r="123" spans="13:40" ht="23">
      <c r="M123" s="8" t="s">
        <v>1984</v>
      </c>
      <c r="N123" s="8" t="s">
        <v>1964</v>
      </c>
      <c r="O123" s="8"/>
      <c r="P123" s="8" t="s">
        <v>4745</v>
      </c>
      <c r="Q123" s="8"/>
      <c r="R123" s="8"/>
      <c r="S123" s="8"/>
      <c r="T123" s="8"/>
      <c r="U123" s="8"/>
      <c r="V123" s="8"/>
      <c r="W123" s="8" t="s">
        <v>1984</v>
      </c>
      <c r="X123" s="8">
        <v>27.27</v>
      </c>
      <c r="Y123" s="8">
        <v>5.97</v>
      </c>
      <c r="Z123" s="9">
        <v>4.59</v>
      </c>
      <c r="AA123" s="8">
        <v>4.3</v>
      </c>
      <c r="AB123" s="8">
        <v>16344</v>
      </c>
      <c r="AC123" s="21" t="s">
        <v>1984</v>
      </c>
      <c r="AD123" s="8" t="s">
        <v>4477</v>
      </c>
      <c r="AE123" s="8" t="s">
        <v>4085</v>
      </c>
      <c r="AF123" s="9">
        <f t="shared" si="24"/>
        <v>25.670999999999999</v>
      </c>
      <c r="AG123" s="9">
        <f t="shared" si="25"/>
        <v>21.428333333333331</v>
      </c>
      <c r="AH123" s="9">
        <f t="shared" si="26"/>
        <v>3.7367584055338819E-2</v>
      </c>
      <c r="AI123" s="9">
        <f t="shared" si="27"/>
        <v>1.3963363381328119E-3</v>
      </c>
      <c r="AJ123" s="9">
        <f t="shared" si="28"/>
        <v>4.1933978560009973E-2</v>
      </c>
      <c r="AK123" s="9">
        <f t="shared" si="29"/>
        <v>1.7584585578713761E-3</v>
      </c>
      <c r="AL123" s="9">
        <f t="shared" si="30"/>
        <v>3.8906559543959551E-2</v>
      </c>
      <c r="AM123" s="9">
        <f t="shared" si="31"/>
        <v>1.5137203755476701E-3</v>
      </c>
      <c r="AN123" s="8" t="s">
        <v>1984</v>
      </c>
    </row>
    <row r="124" spans="13:40" ht="23">
      <c r="M124" s="8" t="s">
        <v>1667</v>
      </c>
      <c r="N124" s="8" t="s">
        <v>1614</v>
      </c>
      <c r="O124" s="8"/>
      <c r="P124" s="8" t="s">
        <v>4167</v>
      </c>
      <c r="Q124" s="8"/>
      <c r="R124" s="8"/>
      <c r="S124" s="8"/>
      <c r="T124" s="8"/>
      <c r="U124" s="8"/>
      <c r="V124" s="8"/>
      <c r="W124" s="8" t="s">
        <v>1667</v>
      </c>
      <c r="X124" s="8">
        <v>16.32</v>
      </c>
      <c r="Y124" s="8">
        <v>4.8499999999999996</v>
      </c>
      <c r="Z124" s="9">
        <v>4.55</v>
      </c>
      <c r="AA124" s="8">
        <v>4.3</v>
      </c>
      <c r="AB124" s="8">
        <v>17148</v>
      </c>
      <c r="AC124" s="21" t="s">
        <v>1667</v>
      </c>
      <c r="AD124" s="8" t="s">
        <v>4019</v>
      </c>
      <c r="AE124" s="8" t="s">
        <v>4085</v>
      </c>
      <c r="AF124" s="9">
        <f t="shared" si="24"/>
        <v>20.854999999999997</v>
      </c>
      <c r="AG124" s="9">
        <f t="shared" si="25"/>
        <v>21.141666666666666</v>
      </c>
      <c r="AH124" s="9">
        <f t="shared" si="26"/>
        <v>3.7367584055338819E-2</v>
      </c>
      <c r="AI124" s="9">
        <f t="shared" si="27"/>
        <v>1.3963363381328119E-3</v>
      </c>
      <c r="AJ124" s="9">
        <f t="shared" si="28"/>
        <v>3.4066967506875767E-2</v>
      </c>
      <c r="AK124" s="9">
        <f t="shared" si="29"/>
        <v>1.1605582751145294E-3</v>
      </c>
      <c r="AL124" s="9">
        <f t="shared" si="30"/>
        <v>3.8386070453070471E-2</v>
      </c>
      <c r="AM124" s="9">
        <f t="shared" si="31"/>
        <v>1.4734904048280899E-3</v>
      </c>
      <c r="AN124" s="8" t="s">
        <v>1667</v>
      </c>
    </row>
    <row r="125" spans="13:40" ht="23">
      <c r="M125" s="9" t="s">
        <v>3321</v>
      </c>
      <c r="N125" s="8" t="s">
        <v>1939</v>
      </c>
      <c r="O125" s="8"/>
      <c r="P125" s="8"/>
      <c r="Q125" s="8"/>
      <c r="R125" s="8"/>
      <c r="S125" s="8"/>
      <c r="T125" s="8"/>
      <c r="U125" s="8"/>
      <c r="V125" s="8"/>
      <c r="W125" s="9" t="s">
        <v>3321</v>
      </c>
      <c r="X125" s="8">
        <v>41.41</v>
      </c>
      <c r="Y125" s="8">
        <v>2.74</v>
      </c>
      <c r="Z125" s="9">
        <v>2.5099999999999998</v>
      </c>
      <c r="AA125" s="8">
        <v>4.2</v>
      </c>
      <c r="AB125" s="8">
        <v>31675</v>
      </c>
      <c r="AC125" s="22" t="s">
        <v>3321</v>
      </c>
      <c r="AD125" s="8" t="s">
        <v>4479</v>
      </c>
      <c r="AE125" s="8" t="s">
        <v>4085</v>
      </c>
      <c r="AF125" s="9">
        <f t="shared" si="24"/>
        <v>11.508000000000001</v>
      </c>
      <c r="AG125" s="9">
        <f t="shared" si="25"/>
        <v>11.97</v>
      </c>
      <c r="AH125" s="9">
        <f t="shared" si="26"/>
        <v>3.6498570472656526E-2</v>
      </c>
      <c r="AI125" s="9">
        <f t="shared" si="27"/>
        <v>1.3321456465474749E-3</v>
      </c>
      <c r="AJ125" s="9">
        <f t="shared" si="28"/>
        <v>1.8798497342082304E-2</v>
      </c>
      <c r="AK125" s="9">
        <f t="shared" si="29"/>
        <v>3.5338350232027546E-4</v>
      </c>
      <c r="AL125" s="9">
        <f t="shared" si="30"/>
        <v>2.1733445643985189E-2</v>
      </c>
      <c r="AM125" s="9">
        <f t="shared" si="31"/>
        <v>4.7234265956005875E-4</v>
      </c>
      <c r="AN125" s="9" t="s">
        <v>3321</v>
      </c>
    </row>
    <row r="126" spans="13:40" ht="23">
      <c r="M126" s="9" t="s">
        <v>3029</v>
      </c>
      <c r="N126" s="8" t="s">
        <v>1814</v>
      </c>
      <c r="O126" s="8"/>
      <c r="P126" s="8" t="s">
        <v>3691</v>
      </c>
      <c r="Q126" s="8"/>
      <c r="R126" s="8"/>
      <c r="S126" s="8"/>
      <c r="T126" s="8"/>
      <c r="U126" s="8"/>
      <c r="V126" s="8"/>
      <c r="W126" s="9" t="s">
        <v>3029</v>
      </c>
      <c r="X126" s="8">
        <v>16.84</v>
      </c>
      <c r="Y126" s="8">
        <v>6.62</v>
      </c>
      <c r="Z126" s="9">
        <v>19.350000000000001</v>
      </c>
      <c r="AA126" s="8">
        <v>4</v>
      </c>
      <c r="AB126" s="8">
        <v>19712</v>
      </c>
      <c r="AC126" s="22" t="s">
        <v>3029</v>
      </c>
      <c r="AD126" s="8" t="s">
        <v>4019</v>
      </c>
      <c r="AE126" s="8" t="s">
        <v>4085</v>
      </c>
      <c r="AF126" s="9">
        <f t="shared" si="24"/>
        <v>26.48</v>
      </c>
      <c r="AG126" s="9">
        <f t="shared" si="25"/>
        <v>78.333333333333329</v>
      </c>
      <c r="AH126" s="9">
        <f t="shared" si="26"/>
        <v>3.4760543307291926E-2</v>
      </c>
      <c r="AI126" s="9">
        <f t="shared" si="27"/>
        <v>1.2082953710181176E-3</v>
      </c>
      <c r="AJ126" s="9">
        <f t="shared" si="28"/>
        <v>4.3255492667565121E-2</v>
      </c>
      <c r="AK126" s="9">
        <f t="shared" si="29"/>
        <v>1.87103764591378E-3</v>
      </c>
      <c r="AL126" s="9">
        <f t="shared" si="30"/>
        <v>0.14222667018480978</v>
      </c>
      <c r="AM126" s="9">
        <f t="shared" si="31"/>
        <v>2.022842571185866E-2</v>
      </c>
      <c r="AN126" s="9" t="s">
        <v>3029</v>
      </c>
    </row>
    <row r="127" spans="13:40" ht="23">
      <c r="M127" s="8" t="s">
        <v>604</v>
      </c>
      <c r="N127" s="8" t="s">
        <v>150</v>
      </c>
      <c r="O127" s="8"/>
      <c r="P127" s="8" t="s">
        <v>3693</v>
      </c>
      <c r="Q127" s="8"/>
      <c r="R127" s="8"/>
      <c r="S127" s="8"/>
      <c r="T127" s="8"/>
      <c r="U127" s="8"/>
      <c r="V127" s="8"/>
      <c r="W127" s="8" t="s">
        <v>604</v>
      </c>
      <c r="X127" s="8">
        <v>27.94</v>
      </c>
      <c r="Y127" s="8">
        <v>3.14</v>
      </c>
      <c r="Z127" s="9">
        <v>2.09</v>
      </c>
      <c r="AA127" s="8">
        <v>4</v>
      </c>
      <c r="AB127" s="8">
        <v>25402</v>
      </c>
      <c r="AC127" s="21" t="s">
        <v>604</v>
      </c>
      <c r="AD127" s="8" t="s">
        <v>4019</v>
      </c>
      <c r="AE127" s="8" t="s">
        <v>4085</v>
      </c>
      <c r="AF127" s="9">
        <f t="shared" si="24"/>
        <v>12.56</v>
      </c>
      <c r="AG127" s="9">
        <f t="shared" si="25"/>
        <v>8.6</v>
      </c>
      <c r="AH127" s="9">
        <f t="shared" si="26"/>
        <v>3.4760543307291926E-2</v>
      </c>
      <c r="AI127" s="9">
        <f t="shared" si="27"/>
        <v>1.2082953710181176E-3</v>
      </c>
      <c r="AJ127" s="9">
        <f t="shared" si="28"/>
        <v>2.0516955736579225E-2</v>
      </c>
      <c r="AK127" s="9">
        <f t="shared" si="29"/>
        <v>4.2094547269675114E-4</v>
      </c>
      <c r="AL127" s="9">
        <f t="shared" si="30"/>
        <v>1.5614672726672732E-2</v>
      </c>
      <c r="AM127" s="9">
        <f t="shared" si="31"/>
        <v>2.4381800436109726E-4</v>
      </c>
      <c r="AN127" s="8" t="s">
        <v>604</v>
      </c>
    </row>
    <row r="128" spans="13:40" ht="23">
      <c r="M128" s="8" t="s">
        <v>2044</v>
      </c>
      <c r="N128" s="8" t="s">
        <v>2041</v>
      </c>
      <c r="O128" s="8"/>
      <c r="P128" s="8" t="s">
        <v>3704</v>
      </c>
      <c r="Q128" s="8"/>
      <c r="R128" s="8"/>
      <c r="S128" s="8"/>
      <c r="T128" s="8"/>
      <c r="U128" s="8"/>
      <c r="V128" s="8"/>
      <c r="W128" s="8" t="s">
        <v>2044</v>
      </c>
      <c r="X128" s="8">
        <v>18.309999999999999</v>
      </c>
      <c r="Y128" s="8">
        <v>12.87</v>
      </c>
      <c r="Z128" s="9">
        <v>12.32</v>
      </c>
      <c r="AA128" s="8">
        <v>3.8</v>
      </c>
      <c r="AB128" s="8">
        <v>17819</v>
      </c>
      <c r="AC128" s="21" t="s">
        <v>2044</v>
      </c>
      <c r="AD128" s="8" t="s">
        <v>4019</v>
      </c>
      <c r="AE128" s="8" t="s">
        <v>4085</v>
      </c>
      <c r="AF128" s="9">
        <f t="shared" si="24"/>
        <v>48.905999999999992</v>
      </c>
      <c r="AG128" s="9">
        <f t="shared" si="25"/>
        <v>47.626666666666665</v>
      </c>
      <c r="AH128" s="9">
        <f t="shared" si="26"/>
        <v>3.3022516141927333E-2</v>
      </c>
      <c r="AI128" s="9">
        <f t="shared" si="27"/>
        <v>1.0904865723438512E-3</v>
      </c>
      <c r="AJ128" s="9">
        <f t="shared" si="28"/>
        <v>7.9888713157097405E-2</v>
      </c>
      <c r="AK128" s="9">
        <f t="shared" si="29"/>
        <v>6.3822064898969881E-3</v>
      </c>
      <c r="AL128" s="9">
        <f t="shared" si="30"/>
        <v>8.6473815472364338E-2</v>
      </c>
      <c r="AM128" s="9">
        <f t="shared" si="31"/>
        <v>7.4777207623485178E-3</v>
      </c>
      <c r="AN128" s="8" t="s">
        <v>2044</v>
      </c>
    </row>
    <row r="129" spans="13:40" ht="23">
      <c r="M129" s="8" t="s">
        <v>2069</v>
      </c>
      <c r="N129" s="8" t="s">
        <v>2066</v>
      </c>
      <c r="O129" s="8"/>
      <c r="P129" s="8"/>
      <c r="Q129" s="8"/>
      <c r="R129" s="8"/>
      <c r="S129" s="8"/>
      <c r="T129" s="8"/>
      <c r="U129" s="8"/>
      <c r="V129" s="8"/>
      <c r="W129" s="8" t="s">
        <v>2069</v>
      </c>
      <c r="X129" s="8">
        <v>1.84</v>
      </c>
      <c r="Y129" s="8">
        <v>14.78</v>
      </c>
      <c r="Z129" s="9">
        <v>11.13</v>
      </c>
      <c r="AA129" s="8">
        <v>3.8</v>
      </c>
      <c r="AB129" s="8">
        <v>14754</v>
      </c>
      <c r="AC129" s="21" t="s">
        <v>2069</v>
      </c>
      <c r="AD129" s="8" t="s">
        <v>4019</v>
      </c>
      <c r="AE129" s="8" t="s">
        <v>4085</v>
      </c>
      <c r="AF129" s="9">
        <f t="shared" si="24"/>
        <v>56.163999999999994</v>
      </c>
      <c r="AG129" s="9">
        <f t="shared" si="25"/>
        <v>42.623333333333335</v>
      </c>
      <c r="AH129" s="9">
        <f t="shared" si="26"/>
        <v>3.3022516141927333E-2</v>
      </c>
      <c r="AI129" s="9">
        <f t="shared" si="27"/>
        <v>1.0904865723438512E-3</v>
      </c>
      <c r="AJ129" s="9">
        <f t="shared" si="28"/>
        <v>9.1744769266658879E-2</v>
      </c>
      <c r="AK129" s="9">
        <f t="shared" si="29"/>
        <v>8.417102687792475E-3</v>
      </c>
      <c r="AL129" s="9">
        <f t="shared" si="30"/>
        <v>7.7389465176730329E-2</v>
      </c>
      <c r="AM129" s="9">
        <f t="shared" si="31"/>
        <v>5.989129320340356E-3</v>
      </c>
      <c r="AN129" s="8" t="s">
        <v>2069</v>
      </c>
    </row>
    <row r="130" spans="13:40" ht="23">
      <c r="M130" s="9" t="s">
        <v>3677</v>
      </c>
      <c r="N130" s="8" t="s">
        <v>2107</v>
      </c>
      <c r="O130" s="8"/>
      <c r="P130" s="8" t="s">
        <v>4667</v>
      </c>
      <c r="Q130" s="8"/>
      <c r="R130" s="8"/>
      <c r="S130" s="8"/>
      <c r="T130" s="8"/>
      <c r="U130" s="8"/>
      <c r="V130" s="8"/>
      <c r="W130" s="9" t="s">
        <v>3677</v>
      </c>
      <c r="X130" s="8">
        <v>25.36</v>
      </c>
      <c r="Y130" s="8">
        <v>5.23</v>
      </c>
      <c r="Z130" s="9">
        <v>4.05</v>
      </c>
      <c r="AA130" s="8">
        <v>3.8</v>
      </c>
      <c r="AB130" s="8">
        <v>26572</v>
      </c>
      <c r="AC130" s="22" t="s">
        <v>3677</v>
      </c>
      <c r="AD130" s="8" t="s">
        <v>4019</v>
      </c>
      <c r="AE130" s="8" t="s">
        <v>4085</v>
      </c>
      <c r="AF130" s="9">
        <f t="shared" ref="AF130:AF161" si="32">(AA130*Y130)</f>
        <v>19.874000000000002</v>
      </c>
      <c r="AG130" s="9">
        <f t="shared" ref="AG130:AG161" si="33">((((RIGHT(Z130,2))/60)+(LEFT(Z130,2)))*AA130)</f>
        <v>15.516666666666664</v>
      </c>
      <c r="AH130" s="9">
        <f t="shared" ref="AH130:AH161" si="34">(AA130/$AA$180)*100</f>
        <v>3.3022516141927333E-2</v>
      </c>
      <c r="AI130" s="9">
        <f t="shared" ref="AI130:AI161" si="35">(AH130*AH130)</f>
        <v>1.0904865723438512E-3</v>
      </c>
      <c r="AJ130" s="9">
        <f t="shared" ref="AJ130:AJ161" si="36">(AF130/$AF$180)*100</f>
        <v>3.2464488718851554E-2</v>
      </c>
      <c r="AK130" s="9">
        <f t="shared" ref="AK130:AK161" si="37">(AJ130*AJ130)</f>
        <v>1.0539430277764399E-3</v>
      </c>
      <c r="AL130" s="9">
        <f t="shared" ref="AL130:AL161" si="38">(AG130/$AG$180)*100</f>
        <v>2.8172985094054869E-2</v>
      </c>
      <c r="AM130" s="9">
        <f t="shared" ref="AM130:AM161" si="39">(AL130*AL130)</f>
        <v>7.9371708910983788E-4</v>
      </c>
      <c r="AN130" s="9" t="s">
        <v>3677</v>
      </c>
    </row>
    <row r="131" spans="13:40" ht="23">
      <c r="M131" s="9" t="s">
        <v>3027</v>
      </c>
      <c r="N131" s="8" t="s">
        <v>1814</v>
      </c>
      <c r="O131" s="8"/>
      <c r="P131" s="8" t="s">
        <v>3692</v>
      </c>
      <c r="Q131" s="8"/>
      <c r="R131" s="8"/>
      <c r="S131" s="8"/>
      <c r="T131" s="8"/>
      <c r="U131" s="8"/>
      <c r="V131" s="8"/>
      <c r="W131" s="9" t="s">
        <v>3027</v>
      </c>
      <c r="X131" s="8">
        <v>52.14</v>
      </c>
      <c r="Y131" s="8">
        <v>2.12</v>
      </c>
      <c r="Z131" s="9">
        <v>0.52</v>
      </c>
      <c r="AA131" s="8">
        <v>3.8</v>
      </c>
      <c r="AB131" s="8">
        <v>28870</v>
      </c>
      <c r="AC131" s="22" t="s">
        <v>3027</v>
      </c>
      <c r="AD131" s="8" t="s">
        <v>4019</v>
      </c>
      <c r="AE131" s="8" t="s">
        <v>4085</v>
      </c>
      <c r="AF131" s="9">
        <f t="shared" si="32"/>
        <v>8.0559999999999992</v>
      </c>
      <c r="AG131" s="9">
        <f t="shared" si="33"/>
        <v>3.2933333333333334</v>
      </c>
      <c r="AH131" s="9">
        <f t="shared" si="34"/>
        <v>3.3022516141927333E-2</v>
      </c>
      <c r="AI131" s="9">
        <f t="shared" si="35"/>
        <v>1.0904865723438512E-3</v>
      </c>
      <c r="AJ131" s="9">
        <f t="shared" si="36"/>
        <v>1.3159601545691259E-2</v>
      </c>
      <c r="AK131" s="9">
        <f t="shared" si="37"/>
        <v>1.7317511284135979E-4</v>
      </c>
      <c r="AL131" s="9">
        <f t="shared" si="38"/>
        <v>5.9795723464932801E-3</v>
      </c>
      <c r="AM131" s="9">
        <f t="shared" si="39"/>
        <v>3.5755285446947152E-5</v>
      </c>
      <c r="AN131" s="9" t="s">
        <v>3027</v>
      </c>
    </row>
    <row r="132" spans="13:40" ht="23">
      <c r="M132" s="9" t="s">
        <v>2403</v>
      </c>
      <c r="N132" s="8" t="s">
        <v>150</v>
      </c>
      <c r="O132" s="8"/>
      <c r="P132" s="8" t="s">
        <v>3691</v>
      </c>
      <c r="Q132" s="8"/>
      <c r="R132" s="8"/>
      <c r="S132" s="8"/>
      <c r="T132" s="8"/>
      <c r="U132" s="8"/>
      <c r="V132" s="8"/>
      <c r="W132" s="9" t="s">
        <v>2403</v>
      </c>
      <c r="X132" s="8">
        <v>46.55</v>
      </c>
      <c r="Y132" s="8">
        <v>2.31</v>
      </c>
      <c r="Z132" s="9">
        <v>0.43</v>
      </c>
      <c r="AA132" s="8">
        <v>3.8</v>
      </c>
      <c r="AB132" s="8">
        <v>42944</v>
      </c>
      <c r="AC132" s="22" t="s">
        <v>2403</v>
      </c>
      <c r="AD132" s="8" t="s">
        <v>4019</v>
      </c>
      <c r="AE132" s="8" t="s">
        <v>4085</v>
      </c>
      <c r="AF132" s="9">
        <f t="shared" si="32"/>
        <v>8.7780000000000005</v>
      </c>
      <c r="AG132" s="9">
        <f t="shared" si="33"/>
        <v>2.7233333333333332</v>
      </c>
      <c r="AH132" s="9">
        <f t="shared" si="34"/>
        <v>3.3022516141927333E-2</v>
      </c>
      <c r="AI132" s="9">
        <f t="shared" si="35"/>
        <v>1.0904865723438512E-3</v>
      </c>
      <c r="AJ132" s="9">
        <f t="shared" si="36"/>
        <v>1.4338999797427742E-2</v>
      </c>
      <c r="AK132" s="9">
        <f t="shared" si="37"/>
        <v>2.0560691519063283E-4</v>
      </c>
      <c r="AL132" s="9">
        <f t="shared" si="38"/>
        <v>4.9446463634463655E-3</v>
      </c>
      <c r="AM132" s="9">
        <f t="shared" si="39"/>
        <v>2.4449527659543367E-5</v>
      </c>
      <c r="AN132" s="9" t="s">
        <v>2403</v>
      </c>
    </row>
    <row r="133" spans="13:40" ht="23">
      <c r="M133" s="9" t="s">
        <v>2452</v>
      </c>
      <c r="N133" s="8" t="s">
        <v>150</v>
      </c>
      <c r="O133" s="8"/>
      <c r="P133" s="8"/>
      <c r="Q133" s="8"/>
      <c r="R133" s="8"/>
      <c r="S133" s="8"/>
      <c r="T133" s="8"/>
      <c r="U133" s="8"/>
      <c r="V133" s="8"/>
      <c r="W133" s="9" t="s">
        <v>2452</v>
      </c>
      <c r="X133" s="8">
        <v>33.299999999999997</v>
      </c>
      <c r="Y133" s="8">
        <v>3.5</v>
      </c>
      <c r="Z133" s="9">
        <v>2.4700000000000002</v>
      </c>
      <c r="AA133" s="8">
        <v>3.7</v>
      </c>
      <c r="AB133" s="8">
        <v>24813</v>
      </c>
      <c r="AC133" s="22" t="s">
        <v>2452</v>
      </c>
      <c r="AD133" s="8" t="s">
        <v>4019</v>
      </c>
      <c r="AE133" s="8" t="s">
        <v>4085</v>
      </c>
      <c r="AF133" s="9">
        <f t="shared" si="32"/>
        <v>12.950000000000001</v>
      </c>
      <c r="AG133" s="9">
        <f t="shared" si="33"/>
        <v>10.298333333333334</v>
      </c>
      <c r="AH133" s="9">
        <f t="shared" si="34"/>
        <v>3.215350255924504E-2</v>
      </c>
      <c r="AI133" s="9">
        <f t="shared" si="35"/>
        <v>1.0338477268273772E-3</v>
      </c>
      <c r="AJ133" s="9">
        <f t="shared" si="36"/>
        <v>2.1154026814387019E-2</v>
      </c>
      <c r="AK133" s="9">
        <f t="shared" si="37"/>
        <v>4.4749285046380503E-4</v>
      </c>
      <c r="AL133" s="9">
        <f t="shared" si="38"/>
        <v>1.8698267980254035E-2</v>
      </c>
      <c r="AM133" s="9">
        <f t="shared" si="39"/>
        <v>3.4962522546139332E-4</v>
      </c>
      <c r="AN133" s="9" t="s">
        <v>2452</v>
      </c>
    </row>
    <row r="134" spans="13:40" ht="23">
      <c r="M134" s="9" t="s">
        <v>3506</v>
      </c>
      <c r="N134" s="8" t="s">
        <v>2032</v>
      </c>
      <c r="O134" s="8"/>
      <c r="P134" s="8" t="s">
        <v>3693</v>
      </c>
      <c r="Q134" s="8"/>
      <c r="R134" s="8"/>
      <c r="S134" s="8"/>
      <c r="T134" s="8"/>
      <c r="U134" s="8"/>
      <c r="V134" s="8"/>
      <c r="W134" s="9" t="s">
        <v>3506</v>
      </c>
      <c r="X134" s="8">
        <v>12.38</v>
      </c>
      <c r="Y134" s="8">
        <v>11.29</v>
      </c>
      <c r="Z134" s="9">
        <v>13.15</v>
      </c>
      <c r="AA134" s="8">
        <v>3.6</v>
      </c>
      <c r="AB134" s="8">
        <v>27253</v>
      </c>
      <c r="AC134" s="22" t="s">
        <v>3506</v>
      </c>
      <c r="AD134" s="8" t="s">
        <v>4019</v>
      </c>
      <c r="AE134" s="8" t="s">
        <v>4085</v>
      </c>
      <c r="AF134" s="9">
        <f t="shared" si="32"/>
        <v>40.643999999999998</v>
      </c>
      <c r="AG134" s="9">
        <f t="shared" si="33"/>
        <v>47.7</v>
      </c>
      <c r="AH134" s="9">
        <f t="shared" si="34"/>
        <v>3.1284488976562733E-2</v>
      </c>
      <c r="AI134" s="9">
        <f t="shared" si="35"/>
        <v>9.7871925052467508E-4</v>
      </c>
      <c r="AJ134" s="9">
        <f t="shared" si="36"/>
        <v>6.6392607401076914E-2</v>
      </c>
      <c r="AK134" s="9">
        <f t="shared" si="37"/>
        <v>4.4079783175135327E-3</v>
      </c>
      <c r="AL134" s="9">
        <f t="shared" si="38"/>
        <v>8.6606963844452253E-2</v>
      </c>
      <c r="AM134" s="9">
        <f t="shared" si="39"/>
        <v>7.50076618635426E-3</v>
      </c>
      <c r="AN134" s="9" t="s">
        <v>3506</v>
      </c>
    </row>
    <row r="135" spans="13:40" ht="23">
      <c r="M135" s="8" t="s">
        <v>1703</v>
      </c>
      <c r="N135" s="8" t="s">
        <v>1614</v>
      </c>
      <c r="O135" s="8"/>
      <c r="P135" s="8"/>
      <c r="Q135" s="8"/>
      <c r="R135" s="8"/>
      <c r="S135" s="8"/>
      <c r="T135" s="8"/>
      <c r="U135" s="8"/>
      <c r="V135" s="8"/>
      <c r="W135" s="8" t="s">
        <v>1703</v>
      </c>
      <c r="X135" s="8">
        <v>47.98</v>
      </c>
      <c r="Y135" s="8">
        <v>4.09</v>
      </c>
      <c r="Z135" s="9">
        <v>11.15</v>
      </c>
      <c r="AA135" s="8">
        <v>3.6</v>
      </c>
      <c r="AB135" s="8"/>
      <c r="AC135" s="21" t="s">
        <v>1703</v>
      </c>
      <c r="AD135" s="8" t="s">
        <v>4019</v>
      </c>
      <c r="AE135" s="8" t="s">
        <v>4085</v>
      </c>
      <c r="AF135" s="9">
        <f t="shared" si="32"/>
        <v>14.724</v>
      </c>
      <c r="AG135" s="9">
        <f t="shared" si="33"/>
        <v>40.5</v>
      </c>
      <c r="AH135" s="9">
        <f t="shared" si="34"/>
        <v>3.1284488976562733E-2</v>
      </c>
      <c r="AI135" s="9">
        <f t="shared" si="35"/>
        <v>9.7871925052467508E-4</v>
      </c>
      <c r="AJ135" s="9">
        <f t="shared" si="36"/>
        <v>2.4051883460620423E-2</v>
      </c>
      <c r="AK135" s="9">
        <f t="shared" si="37"/>
        <v>5.7849309800326622E-4</v>
      </c>
      <c r="AL135" s="9">
        <f t="shared" si="38"/>
        <v>7.3534214584912286E-2</v>
      </c>
      <c r="AM135" s="9">
        <f t="shared" si="39"/>
        <v>5.407280714619927E-3</v>
      </c>
      <c r="AN135" s="8" t="s">
        <v>1703</v>
      </c>
    </row>
    <row r="136" spans="13:40" ht="23">
      <c r="M136" s="9" t="s">
        <v>2216</v>
      </c>
      <c r="N136" s="8" t="s">
        <v>150</v>
      </c>
      <c r="O136" s="8"/>
      <c r="P136" s="8" t="s">
        <v>3693</v>
      </c>
      <c r="Q136" s="8"/>
      <c r="R136" s="8"/>
      <c r="S136" s="8"/>
      <c r="T136" s="8"/>
      <c r="U136" s="8"/>
      <c r="V136" s="8"/>
      <c r="W136" s="9" t="s">
        <v>2216</v>
      </c>
      <c r="X136" s="8">
        <v>27.93</v>
      </c>
      <c r="Y136" s="8">
        <v>7.36</v>
      </c>
      <c r="Z136" s="9">
        <v>4.0599999999999996</v>
      </c>
      <c r="AA136" s="8">
        <v>3.6</v>
      </c>
      <c r="AB136" s="8">
        <v>16842</v>
      </c>
      <c r="AC136" s="22" t="s">
        <v>2216</v>
      </c>
      <c r="AD136" s="8" t="s">
        <v>4019</v>
      </c>
      <c r="AE136" s="8" t="s">
        <v>4085</v>
      </c>
      <c r="AF136" s="9">
        <f t="shared" si="32"/>
        <v>26.496000000000002</v>
      </c>
      <c r="AG136" s="9">
        <f t="shared" si="33"/>
        <v>14.76</v>
      </c>
      <c r="AH136" s="9">
        <f t="shared" si="34"/>
        <v>3.1284488976562733E-2</v>
      </c>
      <c r="AI136" s="9">
        <f t="shared" si="35"/>
        <v>9.7871925052467508E-4</v>
      </c>
      <c r="AJ136" s="9">
        <f t="shared" si="36"/>
        <v>4.3281628916911077E-2</v>
      </c>
      <c r="AK136" s="9">
        <f t="shared" si="37"/>
        <v>1.8732994017011931E-3</v>
      </c>
      <c r="AL136" s="9">
        <f t="shared" si="38"/>
        <v>2.6799135982056927E-2</v>
      </c>
      <c r="AM136" s="9">
        <f t="shared" si="39"/>
        <v>7.1819368938477832E-4</v>
      </c>
      <c r="AN136" s="9" t="s">
        <v>2216</v>
      </c>
    </row>
    <row r="137" spans="13:40" ht="23">
      <c r="M137" s="8" t="s">
        <v>462</v>
      </c>
      <c r="N137" s="8" t="s">
        <v>150</v>
      </c>
      <c r="O137" s="8"/>
      <c r="P137" s="8"/>
      <c r="Q137" s="8"/>
      <c r="R137" s="8"/>
      <c r="S137" s="8"/>
      <c r="T137" s="8"/>
      <c r="U137" s="8"/>
      <c r="V137" s="8"/>
      <c r="W137" s="8" t="s">
        <v>462</v>
      </c>
      <c r="X137" s="8">
        <v>15.28</v>
      </c>
      <c r="Y137" s="8">
        <v>11.87</v>
      </c>
      <c r="Z137" s="9">
        <v>9.1199999999999992</v>
      </c>
      <c r="AA137" s="8">
        <v>3.5</v>
      </c>
      <c r="AB137" s="8">
        <v>27396</v>
      </c>
      <c r="AC137" s="21" t="s">
        <v>462</v>
      </c>
      <c r="AD137" s="8" t="s">
        <v>4019</v>
      </c>
      <c r="AE137" s="8" t="s">
        <v>4085</v>
      </c>
      <c r="AF137" s="9">
        <f t="shared" si="32"/>
        <v>41.544999999999995</v>
      </c>
      <c r="AG137" s="9">
        <f t="shared" si="33"/>
        <v>32.199999999999996</v>
      </c>
      <c r="AH137" s="9">
        <f t="shared" si="34"/>
        <v>3.0415475393880436E-2</v>
      </c>
      <c r="AI137" s="9">
        <f t="shared" si="35"/>
        <v>9.2510114343574625E-4</v>
      </c>
      <c r="AJ137" s="9">
        <f t="shared" si="36"/>
        <v>6.7864404942371323E-2</v>
      </c>
      <c r="AK137" s="9">
        <f t="shared" si="37"/>
        <v>4.6055774581821533E-3</v>
      </c>
      <c r="AL137" s="9">
        <f t="shared" si="38"/>
        <v>5.8464239744053709E-2</v>
      </c>
      <c r="AM137" s="9">
        <f t="shared" si="39"/>
        <v>3.4180673288501892E-3</v>
      </c>
      <c r="AN137" s="8" t="s">
        <v>462</v>
      </c>
    </row>
    <row r="138" spans="13:40" ht="23">
      <c r="M138" s="8" t="s">
        <v>1860</v>
      </c>
      <c r="N138" s="8" t="s">
        <v>1814</v>
      </c>
      <c r="O138" s="8"/>
      <c r="P138" s="8" t="s">
        <v>4167</v>
      </c>
      <c r="Q138" s="8"/>
      <c r="R138" s="8"/>
      <c r="S138" s="8"/>
      <c r="T138" s="8"/>
      <c r="U138" s="8"/>
      <c r="V138" s="8"/>
      <c r="W138" s="8" t="s">
        <v>1860</v>
      </c>
      <c r="X138" s="8">
        <v>22.48</v>
      </c>
      <c r="Y138" s="8">
        <v>8.74</v>
      </c>
      <c r="Z138" s="9">
        <v>8.08</v>
      </c>
      <c r="AA138" s="8">
        <v>3.5</v>
      </c>
      <c r="AB138" s="8">
        <v>20147</v>
      </c>
      <c r="AC138" s="21" t="s">
        <v>1860</v>
      </c>
      <c r="AD138" s="8" t="s">
        <v>4019</v>
      </c>
      <c r="AE138" s="8" t="s">
        <v>4085</v>
      </c>
      <c r="AF138" s="9">
        <f t="shared" si="32"/>
        <v>30.59</v>
      </c>
      <c r="AG138" s="9">
        <f t="shared" si="33"/>
        <v>28.466666666666665</v>
      </c>
      <c r="AH138" s="9">
        <f t="shared" si="34"/>
        <v>3.0415475393880436E-2</v>
      </c>
      <c r="AI138" s="9">
        <f t="shared" si="35"/>
        <v>9.2510114343574625E-4</v>
      </c>
      <c r="AJ138" s="9">
        <f t="shared" si="36"/>
        <v>4.9969241718308792E-2</v>
      </c>
      <c r="AK138" s="9">
        <f t="shared" si="37"/>
        <v>2.4969251179027718E-3</v>
      </c>
      <c r="AL138" s="9">
        <f t="shared" si="38"/>
        <v>5.1685777165033003E-2</v>
      </c>
      <c r="AM138" s="9">
        <f t="shared" si="39"/>
        <v>2.671419561153447E-3</v>
      </c>
      <c r="AN138" s="8" t="s">
        <v>1860</v>
      </c>
    </row>
    <row r="139" spans="13:40" ht="23">
      <c r="M139" s="8" t="s">
        <v>1824</v>
      </c>
      <c r="N139" s="8" t="s">
        <v>1814</v>
      </c>
      <c r="O139" s="8"/>
      <c r="P139" s="8"/>
      <c r="Q139" s="8"/>
      <c r="R139" s="8"/>
      <c r="S139" s="8"/>
      <c r="T139" s="8"/>
      <c r="U139" s="8"/>
      <c r="V139" s="8"/>
      <c r="W139" s="8" t="s">
        <v>1824</v>
      </c>
      <c r="X139" s="8">
        <v>9.6</v>
      </c>
      <c r="Y139" s="8">
        <v>4.1100000000000003</v>
      </c>
      <c r="Z139" s="9">
        <v>4.3</v>
      </c>
      <c r="AA139" s="8">
        <v>3.5</v>
      </c>
      <c r="AB139" s="8">
        <v>23793</v>
      </c>
      <c r="AC139" s="21" t="s">
        <v>1824</v>
      </c>
      <c r="AD139" s="8" t="s">
        <v>4019</v>
      </c>
      <c r="AE139" s="8" t="s">
        <v>4085</v>
      </c>
      <c r="AF139" s="9">
        <f t="shared" si="32"/>
        <v>14.385000000000002</v>
      </c>
      <c r="AG139" s="9">
        <f t="shared" si="33"/>
        <v>14.0175</v>
      </c>
      <c r="AH139" s="9">
        <f t="shared" si="34"/>
        <v>3.0415475393880436E-2</v>
      </c>
      <c r="AI139" s="9">
        <f t="shared" si="35"/>
        <v>9.2510114343574625E-4</v>
      </c>
      <c r="AJ139" s="9">
        <f t="shared" si="36"/>
        <v>2.349812167760288E-2</v>
      </c>
      <c r="AK139" s="9">
        <f t="shared" si="37"/>
        <v>5.5216172237543043E-4</v>
      </c>
      <c r="AL139" s="9">
        <f t="shared" si="38"/>
        <v>2.5451008714666861E-2</v>
      </c>
      <c r="AM139" s="9">
        <f t="shared" si="39"/>
        <v>6.477538445940485E-4</v>
      </c>
      <c r="AN139" s="8" t="s">
        <v>1824</v>
      </c>
    </row>
    <row r="140" spans="13:40" ht="23">
      <c r="M140" s="9" t="s">
        <v>3570</v>
      </c>
      <c r="N140" s="8" t="s">
        <v>2074</v>
      </c>
      <c r="O140" s="8"/>
      <c r="P140" s="8"/>
      <c r="Q140" s="8"/>
      <c r="R140" s="8"/>
      <c r="S140" s="8"/>
      <c r="T140" s="8"/>
      <c r="U140" s="8"/>
      <c r="V140" s="8"/>
      <c r="W140" s="9" t="s">
        <v>3570</v>
      </c>
      <c r="X140" s="8">
        <v>21.23</v>
      </c>
      <c r="Y140" s="8">
        <v>2.84</v>
      </c>
      <c r="Z140" s="9">
        <v>2.36</v>
      </c>
      <c r="AA140" s="8">
        <v>3.5</v>
      </c>
      <c r="AB140" s="8">
        <v>29145</v>
      </c>
      <c r="AC140" s="22" t="s">
        <v>3570</v>
      </c>
      <c r="AD140" s="8" t="s">
        <v>4019</v>
      </c>
      <c r="AE140" s="8" t="s">
        <v>4085</v>
      </c>
      <c r="AF140" s="9">
        <f t="shared" si="32"/>
        <v>9.94</v>
      </c>
      <c r="AG140" s="9">
        <f t="shared" si="33"/>
        <v>9.1</v>
      </c>
      <c r="AH140" s="9">
        <f t="shared" si="34"/>
        <v>3.0415475393880436E-2</v>
      </c>
      <c r="AI140" s="9">
        <f t="shared" si="35"/>
        <v>9.2510114343574625E-4</v>
      </c>
      <c r="AJ140" s="9">
        <f t="shared" si="36"/>
        <v>1.6237144906178145E-2</v>
      </c>
      <c r="AK140" s="9">
        <f t="shared" si="37"/>
        <v>2.6364487470422685E-4</v>
      </c>
      <c r="AL140" s="9">
        <f t="shared" si="38"/>
        <v>1.6522502536363008E-2</v>
      </c>
      <c r="AM140" s="9">
        <f t="shared" si="39"/>
        <v>2.7299309006412203E-4</v>
      </c>
      <c r="AN140" s="9" t="s">
        <v>3570</v>
      </c>
    </row>
    <row r="141" spans="13:40" ht="23">
      <c r="M141" s="8" t="s">
        <v>191</v>
      </c>
      <c r="N141" s="8" t="s">
        <v>150</v>
      </c>
      <c r="O141" s="8"/>
      <c r="P141" s="8"/>
      <c r="Q141" s="8"/>
      <c r="R141" s="8"/>
      <c r="S141" s="8"/>
      <c r="T141" s="8"/>
      <c r="U141" s="8"/>
      <c r="V141" s="8"/>
      <c r="W141" s="8" t="s">
        <v>191</v>
      </c>
      <c r="X141" s="8">
        <v>23.84</v>
      </c>
      <c r="Y141" s="8">
        <v>5.65</v>
      </c>
      <c r="Z141" s="9">
        <v>12.58</v>
      </c>
      <c r="AA141" s="8">
        <v>3.4</v>
      </c>
      <c r="AB141" s="8">
        <v>22092</v>
      </c>
      <c r="AC141" s="21" t="s">
        <v>191</v>
      </c>
      <c r="AD141" s="8" t="s">
        <v>4019</v>
      </c>
      <c r="AE141" s="8" t="s">
        <v>4085</v>
      </c>
      <c r="AF141" s="9">
        <f t="shared" si="32"/>
        <v>19.21</v>
      </c>
      <c r="AG141" s="9">
        <f t="shared" si="33"/>
        <v>44.086666666666666</v>
      </c>
      <c r="AH141" s="9">
        <f t="shared" si="34"/>
        <v>2.9546461811198136E-2</v>
      </c>
      <c r="AI141" s="9">
        <f t="shared" si="35"/>
        <v>8.7299340556058985E-4</v>
      </c>
      <c r="AJ141" s="9">
        <f t="shared" si="36"/>
        <v>3.1379834370994182E-2</v>
      </c>
      <c r="AK141" s="9">
        <f t="shared" si="37"/>
        <v>9.8469400515102776E-4</v>
      </c>
      <c r="AL141" s="9">
        <f t="shared" si="38"/>
        <v>8.0046380419757202E-2</v>
      </c>
      <c r="AM141" s="9">
        <f t="shared" si="39"/>
        <v>6.4074230183044888E-3</v>
      </c>
      <c r="AN141" s="8" t="s">
        <v>191</v>
      </c>
    </row>
    <row r="142" spans="13:40" ht="23">
      <c r="M142" s="9" t="s">
        <v>3361</v>
      </c>
      <c r="N142" s="8" t="s">
        <v>1964</v>
      </c>
      <c r="O142" s="8"/>
      <c r="P142" s="8" t="s">
        <v>3693</v>
      </c>
      <c r="Q142" s="8"/>
      <c r="R142" s="8"/>
      <c r="S142" s="8"/>
      <c r="T142" s="8"/>
      <c r="U142" s="8"/>
      <c r="V142" s="8"/>
      <c r="W142" s="9" t="s">
        <v>3361</v>
      </c>
      <c r="X142" s="8">
        <v>26.8</v>
      </c>
      <c r="Y142" s="8">
        <v>4.59</v>
      </c>
      <c r="Z142" s="9">
        <v>5.05</v>
      </c>
      <c r="AA142" s="8">
        <v>3.4</v>
      </c>
      <c r="AB142" s="8">
        <v>22185</v>
      </c>
      <c r="AC142" s="22" t="s">
        <v>3361</v>
      </c>
      <c r="AD142" s="8" t="s">
        <v>4019</v>
      </c>
      <c r="AE142" s="8" t="s">
        <v>4085</v>
      </c>
      <c r="AF142" s="9">
        <f t="shared" si="32"/>
        <v>15.606</v>
      </c>
      <c r="AG142" s="9">
        <f t="shared" si="33"/>
        <v>17.283333333333331</v>
      </c>
      <c r="AH142" s="9">
        <f t="shared" si="34"/>
        <v>2.9546461811198136E-2</v>
      </c>
      <c r="AI142" s="9">
        <f t="shared" si="35"/>
        <v>8.7299340556058985E-4</v>
      </c>
      <c r="AJ142" s="9">
        <f t="shared" si="36"/>
        <v>2.5492644205816508E-2</v>
      </c>
      <c r="AK142" s="9">
        <f t="shared" si="37"/>
        <v>6.4987490860435001E-4</v>
      </c>
      <c r="AL142" s="9">
        <f t="shared" si="38"/>
        <v>3.1380650421627174E-2</v>
      </c>
      <c r="AM142" s="9">
        <f t="shared" si="39"/>
        <v>9.847452208843698E-4</v>
      </c>
      <c r="AN142" s="9" t="s">
        <v>3361</v>
      </c>
    </row>
    <row r="143" spans="13:40" ht="23">
      <c r="M143" s="8" t="s">
        <v>1727</v>
      </c>
      <c r="N143" s="8" t="s">
        <v>1717</v>
      </c>
      <c r="O143" s="8"/>
      <c r="P143" s="8" t="s">
        <v>3691</v>
      </c>
      <c r="Q143" s="8"/>
      <c r="R143" s="8"/>
      <c r="S143" s="8"/>
      <c r="T143" s="8"/>
      <c r="U143" s="8"/>
      <c r="V143" s="8"/>
      <c r="W143" s="8" t="s">
        <v>1727</v>
      </c>
      <c r="X143" s="8">
        <v>15.84</v>
      </c>
      <c r="Y143" s="8">
        <v>8.09</v>
      </c>
      <c r="Z143" s="9">
        <v>4.3099999999999996</v>
      </c>
      <c r="AA143" s="8">
        <v>3.4</v>
      </c>
      <c r="AB143" s="8">
        <v>16079</v>
      </c>
      <c r="AC143" s="21" t="s">
        <v>1727</v>
      </c>
      <c r="AD143" s="8" t="s">
        <v>4019</v>
      </c>
      <c r="AE143" s="8" t="s">
        <v>4085</v>
      </c>
      <c r="AF143" s="9">
        <f t="shared" si="32"/>
        <v>27.506</v>
      </c>
      <c r="AG143" s="9">
        <f t="shared" si="33"/>
        <v>15.356666666666666</v>
      </c>
      <c r="AH143" s="9">
        <f t="shared" si="34"/>
        <v>2.9546461811198136E-2</v>
      </c>
      <c r="AI143" s="9">
        <f t="shared" si="35"/>
        <v>8.7299340556058985E-4</v>
      </c>
      <c r="AJ143" s="9">
        <f t="shared" si="36"/>
        <v>4.493147965687485E-2</v>
      </c>
      <c r="AK143" s="9">
        <f t="shared" si="37"/>
        <v>2.0188378641561584E-3</v>
      </c>
      <c r="AL143" s="9">
        <f t="shared" si="38"/>
        <v>2.788247955495398E-2</v>
      </c>
      <c r="AM143" s="9">
        <f t="shared" si="39"/>
        <v>7.7743266613242666E-4</v>
      </c>
      <c r="AN143" s="8" t="s">
        <v>1727</v>
      </c>
    </row>
    <row r="144" spans="13:40" ht="23">
      <c r="M144" s="8" t="s">
        <v>1450</v>
      </c>
      <c r="N144" s="8" t="s">
        <v>150</v>
      </c>
      <c r="O144" s="8"/>
      <c r="P144" s="8" t="s">
        <v>3691</v>
      </c>
      <c r="Q144" s="8"/>
      <c r="R144" s="8"/>
      <c r="S144" s="8"/>
      <c r="T144" s="8"/>
      <c r="U144" s="8"/>
      <c r="V144" s="8"/>
      <c r="W144" s="8" t="s">
        <v>1450</v>
      </c>
      <c r="X144" s="8">
        <v>46.6</v>
      </c>
      <c r="Y144" s="8">
        <v>2.56</v>
      </c>
      <c r="Z144" s="9">
        <v>1.49</v>
      </c>
      <c r="AA144" s="8">
        <v>3.3</v>
      </c>
      <c r="AB144" s="8">
        <v>28758</v>
      </c>
      <c r="AC144" s="21" t="s">
        <v>1450</v>
      </c>
      <c r="AD144" s="8" t="s">
        <v>4019</v>
      </c>
      <c r="AE144" s="8" t="s">
        <v>4085</v>
      </c>
      <c r="AF144" s="9">
        <f t="shared" si="32"/>
        <v>8.4480000000000004</v>
      </c>
      <c r="AG144" s="9">
        <f t="shared" si="33"/>
        <v>5.9949999999999992</v>
      </c>
      <c r="AH144" s="9">
        <f t="shared" si="34"/>
        <v>2.8677448228515836E-2</v>
      </c>
      <c r="AI144" s="9">
        <f t="shared" si="35"/>
        <v>8.2239603689920611E-4</v>
      </c>
      <c r="AJ144" s="9">
        <f t="shared" si="36"/>
        <v>1.37999396546673E-2</v>
      </c>
      <c r="AK144" s="9">
        <f t="shared" si="37"/>
        <v>1.9043833447245906E-4</v>
      </c>
      <c r="AL144" s="9">
        <f t="shared" si="38"/>
        <v>1.0884879418186397E-2</v>
      </c>
      <c r="AM144" s="9">
        <f t="shared" si="39"/>
        <v>1.1848059994845783E-4</v>
      </c>
      <c r="AN144" s="8" t="s">
        <v>1450</v>
      </c>
    </row>
    <row r="145" spans="13:40" ht="23">
      <c r="M145" s="9" t="s">
        <v>3215</v>
      </c>
      <c r="N145" s="8" t="s">
        <v>1902</v>
      </c>
      <c r="O145" s="8"/>
      <c r="P145" s="8" t="s">
        <v>3691</v>
      </c>
      <c r="Q145" s="8"/>
      <c r="R145" s="8"/>
      <c r="S145" s="8"/>
      <c r="T145" s="8"/>
      <c r="U145" s="8"/>
      <c r="V145" s="8"/>
      <c r="W145" s="9" t="s">
        <v>3215</v>
      </c>
      <c r="X145" s="8">
        <v>7.3</v>
      </c>
      <c r="Y145" s="8">
        <v>8.14</v>
      </c>
      <c r="Z145" s="9">
        <v>4.24</v>
      </c>
      <c r="AA145" s="8">
        <v>3.2</v>
      </c>
      <c r="AB145" s="8">
        <v>25686</v>
      </c>
      <c r="AC145" s="22" t="s">
        <v>3215</v>
      </c>
      <c r="AD145" s="8" t="s">
        <v>4019</v>
      </c>
      <c r="AE145" s="8" t="s">
        <v>4085</v>
      </c>
      <c r="AF145" s="9">
        <f t="shared" si="32"/>
        <v>26.048000000000002</v>
      </c>
      <c r="AG145" s="9">
        <f t="shared" si="33"/>
        <v>14.080000000000002</v>
      </c>
      <c r="AH145" s="9">
        <f t="shared" si="34"/>
        <v>2.7808434645833543E-2</v>
      </c>
      <c r="AI145" s="9">
        <f t="shared" si="35"/>
        <v>7.7330903745159534E-4</v>
      </c>
      <c r="AJ145" s="9">
        <f t="shared" si="36"/>
        <v>4.2549813935224175E-2</v>
      </c>
      <c r="AK145" s="9">
        <f t="shared" si="37"/>
        <v>1.8104866659221974E-3</v>
      </c>
      <c r="AL145" s="9">
        <f t="shared" si="38"/>
        <v>2.556448744087815E-2</v>
      </c>
      <c r="AM145" s="9">
        <f t="shared" si="39"/>
        <v>6.5354301811481664E-4</v>
      </c>
      <c r="AN145" s="9" t="s">
        <v>3215</v>
      </c>
    </row>
    <row r="146" spans="13:40" ht="23">
      <c r="M146" s="8" t="s">
        <v>2060</v>
      </c>
      <c r="N146" s="8" t="s">
        <v>2041</v>
      </c>
      <c r="O146" s="8"/>
      <c r="P146" s="8"/>
      <c r="Q146" s="8"/>
      <c r="R146" s="8"/>
      <c r="S146" s="8"/>
      <c r="T146" s="8"/>
      <c r="U146" s="8"/>
      <c r="V146" s="8"/>
      <c r="W146" s="8" t="s">
        <v>2060</v>
      </c>
      <c r="X146" s="8">
        <v>32.46</v>
      </c>
      <c r="Y146" s="8">
        <v>5.82</v>
      </c>
      <c r="Z146" s="9">
        <v>4</v>
      </c>
      <c r="AA146" s="8">
        <v>3.1</v>
      </c>
      <c r="AB146" s="8">
        <v>26358</v>
      </c>
      <c r="AC146" s="21" t="s">
        <v>2060</v>
      </c>
      <c r="AD146" s="8" t="s">
        <v>4019</v>
      </c>
      <c r="AE146" s="8" t="s">
        <v>4085</v>
      </c>
      <c r="AF146" s="9">
        <f t="shared" si="32"/>
        <v>18.042000000000002</v>
      </c>
      <c r="AG146" s="9">
        <f t="shared" si="33"/>
        <v>12.606666666666666</v>
      </c>
      <c r="AH146" s="9">
        <f t="shared" si="34"/>
        <v>2.6939421063151246E-2</v>
      </c>
      <c r="AI146" s="9">
        <f t="shared" si="35"/>
        <v>7.25732407217757E-4</v>
      </c>
      <c r="AJ146" s="9">
        <f t="shared" si="36"/>
        <v>2.9471888168739045E-2</v>
      </c>
      <c r="AK146" s="9">
        <f t="shared" si="37"/>
        <v>8.6859219223066049E-4</v>
      </c>
      <c r="AL146" s="9">
        <f t="shared" si="38"/>
        <v>2.288941560165747E-2</v>
      </c>
      <c r="AM146" s="9">
        <f t="shared" si="39"/>
        <v>5.2392534658540042E-4</v>
      </c>
      <c r="AN146" s="8" t="s">
        <v>2060</v>
      </c>
    </row>
    <row r="147" spans="13:40" ht="23">
      <c r="M147" s="9" t="s">
        <v>2499</v>
      </c>
      <c r="N147" s="8" t="s">
        <v>150</v>
      </c>
      <c r="O147" s="8"/>
      <c r="P147" s="8"/>
      <c r="Q147" s="8"/>
      <c r="R147" s="8"/>
      <c r="S147" s="8"/>
      <c r="T147" s="8"/>
      <c r="U147" s="8"/>
      <c r="V147" s="8"/>
      <c r="W147" s="9" t="s">
        <v>2499</v>
      </c>
      <c r="X147" s="8">
        <v>43.44</v>
      </c>
      <c r="Y147" s="8">
        <v>1.67</v>
      </c>
      <c r="Z147" s="9">
        <v>0.28999999999999998</v>
      </c>
      <c r="AA147" s="8">
        <v>3.1</v>
      </c>
      <c r="AB147" s="8">
        <v>40180</v>
      </c>
      <c r="AC147" s="22" t="s">
        <v>2499</v>
      </c>
      <c r="AD147" s="8" t="s">
        <v>4019</v>
      </c>
      <c r="AE147" s="8" t="s">
        <v>4085</v>
      </c>
      <c r="AF147" s="9">
        <f t="shared" si="32"/>
        <v>5.1769999999999996</v>
      </c>
      <c r="AG147" s="9">
        <f t="shared" si="33"/>
        <v>1.4983333333333333</v>
      </c>
      <c r="AH147" s="9">
        <f t="shared" si="34"/>
        <v>2.6939421063151246E-2</v>
      </c>
      <c r="AI147" s="9">
        <f t="shared" si="35"/>
        <v>7.25732407217757E-4</v>
      </c>
      <c r="AJ147" s="9">
        <f t="shared" si="36"/>
        <v>8.4567101790024388E-3</v>
      </c>
      <c r="AK147" s="9">
        <f t="shared" si="37"/>
        <v>7.1515947051643456E-5</v>
      </c>
      <c r="AL147" s="9">
        <f t="shared" si="38"/>
        <v>2.7204633297051909E-3</v>
      </c>
      <c r="AM147" s="9">
        <f t="shared" si="39"/>
        <v>7.4009207282706545E-6</v>
      </c>
      <c r="AN147" s="9" t="s">
        <v>2499</v>
      </c>
    </row>
    <row r="148" spans="13:40" ht="23">
      <c r="M148" s="8" t="s">
        <v>117</v>
      </c>
      <c r="N148" s="8" t="s">
        <v>125</v>
      </c>
      <c r="O148" s="8"/>
      <c r="P148" s="8" t="s">
        <v>3691</v>
      </c>
      <c r="Q148" s="8"/>
      <c r="R148" s="8"/>
      <c r="S148" s="8"/>
      <c r="T148" s="8"/>
      <c r="U148" s="8"/>
      <c r="V148" s="8"/>
      <c r="W148" s="8" t="s">
        <v>117</v>
      </c>
      <c r="X148" s="8">
        <v>16.260000000000002</v>
      </c>
      <c r="Y148" s="8">
        <v>12.36</v>
      </c>
      <c r="Z148" s="9">
        <v>8.3000000000000007</v>
      </c>
      <c r="AA148" s="8">
        <v>2.9</v>
      </c>
      <c r="AB148" s="8">
        <v>19297</v>
      </c>
      <c r="AC148" s="21" t="s">
        <v>117</v>
      </c>
      <c r="AD148" s="8" t="s">
        <v>3688</v>
      </c>
      <c r="AE148" s="8" t="s">
        <v>4085</v>
      </c>
      <c r="AF148" s="9">
        <f t="shared" si="32"/>
        <v>35.843999999999994</v>
      </c>
      <c r="AG148" s="9">
        <f t="shared" si="33"/>
        <v>23.214500000000001</v>
      </c>
      <c r="AH148" s="9">
        <f t="shared" si="34"/>
        <v>2.5201393897786646E-2</v>
      </c>
      <c r="AI148" s="9">
        <f t="shared" si="35"/>
        <v>6.3511025439139796E-4</v>
      </c>
      <c r="AJ148" s="9">
        <f t="shared" si="36"/>
        <v>5.8551732597288665E-2</v>
      </c>
      <c r="AK148" s="9">
        <f t="shared" si="37"/>
        <v>3.4283053901443959E-3</v>
      </c>
      <c r="AL148" s="9">
        <f t="shared" si="38"/>
        <v>4.2149630234109788E-2</v>
      </c>
      <c r="AM148" s="9">
        <f t="shared" si="39"/>
        <v>1.776591328872182E-3</v>
      </c>
      <c r="AN148" s="8" t="s">
        <v>117</v>
      </c>
    </row>
    <row r="149" spans="13:40" ht="23">
      <c r="M149" s="9" t="s">
        <v>3340</v>
      </c>
      <c r="N149" s="8" t="s">
        <v>1964</v>
      </c>
      <c r="O149" s="8"/>
      <c r="P149" s="8" t="s">
        <v>3691</v>
      </c>
      <c r="Q149" s="8"/>
      <c r="R149" s="8"/>
      <c r="S149" s="8"/>
      <c r="T149" s="8"/>
      <c r="U149" s="8"/>
      <c r="V149" s="8"/>
      <c r="W149" s="9" t="s">
        <v>3340</v>
      </c>
      <c r="X149" s="8">
        <v>10.77</v>
      </c>
      <c r="Y149" s="8">
        <v>4.9000000000000004</v>
      </c>
      <c r="Z149" s="9">
        <v>0.51</v>
      </c>
      <c r="AA149" s="8">
        <v>2.9</v>
      </c>
      <c r="AB149" s="8"/>
      <c r="AC149" s="22" t="s">
        <v>3340</v>
      </c>
      <c r="AD149" s="8" t="s">
        <v>4019</v>
      </c>
      <c r="AE149" s="8" t="s">
        <v>4085</v>
      </c>
      <c r="AF149" s="9">
        <f t="shared" si="32"/>
        <v>14.21</v>
      </c>
      <c r="AG149" s="9">
        <f t="shared" si="33"/>
        <v>2.4649999999999999</v>
      </c>
      <c r="AH149" s="9">
        <f t="shared" si="34"/>
        <v>2.5201393897786646E-2</v>
      </c>
      <c r="AI149" s="9">
        <f t="shared" si="35"/>
        <v>6.3511025439139796E-4</v>
      </c>
      <c r="AJ149" s="9">
        <f t="shared" si="36"/>
        <v>2.3212256450381434E-2</v>
      </c>
      <c r="AK149" s="9">
        <f t="shared" si="37"/>
        <v>5.3880884951827451E-4</v>
      </c>
      <c r="AL149" s="9">
        <f t="shared" si="38"/>
        <v>4.4756009617730567E-3</v>
      </c>
      <c r="AM149" s="9">
        <f t="shared" si="39"/>
        <v>2.003100396902391E-5</v>
      </c>
      <c r="AN149" s="9" t="s">
        <v>3340</v>
      </c>
    </row>
    <row r="150" spans="13:40" ht="23">
      <c r="M150" s="8" t="s">
        <v>1108</v>
      </c>
      <c r="N150" s="8" t="s">
        <v>150</v>
      </c>
      <c r="O150" s="8"/>
      <c r="P150" s="8"/>
      <c r="Q150" s="8"/>
      <c r="R150" s="8"/>
      <c r="S150" s="8"/>
      <c r="T150" s="8"/>
      <c r="U150" s="8"/>
      <c r="V150" s="8"/>
      <c r="W150" s="8" t="s">
        <v>1108</v>
      </c>
      <c r="X150" s="8">
        <v>42.37</v>
      </c>
      <c r="Y150" s="8">
        <v>2.2200000000000002</v>
      </c>
      <c r="Z150" s="9">
        <v>2.1</v>
      </c>
      <c r="AA150" s="8">
        <v>2.7</v>
      </c>
      <c r="AB150" s="8">
        <v>52703</v>
      </c>
      <c r="AC150" s="21" t="s">
        <v>1108</v>
      </c>
      <c r="AD150" s="8" t="s">
        <v>4019</v>
      </c>
      <c r="AE150" s="8" t="s">
        <v>4085</v>
      </c>
      <c r="AF150" s="9">
        <f t="shared" si="32"/>
        <v>5.9940000000000007</v>
      </c>
      <c r="AG150" s="9">
        <f t="shared" si="33"/>
        <v>5.4044999999999996</v>
      </c>
      <c r="AH150" s="9">
        <f t="shared" si="34"/>
        <v>2.3463366732422053E-2</v>
      </c>
      <c r="AI150" s="9">
        <f t="shared" si="35"/>
        <v>5.5052957842012995E-4</v>
      </c>
      <c r="AJ150" s="9">
        <f t="shared" si="36"/>
        <v>9.7912924112305635E-3</v>
      </c>
      <c r="AK150" s="9">
        <f t="shared" si="37"/>
        <v>9.5869407082221217E-5</v>
      </c>
      <c r="AL150" s="9">
        <f t="shared" si="38"/>
        <v>9.8127324129421833E-3</v>
      </c>
      <c r="AM150" s="9">
        <f t="shared" si="39"/>
        <v>9.6289717408006129E-5</v>
      </c>
      <c r="AN150" s="8" t="s">
        <v>1108</v>
      </c>
    </row>
    <row r="151" spans="13:40" ht="23">
      <c r="M151" s="9" t="s">
        <v>2694</v>
      </c>
      <c r="N151" s="8" t="s">
        <v>1614</v>
      </c>
      <c r="O151" s="8"/>
      <c r="P151" s="8"/>
      <c r="Q151" s="8"/>
      <c r="R151" s="8"/>
      <c r="S151" s="8"/>
      <c r="T151" s="8"/>
      <c r="U151" s="8"/>
      <c r="V151" s="8"/>
      <c r="W151" s="9" t="s">
        <v>2694</v>
      </c>
      <c r="X151" s="8">
        <v>40.1</v>
      </c>
      <c r="Y151" s="8">
        <v>2.19</v>
      </c>
      <c r="Z151" s="9">
        <v>1.45</v>
      </c>
      <c r="AA151" s="8">
        <v>2.7</v>
      </c>
      <c r="AB151" s="8">
        <v>39107</v>
      </c>
      <c r="AC151" s="22" t="s">
        <v>2694</v>
      </c>
      <c r="AD151" s="8" t="s">
        <v>4019</v>
      </c>
      <c r="AE151" s="8" t="s">
        <v>4085</v>
      </c>
      <c r="AF151" s="9">
        <f t="shared" si="32"/>
        <v>5.9130000000000003</v>
      </c>
      <c r="AG151" s="9">
        <f t="shared" si="33"/>
        <v>4.7250000000000005</v>
      </c>
      <c r="AH151" s="9">
        <f t="shared" si="34"/>
        <v>2.3463366732422053E-2</v>
      </c>
      <c r="AI151" s="9">
        <f t="shared" si="35"/>
        <v>5.5052957842012995E-4</v>
      </c>
      <c r="AJ151" s="9">
        <f t="shared" si="36"/>
        <v>9.6589776489166366E-3</v>
      </c>
      <c r="AK151" s="9">
        <f t="shared" si="37"/>
        <v>9.3295849222271152E-5</v>
      </c>
      <c r="AL151" s="9">
        <f t="shared" si="38"/>
        <v>8.5789917015731011E-3</v>
      </c>
      <c r="AM151" s="9">
        <f t="shared" si="39"/>
        <v>7.3599098615660137E-5</v>
      </c>
      <c r="AN151" s="9" t="s">
        <v>2694</v>
      </c>
    </row>
    <row r="152" spans="13:40" ht="23">
      <c r="M152" s="9" t="s">
        <v>2303</v>
      </c>
      <c r="N152" s="8" t="s">
        <v>150</v>
      </c>
      <c r="O152" s="8"/>
      <c r="P152" s="8"/>
      <c r="Q152" s="8"/>
      <c r="R152" s="8"/>
      <c r="S152" s="8"/>
      <c r="T152" s="8"/>
      <c r="U152" s="8"/>
      <c r="V152" s="8"/>
      <c r="W152" s="9" t="s">
        <v>2303</v>
      </c>
      <c r="X152" s="8">
        <v>77.36</v>
      </c>
      <c r="Y152" s="8">
        <v>1.67</v>
      </c>
      <c r="Z152" s="9">
        <v>1.41</v>
      </c>
      <c r="AA152" s="8">
        <v>2.7</v>
      </c>
      <c r="AB152" s="8">
        <v>48610</v>
      </c>
      <c r="AC152" s="22" t="s">
        <v>2303</v>
      </c>
      <c r="AD152" s="8" t="s">
        <v>4019</v>
      </c>
      <c r="AE152" s="8" t="s">
        <v>4085</v>
      </c>
      <c r="AF152" s="9">
        <f t="shared" si="32"/>
        <v>4.5090000000000003</v>
      </c>
      <c r="AG152" s="9">
        <f t="shared" si="33"/>
        <v>4.5449999999999999</v>
      </c>
      <c r="AH152" s="9">
        <f t="shared" si="34"/>
        <v>2.3463366732422053E-2</v>
      </c>
      <c r="AI152" s="9">
        <f t="shared" si="35"/>
        <v>5.5052957842012995E-4</v>
      </c>
      <c r="AJ152" s="9">
        <f t="shared" si="36"/>
        <v>7.3655217688085766E-3</v>
      </c>
      <c r="AK152" s="9">
        <f t="shared" si="37"/>
        <v>5.4250910926793025E-5</v>
      </c>
      <c r="AL152" s="9">
        <f t="shared" si="38"/>
        <v>8.2521729700846015E-3</v>
      </c>
      <c r="AM152" s="9">
        <f t="shared" si="39"/>
        <v>6.809835872819492E-5</v>
      </c>
      <c r="AN152" s="9" t="s">
        <v>2303</v>
      </c>
    </row>
    <row r="153" spans="13:40" ht="23">
      <c r="M153" s="9" t="s">
        <v>2727</v>
      </c>
      <c r="N153" s="8" t="s">
        <v>1614</v>
      </c>
      <c r="O153" s="8"/>
      <c r="P153" s="8"/>
      <c r="Q153" s="8"/>
      <c r="R153" s="8"/>
      <c r="S153" s="8"/>
      <c r="T153" s="8"/>
      <c r="U153" s="8"/>
      <c r="V153" s="8"/>
      <c r="W153" s="9" t="s">
        <v>2727</v>
      </c>
      <c r="X153" s="8">
        <v>47.4</v>
      </c>
      <c r="Y153" s="8">
        <v>2.04</v>
      </c>
      <c r="Z153" s="9">
        <v>1.21</v>
      </c>
      <c r="AA153" s="8">
        <v>2.7</v>
      </c>
      <c r="AB153" s="8">
        <v>46821</v>
      </c>
      <c r="AC153" s="22" t="s">
        <v>2727</v>
      </c>
      <c r="AD153" s="8" t="s">
        <v>4480</v>
      </c>
      <c r="AE153" s="8" t="s">
        <v>4024</v>
      </c>
      <c r="AF153" s="9">
        <f t="shared" si="32"/>
        <v>5.5080000000000009</v>
      </c>
      <c r="AG153" s="9">
        <f t="shared" si="33"/>
        <v>3.6450000000000005</v>
      </c>
      <c r="AH153" s="9">
        <f t="shared" si="34"/>
        <v>2.3463366732422053E-2</v>
      </c>
      <c r="AI153" s="9">
        <f t="shared" si="35"/>
        <v>5.5052957842012995E-4</v>
      </c>
      <c r="AJ153" s="9">
        <f t="shared" si="36"/>
        <v>8.9974038373470053E-3</v>
      </c>
      <c r="AK153" s="9">
        <f t="shared" si="37"/>
        <v>8.095327581230661E-5</v>
      </c>
      <c r="AL153" s="9">
        <f t="shared" si="38"/>
        <v>6.6180793126421073E-3</v>
      </c>
      <c r="AM153" s="9">
        <f t="shared" si="39"/>
        <v>4.379897378842143E-5</v>
      </c>
      <c r="AN153" s="9" t="s">
        <v>2727</v>
      </c>
    </row>
    <row r="154" spans="13:40" ht="23">
      <c r="M154" s="8" t="s">
        <v>556</v>
      </c>
      <c r="N154" s="8" t="s">
        <v>150</v>
      </c>
      <c r="O154" s="8"/>
      <c r="P154" s="8"/>
      <c r="Q154" s="8"/>
      <c r="R154" s="8"/>
      <c r="S154" s="8"/>
      <c r="T154" s="8"/>
      <c r="U154" s="8"/>
      <c r="V154" s="8"/>
      <c r="W154" s="8" t="s">
        <v>556</v>
      </c>
      <c r="X154" s="8">
        <v>15.75</v>
      </c>
      <c r="Y154" s="8">
        <v>10.32</v>
      </c>
      <c r="Z154" s="9">
        <v>14.52</v>
      </c>
      <c r="AA154" s="8">
        <v>2.4</v>
      </c>
      <c r="AB154" s="8">
        <v>30235</v>
      </c>
      <c r="AC154" s="21" t="s">
        <v>556</v>
      </c>
      <c r="AD154" s="8" t="s">
        <v>4019</v>
      </c>
      <c r="AE154" s="8" t="s">
        <v>4085</v>
      </c>
      <c r="AF154" s="9">
        <f t="shared" si="32"/>
        <v>24.768000000000001</v>
      </c>
      <c r="AG154" s="9">
        <f t="shared" si="33"/>
        <v>35.68</v>
      </c>
      <c r="AH154" s="9">
        <f t="shared" si="34"/>
        <v>2.0856325984375156E-2</v>
      </c>
      <c r="AI154" s="9">
        <f t="shared" si="35"/>
        <v>4.3498633356652233E-4</v>
      </c>
      <c r="AJ154" s="9">
        <f t="shared" si="36"/>
        <v>4.0458913987547307E-2</v>
      </c>
      <c r="AK154" s="9">
        <f t="shared" si="37"/>
        <v>1.6369237210517511E-3</v>
      </c>
      <c r="AL154" s="9">
        <f t="shared" si="38"/>
        <v>6.4782735219498039E-2</v>
      </c>
      <c r="AM154" s="9">
        <f t="shared" si="39"/>
        <v>4.196802782519592E-3</v>
      </c>
      <c r="AN154" s="8" t="s">
        <v>556</v>
      </c>
    </row>
    <row r="155" spans="13:40" ht="23">
      <c r="M155" s="8" t="s">
        <v>1168</v>
      </c>
      <c r="N155" s="8" t="s">
        <v>150</v>
      </c>
      <c r="O155" s="8"/>
      <c r="P155" s="8"/>
      <c r="Q155" s="8"/>
      <c r="R155" s="8"/>
      <c r="S155" s="8"/>
      <c r="T155" s="8"/>
      <c r="U155" s="8"/>
      <c r="V155" s="8"/>
      <c r="W155" s="8" t="s">
        <v>1168</v>
      </c>
      <c r="X155" s="8">
        <v>21.29</v>
      </c>
      <c r="Y155" s="8">
        <v>1.93</v>
      </c>
      <c r="Z155" s="9">
        <v>1.37</v>
      </c>
      <c r="AA155" s="8">
        <v>2.2999999999999998</v>
      </c>
      <c r="AB155" s="8">
        <v>46959</v>
      </c>
      <c r="AC155" s="21" t="s">
        <v>1168</v>
      </c>
      <c r="AD155" s="8" t="s">
        <v>4019</v>
      </c>
      <c r="AE155" s="8" t="s">
        <v>4085</v>
      </c>
      <c r="AF155" s="9">
        <f t="shared" si="32"/>
        <v>4.4389999999999992</v>
      </c>
      <c r="AG155" s="9">
        <f t="shared" si="33"/>
        <v>3.7183333333333333</v>
      </c>
      <c r="AH155" s="9">
        <f t="shared" si="34"/>
        <v>1.9987312401692856E-2</v>
      </c>
      <c r="AI155" s="9">
        <f t="shared" si="35"/>
        <v>3.9949265704286504E-4</v>
      </c>
      <c r="AJ155" s="9">
        <f t="shared" si="36"/>
        <v>7.2511756779199974E-3</v>
      </c>
      <c r="AK155" s="9">
        <f t="shared" si="37"/>
        <v>5.2579548712058537E-5</v>
      </c>
      <c r="AL155" s="9">
        <f t="shared" si="38"/>
        <v>6.7512276847300134E-3</v>
      </c>
      <c r="AM155" s="9">
        <f t="shared" si="39"/>
        <v>4.5579075251064981E-5</v>
      </c>
      <c r="AN155" s="8" t="s">
        <v>1168</v>
      </c>
    </row>
    <row r="156" spans="13:40" ht="23">
      <c r="M156" s="9" t="s">
        <v>3612</v>
      </c>
      <c r="N156" s="8" t="s">
        <v>2084</v>
      </c>
      <c r="O156" s="8"/>
      <c r="P156" s="8" t="s">
        <v>3691</v>
      </c>
      <c r="Q156" s="8"/>
      <c r="R156" s="8"/>
      <c r="S156" s="8"/>
      <c r="T156" s="8"/>
      <c r="U156" s="8"/>
      <c r="V156" s="8"/>
      <c r="W156" s="9" t="s">
        <v>3612</v>
      </c>
      <c r="X156" s="8">
        <v>5</v>
      </c>
      <c r="Y156" s="8">
        <v>46.91</v>
      </c>
      <c r="Z156" s="9">
        <v>27.34</v>
      </c>
      <c r="AA156" s="8">
        <v>2.2000000000000002</v>
      </c>
      <c r="AB156" s="8">
        <v>11314</v>
      </c>
      <c r="AC156" s="22" t="s">
        <v>3612</v>
      </c>
      <c r="AD156" s="8" t="s">
        <v>4477</v>
      </c>
      <c r="AE156" s="8" t="s">
        <v>4085</v>
      </c>
      <c r="AF156" s="9">
        <f t="shared" si="32"/>
        <v>103.202</v>
      </c>
      <c r="AG156" s="9">
        <f t="shared" si="33"/>
        <v>60.646666666666668</v>
      </c>
      <c r="AH156" s="9">
        <f t="shared" si="34"/>
        <v>1.9118298819010563E-2</v>
      </c>
      <c r="AI156" s="9">
        <f t="shared" si="35"/>
        <v>3.6550934973298067E-4</v>
      </c>
      <c r="AJ156" s="9">
        <f t="shared" si="36"/>
        <v>0.16858207531261538</v>
      </c>
      <c r="AK156" s="9">
        <f t="shared" si="37"/>
        <v>2.8419916116708323E-2</v>
      </c>
      <c r="AL156" s="9">
        <f t="shared" si="38"/>
        <v>0.11011370371669911</v>
      </c>
      <c r="AM156" s="9">
        <f t="shared" si="39"/>
        <v>1.2125027746208996E-2</v>
      </c>
      <c r="AN156" s="9" t="s">
        <v>3612</v>
      </c>
    </row>
    <row r="157" spans="13:40" ht="23">
      <c r="M157" s="9" t="s">
        <v>3338</v>
      </c>
      <c r="N157" s="8" t="s">
        <v>1964</v>
      </c>
      <c r="O157" s="8"/>
      <c r="P157" s="8"/>
      <c r="Q157" s="8"/>
      <c r="R157" s="8"/>
      <c r="S157" s="8"/>
      <c r="T157" s="8"/>
      <c r="U157" s="8"/>
      <c r="V157" s="8"/>
      <c r="W157" s="9" t="s">
        <v>3338</v>
      </c>
      <c r="X157" s="8">
        <v>45.4</v>
      </c>
      <c r="Y157" s="8">
        <v>1.6</v>
      </c>
      <c r="Z157" s="9">
        <v>0.4</v>
      </c>
      <c r="AA157" s="8">
        <v>2.2000000000000002</v>
      </c>
      <c r="AB157" s="8">
        <v>46188</v>
      </c>
      <c r="AC157" s="22" t="s">
        <v>3338</v>
      </c>
      <c r="AD157" s="8" t="s">
        <v>4019</v>
      </c>
      <c r="AE157" s="8" t="s">
        <v>4085</v>
      </c>
      <c r="AF157" s="9">
        <f t="shared" si="32"/>
        <v>3.5200000000000005</v>
      </c>
      <c r="AG157" s="9">
        <f t="shared" si="33"/>
        <v>1.4666666666666668E-2</v>
      </c>
      <c r="AH157" s="9">
        <f t="shared" si="34"/>
        <v>1.9118298819010563E-2</v>
      </c>
      <c r="AI157" s="9">
        <f t="shared" si="35"/>
        <v>3.6550934973298067E-4</v>
      </c>
      <c r="AJ157" s="9">
        <f t="shared" si="36"/>
        <v>5.7499748561113759E-3</v>
      </c>
      <c r="AK157" s="9">
        <f t="shared" si="37"/>
        <v>3.3062210845913038E-5</v>
      </c>
      <c r="AL157" s="9">
        <f t="shared" si="38"/>
        <v>2.6629674417581408E-5</v>
      </c>
      <c r="AM157" s="9">
        <f t="shared" si="39"/>
        <v>7.0913955958638963E-10</v>
      </c>
      <c r="AN157" s="9" t="s">
        <v>3338</v>
      </c>
    </row>
    <row r="158" spans="13:40" ht="23">
      <c r="M158" s="8" t="s">
        <v>1969</v>
      </c>
      <c r="N158" s="8" t="s">
        <v>1964</v>
      </c>
      <c r="O158" s="8"/>
      <c r="P158" s="8"/>
      <c r="Q158" s="8"/>
      <c r="R158" s="8"/>
      <c r="S158" s="8"/>
      <c r="T158" s="8"/>
      <c r="U158" s="8"/>
      <c r="V158" s="8"/>
      <c r="W158" s="8" t="s">
        <v>1969</v>
      </c>
      <c r="X158" s="8">
        <v>70.55</v>
      </c>
      <c r="Y158" s="8">
        <v>1.57</v>
      </c>
      <c r="Z158" s="9">
        <v>2.15</v>
      </c>
      <c r="AA158" s="8">
        <v>2.1</v>
      </c>
      <c r="AB158" s="8">
        <v>71192</v>
      </c>
      <c r="AC158" s="21" t="s">
        <v>1969</v>
      </c>
      <c r="AD158" s="8" t="s">
        <v>3688</v>
      </c>
      <c r="AE158" s="8" t="s">
        <v>4085</v>
      </c>
      <c r="AF158" s="9">
        <f t="shared" si="32"/>
        <v>3.2970000000000002</v>
      </c>
      <c r="AG158" s="9">
        <f t="shared" si="33"/>
        <v>4.7250000000000005</v>
      </c>
      <c r="AH158" s="9">
        <f t="shared" si="34"/>
        <v>1.8249285236328263E-2</v>
      </c>
      <c r="AI158" s="9">
        <f t="shared" si="35"/>
        <v>3.3303641163686873E-4</v>
      </c>
      <c r="AJ158" s="9">
        <f t="shared" si="36"/>
        <v>5.385700880852046E-3</v>
      </c>
      <c r="AK158" s="9">
        <f t="shared" si="37"/>
        <v>2.9005773978010504E-5</v>
      </c>
      <c r="AL158" s="9">
        <f t="shared" si="38"/>
        <v>8.5789917015731011E-3</v>
      </c>
      <c r="AM158" s="9">
        <f t="shared" si="39"/>
        <v>7.3599098615660137E-5</v>
      </c>
      <c r="AN158" s="8" t="s">
        <v>1969</v>
      </c>
    </row>
    <row r="159" spans="13:40" ht="23">
      <c r="M159" s="8" t="s">
        <v>1710</v>
      </c>
      <c r="N159" s="8" t="s">
        <v>1614</v>
      </c>
      <c r="O159" s="8"/>
      <c r="P159" s="8"/>
      <c r="Q159" s="8"/>
      <c r="R159" s="8"/>
      <c r="S159" s="8"/>
      <c r="T159" s="8"/>
      <c r="U159" s="8"/>
      <c r="V159" s="8"/>
      <c r="W159" s="8" t="s">
        <v>1710</v>
      </c>
      <c r="X159" s="8">
        <v>31.13</v>
      </c>
      <c r="Y159" s="8">
        <v>2.54</v>
      </c>
      <c r="Z159" s="9">
        <v>3.44</v>
      </c>
      <c r="AA159" s="8">
        <v>1.9</v>
      </c>
      <c r="AB159" s="8">
        <v>81683</v>
      </c>
      <c r="AC159" s="21" t="s">
        <v>1710</v>
      </c>
      <c r="AD159" s="8" t="s">
        <v>3688</v>
      </c>
      <c r="AE159" s="8" t="s">
        <v>4085</v>
      </c>
      <c r="AF159" s="9">
        <f t="shared" si="32"/>
        <v>4.8259999999999996</v>
      </c>
      <c r="AG159" s="9">
        <f t="shared" si="33"/>
        <v>7.0933333333333328</v>
      </c>
      <c r="AH159" s="9">
        <f t="shared" si="34"/>
        <v>1.6511258070963666E-2</v>
      </c>
      <c r="AI159" s="9">
        <f t="shared" si="35"/>
        <v>2.7262164308596281E-4</v>
      </c>
      <c r="AJ159" s="9">
        <f t="shared" si="36"/>
        <v>7.8833462089754249E-3</v>
      </c>
      <c r="AK159" s="9">
        <f t="shared" si="37"/>
        <v>6.2147147450567205E-5</v>
      </c>
      <c r="AL159" s="9">
        <f t="shared" si="38"/>
        <v>1.287907890013937E-2</v>
      </c>
      <c r="AM159" s="9">
        <f t="shared" si="39"/>
        <v>1.6587067331601512E-4</v>
      </c>
      <c r="AN159" s="8" t="s">
        <v>1710</v>
      </c>
    </row>
    <row r="160" spans="13:40" ht="23">
      <c r="M160" s="9" t="s">
        <v>3613</v>
      </c>
      <c r="N160" s="8" t="s">
        <v>2084</v>
      </c>
      <c r="O160" s="8"/>
      <c r="P160" s="8"/>
      <c r="Q160" s="8"/>
      <c r="R160" s="8"/>
      <c r="S160" s="8"/>
      <c r="T160" s="8"/>
      <c r="U160" s="8"/>
      <c r="V160" s="8"/>
      <c r="W160" s="9" t="s">
        <v>3613</v>
      </c>
      <c r="X160" s="8">
        <v>25.45</v>
      </c>
      <c r="Y160" s="8">
        <v>8.68</v>
      </c>
      <c r="Z160" s="9">
        <v>7.37</v>
      </c>
      <c r="AA160" s="8">
        <v>1.8</v>
      </c>
      <c r="AB160" s="8">
        <v>41271</v>
      </c>
      <c r="AC160" s="22" t="s">
        <v>3613</v>
      </c>
      <c r="AD160" s="8" t="s">
        <v>4019</v>
      </c>
      <c r="AE160" s="8" t="s">
        <v>4085</v>
      </c>
      <c r="AF160" s="9">
        <f t="shared" si="32"/>
        <v>15.624000000000001</v>
      </c>
      <c r="AG160" s="9">
        <f t="shared" si="33"/>
        <v>13.71</v>
      </c>
      <c r="AH160" s="9">
        <f t="shared" si="34"/>
        <v>1.5642244488281366E-2</v>
      </c>
      <c r="AI160" s="9">
        <f t="shared" si="35"/>
        <v>2.4467981263116877E-4</v>
      </c>
      <c r="AJ160" s="9">
        <f t="shared" si="36"/>
        <v>2.5522047486330718E-2</v>
      </c>
      <c r="AK160" s="9">
        <f t="shared" si="37"/>
        <v>6.5137490789452012E-4</v>
      </c>
      <c r="AL160" s="9">
        <f t="shared" si="38"/>
        <v>2.4892693381707347E-2</v>
      </c>
      <c r="AM160" s="9">
        <f t="shared" si="39"/>
        <v>6.1964618379569672E-4</v>
      </c>
      <c r="AN160" s="9" t="s">
        <v>3613</v>
      </c>
    </row>
    <row r="161" spans="13:40" ht="23">
      <c r="M161" s="8" t="s">
        <v>1967</v>
      </c>
      <c r="N161" s="8" t="s">
        <v>1964</v>
      </c>
      <c r="O161" s="8"/>
      <c r="P161" s="8" t="s">
        <v>3693</v>
      </c>
      <c r="Q161" s="8"/>
      <c r="R161" s="8"/>
      <c r="S161" s="8"/>
      <c r="T161" s="8"/>
      <c r="U161" s="8"/>
      <c r="V161" s="8"/>
      <c r="W161" s="8" t="s">
        <v>1967</v>
      </c>
      <c r="X161" s="8">
        <v>27.53</v>
      </c>
      <c r="Y161" s="8">
        <v>3.14</v>
      </c>
      <c r="Z161" s="9">
        <v>3.24</v>
      </c>
      <c r="AA161" s="8">
        <v>1.8</v>
      </c>
      <c r="AB161" s="8">
        <v>47871</v>
      </c>
      <c r="AC161" s="21" t="s">
        <v>1967</v>
      </c>
      <c r="AD161" s="8" t="s">
        <v>4019</v>
      </c>
      <c r="AE161" s="8" t="s">
        <v>4085</v>
      </c>
      <c r="AF161" s="9">
        <f t="shared" si="32"/>
        <v>5.6520000000000001</v>
      </c>
      <c r="AG161" s="9">
        <f t="shared" si="33"/>
        <v>6.12</v>
      </c>
      <c r="AH161" s="9">
        <f t="shared" si="34"/>
        <v>1.5642244488281366E-2</v>
      </c>
      <c r="AI161" s="9">
        <f t="shared" si="35"/>
        <v>2.4467981263116877E-4</v>
      </c>
      <c r="AJ161" s="9">
        <f t="shared" si="36"/>
        <v>9.2326300814606511E-3</v>
      </c>
      <c r="AK161" s="9">
        <f t="shared" si="37"/>
        <v>8.5241458221092112E-5</v>
      </c>
      <c r="AL161" s="9">
        <f t="shared" si="38"/>
        <v>1.1111836870608969E-2</v>
      </c>
      <c r="AM161" s="9">
        <f t="shared" si="39"/>
        <v>1.2347291863902492E-4</v>
      </c>
      <c r="AN161" s="8" t="s">
        <v>1967</v>
      </c>
    </row>
    <row r="162" spans="13:40" ht="23">
      <c r="M162" s="8" t="s">
        <v>1451</v>
      </c>
      <c r="N162" s="8" t="s">
        <v>150</v>
      </c>
      <c r="O162" s="8"/>
      <c r="P162" s="8" t="s">
        <v>3691</v>
      </c>
      <c r="Q162" s="8"/>
      <c r="R162" s="8"/>
      <c r="S162" s="8"/>
      <c r="T162" s="8"/>
      <c r="U162" s="8"/>
      <c r="V162" s="8"/>
      <c r="W162" s="8" t="s">
        <v>1451</v>
      </c>
      <c r="X162" s="8">
        <v>7.21</v>
      </c>
      <c r="Y162" s="8">
        <v>5.86</v>
      </c>
      <c r="Z162" s="9">
        <v>3.19</v>
      </c>
      <c r="AA162" s="8">
        <v>1.8</v>
      </c>
      <c r="AB162" s="8">
        <v>30640</v>
      </c>
      <c r="AC162" s="21" t="s">
        <v>1451</v>
      </c>
      <c r="AD162" s="8" t="s">
        <v>4019</v>
      </c>
      <c r="AE162" s="8" t="s">
        <v>4085</v>
      </c>
      <c r="AF162" s="9">
        <f t="shared" ref="AF162:AF179" si="40">(AA162*Y162)</f>
        <v>10.548</v>
      </c>
      <c r="AG162" s="9">
        <f t="shared" ref="AG162:AG179" si="41">((((RIGHT(Z162,2))/60)+(LEFT(Z162,2)))*AA162)</f>
        <v>5.97</v>
      </c>
      <c r="AH162" s="9">
        <f t="shared" ref="AH162:AH179" si="42">(AA162/$AA$180)*100</f>
        <v>1.5642244488281366E-2</v>
      </c>
      <c r="AI162" s="9">
        <f t="shared" ref="AI162:AI179" si="43">(AH162*AH162)</f>
        <v>2.4467981263116877E-4</v>
      </c>
      <c r="AJ162" s="9">
        <f t="shared" ref="AJ162:AJ179" si="44">(AF162/$AF$180)*100</f>
        <v>1.7230322381324652E-2</v>
      </c>
      <c r="AK162" s="9">
        <f t="shared" ref="AK162:AK179" si="45">(AJ162*AJ162)</f>
        <v>2.9688400936437719E-4</v>
      </c>
      <c r="AL162" s="9">
        <f t="shared" ref="AL162:AL179" si="46">(AG162/$AG$180)*100</f>
        <v>1.0839487927701884E-2</v>
      </c>
      <c r="AM162" s="9">
        <f t="shared" ref="AM162:AM179" si="47">(AL162*AL162)</f>
        <v>1.1749449853479489E-4</v>
      </c>
      <c r="AN162" s="8" t="s">
        <v>1451</v>
      </c>
    </row>
    <row r="163" spans="13:40" ht="23">
      <c r="M163" s="9" t="s">
        <v>2716</v>
      </c>
      <c r="N163" s="8" t="s">
        <v>1614</v>
      </c>
      <c r="O163" s="8"/>
      <c r="P163" s="8"/>
      <c r="Q163" s="8"/>
      <c r="R163" s="8"/>
      <c r="S163" s="8"/>
      <c r="T163" s="8"/>
      <c r="U163" s="8"/>
      <c r="V163" s="8"/>
      <c r="W163" s="9" t="s">
        <v>2716</v>
      </c>
      <c r="X163" s="8">
        <v>23.24</v>
      </c>
      <c r="Y163" s="8">
        <v>6.61</v>
      </c>
      <c r="Z163" s="9">
        <v>3.07</v>
      </c>
      <c r="AA163" s="8">
        <v>1.8</v>
      </c>
      <c r="AB163" s="8">
        <v>34324</v>
      </c>
      <c r="AC163" s="22" t="s">
        <v>2716</v>
      </c>
      <c r="AD163" s="8" t="s">
        <v>4019</v>
      </c>
      <c r="AE163" s="8" t="s">
        <v>4085</v>
      </c>
      <c r="AF163" s="9">
        <f t="shared" si="40"/>
        <v>11.898000000000001</v>
      </c>
      <c r="AG163" s="9">
        <f t="shared" si="41"/>
        <v>5.61</v>
      </c>
      <c r="AH163" s="9">
        <f t="shared" si="42"/>
        <v>1.5642244488281366E-2</v>
      </c>
      <c r="AI163" s="9">
        <f t="shared" si="43"/>
        <v>2.4467981263116877E-4</v>
      </c>
      <c r="AJ163" s="9">
        <f t="shared" si="44"/>
        <v>1.9435568419890099E-2</v>
      </c>
      <c r="AK163" s="9">
        <f t="shared" si="45"/>
        <v>3.7774131980422928E-4</v>
      </c>
      <c r="AL163" s="9">
        <f t="shared" si="46"/>
        <v>1.0185850464724889E-2</v>
      </c>
      <c r="AM163" s="9">
        <f t="shared" si="47"/>
        <v>1.0375154968973622E-4</v>
      </c>
      <c r="AN163" s="9" t="s">
        <v>2716</v>
      </c>
    </row>
    <row r="164" spans="13:40" ht="23">
      <c r="M164" s="9" t="s">
        <v>2813</v>
      </c>
      <c r="N164" s="8" t="s">
        <v>1614</v>
      </c>
      <c r="O164" s="8"/>
      <c r="P164" s="8" t="s">
        <v>3713</v>
      </c>
      <c r="Q164" s="8"/>
      <c r="R164" s="8"/>
      <c r="S164" s="8"/>
      <c r="T164" s="8"/>
      <c r="U164" s="8"/>
      <c r="V164" s="8"/>
      <c r="W164" s="9" t="s">
        <v>2813</v>
      </c>
      <c r="X164" s="8">
        <v>44.61</v>
      </c>
      <c r="Y164" s="8">
        <v>3.02</v>
      </c>
      <c r="Z164" s="9">
        <v>2.0099999999999998</v>
      </c>
      <c r="AA164" s="8">
        <v>1.8</v>
      </c>
      <c r="AB164" s="8">
        <v>43202</v>
      </c>
      <c r="AC164" s="22" t="s">
        <v>2813</v>
      </c>
      <c r="AD164" s="8" t="s">
        <v>3688</v>
      </c>
      <c r="AE164" s="8" t="s">
        <v>4085</v>
      </c>
      <c r="AF164" s="9">
        <f t="shared" si="40"/>
        <v>5.4359999999999999</v>
      </c>
      <c r="AG164" s="9">
        <f t="shared" si="41"/>
        <v>3.63</v>
      </c>
      <c r="AH164" s="9">
        <f t="shared" si="42"/>
        <v>1.5642244488281366E-2</v>
      </c>
      <c r="AI164" s="9">
        <f t="shared" si="43"/>
        <v>2.4467981263116877E-4</v>
      </c>
      <c r="AJ164" s="9">
        <f t="shared" si="44"/>
        <v>8.8797907152901798E-3</v>
      </c>
      <c r="AK164" s="9">
        <f t="shared" si="45"/>
        <v>7.8850683147353687E-5</v>
      </c>
      <c r="AL164" s="9">
        <f t="shared" si="46"/>
        <v>6.590844418351398E-3</v>
      </c>
      <c r="AM164" s="9">
        <f t="shared" si="47"/>
        <v>4.3439230146913776E-5</v>
      </c>
      <c r="AN164" s="9" t="s">
        <v>2813</v>
      </c>
    </row>
    <row r="165" spans="13:40" ht="23">
      <c r="M165" s="9" t="s">
        <v>3655</v>
      </c>
      <c r="N165" s="8" t="s">
        <v>2107</v>
      </c>
      <c r="O165" s="8"/>
      <c r="P165" s="8"/>
      <c r="Q165" s="8"/>
      <c r="R165" s="8"/>
      <c r="S165" s="8"/>
      <c r="T165" s="8"/>
      <c r="U165" s="8"/>
      <c r="V165" s="8"/>
      <c r="W165" s="9" t="s">
        <v>3655</v>
      </c>
      <c r="X165" s="8">
        <v>87.91</v>
      </c>
      <c r="Y165" s="8">
        <v>1.21</v>
      </c>
      <c r="Z165" s="9">
        <v>0.12</v>
      </c>
      <c r="AA165" s="8">
        <v>1.8</v>
      </c>
      <c r="AB165" s="8">
        <v>68741</v>
      </c>
      <c r="AC165" s="22" t="s">
        <v>3655</v>
      </c>
      <c r="AD165" s="8" t="s">
        <v>4019</v>
      </c>
      <c r="AE165" s="8" t="s">
        <v>4085</v>
      </c>
      <c r="AF165" s="9">
        <f t="shared" si="40"/>
        <v>2.1779999999999999</v>
      </c>
      <c r="AG165" s="9">
        <f t="shared" si="41"/>
        <v>0.36000000000000004</v>
      </c>
      <c r="AH165" s="9">
        <f t="shared" si="42"/>
        <v>1.5642244488281366E-2</v>
      </c>
      <c r="AI165" s="9">
        <f t="shared" si="43"/>
        <v>2.4467981263116877E-4</v>
      </c>
      <c r="AJ165" s="9">
        <f t="shared" si="44"/>
        <v>3.5577969422189134E-3</v>
      </c>
      <c r="AK165" s="9">
        <f t="shared" si="45"/>
        <v>1.2657919082062249E-5</v>
      </c>
      <c r="AL165" s="9">
        <f t="shared" si="46"/>
        <v>6.536374629769982E-4</v>
      </c>
      <c r="AM165" s="9">
        <f t="shared" si="47"/>
        <v>4.2724193300700669E-7</v>
      </c>
      <c r="AN165" s="9" t="s">
        <v>3655</v>
      </c>
    </row>
    <row r="166" spans="13:40" ht="23">
      <c r="M166" s="8" t="s">
        <v>877</v>
      </c>
      <c r="N166" s="8" t="s">
        <v>150</v>
      </c>
      <c r="O166" s="8"/>
      <c r="P166" s="8" t="s">
        <v>3691</v>
      </c>
      <c r="Q166" s="8"/>
      <c r="R166" s="8"/>
      <c r="S166" s="8"/>
      <c r="T166" s="8"/>
      <c r="U166" s="8"/>
      <c r="V166" s="8"/>
      <c r="W166" s="8" t="s">
        <v>877</v>
      </c>
      <c r="X166" s="8">
        <v>27.83</v>
      </c>
      <c r="Y166" s="8">
        <v>3.88</v>
      </c>
      <c r="Z166" s="9">
        <v>3.35</v>
      </c>
      <c r="AA166" s="8">
        <v>1.7</v>
      </c>
      <c r="AB166" s="8">
        <v>36748</v>
      </c>
      <c r="AC166" s="21" t="s">
        <v>877</v>
      </c>
      <c r="AD166" s="8" t="s">
        <v>4019</v>
      </c>
      <c r="AE166" s="8" t="s">
        <v>4085</v>
      </c>
      <c r="AF166" s="9">
        <f t="shared" si="40"/>
        <v>6.5960000000000001</v>
      </c>
      <c r="AG166" s="9">
        <f t="shared" si="41"/>
        <v>6.0916666666666668</v>
      </c>
      <c r="AH166" s="9">
        <f t="shared" si="42"/>
        <v>1.4773230905599068E-2</v>
      </c>
      <c r="AI166" s="9">
        <f t="shared" si="43"/>
        <v>2.1824835139014746E-4</v>
      </c>
      <c r="AJ166" s="9">
        <f t="shared" si="44"/>
        <v>1.0774668792872338E-2</v>
      </c>
      <c r="AK166" s="9">
        <f t="shared" si="45"/>
        <v>1.1609348759609706E-4</v>
      </c>
      <c r="AL166" s="9">
        <f t="shared" si="46"/>
        <v>1.1060393181393187E-2</v>
      </c>
      <c r="AM166" s="9">
        <f t="shared" si="47"/>
        <v>1.2233229732700891E-4</v>
      </c>
      <c r="AN166" s="8" t="s">
        <v>877</v>
      </c>
    </row>
    <row r="167" spans="13:40" ht="23">
      <c r="M167" s="9" t="s">
        <v>2767</v>
      </c>
      <c r="N167" s="8" t="s">
        <v>1614</v>
      </c>
      <c r="O167" s="8"/>
      <c r="P167" s="8" t="s">
        <v>3691</v>
      </c>
      <c r="Q167" s="8"/>
      <c r="R167" s="8"/>
      <c r="S167" s="8"/>
      <c r="T167" s="8"/>
      <c r="U167" s="8"/>
      <c r="V167" s="8"/>
      <c r="W167" s="9" t="s">
        <v>2767</v>
      </c>
      <c r="X167" s="8">
        <v>14.95</v>
      </c>
      <c r="Y167" s="8">
        <v>9.9499999999999993</v>
      </c>
      <c r="Z167" s="9">
        <v>4.49</v>
      </c>
      <c r="AA167" s="8">
        <v>1.6</v>
      </c>
      <c r="AB167" s="8">
        <v>48866</v>
      </c>
      <c r="AC167" s="22" t="s">
        <v>2767</v>
      </c>
      <c r="AD167" s="8" t="s">
        <v>4019</v>
      </c>
      <c r="AE167" s="8" t="s">
        <v>4085</v>
      </c>
      <c r="AF167" s="9">
        <f t="shared" si="40"/>
        <v>15.92</v>
      </c>
      <c r="AG167" s="9">
        <f t="shared" si="41"/>
        <v>7.706666666666667</v>
      </c>
      <c r="AH167" s="9">
        <f t="shared" si="42"/>
        <v>1.3904217322916771E-2</v>
      </c>
      <c r="AI167" s="9">
        <f t="shared" si="43"/>
        <v>1.9332725936289883E-4</v>
      </c>
      <c r="AJ167" s="9">
        <f t="shared" si="44"/>
        <v>2.6005568099230988E-2</v>
      </c>
      <c r="AK167" s="9">
        <f t="shared" si="45"/>
        <v>6.7628957216374038E-4</v>
      </c>
      <c r="AL167" s="9">
        <f t="shared" si="46"/>
        <v>1.3992683466692777E-2</v>
      </c>
      <c r="AM167" s="9">
        <f t="shared" si="47"/>
        <v>1.9579519059905739E-4</v>
      </c>
      <c r="AN167" s="9" t="s">
        <v>2767</v>
      </c>
    </row>
    <row r="168" spans="13:40" ht="23">
      <c r="M168" s="8" t="s">
        <v>1637</v>
      </c>
      <c r="N168" s="8" t="s">
        <v>1614</v>
      </c>
      <c r="O168" s="8"/>
      <c r="P168" s="8" t="s">
        <v>3691</v>
      </c>
      <c r="Q168" s="8"/>
      <c r="R168" s="8"/>
      <c r="S168" s="8"/>
      <c r="T168" s="8"/>
      <c r="U168" s="8"/>
      <c r="V168" s="8"/>
      <c r="W168" s="8" t="s">
        <v>1637</v>
      </c>
      <c r="X168" s="8">
        <v>22.05</v>
      </c>
      <c r="Y168" s="8">
        <v>4.2300000000000004</v>
      </c>
      <c r="Z168" s="9">
        <v>6.36</v>
      </c>
      <c r="AA168" s="8">
        <v>1.5</v>
      </c>
      <c r="AB168" s="8">
        <v>45389</v>
      </c>
      <c r="AC168" s="21" t="s">
        <v>1637</v>
      </c>
      <c r="AD168" s="8" t="s">
        <v>4019</v>
      </c>
      <c r="AE168" s="8" t="s">
        <v>4085</v>
      </c>
      <c r="AF168" s="9">
        <f t="shared" si="40"/>
        <v>6.3450000000000006</v>
      </c>
      <c r="AG168" s="9">
        <f t="shared" si="41"/>
        <v>9.8999999999999986</v>
      </c>
      <c r="AH168" s="9">
        <f t="shared" si="42"/>
        <v>1.3035203740234473E-2</v>
      </c>
      <c r="AI168" s="9">
        <f t="shared" si="43"/>
        <v>1.699165365494228E-4</v>
      </c>
      <c r="AJ168" s="9">
        <f t="shared" si="44"/>
        <v>1.0364656381257579E-2</v>
      </c>
      <c r="AK168" s="9">
        <f t="shared" si="45"/>
        <v>1.0742610190154346E-4</v>
      </c>
      <c r="AL168" s="9">
        <f t="shared" si="46"/>
        <v>1.7975030231867448E-2</v>
      </c>
      <c r="AM168" s="9">
        <f t="shared" si="47"/>
        <v>3.2310171183654875E-4</v>
      </c>
      <c r="AN168" s="8" t="s">
        <v>1637</v>
      </c>
    </row>
    <row r="169" spans="13:40" ht="23">
      <c r="M169" s="8" t="s">
        <v>513</v>
      </c>
      <c r="N169" s="8" t="s">
        <v>150</v>
      </c>
      <c r="O169" s="8"/>
      <c r="P169" s="8"/>
      <c r="Q169" s="8"/>
      <c r="R169" s="8"/>
      <c r="S169" s="8"/>
      <c r="T169" s="8"/>
      <c r="U169" s="8"/>
      <c r="V169" s="8"/>
      <c r="W169" s="8" t="s">
        <v>513</v>
      </c>
      <c r="X169" s="8">
        <v>37.72</v>
      </c>
      <c r="Y169" s="8">
        <v>2.27</v>
      </c>
      <c r="Z169" s="9">
        <v>3.27</v>
      </c>
      <c r="AA169" s="8">
        <v>1.4</v>
      </c>
      <c r="AB169" s="8">
        <v>79371</v>
      </c>
      <c r="AC169" s="21" t="s">
        <v>513</v>
      </c>
      <c r="AD169" s="8" t="s">
        <v>4019</v>
      </c>
      <c r="AE169" s="8" t="s">
        <v>4085</v>
      </c>
      <c r="AF169" s="9">
        <f t="shared" si="40"/>
        <v>3.1779999999999999</v>
      </c>
      <c r="AG169" s="9">
        <f t="shared" si="41"/>
        <v>4.83</v>
      </c>
      <c r="AH169" s="9">
        <f t="shared" si="42"/>
        <v>1.2166190157552175E-2</v>
      </c>
      <c r="AI169" s="9">
        <f t="shared" si="43"/>
        <v>1.4801618294971942E-4</v>
      </c>
      <c r="AJ169" s="9">
        <f t="shared" si="44"/>
        <v>5.1913125263414626E-3</v>
      </c>
      <c r="AK169" s="9">
        <f t="shared" si="45"/>
        <v>2.6949725746149781E-5</v>
      </c>
      <c r="AL169" s="9">
        <f t="shared" si="46"/>
        <v>8.7696359616080584E-3</v>
      </c>
      <c r="AM169" s="9">
        <f t="shared" si="47"/>
        <v>7.69065148991293E-5</v>
      </c>
      <c r="AN169" s="8" t="s">
        <v>513</v>
      </c>
    </row>
    <row r="170" spans="13:40" ht="23">
      <c r="M170" s="8" t="s">
        <v>1871</v>
      </c>
      <c r="N170" s="8" t="s">
        <v>1869</v>
      </c>
      <c r="O170" s="8"/>
      <c r="P170" s="8"/>
      <c r="Q170" s="8"/>
      <c r="R170" s="8"/>
      <c r="S170" s="8"/>
      <c r="T170" s="8"/>
      <c r="U170" s="8"/>
      <c r="V170" s="8"/>
      <c r="W170" s="8" t="s">
        <v>1871</v>
      </c>
      <c r="X170" s="8">
        <v>59.28</v>
      </c>
      <c r="Y170" s="8">
        <v>2.0699999999999998</v>
      </c>
      <c r="Z170" s="9">
        <v>0.24</v>
      </c>
      <c r="AA170" s="8">
        <v>1.4</v>
      </c>
      <c r="AB170" s="8">
        <v>64049</v>
      </c>
      <c r="AC170" s="21" t="s">
        <v>1871</v>
      </c>
      <c r="AD170" s="8" t="s">
        <v>4019</v>
      </c>
      <c r="AE170" s="8" t="s">
        <v>4085</v>
      </c>
      <c r="AF170" s="9">
        <f t="shared" si="40"/>
        <v>2.8979999999999997</v>
      </c>
      <c r="AG170" s="9">
        <f t="shared" si="41"/>
        <v>0.55999999999999994</v>
      </c>
      <c r="AH170" s="9">
        <f t="shared" si="42"/>
        <v>1.2166190157552175E-2</v>
      </c>
      <c r="AI170" s="9">
        <f t="shared" si="43"/>
        <v>1.4801618294971942E-4</v>
      </c>
      <c r="AJ170" s="9">
        <f t="shared" si="44"/>
        <v>4.7339281627871484E-3</v>
      </c>
      <c r="AK170" s="9">
        <f t="shared" si="45"/>
        <v>2.2410075850429308E-5</v>
      </c>
      <c r="AL170" s="9">
        <f t="shared" si="46"/>
        <v>1.016769386853108E-3</v>
      </c>
      <c r="AM170" s="9">
        <f t="shared" si="47"/>
        <v>1.033819986041645E-6</v>
      </c>
      <c r="AN170" s="8" t="s">
        <v>1871</v>
      </c>
    </row>
    <row r="171" spans="13:40" ht="23">
      <c r="M171" s="8" t="s">
        <v>1618</v>
      </c>
      <c r="N171" s="8" t="s">
        <v>1614</v>
      </c>
      <c r="O171" s="8"/>
      <c r="P171" s="8"/>
      <c r="Q171" s="8"/>
      <c r="R171" s="8"/>
      <c r="S171" s="8"/>
      <c r="T171" s="8"/>
      <c r="U171" s="8"/>
      <c r="V171" s="8"/>
      <c r="W171" s="8" t="s">
        <v>1618</v>
      </c>
      <c r="X171" s="8">
        <v>27.81</v>
      </c>
      <c r="Y171" s="8">
        <v>3.54</v>
      </c>
      <c r="Z171" s="9">
        <v>6.34</v>
      </c>
      <c r="AA171" s="8">
        <v>1.3</v>
      </c>
      <c r="AB171" s="8">
        <v>56800</v>
      </c>
      <c r="AC171" s="21" t="s">
        <v>1618</v>
      </c>
      <c r="AD171" s="8" t="s">
        <v>4019</v>
      </c>
      <c r="AE171" s="8" t="s">
        <v>4085</v>
      </c>
      <c r="AF171" s="9">
        <f t="shared" si="40"/>
        <v>4.6020000000000003</v>
      </c>
      <c r="AG171" s="9">
        <f t="shared" si="41"/>
        <v>8.5366666666666671</v>
      </c>
      <c r="AH171" s="9">
        <f t="shared" si="42"/>
        <v>1.1297176574869876E-2</v>
      </c>
      <c r="AI171" s="9">
        <f t="shared" si="43"/>
        <v>1.2762619856378866E-4</v>
      </c>
      <c r="AJ171" s="9">
        <f t="shared" si="44"/>
        <v>7.5174387181319744E-3</v>
      </c>
      <c r="AK171" s="9">
        <f t="shared" si="45"/>
        <v>5.6511884880869704E-5</v>
      </c>
      <c r="AL171" s="9">
        <f t="shared" si="46"/>
        <v>1.5499680950778631E-2</v>
      </c>
      <c r="AM171" s="9">
        <f t="shared" si="47"/>
        <v>2.4024010957592997E-4</v>
      </c>
      <c r="AN171" s="8" t="s">
        <v>1618</v>
      </c>
    </row>
    <row r="172" spans="13:40" ht="23">
      <c r="M172" s="8" t="s">
        <v>1709</v>
      </c>
      <c r="N172" s="8" t="s">
        <v>1614</v>
      </c>
      <c r="O172" s="8"/>
      <c r="P172" s="8" t="s">
        <v>3693</v>
      </c>
      <c r="Q172" s="8"/>
      <c r="R172" s="8"/>
      <c r="S172" s="8"/>
      <c r="T172" s="8"/>
      <c r="U172" s="8"/>
      <c r="V172" s="8"/>
      <c r="W172" s="8" t="s">
        <v>1709</v>
      </c>
      <c r="X172" s="8">
        <v>17.59</v>
      </c>
      <c r="Y172" s="8">
        <v>7.78</v>
      </c>
      <c r="Z172" s="9">
        <v>8.0500000000000007</v>
      </c>
      <c r="AA172" s="8">
        <v>1.2</v>
      </c>
      <c r="AB172" s="8">
        <v>41831</v>
      </c>
      <c r="AC172" s="21" t="s">
        <v>1709</v>
      </c>
      <c r="AD172" s="8" t="s">
        <v>4479</v>
      </c>
      <c r="AE172" s="8" t="s">
        <v>4085</v>
      </c>
      <c r="AF172" s="9">
        <f t="shared" si="40"/>
        <v>9.3360000000000003</v>
      </c>
      <c r="AG172" s="9">
        <f t="shared" si="41"/>
        <v>9.7000000000000011</v>
      </c>
      <c r="AH172" s="9">
        <f t="shared" si="42"/>
        <v>1.0428162992187578E-2</v>
      </c>
      <c r="AI172" s="9">
        <f t="shared" si="43"/>
        <v>1.0874658339163058E-4</v>
      </c>
      <c r="AJ172" s="9">
        <f t="shared" si="44"/>
        <v>1.5250501493368124E-2</v>
      </c>
      <c r="AK172" s="9">
        <f t="shared" si="45"/>
        <v>2.3257779579922337E-4</v>
      </c>
      <c r="AL172" s="9">
        <f t="shared" si="46"/>
        <v>1.7611898307991342E-2</v>
      </c>
      <c r="AM172" s="9">
        <f t="shared" si="47"/>
        <v>3.1017896201102828E-4</v>
      </c>
      <c r="AN172" s="8" t="s">
        <v>1709</v>
      </c>
    </row>
    <row r="173" spans="13:40" ht="23">
      <c r="M173" s="9" t="s">
        <v>2916</v>
      </c>
      <c r="N173" s="8" t="s">
        <v>1717</v>
      </c>
      <c r="O173" s="8"/>
      <c r="P173" s="8"/>
      <c r="Q173" s="8"/>
      <c r="R173" s="8"/>
      <c r="S173" s="8"/>
      <c r="T173" s="8"/>
      <c r="U173" s="8"/>
      <c r="V173" s="8"/>
      <c r="W173" s="9" t="s">
        <v>2916</v>
      </c>
      <c r="X173" s="8">
        <v>13.71</v>
      </c>
      <c r="Y173" s="8">
        <v>5.94</v>
      </c>
      <c r="Z173" s="9">
        <v>7.52</v>
      </c>
      <c r="AA173" s="8">
        <v>1.2</v>
      </c>
      <c r="AB173" s="8"/>
      <c r="AC173" s="22" t="s">
        <v>2916</v>
      </c>
      <c r="AD173" s="8" t="s">
        <v>4019</v>
      </c>
      <c r="AE173" s="8" t="s">
        <v>4085</v>
      </c>
      <c r="AF173" s="9">
        <f t="shared" si="40"/>
        <v>7.1280000000000001</v>
      </c>
      <c r="AG173" s="9">
        <f t="shared" si="41"/>
        <v>9.44</v>
      </c>
      <c r="AH173" s="9">
        <f t="shared" si="42"/>
        <v>1.0428162992187578E-2</v>
      </c>
      <c r="AI173" s="9">
        <f t="shared" si="43"/>
        <v>1.0874658339163058E-4</v>
      </c>
      <c r="AJ173" s="9">
        <f t="shared" si="44"/>
        <v>1.1643699083625534E-2</v>
      </c>
      <c r="AK173" s="9">
        <f t="shared" si="45"/>
        <v>1.3557572835002209E-4</v>
      </c>
      <c r="AL173" s="9">
        <f t="shared" si="46"/>
        <v>1.7139826806952394E-2</v>
      </c>
      <c r="AM173" s="9">
        <f t="shared" si="47"/>
        <v>2.937736629723239E-4</v>
      </c>
      <c r="AN173" s="9" t="s">
        <v>2916</v>
      </c>
    </row>
    <row r="174" spans="13:40" ht="23">
      <c r="M174" s="8" t="s">
        <v>975</v>
      </c>
      <c r="N174" s="8" t="s">
        <v>150</v>
      </c>
      <c r="O174" s="8"/>
      <c r="P174" s="8"/>
      <c r="Q174" s="8"/>
      <c r="R174" s="8"/>
      <c r="S174" s="8"/>
      <c r="T174" s="8"/>
      <c r="U174" s="8"/>
      <c r="V174" s="8"/>
      <c r="W174" s="8" t="s">
        <v>975</v>
      </c>
      <c r="X174" s="8">
        <v>46.17</v>
      </c>
      <c r="Y174" s="8">
        <v>1.77</v>
      </c>
      <c r="Z174" s="9">
        <v>0.59</v>
      </c>
      <c r="AA174" s="8">
        <v>1.2</v>
      </c>
      <c r="AB174" s="8">
        <v>65906</v>
      </c>
      <c r="AC174" s="21" t="s">
        <v>975</v>
      </c>
      <c r="AD174" s="8" t="s">
        <v>4019</v>
      </c>
      <c r="AE174" s="8" t="s">
        <v>4085</v>
      </c>
      <c r="AF174" s="9">
        <f t="shared" si="40"/>
        <v>2.1240000000000001</v>
      </c>
      <c r="AG174" s="9">
        <f t="shared" si="41"/>
        <v>1.18</v>
      </c>
      <c r="AH174" s="9">
        <f t="shared" si="42"/>
        <v>1.0428162992187578E-2</v>
      </c>
      <c r="AI174" s="9">
        <f t="shared" si="43"/>
        <v>1.0874658339163058E-4</v>
      </c>
      <c r="AJ174" s="9">
        <f t="shared" si="44"/>
        <v>3.4695871006762955E-3</v>
      </c>
      <c r="AK174" s="9">
        <f t="shared" si="45"/>
        <v>1.2038034649179343E-5</v>
      </c>
      <c r="AL174" s="9">
        <f t="shared" si="46"/>
        <v>2.1424783508690493E-3</v>
      </c>
      <c r="AM174" s="9">
        <f t="shared" si="47"/>
        <v>4.5902134839425609E-6</v>
      </c>
      <c r="AN174" s="8" t="s">
        <v>975</v>
      </c>
    </row>
    <row r="175" spans="13:40" ht="23">
      <c r="M175" s="8" t="s">
        <v>965</v>
      </c>
      <c r="N175" s="8" t="s">
        <v>150</v>
      </c>
      <c r="O175" s="8"/>
      <c r="P175" s="8" t="s">
        <v>3696</v>
      </c>
      <c r="Q175" s="8"/>
      <c r="R175" s="8"/>
      <c r="S175" s="8"/>
      <c r="T175" s="8"/>
      <c r="U175" s="8"/>
      <c r="V175" s="8"/>
      <c r="W175" s="8" t="s">
        <v>965</v>
      </c>
      <c r="X175" s="8">
        <v>27.85</v>
      </c>
      <c r="Y175" s="8">
        <v>5.96</v>
      </c>
      <c r="Z175" s="9">
        <v>6.34</v>
      </c>
      <c r="AA175" s="8">
        <v>1.1000000000000001</v>
      </c>
      <c r="AB175" s="8">
        <v>52352</v>
      </c>
      <c r="AC175" s="21" t="s">
        <v>965</v>
      </c>
      <c r="AD175" s="8" t="s">
        <v>4019</v>
      </c>
      <c r="AE175" s="8" t="s">
        <v>4085</v>
      </c>
      <c r="AF175" s="9">
        <f t="shared" si="40"/>
        <v>6.556</v>
      </c>
      <c r="AG175" s="9">
        <f t="shared" si="41"/>
        <v>7.2233333333333336</v>
      </c>
      <c r="AH175" s="9">
        <f t="shared" si="42"/>
        <v>9.5591494095052815E-3</v>
      </c>
      <c r="AI175" s="9">
        <f t="shared" si="43"/>
        <v>9.1377337433245167E-5</v>
      </c>
      <c r="AJ175" s="9">
        <f t="shared" si="44"/>
        <v>1.0709328169507436E-2</v>
      </c>
      <c r="AK175" s="9">
        <f t="shared" si="45"/>
        <v>1.146897098422055E-4</v>
      </c>
      <c r="AL175" s="9">
        <f t="shared" si="46"/>
        <v>1.3115114650658842E-2</v>
      </c>
      <c r="AM175" s="9">
        <f t="shared" si="47"/>
        <v>1.720062322999262E-4</v>
      </c>
      <c r="AN175" s="8" t="s">
        <v>965</v>
      </c>
    </row>
    <row r="176" spans="13:40" ht="23">
      <c r="M176" s="8" t="s">
        <v>2085</v>
      </c>
      <c r="N176" s="8" t="s">
        <v>2084</v>
      </c>
      <c r="O176" s="8"/>
      <c r="P176" s="8"/>
      <c r="Q176" s="8"/>
      <c r="R176" s="8"/>
      <c r="S176" s="8"/>
      <c r="T176" s="8"/>
      <c r="U176" s="8"/>
      <c r="V176" s="8"/>
      <c r="W176" s="8" t="s">
        <v>2085</v>
      </c>
      <c r="X176" s="8">
        <v>36.840000000000003</v>
      </c>
      <c r="Y176" s="8">
        <v>3.39</v>
      </c>
      <c r="Z176" s="9">
        <v>1.26</v>
      </c>
      <c r="AA176" s="8">
        <v>1.1000000000000001</v>
      </c>
      <c r="AB176" s="8">
        <v>78601</v>
      </c>
      <c r="AC176" s="21" t="s">
        <v>2085</v>
      </c>
      <c r="AD176" s="8" t="s">
        <v>4019</v>
      </c>
      <c r="AE176" s="8" t="s">
        <v>4085</v>
      </c>
      <c r="AF176" s="9">
        <f t="shared" si="40"/>
        <v>3.7290000000000005</v>
      </c>
      <c r="AG176" s="9">
        <f t="shared" si="41"/>
        <v>1.5766666666666669</v>
      </c>
      <c r="AH176" s="9">
        <f t="shared" si="42"/>
        <v>9.5591494095052815E-3</v>
      </c>
      <c r="AI176" s="9">
        <f t="shared" si="43"/>
        <v>9.1377337433245167E-5</v>
      </c>
      <c r="AJ176" s="9">
        <f t="shared" si="44"/>
        <v>6.0913796131929886E-3</v>
      </c>
      <c r="AK176" s="9">
        <f t="shared" si="45"/>
        <v>3.7104905592023167E-5</v>
      </c>
      <c r="AL176" s="9">
        <f t="shared" si="46"/>
        <v>2.8626899998900014E-3</v>
      </c>
      <c r="AM176" s="9">
        <f t="shared" si="47"/>
        <v>8.1949940354702167E-6</v>
      </c>
      <c r="AN176" s="8" t="s">
        <v>2085</v>
      </c>
    </row>
    <row r="177" spans="13:40" ht="23">
      <c r="M177" s="8" t="s">
        <v>104</v>
      </c>
      <c r="N177" s="8" t="s">
        <v>82</v>
      </c>
      <c r="O177" s="8"/>
      <c r="P177" s="8" t="s">
        <v>4008</v>
      </c>
      <c r="Q177" s="8"/>
      <c r="R177" s="8"/>
      <c r="S177" s="8"/>
      <c r="T177" s="8"/>
      <c r="U177" s="8"/>
      <c r="V177" s="8"/>
      <c r="W177" s="8" t="s">
        <v>104</v>
      </c>
      <c r="X177" s="8">
        <v>40.75</v>
      </c>
      <c r="Y177" s="8">
        <v>1.9</v>
      </c>
      <c r="Z177" s="9">
        <v>0.11</v>
      </c>
      <c r="AA177" s="8">
        <v>1.1000000000000001</v>
      </c>
      <c r="AB177" s="8">
        <v>78302</v>
      </c>
      <c r="AC177" s="21" t="s">
        <v>104</v>
      </c>
      <c r="AD177" s="8" t="s">
        <v>4019</v>
      </c>
      <c r="AE177" s="8" t="s">
        <v>4085</v>
      </c>
      <c r="AF177" s="9">
        <f t="shared" si="40"/>
        <v>2.09</v>
      </c>
      <c r="AG177" s="9">
        <f t="shared" si="41"/>
        <v>0.20166666666666666</v>
      </c>
      <c r="AH177" s="9">
        <f t="shared" si="42"/>
        <v>9.5591494095052815E-3</v>
      </c>
      <c r="AI177" s="9">
        <f t="shared" si="43"/>
        <v>9.1377337433245167E-5</v>
      </c>
      <c r="AJ177" s="9">
        <f t="shared" si="44"/>
        <v>3.4140475708161287E-3</v>
      </c>
      <c r="AK177" s="9">
        <f t="shared" si="45"/>
        <v>1.1655720815795509E-5</v>
      </c>
      <c r="AL177" s="9">
        <f t="shared" si="46"/>
        <v>3.6615802324174436E-4</v>
      </c>
      <c r="AM177" s="9">
        <f t="shared" si="47"/>
        <v>1.3407169798430181E-7</v>
      </c>
      <c r="AN177" s="8" t="s">
        <v>104</v>
      </c>
    </row>
    <row r="178" spans="13:40" ht="23">
      <c r="M178" s="8" t="s">
        <v>1059</v>
      </c>
      <c r="N178" s="8" t="s">
        <v>150</v>
      </c>
      <c r="O178" s="8"/>
      <c r="P178" s="8"/>
      <c r="Q178" s="8"/>
      <c r="R178" s="8"/>
      <c r="S178" s="8"/>
      <c r="T178" s="8"/>
      <c r="U178" s="8"/>
      <c r="V178" s="8"/>
      <c r="W178" s="8" t="s">
        <v>1059</v>
      </c>
      <c r="X178" s="8">
        <v>51.25</v>
      </c>
      <c r="Y178" s="8">
        <v>1.46</v>
      </c>
      <c r="Z178" s="9">
        <v>0.01</v>
      </c>
      <c r="AA178" s="8">
        <v>1.1000000000000001</v>
      </c>
      <c r="AB178" s="8">
        <v>81275</v>
      </c>
      <c r="AC178" s="21" t="s">
        <v>1059</v>
      </c>
      <c r="AD178" s="8" t="s">
        <v>4019</v>
      </c>
      <c r="AE178" s="8" t="s">
        <v>4085</v>
      </c>
      <c r="AF178" s="9">
        <f t="shared" si="40"/>
        <v>1.6060000000000001</v>
      </c>
      <c r="AG178" s="9">
        <f t="shared" si="41"/>
        <v>1.8333333333333333E-2</v>
      </c>
      <c r="AH178" s="9">
        <f t="shared" si="42"/>
        <v>9.5591494095052815E-3</v>
      </c>
      <c r="AI178" s="9">
        <f t="shared" si="43"/>
        <v>9.1377337433245167E-5</v>
      </c>
      <c r="AJ178" s="9">
        <f t="shared" si="44"/>
        <v>2.623426028100815E-3</v>
      </c>
      <c r="AK178" s="9">
        <f t="shared" si="45"/>
        <v>6.8823641249168177E-6</v>
      </c>
      <c r="AL178" s="9">
        <f t="shared" si="46"/>
        <v>3.328709302197676E-5</v>
      </c>
      <c r="AM178" s="9">
        <f t="shared" si="47"/>
        <v>1.1080305618537338E-9</v>
      </c>
      <c r="AN178" s="8" t="s">
        <v>1059</v>
      </c>
    </row>
    <row r="179" spans="13:40" ht="23">
      <c r="M179" s="8" t="s">
        <v>1943</v>
      </c>
      <c r="N179" s="8" t="s">
        <v>1939</v>
      </c>
      <c r="O179" s="8"/>
      <c r="P179" s="8"/>
      <c r="Q179" s="8"/>
      <c r="R179" s="8"/>
      <c r="S179" s="8"/>
      <c r="T179" s="8"/>
      <c r="U179" s="8"/>
      <c r="V179" s="8"/>
      <c r="W179" s="8" t="s">
        <v>1943</v>
      </c>
      <c r="X179" s="8">
        <v>53.85</v>
      </c>
      <c r="Y179" s="8">
        <v>1.67</v>
      </c>
      <c r="Z179" s="9">
        <v>0.36</v>
      </c>
      <c r="AA179" s="8">
        <v>1</v>
      </c>
      <c r="AB179" s="8">
        <v>91310</v>
      </c>
      <c r="AC179" s="21" t="s">
        <v>1943</v>
      </c>
      <c r="AD179" s="8" t="s">
        <v>4019</v>
      </c>
      <c r="AE179" s="8" t="s">
        <v>4085</v>
      </c>
      <c r="AF179" s="9">
        <f t="shared" si="40"/>
        <v>1.67</v>
      </c>
      <c r="AG179" s="9">
        <f t="shared" si="41"/>
        <v>0.6</v>
      </c>
      <c r="AH179" s="9">
        <f t="shared" si="42"/>
        <v>8.6901358268229815E-3</v>
      </c>
      <c r="AI179" s="9">
        <f t="shared" si="43"/>
        <v>7.5518460688632347E-5</v>
      </c>
      <c r="AJ179" s="9">
        <f t="shared" si="44"/>
        <v>2.7279710254846578E-3</v>
      </c>
      <c r="AK179" s="9">
        <f t="shared" si="45"/>
        <v>7.4418259158838159E-6</v>
      </c>
      <c r="AL179" s="9">
        <f t="shared" si="46"/>
        <v>1.0893957716283302E-3</v>
      </c>
      <c r="AM179" s="9">
        <f t="shared" si="47"/>
        <v>1.1867831472416849E-6</v>
      </c>
      <c r="AN179" s="8" t="s">
        <v>1943</v>
      </c>
    </row>
    <row r="180" spans="13:40" ht="23"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9"/>
      <c r="AA180" s="8">
        <f>SUBTOTAL(109,Table13675[ترافیک کل])</f>
        <v>11507.299999999988</v>
      </c>
      <c r="AB180" s="8"/>
      <c r="AC180" s="21"/>
      <c r="AD180" s="8"/>
      <c r="AE180" s="8"/>
      <c r="AF180" s="9">
        <f>SUBTOTAL(109,Table13675[[مجموع صفحات  مشاهده شده   ]])</f>
        <v>61217.658999999963</v>
      </c>
      <c r="AG180" s="9">
        <f>SUBTOTAL(109,Table13675[[مجموع زمان حضور در سایت ]])</f>
        <v>55076.402500000004</v>
      </c>
      <c r="AH180" s="9">
        <f>SUBTOTAL(109,Table13675[سهم سایت از کل ترافیک طبقه بندی])</f>
        <v>100.00000000000009</v>
      </c>
      <c r="AI180" s="9">
        <f>SUBTOTAL(109,Table13675[شاخص هرفیندال هیرشمن (ترافیک)])</f>
        <v>1050.093903773555</v>
      </c>
      <c r="AJ180" s="9">
        <f>SUBTOTAL(109,Table13675[سهم سایت از کل صفحات مشاهده شده در طبقه بندی])</f>
        <v>100.00000000000009</v>
      </c>
      <c r="AK180" s="9">
        <f>SUBTOTAL(109,Table13675[شاخص هرفیندال -هیرشمن (صفحات مشاهده شده )])</f>
        <v>594.97633692835188</v>
      </c>
      <c r="AL180" s="9">
        <f>SUBTOTAL(109,Table13675[سهم سایت از کل زمان حضور در طبقه بندی])</f>
        <v>99.999999999999915</v>
      </c>
      <c r="AM180" s="9">
        <f>SUBTOTAL(109,Table13675[شاخص هرفیندال هیرشمن (زمان حضور)])</f>
        <v>593.97667006073823</v>
      </c>
      <c r="AN180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{ED2CF652-A6D8-4B06-BE64-89CA5D64DC94}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{5F805F5F-CA24-4FF8-9C66-2E2258306595}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{5A99215E-C2F6-48CA-85F0-4786D4EB8B22}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{86F9C296-FD8C-44C3-91B0-458D90AB5697}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{6D999AB7-FC65-40A5-A6E1-7711FF30C3C3}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{3CCAC77A-1033-4B34-AE51-34975818433A}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D2CF652-A6D8-4B06-BE64-89CA5D64DC9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5F805F5F-CA24-4FF8-9C66-2E225830659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A99215E-C2F6-48CA-85F0-4786D4EB8B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6F9C296-FD8C-44C3-91B0-458D90AB569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D999AB7-FC65-40A5-A6E1-7711FF30C3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3CCAC77A-1033-4B34-AE51-34975818433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06"/>
  <sheetViews>
    <sheetView showGridLines="0" rightToLeft="1" topLeftCell="V1" zoomScale="70" zoomScaleNormal="70" workbookViewId="0">
      <selection activeCell="AC1" sqref="AC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4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3853</v>
      </c>
      <c r="N2" s="8"/>
      <c r="O2" s="8"/>
      <c r="P2" s="8" t="s">
        <v>3691</v>
      </c>
      <c r="Q2" s="8"/>
      <c r="R2" s="8"/>
      <c r="S2" s="8"/>
      <c r="T2" s="8"/>
      <c r="U2" s="8"/>
      <c r="V2" s="8"/>
      <c r="W2" s="8" t="s">
        <v>3853</v>
      </c>
      <c r="X2" s="8">
        <v>60.05</v>
      </c>
      <c r="Y2" s="8">
        <v>1.82</v>
      </c>
      <c r="Z2" s="9">
        <v>0.54</v>
      </c>
      <c r="AA2" s="8">
        <v>2602.4</v>
      </c>
      <c r="AB2" s="8">
        <v>917</v>
      </c>
      <c r="AC2" s="21" t="s">
        <v>3853</v>
      </c>
      <c r="AD2" s="8" t="s">
        <v>4230</v>
      </c>
      <c r="AE2" s="8" t="s">
        <v>4085</v>
      </c>
      <c r="AF2" s="9">
        <f t="shared" ref="AF2:AF33" si="0">(AA2*Y2)</f>
        <v>4736.3680000000004</v>
      </c>
      <c r="AG2" s="9">
        <f t="shared" ref="AG2:AG33" si="1">((((RIGHT(Z2,2))/60)+(LEFT(Z2,2)))*AA2)</f>
        <v>2342.1600000000003</v>
      </c>
      <c r="AH2" s="9">
        <f t="shared" ref="AH2:AH33" si="2">(AA2/$AA$172)*100</f>
        <v>18.000719364745603</v>
      </c>
      <c r="AI2" s="9">
        <f t="shared" ref="AI2:AI33" si="3">(AH2*AH2)</f>
        <v>324.02589764832732</v>
      </c>
      <c r="AJ2" s="9">
        <f t="shared" ref="AJ2:AJ33" si="4">(AF2/$AF$172)*100</f>
        <v>13.234006272364532</v>
      </c>
      <c r="AK2" s="9">
        <f t="shared" ref="AK2:AK33" si="5">(AJ2*AJ2)</f>
        <v>175.13892201698377</v>
      </c>
      <c r="AL2" s="9">
        <f t="shared" ref="AL2:AL33" si="6">(AG2/$AG$172)*100</f>
        <v>7.2122065061626897</v>
      </c>
      <c r="AM2" s="9">
        <f t="shared" ref="AM2:AM33" si="7">(AL2*AL2)</f>
        <v>52.015922687535429</v>
      </c>
      <c r="AN2" s="8" t="s">
        <v>3853</v>
      </c>
    </row>
    <row r="3" spans="8:40" ht="23">
      <c r="M3" s="8" t="s">
        <v>3857</v>
      </c>
      <c r="N3" s="8"/>
      <c r="O3" s="8"/>
      <c r="P3" s="8"/>
      <c r="Q3" s="8"/>
      <c r="R3" s="8"/>
      <c r="S3" s="8"/>
      <c r="T3" s="8"/>
      <c r="U3" s="8"/>
      <c r="V3" s="8"/>
      <c r="W3" s="8" t="s">
        <v>3857</v>
      </c>
      <c r="X3" s="8">
        <v>76.12</v>
      </c>
      <c r="Y3" s="8">
        <v>1.73</v>
      </c>
      <c r="Z3" s="9">
        <v>1.0900000000000001</v>
      </c>
      <c r="AA3" s="8">
        <v>2141</v>
      </c>
      <c r="AB3" s="8">
        <v>547</v>
      </c>
      <c r="AC3" s="21" t="s">
        <v>3857</v>
      </c>
      <c r="AD3" s="8" t="s">
        <v>4299</v>
      </c>
      <c r="AE3" s="8" t="s">
        <v>4085</v>
      </c>
      <c r="AF3" s="9">
        <f t="shared" si="0"/>
        <v>3703.93</v>
      </c>
      <c r="AG3" s="9">
        <f t="shared" si="1"/>
        <v>2462.1499999999996</v>
      </c>
      <c r="AH3" s="9">
        <f t="shared" si="2"/>
        <v>14.809230003043472</v>
      </c>
      <c r="AI3" s="9">
        <f t="shared" si="3"/>
        <v>219.31329328304298</v>
      </c>
      <c r="AJ3" s="9">
        <f t="shared" si="4"/>
        <v>10.349245002161815</v>
      </c>
      <c r="AK3" s="9">
        <f t="shared" si="5"/>
        <v>107.10687211477132</v>
      </c>
      <c r="AL3" s="9">
        <f t="shared" si="6"/>
        <v>7.5816913657258524</v>
      </c>
      <c r="AM3" s="9">
        <f t="shared" si="7"/>
        <v>57.482043965121939</v>
      </c>
      <c r="AN3" s="8" t="s">
        <v>3857</v>
      </c>
    </row>
    <row r="4" spans="8:40" ht="21.5" customHeight="1">
      <c r="M4" s="8" t="s">
        <v>3950</v>
      </c>
      <c r="N4" s="8"/>
      <c r="O4" s="8"/>
      <c r="P4" s="8"/>
      <c r="Q4" s="8"/>
      <c r="R4" s="8"/>
      <c r="S4" s="8"/>
      <c r="T4" s="8"/>
      <c r="U4" s="8"/>
      <c r="V4" s="8"/>
      <c r="W4" s="8" t="s">
        <v>3950</v>
      </c>
      <c r="X4" s="8">
        <v>53.85</v>
      </c>
      <c r="Y4" s="8">
        <v>2.37</v>
      </c>
      <c r="Z4" s="9">
        <v>1.46</v>
      </c>
      <c r="AA4" s="8">
        <v>1309.9000000000001</v>
      </c>
      <c r="AB4" s="8">
        <v>1019</v>
      </c>
      <c r="AC4" s="21" t="s">
        <v>3950</v>
      </c>
      <c r="AD4" s="8" t="s">
        <v>4090</v>
      </c>
      <c r="AE4" s="8" t="s">
        <v>4085</v>
      </c>
      <c r="AF4" s="9">
        <f t="shared" si="0"/>
        <v>3104.4630000000002</v>
      </c>
      <c r="AG4" s="9">
        <f t="shared" si="1"/>
        <v>2314.1566666666668</v>
      </c>
      <c r="AH4" s="9">
        <f t="shared" si="2"/>
        <v>9.060537310129213</v>
      </c>
      <c r="AI4" s="9">
        <f t="shared" si="3"/>
        <v>82.093336348243511</v>
      </c>
      <c r="AJ4" s="9">
        <f t="shared" si="4"/>
        <v>8.6742590133037822</v>
      </c>
      <c r="AK4" s="9">
        <f t="shared" si="5"/>
        <v>75.242769429881903</v>
      </c>
      <c r="AL4" s="9">
        <f t="shared" si="6"/>
        <v>7.1259759229143587</v>
      </c>
      <c r="AM4" s="9">
        <f t="shared" si="7"/>
        <v>50.779532853955146</v>
      </c>
      <c r="AN4" s="8" t="s">
        <v>3950</v>
      </c>
    </row>
    <row r="5" spans="8:40" ht="23.5" customHeight="1">
      <c r="M5" s="9" t="s">
        <v>3437</v>
      </c>
      <c r="N5" s="8" t="s">
        <v>2003</v>
      </c>
      <c r="O5" s="8"/>
      <c r="P5" s="8" t="s">
        <v>3697</v>
      </c>
      <c r="Q5" s="8"/>
      <c r="R5" s="8"/>
      <c r="S5" s="8"/>
      <c r="T5" s="8"/>
      <c r="U5" s="8"/>
      <c r="V5" s="8"/>
      <c r="W5" s="9" t="s">
        <v>3437</v>
      </c>
      <c r="X5" s="8">
        <v>59.99</v>
      </c>
      <c r="Y5" s="8">
        <v>2.23</v>
      </c>
      <c r="Z5" s="9">
        <v>1.21</v>
      </c>
      <c r="AA5" s="8">
        <v>788.3</v>
      </c>
      <c r="AB5" s="8">
        <v>748</v>
      </c>
      <c r="AC5" s="22" t="s">
        <v>3437</v>
      </c>
      <c r="AD5" s="8" t="s">
        <v>3687</v>
      </c>
      <c r="AE5" s="8" t="s">
        <v>4085</v>
      </c>
      <c r="AF5" s="9">
        <f t="shared" si="0"/>
        <v>1757.9089999999999</v>
      </c>
      <c r="AG5" s="9">
        <f t="shared" si="1"/>
        <v>1064.2049999999999</v>
      </c>
      <c r="AH5" s="9">
        <f t="shared" si="2"/>
        <v>5.4526464322275414</v>
      </c>
      <c r="AI5" s="9">
        <f t="shared" si="3"/>
        <v>29.731353114883735</v>
      </c>
      <c r="AJ5" s="9">
        <f t="shared" si="4"/>
        <v>4.9118182396819794</v>
      </c>
      <c r="AK5" s="9">
        <f t="shared" si="5"/>
        <v>24.125958419672578</v>
      </c>
      <c r="AL5" s="9">
        <f t="shared" si="6"/>
        <v>3.2770033750430647</v>
      </c>
      <c r="AM5" s="9">
        <f t="shared" si="7"/>
        <v>10.738751120043638</v>
      </c>
      <c r="AN5" s="9" t="s">
        <v>3437</v>
      </c>
    </row>
    <row r="6" spans="8:40" ht="23" customHeight="1">
      <c r="M6" s="9" t="s">
        <v>2982</v>
      </c>
      <c r="N6" s="8" t="s">
        <v>1717</v>
      </c>
      <c r="O6" s="8"/>
      <c r="P6" s="8"/>
      <c r="Q6" s="8"/>
      <c r="R6" s="8"/>
      <c r="S6" s="8"/>
      <c r="T6" s="8"/>
      <c r="U6" s="8"/>
      <c r="V6" s="8"/>
      <c r="W6" s="9" t="s">
        <v>2982</v>
      </c>
      <c r="X6" s="8">
        <v>67.069999999999993</v>
      </c>
      <c r="Y6" s="8">
        <v>1.3</v>
      </c>
      <c r="Z6" s="9">
        <v>0.13</v>
      </c>
      <c r="AA6" s="8">
        <v>659.6</v>
      </c>
      <c r="AB6" s="8">
        <v>4876</v>
      </c>
      <c r="AC6" s="22" t="s">
        <v>2982</v>
      </c>
      <c r="AD6" s="8" t="s">
        <v>4438</v>
      </c>
      <c r="AE6" s="8" t="s">
        <v>4085</v>
      </c>
      <c r="AF6" s="9">
        <f t="shared" si="0"/>
        <v>857.48</v>
      </c>
      <c r="AG6" s="9">
        <f t="shared" si="1"/>
        <v>142.91333333333336</v>
      </c>
      <c r="AH6" s="9">
        <f t="shared" si="2"/>
        <v>4.562432559555103</v>
      </c>
      <c r="AI6" s="9">
        <f t="shared" si="3"/>
        <v>20.815790860488526</v>
      </c>
      <c r="AJ6" s="9">
        <f t="shared" si="4"/>
        <v>2.3959066733047636</v>
      </c>
      <c r="AK6" s="9">
        <f t="shared" si="5"/>
        <v>5.7403687871862994</v>
      </c>
      <c r="AL6" s="9">
        <f t="shared" si="6"/>
        <v>0.44007261352087979</v>
      </c>
      <c r="AM6" s="9">
        <f t="shared" si="7"/>
        <v>0.19366390517109763</v>
      </c>
      <c r="AN6" s="9" t="s">
        <v>2982</v>
      </c>
    </row>
    <row r="7" spans="8:40" ht="21.5" customHeight="1">
      <c r="M7" s="8" t="s">
        <v>257</v>
      </c>
      <c r="N7" s="8" t="s">
        <v>150</v>
      </c>
      <c r="O7" s="8"/>
      <c r="P7" s="8" t="s">
        <v>3702</v>
      </c>
      <c r="Q7" s="8"/>
      <c r="R7" s="8"/>
      <c r="S7" s="8"/>
      <c r="T7" s="8"/>
      <c r="U7" s="8"/>
      <c r="V7" s="8"/>
      <c r="W7" s="8" t="s">
        <v>257</v>
      </c>
      <c r="X7" s="8">
        <v>30.48</v>
      </c>
      <c r="Y7" s="8">
        <v>1.81</v>
      </c>
      <c r="Z7" s="9">
        <v>0.37</v>
      </c>
      <c r="AA7" s="8">
        <v>542</v>
      </c>
      <c r="AB7" s="8">
        <v>1389</v>
      </c>
      <c r="AC7" s="21" t="s">
        <v>257</v>
      </c>
      <c r="AD7" s="8" t="s">
        <v>3687</v>
      </c>
      <c r="AE7" s="8" t="s">
        <v>4085</v>
      </c>
      <c r="AF7" s="9">
        <f t="shared" si="0"/>
        <v>981.02</v>
      </c>
      <c r="AG7" s="9">
        <f t="shared" si="1"/>
        <v>334.23333333333335</v>
      </c>
      <c r="AH7" s="9">
        <f t="shared" si="2"/>
        <v>3.7489970395373948</v>
      </c>
      <c r="AI7" s="9">
        <f t="shared" si="3"/>
        <v>14.05497880246015</v>
      </c>
      <c r="AJ7" s="9">
        <f t="shared" si="4"/>
        <v>2.741092928867658</v>
      </c>
      <c r="AK7" s="9">
        <f t="shared" si="5"/>
        <v>7.5135904446882753</v>
      </c>
      <c r="AL7" s="9">
        <f t="shared" si="6"/>
        <v>1.0292037355445867</v>
      </c>
      <c r="AM7" s="9">
        <f t="shared" si="7"/>
        <v>1.0592603292589315</v>
      </c>
      <c r="AN7" s="8" t="s">
        <v>257</v>
      </c>
    </row>
    <row r="8" spans="8:40" ht="23.5" customHeight="1">
      <c r="M8" s="9" t="s">
        <v>2795</v>
      </c>
      <c r="N8" s="8" t="s">
        <v>1614</v>
      </c>
      <c r="O8" s="8"/>
      <c r="P8" s="8" t="s">
        <v>3691</v>
      </c>
      <c r="Q8" s="8"/>
      <c r="R8" s="8"/>
      <c r="S8" s="8"/>
      <c r="T8" s="8"/>
      <c r="U8" s="8"/>
      <c r="V8" s="8"/>
      <c r="W8" s="9" t="s">
        <v>2795</v>
      </c>
      <c r="X8" s="8">
        <v>33.22</v>
      </c>
      <c r="Y8" s="8">
        <v>1.51</v>
      </c>
      <c r="Z8" s="9">
        <v>1.26</v>
      </c>
      <c r="AA8" s="8">
        <v>425.5</v>
      </c>
      <c r="AB8" s="8">
        <v>6794</v>
      </c>
      <c r="AC8" s="22" t="s">
        <v>2795</v>
      </c>
      <c r="AD8" s="8" t="s">
        <v>3996</v>
      </c>
      <c r="AE8" s="8" t="s">
        <v>4085</v>
      </c>
      <c r="AF8" s="9">
        <f t="shared" si="0"/>
        <v>642.505</v>
      </c>
      <c r="AG8" s="9">
        <f t="shared" si="1"/>
        <v>609.88333333333333</v>
      </c>
      <c r="AH8" s="9">
        <f t="shared" si="2"/>
        <v>2.9431701850980834</v>
      </c>
      <c r="AI8" s="9">
        <f t="shared" si="3"/>
        <v>8.662250738450286</v>
      </c>
      <c r="AJ8" s="9">
        <f t="shared" si="4"/>
        <v>1.7952395590937131</v>
      </c>
      <c r="AK8" s="9">
        <f t="shared" si="5"/>
        <v>3.2228850745349895</v>
      </c>
      <c r="AL8" s="9">
        <f t="shared" si="6"/>
        <v>1.878011982386709</v>
      </c>
      <c r="AM8" s="9">
        <f t="shared" si="7"/>
        <v>3.5269290059880563</v>
      </c>
      <c r="AN8" s="9" t="s">
        <v>2795</v>
      </c>
    </row>
    <row r="9" spans="8:40" ht="23.5" customHeight="1">
      <c r="M9" s="8" t="s">
        <v>3779</v>
      </c>
      <c r="N9" s="8"/>
      <c r="O9" s="8"/>
      <c r="P9" s="8"/>
      <c r="Q9" s="8"/>
      <c r="R9" s="8"/>
      <c r="S9" s="8"/>
      <c r="T9" s="8"/>
      <c r="U9" s="8"/>
      <c r="V9" s="8"/>
      <c r="W9" s="8" t="s">
        <v>3779</v>
      </c>
      <c r="X9" s="8">
        <v>28.55</v>
      </c>
      <c r="Y9" s="8">
        <v>2.97</v>
      </c>
      <c r="Z9" s="9">
        <v>3.06</v>
      </c>
      <c r="AA9" s="8">
        <v>418.4</v>
      </c>
      <c r="AB9" s="8">
        <v>740</v>
      </c>
      <c r="AC9" s="21" t="s">
        <v>3779</v>
      </c>
      <c r="AD9" s="8" t="s">
        <v>4292</v>
      </c>
      <c r="AE9" s="8" t="s">
        <v>4085</v>
      </c>
      <c r="AF9" s="9">
        <f t="shared" si="0"/>
        <v>1242.6479999999999</v>
      </c>
      <c r="AG9" s="9">
        <f t="shared" si="1"/>
        <v>1297.04</v>
      </c>
      <c r="AH9" s="9">
        <f t="shared" si="2"/>
        <v>2.8940597072738852</v>
      </c>
      <c r="AI9" s="9">
        <f t="shared" si="3"/>
        <v>8.375581589266206</v>
      </c>
      <c r="AJ9" s="9">
        <f t="shared" si="4"/>
        <v>3.4721143767421028</v>
      </c>
      <c r="AK9" s="9">
        <f t="shared" si="5"/>
        <v>12.0555782451792</v>
      </c>
      <c r="AL9" s="9">
        <f t="shared" si="6"/>
        <v>3.9939715163580858</v>
      </c>
      <c r="AM9" s="9">
        <f t="shared" si="7"/>
        <v>15.951808473479707</v>
      </c>
      <c r="AN9" s="8" t="s">
        <v>3779</v>
      </c>
    </row>
    <row r="10" spans="8:40" ht="22" customHeight="1">
      <c r="M10" s="9" t="s">
        <v>3381</v>
      </c>
      <c r="N10" s="8" t="s">
        <v>1964</v>
      </c>
      <c r="O10" s="8"/>
      <c r="P10" s="8"/>
      <c r="Q10" s="8"/>
      <c r="R10" s="8"/>
      <c r="S10" s="8"/>
      <c r="T10" s="8"/>
      <c r="U10" s="8"/>
      <c r="V10" s="8"/>
      <c r="W10" s="9" t="s">
        <v>3381</v>
      </c>
      <c r="X10" s="8">
        <v>39.79</v>
      </c>
      <c r="Y10" s="8">
        <v>1.93</v>
      </c>
      <c r="Z10" s="9">
        <v>0.39</v>
      </c>
      <c r="AA10" s="8">
        <v>367.7</v>
      </c>
      <c r="AB10" s="8">
        <v>3517</v>
      </c>
      <c r="AC10" s="22" t="s">
        <v>3381</v>
      </c>
      <c r="AD10" s="8" t="s">
        <v>4078</v>
      </c>
      <c r="AE10" s="8" t="s">
        <v>4024</v>
      </c>
      <c r="AF10" s="9">
        <f t="shared" si="0"/>
        <v>709.66099999999994</v>
      </c>
      <c r="AG10" s="9">
        <f t="shared" si="1"/>
        <v>239.005</v>
      </c>
      <c r="AH10" s="9">
        <f t="shared" si="2"/>
        <v>2.5433693937968633</v>
      </c>
      <c r="AI10" s="9">
        <f t="shared" si="3"/>
        <v>6.4687278733026243</v>
      </c>
      <c r="AJ10" s="9">
        <f t="shared" si="4"/>
        <v>1.9828818464385545</v>
      </c>
      <c r="AK10" s="9">
        <f t="shared" si="5"/>
        <v>3.931820416935571</v>
      </c>
      <c r="AL10" s="9">
        <f t="shared" si="6"/>
        <v>0.73596740444948827</v>
      </c>
      <c r="AM10" s="9">
        <f t="shared" si="7"/>
        <v>0.54164802041211668</v>
      </c>
      <c r="AN10" s="9" t="s">
        <v>3381</v>
      </c>
    </row>
    <row r="11" spans="8:40" ht="23" customHeight="1">
      <c r="M11" s="8" t="s">
        <v>3967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3967</v>
      </c>
      <c r="X11" s="8">
        <v>39.53</v>
      </c>
      <c r="Y11" s="8">
        <v>1.74</v>
      </c>
      <c r="Z11" s="9">
        <v>2.2999999999999998</v>
      </c>
      <c r="AA11" s="8">
        <v>348.6</v>
      </c>
      <c r="AB11" s="8">
        <v>1403</v>
      </c>
      <c r="AC11" s="21" t="s">
        <v>3967</v>
      </c>
      <c r="AD11" s="8" t="s">
        <v>4090</v>
      </c>
      <c r="AE11" s="8" t="s">
        <v>4085</v>
      </c>
      <c r="AF11" s="9">
        <f t="shared" si="0"/>
        <v>606.56400000000008</v>
      </c>
      <c r="AG11" s="9">
        <f t="shared" si="1"/>
        <v>698.94299999999998</v>
      </c>
      <c r="AH11" s="9">
        <f t="shared" si="2"/>
        <v>2.4112552914810621</v>
      </c>
      <c r="AI11" s="9">
        <f t="shared" si="3"/>
        <v>5.8141520806954219</v>
      </c>
      <c r="AJ11" s="9">
        <f t="shared" si="4"/>
        <v>1.6948158970313372</v>
      </c>
      <c r="AK11" s="9">
        <f t="shared" si="5"/>
        <v>2.8724009248301359</v>
      </c>
      <c r="AL11" s="9">
        <f t="shared" si="6"/>
        <v>2.1522531560768128</v>
      </c>
      <c r="AM11" s="9">
        <f t="shared" si="7"/>
        <v>4.6321936478426018</v>
      </c>
      <c r="AN11" s="8" t="s">
        <v>3967</v>
      </c>
    </row>
    <row r="12" spans="8:40" ht="24.5" customHeight="1">
      <c r="M12" s="8" t="s">
        <v>3860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3860</v>
      </c>
      <c r="X12" s="8">
        <v>33.82</v>
      </c>
      <c r="Y12" s="8">
        <v>3.08</v>
      </c>
      <c r="Z12" s="9">
        <v>8.0500000000000007</v>
      </c>
      <c r="AA12" s="8">
        <v>279</v>
      </c>
      <c r="AB12" s="8">
        <v>994</v>
      </c>
      <c r="AC12" s="21" t="s">
        <v>3860</v>
      </c>
      <c r="AD12" s="8" t="s">
        <v>4090</v>
      </c>
      <c r="AE12" s="8" t="s">
        <v>4085</v>
      </c>
      <c r="AF12" s="9">
        <f t="shared" si="0"/>
        <v>859.32</v>
      </c>
      <c r="AG12" s="9">
        <f t="shared" si="1"/>
        <v>2255.25</v>
      </c>
      <c r="AH12" s="9">
        <f t="shared" si="2"/>
        <v>1.9298342694297657</v>
      </c>
      <c r="AI12" s="9">
        <f t="shared" si="3"/>
        <v>3.7242603074655172</v>
      </c>
      <c r="AJ12" s="9">
        <f t="shared" si="4"/>
        <v>2.401047864095081</v>
      </c>
      <c r="AK12" s="9">
        <f t="shared" si="5"/>
        <v>5.7650308456755504</v>
      </c>
      <c r="AL12" s="9">
        <f t="shared" si="6"/>
        <v>6.9445847948147881</v>
      </c>
      <c r="AM12" s="9">
        <f t="shared" si="7"/>
        <v>48.227257972372755</v>
      </c>
      <c r="AN12" s="8" t="s">
        <v>3860</v>
      </c>
    </row>
    <row r="13" spans="8:40" ht="23.5" customHeight="1">
      <c r="M13" s="8" t="s">
        <v>3929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3929</v>
      </c>
      <c r="X13" s="8">
        <v>22.5</v>
      </c>
      <c r="Y13" s="8">
        <v>2.56</v>
      </c>
      <c r="Z13" s="9">
        <v>2.0499999999999998</v>
      </c>
      <c r="AA13" s="8">
        <v>238</v>
      </c>
      <c r="AB13" s="8">
        <v>1101</v>
      </c>
      <c r="AC13" s="21" t="s">
        <v>3929</v>
      </c>
      <c r="AD13" s="8" t="s">
        <v>4090</v>
      </c>
      <c r="AE13" s="8" t="s">
        <v>4085</v>
      </c>
      <c r="AF13" s="9">
        <f t="shared" si="0"/>
        <v>609.28</v>
      </c>
      <c r="AG13" s="9">
        <f t="shared" si="1"/>
        <v>495.83333333333337</v>
      </c>
      <c r="AH13" s="9">
        <f t="shared" si="2"/>
        <v>1.6462385524167893</v>
      </c>
      <c r="AI13" s="9">
        <f t="shared" si="3"/>
        <v>2.7101013714633257</v>
      </c>
      <c r="AJ13" s="9">
        <f t="shared" si="4"/>
        <v>1.7024047416979129</v>
      </c>
      <c r="AK13" s="9">
        <f t="shared" si="5"/>
        <v>2.8981819045555377</v>
      </c>
      <c r="AL13" s="9">
        <f t="shared" si="6"/>
        <v>1.5268181476239882</v>
      </c>
      <c r="AM13" s="9">
        <f t="shared" si="7"/>
        <v>2.3311736559139464</v>
      </c>
      <c r="AN13" s="8" t="s">
        <v>3929</v>
      </c>
    </row>
    <row r="14" spans="8:40" ht="24" customHeight="1">
      <c r="M14" s="8" t="s">
        <v>1019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1019</v>
      </c>
      <c r="X14" s="8">
        <v>30.79</v>
      </c>
      <c r="Y14" s="8">
        <v>2.4500000000000002</v>
      </c>
      <c r="Z14" s="9">
        <v>1.52</v>
      </c>
      <c r="AA14" s="8">
        <v>233.8</v>
      </c>
      <c r="AB14" s="8">
        <v>2916</v>
      </c>
      <c r="AC14" s="21" t="s">
        <v>1019</v>
      </c>
      <c r="AD14" s="8" t="s">
        <v>3687</v>
      </c>
      <c r="AE14" s="8" t="s">
        <v>4085</v>
      </c>
      <c r="AF14" s="9">
        <f t="shared" si="0"/>
        <v>572.81000000000006</v>
      </c>
      <c r="AG14" s="9">
        <f t="shared" si="1"/>
        <v>436.42666666666668</v>
      </c>
      <c r="AH14" s="9">
        <f t="shared" si="2"/>
        <v>1.6171872838447283</v>
      </c>
      <c r="AI14" s="9">
        <f t="shared" si="3"/>
        <v>2.6152947110290898</v>
      </c>
      <c r="AJ14" s="9">
        <f t="shared" si="4"/>
        <v>1.600502987283321</v>
      </c>
      <c r="AK14" s="9">
        <f t="shared" si="5"/>
        <v>2.5616098123028341</v>
      </c>
      <c r="AL14" s="9">
        <f t="shared" si="6"/>
        <v>1.3438873709721917</v>
      </c>
      <c r="AM14" s="9">
        <f t="shared" si="7"/>
        <v>1.8060332658585492</v>
      </c>
      <c r="AN14" s="8" t="s">
        <v>1019</v>
      </c>
    </row>
    <row r="15" spans="8:40" ht="23">
      <c r="M15" s="8" t="s">
        <v>1896</v>
      </c>
      <c r="N15" s="8" t="s">
        <v>1869</v>
      </c>
      <c r="O15" s="8"/>
      <c r="P15" s="8" t="s">
        <v>3691</v>
      </c>
      <c r="Q15" s="8"/>
      <c r="R15" s="8"/>
      <c r="S15" s="8"/>
      <c r="T15" s="8"/>
      <c r="U15" s="8"/>
      <c r="V15" s="8"/>
      <c r="W15" s="8" t="s">
        <v>1896</v>
      </c>
      <c r="X15" s="8">
        <v>16.16</v>
      </c>
      <c r="Y15" s="8">
        <v>10.86</v>
      </c>
      <c r="Z15" s="9">
        <v>31.04</v>
      </c>
      <c r="AA15" s="8">
        <v>213.2</v>
      </c>
      <c r="AB15" s="8">
        <v>460</v>
      </c>
      <c r="AC15" s="21" t="s">
        <v>1896</v>
      </c>
      <c r="AD15" s="8" t="s">
        <v>4090</v>
      </c>
      <c r="AE15" s="8" t="s">
        <v>4085</v>
      </c>
      <c r="AF15" s="9">
        <f t="shared" si="0"/>
        <v>2315.3519999999999</v>
      </c>
      <c r="AG15" s="9">
        <f t="shared" si="1"/>
        <v>6623.413333333333</v>
      </c>
      <c r="AH15" s="9">
        <f t="shared" si="2"/>
        <v>1.4746977284674767</v>
      </c>
      <c r="AI15" s="9">
        <f t="shared" si="3"/>
        <v>2.1747333903471358</v>
      </c>
      <c r="AJ15" s="9">
        <f t="shared" si="4"/>
        <v>6.4693839014898664</v>
      </c>
      <c r="AK15" s="9">
        <f t="shared" si="5"/>
        <v>41.852928064856243</v>
      </c>
      <c r="AL15" s="9">
        <f t="shared" si="6"/>
        <v>20.395457498920383</v>
      </c>
      <c r="AM15" s="9">
        <f t="shared" si="7"/>
        <v>415.97468659026765</v>
      </c>
      <c r="AN15" s="8" t="s">
        <v>1896</v>
      </c>
    </row>
    <row r="16" spans="8:40" ht="23">
      <c r="M16" s="8" t="s">
        <v>4310</v>
      </c>
      <c r="N16" s="8"/>
      <c r="O16" s="8"/>
      <c r="P16" s="8"/>
      <c r="Q16" s="8"/>
      <c r="R16" s="8"/>
      <c r="S16" s="8"/>
      <c r="T16" s="8"/>
      <c r="U16" s="8"/>
      <c r="V16" s="8"/>
      <c r="W16" s="8" t="s">
        <v>4310</v>
      </c>
      <c r="X16" s="8">
        <v>35.729999999999997</v>
      </c>
      <c r="Y16" s="8">
        <v>1.27</v>
      </c>
      <c r="Z16" s="9">
        <v>0.25</v>
      </c>
      <c r="AA16" s="8">
        <v>211.4</v>
      </c>
      <c r="AB16" s="8">
        <v>3479</v>
      </c>
      <c r="AC16" s="21" t="s">
        <v>4310</v>
      </c>
      <c r="AD16" s="8" t="s">
        <v>4090</v>
      </c>
      <c r="AE16" s="8" t="s">
        <v>4085</v>
      </c>
      <c r="AF16" s="9">
        <f t="shared" si="0"/>
        <v>268.47800000000001</v>
      </c>
      <c r="AG16" s="9">
        <f t="shared" si="1"/>
        <v>88.083333333333343</v>
      </c>
      <c r="AH16" s="9">
        <f t="shared" si="2"/>
        <v>1.4622471847937366</v>
      </c>
      <c r="AI16" s="9">
        <f t="shared" si="3"/>
        <v>2.1381668294372083</v>
      </c>
      <c r="AJ16" s="9">
        <f t="shared" si="4"/>
        <v>0.75016120706665623</v>
      </c>
      <c r="AK16" s="9">
        <f t="shared" si="5"/>
        <v>0.56274183658770272</v>
      </c>
      <c r="AL16" s="9">
        <f t="shared" si="6"/>
        <v>0.27123475328379082</v>
      </c>
      <c r="AM16" s="9">
        <f t="shared" si="7"/>
        <v>7.3568291388918877E-2</v>
      </c>
      <c r="AN16" s="8" t="s">
        <v>4310</v>
      </c>
    </row>
    <row r="17" spans="13:40" ht="22" customHeight="1">
      <c r="M17" s="8" t="s">
        <v>4759</v>
      </c>
      <c r="N17" s="8" t="s">
        <v>150</v>
      </c>
      <c r="O17" s="8"/>
      <c r="P17" s="8" t="s">
        <v>3692</v>
      </c>
      <c r="Q17" s="8"/>
      <c r="R17" s="8"/>
      <c r="S17" s="8"/>
      <c r="T17" s="8"/>
      <c r="U17" s="8"/>
      <c r="V17" s="8"/>
      <c r="W17" s="8" t="s">
        <v>4759</v>
      </c>
      <c r="X17" s="8">
        <v>17.79</v>
      </c>
      <c r="Y17" s="8">
        <v>6.54</v>
      </c>
      <c r="Z17" s="9">
        <v>7.43</v>
      </c>
      <c r="AA17" s="8">
        <v>206.5</v>
      </c>
      <c r="AB17" s="8">
        <v>661</v>
      </c>
      <c r="AC17" s="21" t="s">
        <v>4759</v>
      </c>
      <c r="AD17" s="8" t="s">
        <v>4090</v>
      </c>
      <c r="AE17" s="8" t="s">
        <v>4085</v>
      </c>
      <c r="AF17" s="9">
        <f t="shared" si="0"/>
        <v>1350.51</v>
      </c>
      <c r="AG17" s="9">
        <f t="shared" si="1"/>
        <v>1593.4916666666668</v>
      </c>
      <c r="AH17" s="9">
        <f t="shared" si="2"/>
        <v>1.428354038126332</v>
      </c>
      <c r="AI17" s="9">
        <f t="shared" si="3"/>
        <v>2.0401952582317993</v>
      </c>
      <c r="AJ17" s="9">
        <f t="shared" si="4"/>
        <v>3.7734943338209828</v>
      </c>
      <c r="AK17" s="9">
        <f t="shared" si="5"/>
        <v>14.239259487379062</v>
      </c>
      <c r="AL17" s="9">
        <f t="shared" si="6"/>
        <v>4.9068342751346448</v>
      </c>
      <c r="AM17" s="9">
        <f t="shared" si="7"/>
        <v>24.077022603636134</v>
      </c>
      <c r="AN17" s="8" t="s">
        <v>4759</v>
      </c>
    </row>
    <row r="18" spans="13:40" ht="23">
      <c r="M18" s="8" t="s">
        <v>3940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3940</v>
      </c>
      <c r="X18" s="8">
        <v>27.43</v>
      </c>
      <c r="Y18" s="8">
        <v>2.15</v>
      </c>
      <c r="Z18" s="9">
        <v>1.34</v>
      </c>
      <c r="AA18" s="8">
        <v>204</v>
      </c>
      <c r="AB18" s="8">
        <v>1131</v>
      </c>
      <c r="AC18" s="21" t="s">
        <v>3940</v>
      </c>
      <c r="AD18" s="8" t="s">
        <v>4090</v>
      </c>
      <c r="AE18" s="8" t="s">
        <v>4085</v>
      </c>
      <c r="AF18" s="9">
        <f t="shared" si="0"/>
        <v>438.59999999999997</v>
      </c>
      <c r="AG18" s="9">
        <f t="shared" si="1"/>
        <v>319.60000000000002</v>
      </c>
      <c r="AH18" s="9">
        <f t="shared" si="2"/>
        <v>1.411061616357248</v>
      </c>
      <c r="AI18" s="9">
        <f t="shared" si="3"/>
        <v>1.9910948851567294</v>
      </c>
      <c r="AJ18" s="9">
        <f t="shared" si="4"/>
        <v>1.2255034133874485</v>
      </c>
      <c r="AK18" s="9">
        <f t="shared" si="5"/>
        <v>1.5018586162242875</v>
      </c>
      <c r="AL18" s="9">
        <f t="shared" si="6"/>
        <v>0.98414335458277635</v>
      </c>
      <c r="AM18" s="9">
        <f t="shared" si="7"/>
        <v>0.96853814236944025</v>
      </c>
      <c r="AN18" s="8" t="s">
        <v>3940</v>
      </c>
    </row>
    <row r="19" spans="13:40" ht="26" customHeight="1">
      <c r="M19" s="8" t="s">
        <v>1412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1412</v>
      </c>
      <c r="X19" s="8">
        <v>29.77</v>
      </c>
      <c r="Y19" s="8">
        <v>1.34</v>
      </c>
      <c r="Z19" s="9">
        <v>0.22</v>
      </c>
      <c r="AA19" s="8">
        <v>187.9</v>
      </c>
      <c r="AB19" s="8">
        <v>4716</v>
      </c>
      <c r="AC19" s="21" t="s">
        <v>1412</v>
      </c>
      <c r="AD19" s="8" t="s">
        <v>4090</v>
      </c>
      <c r="AE19" s="8" t="s">
        <v>4085</v>
      </c>
      <c r="AF19" s="9">
        <f t="shared" si="0"/>
        <v>251.78600000000003</v>
      </c>
      <c r="AG19" s="9">
        <f t="shared" si="1"/>
        <v>68.896666666666661</v>
      </c>
      <c r="AH19" s="9">
        <f t="shared" si="2"/>
        <v>1.2996984201643476</v>
      </c>
      <c r="AI19" s="9">
        <f t="shared" si="3"/>
        <v>1.689215983377701</v>
      </c>
      <c r="AJ19" s="9">
        <f t="shared" si="4"/>
        <v>0.70352166539710936</v>
      </c>
      <c r="AK19" s="9">
        <f t="shared" si="5"/>
        <v>0.4949427336831223</v>
      </c>
      <c r="AL19" s="9">
        <f t="shared" si="6"/>
        <v>0.21215330617304343</v>
      </c>
      <c r="AM19" s="9">
        <f t="shared" si="7"/>
        <v>4.5009025320153107E-2</v>
      </c>
      <c r="AN19" s="8" t="s">
        <v>1412</v>
      </c>
    </row>
    <row r="20" spans="13:40" ht="27" customHeight="1">
      <c r="M20" s="9" t="s">
        <v>2826</v>
      </c>
      <c r="N20" s="8" t="s">
        <v>1614</v>
      </c>
      <c r="O20" s="8"/>
      <c r="P20" s="8" t="s">
        <v>3700</v>
      </c>
      <c r="Q20" s="8"/>
      <c r="R20" s="8"/>
      <c r="S20" s="8"/>
      <c r="T20" s="8"/>
      <c r="U20" s="8"/>
      <c r="V20" s="8"/>
      <c r="W20" s="9" t="s">
        <v>2826</v>
      </c>
      <c r="X20" s="8">
        <v>29.66</v>
      </c>
      <c r="Y20" s="8">
        <v>1.83</v>
      </c>
      <c r="Z20" s="9">
        <v>0.31</v>
      </c>
      <c r="AA20" s="8">
        <v>181.8</v>
      </c>
      <c r="AB20" s="8">
        <v>6337</v>
      </c>
      <c r="AC20" s="22" t="s">
        <v>2826</v>
      </c>
      <c r="AD20" s="8" t="s">
        <v>3687</v>
      </c>
      <c r="AE20" s="8" t="s">
        <v>4085</v>
      </c>
      <c r="AF20" s="9">
        <f t="shared" si="0"/>
        <v>332.69400000000002</v>
      </c>
      <c r="AG20" s="9">
        <f t="shared" si="1"/>
        <v>93.930000000000021</v>
      </c>
      <c r="AH20" s="9">
        <f t="shared" si="2"/>
        <v>1.2575049110477829</v>
      </c>
      <c r="AI20" s="9">
        <f t="shared" si="3"/>
        <v>1.5813186013092926</v>
      </c>
      <c r="AJ20" s="9">
        <f t="shared" si="4"/>
        <v>0.92958876564870918</v>
      </c>
      <c r="AK20" s="9">
        <f t="shared" si="5"/>
        <v>0.86413527322029071</v>
      </c>
      <c r="AL20" s="9">
        <f t="shared" si="6"/>
        <v>0.28923837702115207</v>
      </c>
      <c r="AM20" s="9">
        <f t="shared" si="7"/>
        <v>8.365883874183011E-2</v>
      </c>
      <c r="AN20" s="9" t="s">
        <v>2826</v>
      </c>
    </row>
    <row r="21" spans="13:40" ht="23">
      <c r="M21" s="8" t="s">
        <v>947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947</v>
      </c>
      <c r="X21" s="8">
        <v>44.77</v>
      </c>
      <c r="Y21" s="8">
        <v>1.1299999999999999</v>
      </c>
      <c r="Z21" s="9">
        <v>0.01</v>
      </c>
      <c r="AA21" s="8">
        <v>179.2</v>
      </c>
      <c r="AB21" s="8">
        <v>17207</v>
      </c>
      <c r="AC21" s="21" t="s">
        <v>947</v>
      </c>
      <c r="AD21" s="8" t="s">
        <v>4090</v>
      </c>
      <c r="AE21" s="8" t="s">
        <v>4085</v>
      </c>
      <c r="AF21" s="9">
        <f t="shared" si="0"/>
        <v>202.49599999999998</v>
      </c>
      <c r="AG21" s="9">
        <f t="shared" si="1"/>
        <v>2.9866666666666664</v>
      </c>
      <c r="AH21" s="9">
        <f t="shared" si="2"/>
        <v>1.2395207924079354</v>
      </c>
      <c r="AI21" s="9">
        <f t="shared" si="3"/>
        <v>1.5364117948115963</v>
      </c>
      <c r="AJ21" s="9">
        <f t="shared" si="4"/>
        <v>0.5657992229760711</v>
      </c>
      <c r="AK21" s="9">
        <f t="shared" si="5"/>
        <v>0.32012876072032581</v>
      </c>
      <c r="AL21" s="9">
        <f t="shared" si="6"/>
        <v>9.1968340186291981E-3</v>
      </c>
      <c r="AM21" s="9">
        <f t="shared" si="7"/>
        <v>8.4581755966215281E-5</v>
      </c>
      <c r="AN21" s="8" t="s">
        <v>947</v>
      </c>
    </row>
    <row r="22" spans="13:40" ht="23">
      <c r="M22" s="9" t="s">
        <v>3446</v>
      </c>
      <c r="N22" s="8" t="s">
        <v>2003</v>
      </c>
      <c r="O22" s="8"/>
      <c r="P22" s="8"/>
      <c r="Q22" s="8"/>
      <c r="R22" s="8"/>
      <c r="S22" s="8"/>
      <c r="T22" s="8"/>
      <c r="U22" s="8"/>
      <c r="V22" s="8"/>
      <c r="W22" s="9" t="s">
        <v>3446</v>
      </c>
      <c r="X22" s="8">
        <v>22.96</v>
      </c>
      <c r="Y22" s="8">
        <v>3.3</v>
      </c>
      <c r="Z22" s="9">
        <v>3.23</v>
      </c>
      <c r="AA22" s="8">
        <v>160.30000000000001</v>
      </c>
      <c r="AB22" s="8">
        <v>1008</v>
      </c>
      <c r="AC22" s="22" t="s">
        <v>3446</v>
      </c>
      <c r="AD22" s="8" t="s">
        <v>4090</v>
      </c>
      <c r="AE22" s="8" t="s">
        <v>4085</v>
      </c>
      <c r="AF22" s="9">
        <f t="shared" si="0"/>
        <v>528.99</v>
      </c>
      <c r="AG22" s="9">
        <f t="shared" si="1"/>
        <v>542.34833333333336</v>
      </c>
      <c r="AH22" s="9">
        <f t="shared" si="2"/>
        <v>1.1087900838336611</v>
      </c>
      <c r="AI22" s="9">
        <f t="shared" si="3"/>
        <v>1.2294154500078571</v>
      </c>
      <c r="AJ22" s="9">
        <f t="shared" si="4"/>
        <v>1.4780644109617567</v>
      </c>
      <c r="AK22" s="9">
        <f t="shared" si="5"/>
        <v>2.1846744029517247</v>
      </c>
      <c r="AL22" s="9">
        <f t="shared" si="6"/>
        <v>1.6700516524375608</v>
      </c>
      <c r="AM22" s="9">
        <f t="shared" si="7"/>
        <v>2.7890725218094272</v>
      </c>
      <c r="AN22" s="9" t="s">
        <v>3446</v>
      </c>
    </row>
    <row r="23" spans="13:40" ht="23">
      <c r="M23" s="9" t="s">
        <v>2190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9" t="s">
        <v>2190</v>
      </c>
      <c r="X23" s="8">
        <v>26.69</v>
      </c>
      <c r="Y23" s="8">
        <v>1.77</v>
      </c>
      <c r="Z23" s="9">
        <v>1.05</v>
      </c>
      <c r="AA23" s="8">
        <v>156.9</v>
      </c>
      <c r="AB23" s="8">
        <v>8486</v>
      </c>
      <c r="AC23" s="22" t="s">
        <v>2190</v>
      </c>
      <c r="AD23" s="8" t="s">
        <v>3996</v>
      </c>
      <c r="AE23" s="8" t="s">
        <v>4085</v>
      </c>
      <c r="AF23" s="9">
        <f t="shared" si="0"/>
        <v>277.71300000000002</v>
      </c>
      <c r="AG23" s="9">
        <f t="shared" si="1"/>
        <v>169.97499999999999</v>
      </c>
      <c r="AH23" s="9">
        <f t="shared" si="2"/>
        <v>1.0852723902277071</v>
      </c>
      <c r="AI23" s="9">
        <f t="shared" si="3"/>
        <v>1.1778161609905604</v>
      </c>
      <c r="AJ23" s="9">
        <f t="shared" si="4"/>
        <v>0.77596495540827293</v>
      </c>
      <c r="AK23" s="9">
        <f t="shared" si="5"/>
        <v>0.60212161202176295</v>
      </c>
      <c r="AL23" s="9">
        <f t="shared" si="6"/>
        <v>0.52340352532918455</v>
      </c>
      <c r="AM23" s="9">
        <f t="shared" si="7"/>
        <v>0.27395125032701834</v>
      </c>
      <c r="AN23" s="9" t="s">
        <v>2190</v>
      </c>
    </row>
    <row r="24" spans="13:40" ht="23">
      <c r="M24" s="8" t="s">
        <v>840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840</v>
      </c>
      <c r="X24" s="8">
        <v>27.08</v>
      </c>
      <c r="Y24" s="8">
        <v>1.68</v>
      </c>
      <c r="Z24" s="9">
        <v>1.02</v>
      </c>
      <c r="AA24" s="8">
        <v>120.4</v>
      </c>
      <c r="AB24" s="8">
        <v>5110</v>
      </c>
      <c r="AC24" s="21" t="s">
        <v>840</v>
      </c>
      <c r="AD24" s="8" t="s">
        <v>4104</v>
      </c>
      <c r="AE24" s="8" t="s">
        <v>4085</v>
      </c>
      <c r="AF24" s="9">
        <f t="shared" si="0"/>
        <v>202.27199999999999</v>
      </c>
      <c r="AG24" s="9">
        <f t="shared" si="1"/>
        <v>124.41333333333336</v>
      </c>
      <c r="AH24" s="9">
        <f t="shared" si="2"/>
        <v>0.83280303239908171</v>
      </c>
      <c r="AI24" s="9">
        <f t="shared" si="3"/>
        <v>0.6935608907731059</v>
      </c>
      <c r="AJ24" s="9">
        <f t="shared" si="4"/>
        <v>0.56517333887985866</v>
      </c>
      <c r="AK24" s="9">
        <f t="shared" si="5"/>
        <v>0.31942090298060755</v>
      </c>
      <c r="AL24" s="9">
        <f t="shared" si="6"/>
        <v>0.38310561708852264</v>
      </c>
      <c r="AM24" s="9">
        <f t="shared" si="7"/>
        <v>0.14676991384477772</v>
      </c>
      <c r="AN24" s="8" t="s">
        <v>840</v>
      </c>
    </row>
    <row r="25" spans="13:40" ht="23">
      <c r="M25" s="8" t="s">
        <v>2090</v>
      </c>
      <c r="N25" s="8" t="s">
        <v>2084</v>
      </c>
      <c r="O25" s="8"/>
      <c r="P25" s="8" t="s">
        <v>3693</v>
      </c>
      <c r="Q25" s="8"/>
      <c r="R25" s="8"/>
      <c r="S25" s="8"/>
      <c r="T25" s="8"/>
      <c r="U25" s="8"/>
      <c r="V25" s="8"/>
      <c r="W25" s="8" t="s">
        <v>2090</v>
      </c>
      <c r="X25" s="8">
        <v>22.28</v>
      </c>
      <c r="Y25" s="8">
        <v>2.67</v>
      </c>
      <c r="Z25" s="9">
        <v>2.4900000000000002</v>
      </c>
      <c r="AA25" s="8">
        <v>116.8</v>
      </c>
      <c r="AB25" s="8">
        <v>2292</v>
      </c>
      <c r="AC25" s="21" t="s">
        <v>2090</v>
      </c>
      <c r="AD25" s="8" t="s">
        <v>4090</v>
      </c>
      <c r="AE25" s="8" t="s">
        <v>4085</v>
      </c>
      <c r="AF25" s="9">
        <f t="shared" si="0"/>
        <v>311.85599999999999</v>
      </c>
      <c r="AG25" s="9">
        <f t="shared" si="1"/>
        <v>328.98666666666662</v>
      </c>
      <c r="AH25" s="9">
        <f t="shared" si="2"/>
        <v>0.80790194505160084</v>
      </c>
      <c r="AI25" s="9">
        <f t="shared" si="3"/>
        <v>0.6527055528181599</v>
      </c>
      <c r="AJ25" s="9">
        <f t="shared" si="4"/>
        <v>0.87136477994837258</v>
      </c>
      <c r="AK25" s="9">
        <f t="shared" si="5"/>
        <v>0.75927657973447582</v>
      </c>
      <c r="AL25" s="9">
        <f t="shared" si="6"/>
        <v>1.0130476900698964</v>
      </c>
      <c r="AM25" s="9">
        <f t="shared" si="7"/>
        <v>1.0262656223559528</v>
      </c>
      <c r="AN25" s="8" t="s">
        <v>2090</v>
      </c>
    </row>
    <row r="26" spans="13:40" ht="23">
      <c r="M26" s="9" t="s">
        <v>2263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9" t="s">
        <v>2263</v>
      </c>
      <c r="X26" s="8">
        <v>25.86</v>
      </c>
      <c r="Y26" s="8">
        <v>4.7300000000000004</v>
      </c>
      <c r="Z26" s="9">
        <v>5.19</v>
      </c>
      <c r="AA26" s="8">
        <v>100.1</v>
      </c>
      <c r="AB26" s="8">
        <v>1306</v>
      </c>
      <c r="AC26" s="22" t="s">
        <v>2263</v>
      </c>
      <c r="AD26" s="8" t="s">
        <v>3687</v>
      </c>
      <c r="AE26" s="8" t="s">
        <v>4085</v>
      </c>
      <c r="AF26" s="9">
        <f t="shared" si="0"/>
        <v>473.47300000000001</v>
      </c>
      <c r="AG26" s="9">
        <f t="shared" si="1"/>
        <v>532.19833333333327</v>
      </c>
      <c r="AH26" s="9">
        <f t="shared" si="2"/>
        <v>0.69238856763412016</v>
      </c>
      <c r="AI26" s="9">
        <f t="shared" si="3"/>
        <v>0.47940192859042857</v>
      </c>
      <c r="AJ26" s="9">
        <f t="shared" si="4"/>
        <v>1.3229429494910978</v>
      </c>
      <c r="AK26" s="9">
        <f t="shared" si="5"/>
        <v>1.7501780476082054</v>
      </c>
      <c r="AL26" s="9">
        <f t="shared" si="6"/>
        <v>1.6387967868273754</v>
      </c>
      <c r="AM26" s="9">
        <f t="shared" si="7"/>
        <v>2.6856549085157302</v>
      </c>
      <c r="AN26" s="9" t="s">
        <v>2263</v>
      </c>
    </row>
    <row r="27" spans="13:40" ht="23">
      <c r="M27" s="8" t="s">
        <v>4760</v>
      </c>
      <c r="N27" s="8" t="s">
        <v>150</v>
      </c>
      <c r="O27" s="8"/>
      <c r="P27" s="8" t="s">
        <v>3693</v>
      </c>
      <c r="Q27" s="8"/>
      <c r="R27" s="8"/>
      <c r="S27" s="8"/>
      <c r="T27" s="8"/>
      <c r="U27" s="8"/>
      <c r="V27" s="8"/>
      <c r="W27" s="8" t="s">
        <v>4760</v>
      </c>
      <c r="X27" s="8">
        <v>19.68</v>
      </c>
      <c r="Y27" s="8">
        <v>6.69</v>
      </c>
      <c r="Z27" s="9">
        <v>10.59</v>
      </c>
      <c r="AA27" s="8">
        <v>90.4</v>
      </c>
      <c r="AB27" s="8">
        <v>1120</v>
      </c>
      <c r="AC27" s="21" t="s">
        <v>4760</v>
      </c>
      <c r="AD27" s="8" t="s">
        <v>4090</v>
      </c>
      <c r="AE27" s="8" t="s">
        <v>4085</v>
      </c>
      <c r="AF27" s="9">
        <f t="shared" si="0"/>
        <v>604.77600000000007</v>
      </c>
      <c r="AG27" s="9">
        <f t="shared" si="1"/>
        <v>992.89333333333332</v>
      </c>
      <c r="AH27" s="9">
        <f t="shared" si="2"/>
        <v>0.62529397117007468</v>
      </c>
      <c r="AI27" s="9">
        <f t="shared" si="3"/>
        <v>0.39099255038164221</v>
      </c>
      <c r="AJ27" s="9">
        <f t="shared" si="4"/>
        <v>1.6898200007633555</v>
      </c>
      <c r="AK27" s="9">
        <f t="shared" si="5"/>
        <v>2.8554916349798667</v>
      </c>
      <c r="AL27" s="9">
        <f t="shared" si="6"/>
        <v>3.05741356636277</v>
      </c>
      <c r="AM27" s="9">
        <f t="shared" si="7"/>
        <v>9.3477777157791113</v>
      </c>
      <c r="AN27" s="8" t="s">
        <v>4760</v>
      </c>
    </row>
    <row r="28" spans="13:40" ht="27" customHeight="1">
      <c r="M28" s="9" t="s">
        <v>2788</v>
      </c>
      <c r="N28" s="8" t="s">
        <v>1614</v>
      </c>
      <c r="O28" s="8"/>
      <c r="P28" s="8"/>
      <c r="Q28" s="8"/>
      <c r="R28" s="8"/>
      <c r="S28" s="8"/>
      <c r="T28" s="8"/>
      <c r="U28" s="8"/>
      <c r="V28" s="8"/>
      <c r="W28" s="9" t="s">
        <v>2788</v>
      </c>
      <c r="X28" s="8">
        <v>28.49</v>
      </c>
      <c r="Y28" s="8">
        <v>2.77</v>
      </c>
      <c r="Z28" s="9">
        <v>1.21</v>
      </c>
      <c r="AA28" s="8">
        <v>81.5</v>
      </c>
      <c r="AB28" s="8">
        <v>4859</v>
      </c>
      <c r="AC28" s="22" t="s">
        <v>2788</v>
      </c>
      <c r="AD28" s="8" t="s">
        <v>3996</v>
      </c>
      <c r="AE28" s="8" t="s">
        <v>4085</v>
      </c>
      <c r="AF28" s="9">
        <f t="shared" si="0"/>
        <v>225.755</v>
      </c>
      <c r="AG28" s="9">
        <f t="shared" si="1"/>
        <v>110.02500000000001</v>
      </c>
      <c r="AH28" s="9">
        <f t="shared" si="2"/>
        <v>0.56373294967213583</v>
      </c>
      <c r="AI28" s="9">
        <f t="shared" si="3"/>
        <v>0.31779483854604684</v>
      </c>
      <c r="AJ28" s="9">
        <f t="shared" si="4"/>
        <v>0.63078778634127552</v>
      </c>
      <c r="AK28" s="9">
        <f t="shared" si="5"/>
        <v>0.39789323139732669</v>
      </c>
      <c r="AL28" s="9">
        <f t="shared" si="6"/>
        <v>0.33879966391730276</v>
      </c>
      <c r="AM28" s="9">
        <f t="shared" si="7"/>
        <v>0.1147852122704773</v>
      </c>
      <c r="AN28" s="9" t="s">
        <v>2788</v>
      </c>
    </row>
    <row r="29" spans="13:40" ht="27.5" customHeight="1">
      <c r="M29" s="8" t="s">
        <v>1131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1131</v>
      </c>
      <c r="X29" s="8">
        <v>26.19</v>
      </c>
      <c r="Y29" s="8">
        <v>1.34</v>
      </c>
      <c r="Z29" s="9">
        <v>0.27</v>
      </c>
      <c r="AA29" s="8">
        <v>76.5</v>
      </c>
      <c r="AB29" s="8">
        <v>10863</v>
      </c>
      <c r="AC29" s="21" t="s">
        <v>1131</v>
      </c>
      <c r="AD29" s="8" t="s">
        <v>4090</v>
      </c>
      <c r="AE29" s="8" t="s">
        <v>4085</v>
      </c>
      <c r="AF29" s="9">
        <f t="shared" si="0"/>
        <v>102.51</v>
      </c>
      <c r="AG29" s="9">
        <f t="shared" si="1"/>
        <v>34.425000000000004</v>
      </c>
      <c r="AH29" s="9">
        <f t="shared" si="2"/>
        <v>0.52914810613396801</v>
      </c>
      <c r="AI29" s="9">
        <f t="shared" si="3"/>
        <v>0.27999771822516506</v>
      </c>
      <c r="AJ29" s="9">
        <f t="shared" si="4"/>
        <v>0.28642579778008975</v>
      </c>
      <c r="AK29" s="9">
        <f t="shared" si="5"/>
        <v>8.2039737633960871E-2</v>
      </c>
      <c r="AL29" s="9">
        <f t="shared" si="6"/>
        <v>0.1060048028207512</v>
      </c>
      <c r="AM29" s="9">
        <f t="shared" si="7"/>
        <v>1.1237018221066342E-2</v>
      </c>
      <c r="AN29" s="8" t="s">
        <v>1131</v>
      </c>
    </row>
    <row r="30" spans="13:40" ht="27.5" customHeight="1">
      <c r="M30" s="8" t="s">
        <v>1087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1087</v>
      </c>
      <c r="X30" s="8">
        <v>29.82</v>
      </c>
      <c r="Y30" s="8">
        <v>2.19</v>
      </c>
      <c r="Z30" s="9">
        <v>2.02</v>
      </c>
      <c r="AA30" s="8">
        <v>75.8</v>
      </c>
      <c r="AB30" s="8">
        <v>2145</v>
      </c>
      <c r="AC30" s="21" t="s">
        <v>1087</v>
      </c>
      <c r="AD30" s="8" t="s">
        <v>3687</v>
      </c>
      <c r="AE30" s="8" t="s">
        <v>4085</v>
      </c>
      <c r="AF30" s="9">
        <f t="shared" si="0"/>
        <v>166.00199999999998</v>
      </c>
      <c r="AG30" s="9">
        <f t="shared" si="1"/>
        <v>154.12666666666667</v>
      </c>
      <c r="AH30" s="9">
        <f t="shared" si="2"/>
        <v>0.52430622803862448</v>
      </c>
      <c r="AI30" s="9">
        <f t="shared" si="3"/>
        <v>0.27489702076009009</v>
      </c>
      <c r="AJ30" s="9">
        <f t="shared" si="4"/>
        <v>0.46383040955117011</v>
      </c>
      <c r="AK30" s="9">
        <f t="shared" si="5"/>
        <v>0.2151386488244062</v>
      </c>
      <c r="AL30" s="9">
        <f t="shared" si="6"/>
        <v>0.47460179838546529</v>
      </c>
      <c r="AM30" s="9">
        <f t="shared" si="7"/>
        <v>0.22524686703071783</v>
      </c>
      <c r="AN30" s="8" t="s">
        <v>1087</v>
      </c>
    </row>
    <row r="31" spans="13:40" ht="23">
      <c r="M31" s="8" t="s">
        <v>1653</v>
      </c>
      <c r="N31" s="8" t="s">
        <v>1614</v>
      </c>
      <c r="O31" s="8"/>
      <c r="P31" s="8" t="s">
        <v>3692</v>
      </c>
      <c r="Q31" s="8"/>
      <c r="R31" s="8"/>
      <c r="S31" s="8"/>
      <c r="T31" s="8"/>
      <c r="U31" s="8"/>
      <c r="V31" s="8"/>
      <c r="W31" s="8" t="s">
        <v>1653</v>
      </c>
      <c r="X31" s="8">
        <v>30.45</v>
      </c>
      <c r="Y31" s="8">
        <v>1.08</v>
      </c>
      <c r="Z31" s="9">
        <v>0.08</v>
      </c>
      <c r="AA31" s="8">
        <v>66.7</v>
      </c>
      <c r="AB31" s="8">
        <v>21787</v>
      </c>
      <c r="AC31" s="21" t="s">
        <v>1653</v>
      </c>
      <c r="AD31" s="8" t="s">
        <v>3687</v>
      </c>
      <c r="AE31" s="8" t="s">
        <v>4085</v>
      </c>
      <c r="AF31" s="9">
        <f t="shared" si="0"/>
        <v>72.036000000000001</v>
      </c>
      <c r="AG31" s="9">
        <f t="shared" si="1"/>
        <v>8.8933333333333344</v>
      </c>
      <c r="AH31" s="9">
        <f t="shared" si="2"/>
        <v>0.46136181279915905</v>
      </c>
      <c r="AI31" s="9">
        <f t="shared" si="3"/>
        <v>0.21285472230932628</v>
      </c>
      <c r="AJ31" s="9">
        <f t="shared" si="4"/>
        <v>0.20127761944089889</v>
      </c>
      <c r="AK31" s="9">
        <f t="shared" si="5"/>
        <v>4.0512680087795322E-2</v>
      </c>
      <c r="AL31" s="9">
        <f t="shared" si="6"/>
        <v>2.7385215582257483E-2</v>
      </c>
      <c r="AM31" s="9">
        <f t="shared" si="7"/>
        <v>7.4995003248671806E-4</v>
      </c>
      <c r="AN31" s="8" t="s">
        <v>1653</v>
      </c>
    </row>
    <row r="32" spans="13:40" ht="23">
      <c r="M32" s="8" t="s">
        <v>1915</v>
      </c>
      <c r="N32" s="8" t="s">
        <v>1902</v>
      </c>
      <c r="O32" s="8"/>
      <c r="P32" s="8"/>
      <c r="Q32" s="8"/>
      <c r="R32" s="8"/>
      <c r="S32" s="8"/>
      <c r="T32" s="8"/>
      <c r="U32" s="8"/>
      <c r="V32" s="8"/>
      <c r="W32" s="8" t="s">
        <v>1915</v>
      </c>
      <c r="X32" s="8">
        <v>37.24</v>
      </c>
      <c r="Y32" s="8">
        <v>1.42</v>
      </c>
      <c r="Z32" s="9">
        <v>0.36</v>
      </c>
      <c r="AA32" s="8">
        <v>66.599999999999994</v>
      </c>
      <c r="AB32" s="8">
        <v>4628</v>
      </c>
      <c r="AC32" s="21" t="s">
        <v>1915</v>
      </c>
      <c r="AD32" s="8" t="s">
        <v>4090</v>
      </c>
      <c r="AE32" s="8" t="s">
        <v>4085</v>
      </c>
      <c r="AF32" s="9">
        <f t="shared" si="0"/>
        <v>94.571999999999989</v>
      </c>
      <c r="AG32" s="9">
        <f t="shared" si="1"/>
        <v>39.959999999999994</v>
      </c>
      <c r="AH32" s="9">
        <f t="shared" si="2"/>
        <v>0.46067011592839563</v>
      </c>
      <c r="AI32" s="9">
        <f t="shared" si="3"/>
        <v>0.21221695570948146</v>
      </c>
      <c r="AJ32" s="9">
        <f t="shared" si="4"/>
        <v>0.26424603012056036</v>
      </c>
      <c r="AK32" s="9">
        <f t="shared" si="5"/>
        <v>6.9825964434476098E-2</v>
      </c>
      <c r="AL32" s="9">
        <f t="shared" si="6"/>
        <v>0.12304871229389153</v>
      </c>
      <c r="AM32" s="9">
        <f t="shared" si="7"/>
        <v>1.5140985597184891E-2</v>
      </c>
      <c r="AN32" s="8" t="s">
        <v>1915</v>
      </c>
    </row>
    <row r="33" spans="13:40" ht="23">
      <c r="M33" s="9" t="s">
        <v>2907</v>
      </c>
      <c r="N33" s="8" t="s">
        <v>1717</v>
      </c>
      <c r="O33" s="8"/>
      <c r="P33" s="8"/>
      <c r="Q33" s="8"/>
      <c r="R33" s="8"/>
      <c r="S33" s="8"/>
      <c r="T33" s="8"/>
      <c r="U33" s="8"/>
      <c r="V33" s="8"/>
      <c r="W33" s="9" t="s">
        <v>2907</v>
      </c>
      <c r="X33" s="8">
        <v>28.04</v>
      </c>
      <c r="Y33" s="8">
        <v>8.27</v>
      </c>
      <c r="Z33" s="9">
        <v>14.11</v>
      </c>
      <c r="AA33" s="8">
        <v>66.5</v>
      </c>
      <c r="AB33" s="8">
        <v>1488</v>
      </c>
      <c r="AC33" s="22" t="s">
        <v>2907</v>
      </c>
      <c r="AD33" s="8" t="s">
        <v>4090</v>
      </c>
      <c r="AE33" s="8" t="s">
        <v>4085</v>
      </c>
      <c r="AF33" s="9">
        <f t="shared" si="0"/>
        <v>549.95499999999993</v>
      </c>
      <c r="AG33" s="9">
        <f t="shared" si="1"/>
        <v>943.19166666666672</v>
      </c>
      <c r="AH33" s="9">
        <f t="shared" si="2"/>
        <v>0.45997841905763232</v>
      </c>
      <c r="AI33" s="9">
        <f t="shared" si="3"/>
        <v>0.2115801459987588</v>
      </c>
      <c r="AJ33" s="9">
        <f t="shared" si="4"/>
        <v>1.5366432505916421</v>
      </c>
      <c r="AK33" s="9">
        <f t="shared" si="5"/>
        <v>2.3612724795888482</v>
      </c>
      <c r="AL33" s="9">
        <f t="shared" si="6"/>
        <v>2.9043673681096784</v>
      </c>
      <c r="AM33" s="9">
        <f t="shared" si="7"/>
        <v>8.4353498089403409</v>
      </c>
      <c r="AN33" s="9" t="s">
        <v>2907</v>
      </c>
    </row>
    <row r="34" spans="13:40" ht="23">
      <c r="M34" s="8" t="s">
        <v>552</v>
      </c>
      <c r="N34" s="8" t="s">
        <v>150</v>
      </c>
      <c r="O34" s="8"/>
      <c r="P34" s="8" t="s">
        <v>3692</v>
      </c>
      <c r="Q34" s="8"/>
      <c r="R34" s="8"/>
      <c r="S34" s="8"/>
      <c r="T34" s="8"/>
      <c r="U34" s="8"/>
      <c r="V34" s="8"/>
      <c r="W34" s="8" t="s">
        <v>552</v>
      </c>
      <c r="X34" s="8">
        <v>4.5999999999999996</v>
      </c>
      <c r="Y34" s="8">
        <v>3.81</v>
      </c>
      <c r="Z34" s="9">
        <v>1.03</v>
      </c>
      <c r="AA34" s="8">
        <v>64.599999999999994</v>
      </c>
      <c r="AB34" s="8">
        <v>10601</v>
      </c>
      <c r="AC34" s="21" t="s">
        <v>552</v>
      </c>
      <c r="AD34" s="8" t="s">
        <v>4090</v>
      </c>
      <c r="AE34" s="8" t="s">
        <v>4085</v>
      </c>
      <c r="AF34" s="9">
        <f t="shared" ref="AF34:AF65" si="8">(AA34*Y34)</f>
        <v>246.12599999999998</v>
      </c>
      <c r="AG34" s="9">
        <f t="shared" ref="AG34:AG65" si="9">((((RIGHT(Z34,2))/60)+(LEFT(Z34,2)))*AA34)</f>
        <v>67.83</v>
      </c>
      <c r="AH34" s="9">
        <f t="shared" ref="AH34:AH65" si="10">(AA34/$AA$172)*100</f>
        <v>0.44683617851312851</v>
      </c>
      <c r="AI34" s="9">
        <f t="shared" ref="AI34:AI65" si="11">(AH34*AH34)</f>
        <v>0.19966257042821645</v>
      </c>
      <c r="AJ34" s="9">
        <f t="shared" ref="AJ34:AJ65" si="12">(AF34/$AF$172)*100</f>
        <v>0.68770691546602636</v>
      </c>
      <c r="AK34" s="9">
        <f t="shared" ref="AK34:AK65" si="13">(AJ34*AJ34)</f>
        <v>0.47294080157979634</v>
      </c>
      <c r="AL34" s="9">
        <f t="shared" ref="AL34:AL65" si="14">(AG34/$AG$172)*100</f>
        <v>0.20886872259496153</v>
      </c>
      <c r="AM34" s="9">
        <f t="shared" ref="AM34:AM65" si="15">(AL34*AL34)</f>
        <v>4.3626143278450991E-2</v>
      </c>
      <c r="AN34" s="8" t="s">
        <v>552</v>
      </c>
    </row>
    <row r="35" spans="13:40" ht="23">
      <c r="M35" s="8" t="s">
        <v>1957</v>
      </c>
      <c r="N35" s="8" t="s">
        <v>1939</v>
      </c>
      <c r="O35" s="8"/>
      <c r="P35" s="8"/>
      <c r="Q35" s="8"/>
      <c r="R35" s="8"/>
      <c r="S35" s="8"/>
      <c r="T35" s="8"/>
      <c r="U35" s="8"/>
      <c r="V35" s="8"/>
      <c r="W35" s="8" t="s">
        <v>1957</v>
      </c>
      <c r="X35" s="8">
        <v>30.15</v>
      </c>
      <c r="Y35" s="8">
        <v>2.23</v>
      </c>
      <c r="Z35" s="9">
        <v>1.39</v>
      </c>
      <c r="AA35" s="8">
        <v>62.8</v>
      </c>
      <c r="AB35" s="8">
        <v>6592</v>
      </c>
      <c r="AC35" s="21" t="s">
        <v>1957</v>
      </c>
      <c r="AD35" s="8" t="s">
        <v>4090</v>
      </c>
      <c r="AE35" s="8" t="s">
        <v>4085</v>
      </c>
      <c r="AF35" s="9">
        <f t="shared" si="8"/>
        <v>140.04399999999998</v>
      </c>
      <c r="AG35" s="9">
        <f t="shared" si="9"/>
        <v>103.61999999999999</v>
      </c>
      <c r="AH35" s="9">
        <f t="shared" si="10"/>
        <v>0.43438563483938808</v>
      </c>
      <c r="AI35" s="9">
        <f t="shared" si="11"/>
        <v>0.18869087975481821</v>
      </c>
      <c r="AJ35" s="9">
        <f t="shared" si="12"/>
        <v>0.39130050165169133</v>
      </c>
      <c r="AK35" s="9">
        <f t="shared" si="13"/>
        <v>0.1531160825928653</v>
      </c>
      <c r="AL35" s="9">
        <f t="shared" si="14"/>
        <v>0.31907676596328932</v>
      </c>
      <c r="AM35" s="9">
        <f t="shared" si="15"/>
        <v>0.1018099825775917</v>
      </c>
      <c r="AN35" s="8" t="s">
        <v>1957</v>
      </c>
    </row>
    <row r="36" spans="13:40" ht="23">
      <c r="M36" s="8" t="s">
        <v>1365</v>
      </c>
      <c r="N36" s="8" t="s">
        <v>150</v>
      </c>
      <c r="O36" s="8"/>
      <c r="P36" s="8"/>
      <c r="Q36" s="8"/>
      <c r="R36" s="8"/>
      <c r="S36" s="8"/>
      <c r="T36" s="8"/>
      <c r="U36" s="8"/>
      <c r="V36" s="8"/>
      <c r="W36" s="8" t="s">
        <v>1365</v>
      </c>
      <c r="X36" s="8">
        <v>33.61</v>
      </c>
      <c r="Y36" s="8">
        <v>1.08</v>
      </c>
      <c r="Z36" s="9">
        <v>0.06</v>
      </c>
      <c r="AA36" s="8">
        <v>60.4</v>
      </c>
      <c r="AB36" s="8">
        <v>30447</v>
      </c>
      <c r="AC36" s="21" t="s">
        <v>1365</v>
      </c>
      <c r="AD36" s="8" t="s">
        <v>4090</v>
      </c>
      <c r="AE36" s="8" t="s">
        <v>4085</v>
      </c>
      <c r="AF36" s="9">
        <f t="shared" si="8"/>
        <v>65.231999999999999</v>
      </c>
      <c r="AG36" s="9">
        <f t="shared" si="9"/>
        <v>6.04</v>
      </c>
      <c r="AH36" s="9">
        <f t="shared" si="10"/>
        <v>0.41778490994106759</v>
      </c>
      <c r="AI36" s="9">
        <f t="shared" si="11"/>
        <v>0.17454423097446595</v>
      </c>
      <c r="AJ36" s="9">
        <f t="shared" si="12"/>
        <v>0.18226639001844513</v>
      </c>
      <c r="AK36" s="9">
        <f t="shared" si="13"/>
        <v>3.3221036930355954E-2</v>
      </c>
      <c r="AL36" s="9">
        <f t="shared" si="14"/>
        <v>1.8598954510888513E-2</v>
      </c>
      <c r="AM36" s="9">
        <f t="shared" si="15"/>
        <v>3.4592110889810018E-4</v>
      </c>
      <c r="AN36" s="8" t="s">
        <v>1365</v>
      </c>
    </row>
    <row r="37" spans="13:40" ht="23">
      <c r="M37" s="8" t="s">
        <v>2070</v>
      </c>
      <c r="N37" s="8" t="s">
        <v>2066</v>
      </c>
      <c r="O37" s="8"/>
      <c r="P37" s="8"/>
      <c r="Q37" s="8"/>
      <c r="R37" s="8"/>
      <c r="S37" s="8"/>
      <c r="T37" s="8"/>
      <c r="U37" s="8"/>
      <c r="V37" s="8"/>
      <c r="W37" s="8" t="s">
        <v>2070</v>
      </c>
      <c r="X37" s="8">
        <v>34.71</v>
      </c>
      <c r="Y37" s="8">
        <v>1.04</v>
      </c>
      <c r="Z37" s="9">
        <v>0.03</v>
      </c>
      <c r="AA37" s="8">
        <v>58.3</v>
      </c>
      <c r="AB37" s="8">
        <v>50093</v>
      </c>
      <c r="AC37" s="21" t="s">
        <v>2070</v>
      </c>
      <c r="AD37" s="8" t="s">
        <v>4090</v>
      </c>
      <c r="AE37" s="8" t="s">
        <v>4085</v>
      </c>
      <c r="AF37" s="9">
        <f t="shared" si="8"/>
        <v>60.631999999999998</v>
      </c>
      <c r="AG37" s="9">
        <f t="shared" si="9"/>
        <v>2.915</v>
      </c>
      <c r="AH37" s="9">
        <f t="shared" si="10"/>
        <v>0.40325927565503705</v>
      </c>
      <c r="AI37" s="9">
        <f t="shared" si="11"/>
        <v>0.16261804340182515</v>
      </c>
      <c r="AJ37" s="9">
        <f t="shared" si="12"/>
        <v>0.16941341304265339</v>
      </c>
      <c r="AK37" s="9">
        <f t="shared" si="13"/>
        <v>2.8700904518760683E-2</v>
      </c>
      <c r="AL37" s="9">
        <f t="shared" si="14"/>
        <v>8.9761510594768244E-3</v>
      </c>
      <c r="AM37" s="9">
        <f t="shared" si="15"/>
        <v>8.0571287842546915E-5</v>
      </c>
      <c r="AN37" s="8" t="s">
        <v>2070</v>
      </c>
    </row>
    <row r="38" spans="13:40" ht="23">
      <c r="M38" s="9" t="s">
        <v>3497</v>
      </c>
      <c r="N38" s="8" t="s">
        <v>2027</v>
      </c>
      <c r="O38" s="8"/>
      <c r="P38" s="8" t="s">
        <v>3691</v>
      </c>
      <c r="Q38" s="8"/>
      <c r="R38" s="8"/>
      <c r="S38" s="8"/>
      <c r="T38" s="8"/>
      <c r="U38" s="8"/>
      <c r="V38" s="8"/>
      <c r="W38" s="9" t="s">
        <v>3497</v>
      </c>
      <c r="X38" s="8">
        <v>31.1</v>
      </c>
      <c r="Y38" s="8">
        <v>5.97</v>
      </c>
      <c r="Z38" s="9">
        <v>6.06</v>
      </c>
      <c r="AA38" s="8">
        <v>57.7</v>
      </c>
      <c r="AB38" s="8">
        <v>1845</v>
      </c>
      <c r="AC38" s="22" t="s">
        <v>3497</v>
      </c>
      <c r="AD38" s="8" t="s">
        <v>3687</v>
      </c>
      <c r="AE38" s="8" t="s">
        <v>4085</v>
      </c>
      <c r="AF38" s="9">
        <f t="shared" si="8"/>
        <v>344.46899999999999</v>
      </c>
      <c r="AG38" s="9">
        <f t="shared" si="9"/>
        <v>351.96999999999997</v>
      </c>
      <c r="AH38" s="9">
        <f t="shared" si="10"/>
        <v>0.39910909443045695</v>
      </c>
      <c r="AI38" s="9">
        <f t="shared" si="11"/>
        <v>0.1592880692570994</v>
      </c>
      <c r="AJ38" s="9">
        <f t="shared" si="12"/>
        <v>0.96248959258130651</v>
      </c>
      <c r="AK38" s="9">
        <f t="shared" si="13"/>
        <v>0.92638621582732938</v>
      </c>
      <c r="AL38" s="9">
        <f t="shared" si="14"/>
        <v>1.083820201853879</v>
      </c>
      <c r="AM38" s="9">
        <f t="shared" si="15"/>
        <v>1.1746662299465829</v>
      </c>
      <c r="AN38" s="9" t="s">
        <v>3497</v>
      </c>
    </row>
    <row r="39" spans="13:40" ht="22.5" customHeight="1">
      <c r="M39" s="9" t="s">
        <v>2646</v>
      </c>
      <c r="N39" s="8" t="s">
        <v>150</v>
      </c>
      <c r="O39" s="8"/>
      <c r="P39" s="8"/>
      <c r="Q39" s="8"/>
      <c r="R39" s="8"/>
      <c r="S39" s="8"/>
      <c r="T39" s="8"/>
      <c r="U39" s="8"/>
      <c r="V39" s="8"/>
      <c r="W39" s="9" t="s">
        <v>2646</v>
      </c>
      <c r="X39" s="8">
        <v>12.67</v>
      </c>
      <c r="Y39" s="8">
        <v>14.19</v>
      </c>
      <c r="Z39" s="9">
        <v>3.21</v>
      </c>
      <c r="AA39" s="8">
        <v>57</v>
      </c>
      <c r="AB39" s="8">
        <v>5674</v>
      </c>
      <c r="AC39" s="22" t="s">
        <v>2646</v>
      </c>
      <c r="AD39" s="8" t="s">
        <v>4438</v>
      </c>
      <c r="AE39" s="8" t="s">
        <v>4085</v>
      </c>
      <c r="AF39" s="9">
        <f t="shared" si="8"/>
        <v>808.82999999999993</v>
      </c>
      <c r="AG39" s="9">
        <f t="shared" si="9"/>
        <v>190.95000000000002</v>
      </c>
      <c r="AH39" s="9">
        <f t="shared" si="10"/>
        <v>0.39426721633511341</v>
      </c>
      <c r="AI39" s="9">
        <f t="shared" si="11"/>
        <v>0.15544663787663912</v>
      </c>
      <c r="AJ39" s="9">
        <f t="shared" si="12"/>
        <v>2.2599724711586182</v>
      </c>
      <c r="AK39" s="9">
        <f t="shared" si="13"/>
        <v>5.1074755703947918</v>
      </c>
      <c r="AL39" s="9">
        <f t="shared" si="14"/>
        <v>0.58799178209505998</v>
      </c>
      <c r="AM39" s="9">
        <f t="shared" si="15"/>
        <v>0.34573433581132451</v>
      </c>
      <c r="AN39" s="9" t="s">
        <v>2646</v>
      </c>
    </row>
    <row r="40" spans="13:40" ht="23">
      <c r="M40" s="8" t="s">
        <v>841</v>
      </c>
      <c r="N40" s="8" t="s">
        <v>150</v>
      </c>
      <c r="O40" s="8"/>
      <c r="P40" s="8" t="s">
        <v>3693</v>
      </c>
      <c r="Q40" s="8"/>
      <c r="R40" s="8"/>
      <c r="S40" s="8"/>
      <c r="T40" s="8"/>
      <c r="U40" s="8"/>
      <c r="V40" s="8"/>
      <c r="W40" s="8" t="s">
        <v>841</v>
      </c>
      <c r="X40" s="8">
        <v>33.49</v>
      </c>
      <c r="Y40" s="8">
        <v>1.25</v>
      </c>
      <c r="Z40" s="9">
        <v>0.38</v>
      </c>
      <c r="AA40" s="8">
        <v>49.5</v>
      </c>
      <c r="AB40" s="8">
        <v>29981</v>
      </c>
      <c r="AC40" s="21" t="s">
        <v>841</v>
      </c>
      <c r="AD40" s="8" t="s">
        <v>3687</v>
      </c>
      <c r="AE40" s="8" t="s">
        <v>4085</v>
      </c>
      <c r="AF40" s="9">
        <f t="shared" si="8"/>
        <v>61.875</v>
      </c>
      <c r="AG40" s="9">
        <f t="shared" si="9"/>
        <v>31.349999999999998</v>
      </c>
      <c r="AH40" s="9">
        <f t="shared" si="10"/>
        <v>0.34238995102786163</v>
      </c>
      <c r="AI40" s="9">
        <f t="shared" si="11"/>
        <v>0.11723087856486149</v>
      </c>
      <c r="AJ40" s="9">
        <f t="shared" si="12"/>
        <v>0.1728865109515467</v>
      </c>
      <c r="AK40" s="9">
        <f t="shared" si="13"/>
        <v>2.9889745668999275E-2</v>
      </c>
      <c r="AL40" s="9">
        <f t="shared" si="14"/>
        <v>9.6535964224562051E-2</v>
      </c>
      <c r="AM40" s="9">
        <f t="shared" si="15"/>
        <v>9.3191923887659244E-3</v>
      </c>
      <c r="AN40" s="8" t="s">
        <v>841</v>
      </c>
    </row>
    <row r="41" spans="13:40" ht="21" customHeight="1">
      <c r="M41" s="8" t="s">
        <v>1664</v>
      </c>
      <c r="N41" s="8" t="s">
        <v>1614</v>
      </c>
      <c r="O41" s="8"/>
      <c r="P41" s="8"/>
      <c r="Q41" s="8"/>
      <c r="R41" s="8"/>
      <c r="S41" s="8"/>
      <c r="T41" s="8"/>
      <c r="U41" s="8"/>
      <c r="V41" s="8"/>
      <c r="W41" s="8" t="s">
        <v>1664</v>
      </c>
      <c r="X41" s="8">
        <v>1.37</v>
      </c>
      <c r="Y41" s="8">
        <v>5.83</v>
      </c>
      <c r="Z41" s="9">
        <v>3.22</v>
      </c>
      <c r="AA41" s="8">
        <v>48.2</v>
      </c>
      <c r="AB41" s="8">
        <v>42915</v>
      </c>
      <c r="AC41" s="21" t="s">
        <v>1664</v>
      </c>
      <c r="AD41" s="8" t="s">
        <v>4090</v>
      </c>
      <c r="AE41" s="8" t="s">
        <v>4085</v>
      </c>
      <c r="AF41" s="9">
        <f t="shared" si="8"/>
        <v>281.00600000000003</v>
      </c>
      <c r="AG41" s="9">
        <f t="shared" si="9"/>
        <v>162.27333333333334</v>
      </c>
      <c r="AH41" s="9">
        <f t="shared" si="10"/>
        <v>0.33339789170793804</v>
      </c>
      <c r="AI41" s="9">
        <f t="shared" si="11"/>
        <v>0.11115415419529798</v>
      </c>
      <c r="AJ41" s="9">
        <f t="shared" si="12"/>
        <v>0.78516601044768231</v>
      </c>
      <c r="AK41" s="9">
        <f t="shared" si="13"/>
        <v>0.61648566396232996</v>
      </c>
      <c r="AL41" s="9">
        <f t="shared" si="14"/>
        <v>0.49968780546306546</v>
      </c>
      <c r="AM41" s="9">
        <f t="shared" si="15"/>
        <v>0.24968790292849435</v>
      </c>
      <c r="AN41" s="8" t="s">
        <v>1664</v>
      </c>
    </row>
    <row r="42" spans="13:40" ht="23">
      <c r="M42" s="8" t="s">
        <v>1424</v>
      </c>
      <c r="N42" s="8" t="s">
        <v>150</v>
      </c>
      <c r="O42" s="8"/>
      <c r="P42" s="8" t="s">
        <v>4167</v>
      </c>
      <c r="Q42" s="8"/>
      <c r="R42" s="8"/>
      <c r="S42" s="8"/>
      <c r="T42" s="8"/>
      <c r="U42" s="8"/>
      <c r="V42" s="8"/>
      <c r="W42" s="8" t="s">
        <v>1424</v>
      </c>
      <c r="X42" s="8">
        <v>29.53</v>
      </c>
      <c r="Y42" s="8">
        <v>7.56</v>
      </c>
      <c r="Z42" s="9">
        <v>5.01</v>
      </c>
      <c r="AA42" s="8">
        <v>45.2</v>
      </c>
      <c r="AB42" s="8">
        <v>2191</v>
      </c>
      <c r="AC42" s="21" t="s">
        <v>1424</v>
      </c>
      <c r="AD42" s="8" t="s">
        <v>4090</v>
      </c>
      <c r="AE42" s="8" t="s">
        <v>4085</v>
      </c>
      <c r="AF42" s="9">
        <f t="shared" si="8"/>
        <v>341.71199999999999</v>
      </c>
      <c r="AG42" s="9">
        <f t="shared" si="9"/>
        <v>226.75333333333336</v>
      </c>
      <c r="AH42" s="9">
        <f t="shared" si="10"/>
        <v>0.31264698558503734</v>
      </c>
      <c r="AI42" s="9">
        <f t="shared" si="11"/>
        <v>9.7748137595410553E-2</v>
      </c>
      <c r="AJ42" s="9">
        <f t="shared" si="12"/>
        <v>0.95478618877211996</v>
      </c>
      <c r="AK42" s="9">
        <f t="shared" si="13"/>
        <v>0.91161666626999027</v>
      </c>
      <c r="AL42" s="9">
        <f t="shared" si="14"/>
        <v>0.6982408827581138</v>
      </c>
      <c r="AM42" s="9">
        <f t="shared" si="15"/>
        <v>0.48754033035483002</v>
      </c>
      <c r="AN42" s="8" t="s">
        <v>1424</v>
      </c>
    </row>
    <row r="43" spans="13:40" ht="23">
      <c r="M43" s="8" t="s">
        <v>3977</v>
      </c>
      <c r="N43" s="8"/>
      <c r="O43" s="8"/>
      <c r="P43" s="8"/>
      <c r="Q43" s="8"/>
      <c r="R43" s="8"/>
      <c r="S43" s="8"/>
      <c r="T43" s="8"/>
      <c r="U43" s="8"/>
      <c r="V43" s="8"/>
      <c r="W43" s="8" t="s">
        <v>3977</v>
      </c>
      <c r="X43" s="8">
        <v>43.6</v>
      </c>
      <c r="Y43" s="8">
        <v>7.3</v>
      </c>
      <c r="Z43" s="9">
        <v>8.09</v>
      </c>
      <c r="AA43" s="8">
        <v>43.6</v>
      </c>
      <c r="AB43" s="8">
        <v>2296</v>
      </c>
      <c r="AC43" s="21" t="s">
        <v>3977</v>
      </c>
      <c r="AD43" s="8" t="s">
        <v>4090</v>
      </c>
      <c r="AE43" s="8" t="s">
        <v>4085</v>
      </c>
      <c r="AF43" s="9">
        <f t="shared" si="8"/>
        <v>318.28000000000003</v>
      </c>
      <c r="AG43" s="9">
        <f t="shared" si="9"/>
        <v>355.34000000000003</v>
      </c>
      <c r="AH43" s="9">
        <f t="shared" si="10"/>
        <v>0.30157983565282365</v>
      </c>
      <c r="AI43" s="9">
        <f t="shared" si="11"/>
        <v>9.0950397272384118E-2</v>
      </c>
      <c r="AJ43" s="9">
        <f t="shared" si="12"/>
        <v>0.88931424170760864</v>
      </c>
      <c r="AK43" s="9">
        <f t="shared" si="13"/>
        <v>0.79087982050397898</v>
      </c>
      <c r="AL43" s="9">
        <f t="shared" si="14"/>
        <v>1.0941974330958817</v>
      </c>
      <c r="AM43" s="9">
        <f t="shared" si="15"/>
        <v>1.1972680225936165</v>
      </c>
      <c r="AN43" s="8" t="s">
        <v>3977</v>
      </c>
    </row>
    <row r="44" spans="13:40" ht="23">
      <c r="M44" s="8" t="s">
        <v>414</v>
      </c>
      <c r="N44" s="8" t="s">
        <v>150</v>
      </c>
      <c r="O44" s="8"/>
      <c r="P44" s="8" t="s">
        <v>3692</v>
      </c>
      <c r="Q44" s="8"/>
      <c r="R44" s="8"/>
      <c r="S44" s="8"/>
      <c r="T44" s="8"/>
      <c r="U44" s="8"/>
      <c r="V44" s="8"/>
      <c r="W44" s="8" t="s">
        <v>414</v>
      </c>
      <c r="X44" s="8">
        <v>0.7</v>
      </c>
      <c r="Y44" s="8">
        <v>1.74</v>
      </c>
      <c r="Z44" s="9">
        <v>0.28999999999999998</v>
      </c>
      <c r="AA44" s="8">
        <v>40.4</v>
      </c>
      <c r="AB44" s="8">
        <v>24973</v>
      </c>
      <c r="AC44" s="21" t="s">
        <v>414</v>
      </c>
      <c r="AD44" s="8" t="s">
        <v>4090</v>
      </c>
      <c r="AE44" s="8" t="s">
        <v>4085</v>
      </c>
      <c r="AF44" s="9">
        <f t="shared" si="8"/>
        <v>70.295999999999992</v>
      </c>
      <c r="AG44" s="9">
        <f t="shared" si="9"/>
        <v>19.526666666666667</v>
      </c>
      <c r="AH44" s="9">
        <f t="shared" si="10"/>
        <v>0.27944553578839615</v>
      </c>
      <c r="AI44" s="9">
        <f t="shared" si="11"/>
        <v>7.8089807472063788E-2</v>
      </c>
      <c r="AJ44" s="9">
        <f t="shared" si="12"/>
        <v>0.19641584119353414</v>
      </c>
      <c r="AK44" s="9">
        <f t="shared" si="13"/>
        <v>3.857918267176362E-2</v>
      </c>
      <c r="AL44" s="9">
        <f t="shared" si="14"/>
        <v>6.0128408126260989E-2</v>
      </c>
      <c r="AM44" s="9">
        <f t="shared" si="15"/>
        <v>3.6154254637982084E-3</v>
      </c>
      <c r="AN44" s="8" t="s">
        <v>414</v>
      </c>
    </row>
    <row r="45" spans="13:40" ht="23">
      <c r="M45" s="8" t="s">
        <v>2091</v>
      </c>
      <c r="N45" s="8" t="s">
        <v>2084</v>
      </c>
      <c r="O45" s="8"/>
      <c r="P45" s="8"/>
      <c r="Q45" s="8"/>
      <c r="R45" s="8"/>
      <c r="S45" s="8"/>
      <c r="T45" s="8"/>
      <c r="U45" s="8"/>
      <c r="V45" s="8"/>
      <c r="W45" s="8" t="s">
        <v>2091</v>
      </c>
      <c r="X45" s="8">
        <v>37.65</v>
      </c>
      <c r="Y45" s="8">
        <v>1.58</v>
      </c>
      <c r="Z45" s="9">
        <v>0.43</v>
      </c>
      <c r="AA45" s="8">
        <v>40.1</v>
      </c>
      <c r="AB45" s="8">
        <v>10215</v>
      </c>
      <c r="AC45" s="21" t="s">
        <v>2091</v>
      </c>
      <c r="AD45" s="8" t="s">
        <v>4090</v>
      </c>
      <c r="AE45" s="8" t="s">
        <v>4085</v>
      </c>
      <c r="AF45" s="9">
        <f t="shared" si="8"/>
        <v>63.358000000000004</v>
      </c>
      <c r="AG45" s="9">
        <f t="shared" si="9"/>
        <v>28.738333333333333</v>
      </c>
      <c r="AH45" s="9">
        <f t="shared" si="10"/>
        <v>0.27737044517610615</v>
      </c>
      <c r="AI45" s="9">
        <f t="shared" si="11"/>
        <v>7.693436385719131E-2</v>
      </c>
      <c r="AJ45" s="9">
        <f t="shared" si="12"/>
        <v>0.17703019896352479</v>
      </c>
      <c r="AK45" s="9">
        <f t="shared" si="13"/>
        <v>3.1339691345065174E-2</v>
      </c>
      <c r="AL45" s="9">
        <f t="shared" si="14"/>
        <v>8.8493866620102266E-2</v>
      </c>
      <c r="AM45" s="9">
        <f t="shared" si="15"/>
        <v>7.8311644293764492E-3</v>
      </c>
      <c r="AN45" s="8" t="s">
        <v>2091</v>
      </c>
    </row>
    <row r="46" spans="13:40" ht="23">
      <c r="M46" s="8" t="s">
        <v>1602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1602</v>
      </c>
      <c r="X46" s="8">
        <v>39.200000000000003</v>
      </c>
      <c r="Y46" s="8">
        <v>2.38</v>
      </c>
      <c r="Z46" s="9">
        <v>2.46</v>
      </c>
      <c r="AA46" s="8">
        <v>36.299999999999997</v>
      </c>
      <c r="AB46" s="8">
        <v>4623</v>
      </c>
      <c r="AC46" s="21" t="s">
        <v>1602</v>
      </c>
      <c r="AD46" s="8" t="s">
        <v>4090</v>
      </c>
      <c r="AE46" s="8" t="s">
        <v>4085</v>
      </c>
      <c r="AF46" s="9">
        <f t="shared" si="8"/>
        <v>86.393999999999991</v>
      </c>
      <c r="AG46" s="9">
        <f t="shared" si="9"/>
        <v>100.42999999999999</v>
      </c>
      <c r="AH46" s="9">
        <f t="shared" si="10"/>
        <v>0.25108596408709855</v>
      </c>
      <c r="AI46" s="9">
        <f t="shared" si="11"/>
        <v>6.3044161361547738E-2</v>
      </c>
      <c r="AJ46" s="9">
        <f t="shared" si="12"/>
        <v>0.24139567235794626</v>
      </c>
      <c r="AK46" s="9">
        <f t="shared" si="13"/>
        <v>5.8271870633144943E-2</v>
      </c>
      <c r="AL46" s="9">
        <f t="shared" si="14"/>
        <v>0.3092538082000883</v>
      </c>
      <c r="AM46" s="9">
        <f t="shared" si="15"/>
        <v>9.5637917886257001E-2</v>
      </c>
      <c r="AN46" s="8" t="s">
        <v>1602</v>
      </c>
    </row>
    <row r="47" spans="13:40" ht="23">
      <c r="M47" s="8" t="s">
        <v>1449</v>
      </c>
      <c r="N47" s="8" t="s">
        <v>150</v>
      </c>
      <c r="O47" s="8"/>
      <c r="P47" s="8" t="s">
        <v>3691</v>
      </c>
      <c r="Q47" s="8"/>
      <c r="R47" s="8"/>
      <c r="S47" s="8"/>
      <c r="T47" s="8"/>
      <c r="U47" s="8"/>
      <c r="V47" s="8"/>
      <c r="W47" s="8" t="s">
        <v>1449</v>
      </c>
      <c r="X47" s="8">
        <v>28.12</v>
      </c>
      <c r="Y47" s="8">
        <v>3.59</v>
      </c>
      <c r="Z47" s="9">
        <v>4.17</v>
      </c>
      <c r="AA47" s="8">
        <v>34.700000000000003</v>
      </c>
      <c r="AB47" s="8">
        <v>3536</v>
      </c>
      <c r="AC47" s="21" t="s">
        <v>1449</v>
      </c>
      <c r="AD47" s="8" t="s">
        <v>4090</v>
      </c>
      <c r="AE47" s="8" t="s">
        <v>4085</v>
      </c>
      <c r="AF47" s="9">
        <f t="shared" si="8"/>
        <v>124.57300000000001</v>
      </c>
      <c r="AG47" s="9">
        <f t="shared" si="9"/>
        <v>148.63166666666666</v>
      </c>
      <c r="AH47" s="9">
        <f t="shared" si="10"/>
        <v>0.24001881415488488</v>
      </c>
      <c r="AI47" s="9">
        <f t="shared" si="11"/>
        <v>5.7609031148317169E-2</v>
      </c>
      <c r="AJ47" s="9">
        <f t="shared" si="12"/>
        <v>0.34807258713158834</v>
      </c>
      <c r="AK47" s="9">
        <f t="shared" si="13"/>
        <v>0.12115452591247716</v>
      </c>
      <c r="AL47" s="9">
        <f t="shared" si="14"/>
        <v>0.45768106079650295</v>
      </c>
      <c r="AM47" s="9">
        <f t="shared" si="15"/>
        <v>0.20947195341181224</v>
      </c>
      <c r="AN47" s="8" t="s">
        <v>1449</v>
      </c>
    </row>
    <row r="48" spans="13:40" ht="23">
      <c r="M48" s="8" t="s">
        <v>178</v>
      </c>
      <c r="N48" s="8" t="s">
        <v>150</v>
      </c>
      <c r="O48" s="8"/>
      <c r="P48" s="8" t="s">
        <v>4762</v>
      </c>
      <c r="Q48" s="8"/>
      <c r="R48" s="8"/>
      <c r="S48" s="8"/>
      <c r="T48" s="8"/>
      <c r="U48" s="8"/>
      <c r="V48" s="8"/>
      <c r="W48" s="8" t="s">
        <v>178</v>
      </c>
      <c r="X48" s="8">
        <v>31.51</v>
      </c>
      <c r="Y48" s="8">
        <v>3.32</v>
      </c>
      <c r="Z48" s="9">
        <v>3.45</v>
      </c>
      <c r="AA48" s="8">
        <v>29.1</v>
      </c>
      <c r="AB48" s="8">
        <v>6000</v>
      </c>
      <c r="AC48" s="21" t="s">
        <v>178</v>
      </c>
      <c r="AD48" s="8" t="s">
        <v>4090</v>
      </c>
      <c r="AE48" s="8" t="s">
        <v>4085</v>
      </c>
      <c r="AF48" s="9">
        <f t="shared" si="8"/>
        <v>96.611999999999995</v>
      </c>
      <c r="AG48" s="9">
        <f t="shared" si="9"/>
        <v>109.125</v>
      </c>
      <c r="AH48" s="9">
        <f t="shared" si="10"/>
        <v>0.20128378939213687</v>
      </c>
      <c r="AI48" s="9">
        <f t="shared" si="11"/>
        <v>4.0515163872058113E-2</v>
      </c>
      <c r="AJ48" s="9">
        <f t="shared" si="12"/>
        <v>0.26994604599678107</v>
      </c>
      <c r="AK48" s="9">
        <f t="shared" si="13"/>
        <v>7.2870867749296242E-2</v>
      </c>
      <c r="AL48" s="9">
        <f t="shared" si="14"/>
        <v>0.33602829652329619</v>
      </c>
      <c r="AM48" s="9">
        <f t="shared" si="15"/>
        <v>0.11291501606434827</v>
      </c>
      <c r="AN48" s="8" t="s">
        <v>178</v>
      </c>
    </row>
    <row r="49" spans="13:40" ht="23">
      <c r="M49" s="9" t="s">
        <v>2855</v>
      </c>
      <c r="N49" s="8" t="s">
        <v>1717</v>
      </c>
      <c r="O49" s="8"/>
      <c r="P49" s="8"/>
      <c r="Q49" s="8"/>
      <c r="R49" s="8"/>
      <c r="S49" s="8"/>
      <c r="T49" s="8"/>
      <c r="U49" s="8"/>
      <c r="V49" s="8"/>
      <c r="W49" s="9" t="s">
        <v>2855</v>
      </c>
      <c r="X49" s="8">
        <v>19.07</v>
      </c>
      <c r="Y49" s="8">
        <v>4.32</v>
      </c>
      <c r="Z49" s="9">
        <v>3.38</v>
      </c>
      <c r="AA49" s="8">
        <v>29</v>
      </c>
      <c r="AB49" s="8">
        <v>5386</v>
      </c>
      <c r="AC49" s="22" t="s">
        <v>2855</v>
      </c>
      <c r="AD49" s="8" t="s">
        <v>4090</v>
      </c>
      <c r="AE49" s="8" t="s">
        <v>4085</v>
      </c>
      <c r="AF49" s="9">
        <f t="shared" si="8"/>
        <v>125.28</v>
      </c>
      <c r="AG49" s="9">
        <f t="shared" si="9"/>
        <v>105.36666666666666</v>
      </c>
      <c r="AH49" s="9">
        <f t="shared" si="10"/>
        <v>0.2005920925213735</v>
      </c>
      <c r="AI49" s="9">
        <f t="shared" si="11"/>
        <v>4.0237187582103269E-2</v>
      </c>
      <c r="AJ49" s="9">
        <f t="shared" si="12"/>
        <v>0.3500480338102589</v>
      </c>
      <c r="AK49" s="9">
        <f t="shared" si="13"/>
        <v>0.12253362597442816</v>
      </c>
      <c r="AL49" s="9">
        <f t="shared" si="14"/>
        <v>0.3244552715723984</v>
      </c>
      <c r="AM49" s="9">
        <f t="shared" si="15"/>
        <v>0.10527122325111879</v>
      </c>
      <c r="AN49" s="9" t="s">
        <v>2855</v>
      </c>
    </row>
    <row r="50" spans="13:40" ht="23">
      <c r="M50" s="9" t="s">
        <v>2922</v>
      </c>
      <c r="N50" s="8" t="s">
        <v>1717</v>
      </c>
      <c r="O50" s="8"/>
      <c r="P50" s="8"/>
      <c r="Q50" s="8"/>
      <c r="R50" s="8"/>
      <c r="S50" s="8"/>
      <c r="T50" s="8"/>
      <c r="U50" s="8"/>
      <c r="V50" s="8"/>
      <c r="W50" s="9" t="s">
        <v>2922</v>
      </c>
      <c r="X50" s="8">
        <v>1.01</v>
      </c>
      <c r="Y50" s="8">
        <v>1.0900000000000001</v>
      </c>
      <c r="Z50" s="9">
        <v>0.06</v>
      </c>
      <c r="AA50" s="8">
        <v>26.7</v>
      </c>
      <c r="AB50" s="8">
        <v>68478</v>
      </c>
      <c r="AC50" s="22" t="s">
        <v>2922</v>
      </c>
      <c r="AD50" s="8" t="s">
        <v>4090</v>
      </c>
      <c r="AE50" s="8" t="s">
        <v>4085</v>
      </c>
      <c r="AF50" s="9">
        <f t="shared" si="8"/>
        <v>29.103000000000002</v>
      </c>
      <c r="AG50" s="9">
        <f t="shared" si="9"/>
        <v>2.67</v>
      </c>
      <c r="AH50" s="9">
        <f t="shared" si="10"/>
        <v>0.18468306449381627</v>
      </c>
      <c r="AI50" s="9">
        <f t="shared" si="11"/>
        <v>3.4107834310827104E-2</v>
      </c>
      <c r="AJ50" s="9">
        <f t="shared" si="12"/>
        <v>8.1317432375319007E-2</v>
      </c>
      <c r="AK50" s="9">
        <f t="shared" si="13"/>
        <v>6.6125248081145794E-3</v>
      </c>
      <c r="AL50" s="9">
        <f t="shared" si="14"/>
        <v>8.2217232688861462E-3</v>
      </c>
      <c r="AM50" s="9">
        <f t="shared" si="15"/>
        <v>6.7596733510143895E-5</v>
      </c>
      <c r="AN50" s="9" t="s">
        <v>2922</v>
      </c>
    </row>
    <row r="51" spans="13:40" ht="23">
      <c r="M51" s="8" t="s">
        <v>553</v>
      </c>
      <c r="N51" s="8" t="s">
        <v>150</v>
      </c>
      <c r="O51" s="8"/>
      <c r="P51" s="8" t="s">
        <v>3691</v>
      </c>
      <c r="Q51" s="8"/>
      <c r="R51" s="8"/>
      <c r="S51" s="8"/>
      <c r="T51" s="8"/>
      <c r="U51" s="8"/>
      <c r="V51" s="8"/>
      <c r="W51" s="8" t="s">
        <v>553</v>
      </c>
      <c r="X51" s="8">
        <v>12.52</v>
      </c>
      <c r="Y51" s="8">
        <v>5.39</v>
      </c>
      <c r="Z51" s="9">
        <v>3.27</v>
      </c>
      <c r="AA51" s="8">
        <v>24.5</v>
      </c>
      <c r="AB51" s="8">
        <v>6073</v>
      </c>
      <c r="AC51" s="21" t="s">
        <v>553</v>
      </c>
      <c r="AD51" s="8" t="s">
        <v>4090</v>
      </c>
      <c r="AE51" s="8" t="s">
        <v>4085</v>
      </c>
      <c r="AF51" s="9">
        <f t="shared" si="8"/>
        <v>132.05499999999998</v>
      </c>
      <c r="AG51" s="9">
        <f t="shared" si="9"/>
        <v>84.525000000000006</v>
      </c>
      <c r="AH51" s="9">
        <f t="shared" si="10"/>
        <v>0.16946573333702245</v>
      </c>
      <c r="AI51" s="9">
        <f t="shared" si="11"/>
        <v>2.8718634775454801E-2</v>
      </c>
      <c r="AJ51" s="9">
        <f t="shared" si="12"/>
        <v>0.3689782335952565</v>
      </c>
      <c r="AK51" s="9">
        <f t="shared" si="13"/>
        <v>0.13614493686707568</v>
      </c>
      <c r="AL51" s="9">
        <f t="shared" si="14"/>
        <v>0.2602775877537834</v>
      </c>
      <c r="AM51" s="9">
        <f t="shared" si="15"/>
        <v>6.7744422686928416E-2</v>
      </c>
      <c r="AN51" s="8" t="s">
        <v>553</v>
      </c>
    </row>
    <row r="52" spans="13:40" ht="23">
      <c r="M52" s="8" t="s">
        <v>1409</v>
      </c>
      <c r="N52" s="8" t="s">
        <v>150</v>
      </c>
      <c r="O52" s="8"/>
      <c r="P52" s="8"/>
      <c r="Q52" s="8"/>
      <c r="R52" s="8"/>
      <c r="S52" s="8"/>
      <c r="T52" s="8"/>
      <c r="U52" s="8"/>
      <c r="V52" s="8"/>
      <c r="W52" s="8" t="s">
        <v>1409</v>
      </c>
      <c r="X52" s="8">
        <v>35.35</v>
      </c>
      <c r="Y52" s="8">
        <v>2.46</v>
      </c>
      <c r="Z52" s="9">
        <v>2.0699999999999998</v>
      </c>
      <c r="AA52" s="8">
        <v>23.2</v>
      </c>
      <c r="AB52" s="8">
        <v>5602</v>
      </c>
      <c r="AC52" s="21" t="s">
        <v>1409</v>
      </c>
      <c r="AD52" s="8" t="s">
        <v>4090</v>
      </c>
      <c r="AE52" s="8" t="s">
        <v>4085</v>
      </c>
      <c r="AF52" s="9">
        <f t="shared" si="8"/>
        <v>57.071999999999996</v>
      </c>
      <c r="AG52" s="9">
        <f t="shared" si="9"/>
        <v>49.106666666666669</v>
      </c>
      <c r="AH52" s="9">
        <f t="shared" si="10"/>
        <v>0.16047367401709881</v>
      </c>
      <c r="AI52" s="9">
        <f t="shared" si="11"/>
        <v>2.5751800052546091E-2</v>
      </c>
      <c r="AJ52" s="9">
        <f t="shared" si="12"/>
        <v>0.15946632651356238</v>
      </c>
      <c r="AK52" s="9">
        <f t="shared" si="13"/>
        <v>2.5429509291730087E-2</v>
      </c>
      <c r="AL52" s="9">
        <f t="shared" si="14"/>
        <v>0.15121401647594349</v>
      </c>
      <c r="AM52" s="9">
        <f t="shared" si="15"/>
        <v>2.2865678778786907E-2</v>
      </c>
      <c r="AN52" s="8" t="s">
        <v>1409</v>
      </c>
    </row>
    <row r="53" spans="13:40" ht="23">
      <c r="M53" s="8" t="s">
        <v>1908</v>
      </c>
      <c r="N53" s="8" t="s">
        <v>1902</v>
      </c>
      <c r="O53" s="8"/>
      <c r="P53" s="8" t="s">
        <v>4761</v>
      </c>
      <c r="Q53" s="8"/>
      <c r="R53" s="8"/>
      <c r="S53" s="8"/>
      <c r="T53" s="8"/>
      <c r="U53" s="8"/>
      <c r="V53" s="8"/>
      <c r="W53" s="8" t="s">
        <v>1908</v>
      </c>
      <c r="X53" s="8">
        <v>28.4</v>
      </c>
      <c r="Y53" s="8">
        <v>5.49</v>
      </c>
      <c r="Z53" s="9">
        <v>5.34</v>
      </c>
      <c r="AA53" s="8">
        <v>22.4</v>
      </c>
      <c r="AB53" s="8">
        <v>4326</v>
      </c>
      <c r="AC53" s="21" t="s">
        <v>1908</v>
      </c>
      <c r="AD53" s="8" t="s">
        <v>4090</v>
      </c>
      <c r="AE53" s="8" t="s">
        <v>4085</v>
      </c>
      <c r="AF53" s="9">
        <f t="shared" si="8"/>
        <v>122.976</v>
      </c>
      <c r="AG53" s="9">
        <f t="shared" si="9"/>
        <v>124.69333333333331</v>
      </c>
      <c r="AH53" s="9">
        <f t="shared" si="10"/>
        <v>0.15494009905099193</v>
      </c>
      <c r="AI53" s="9">
        <f t="shared" si="11"/>
        <v>2.4006434293931192E-2</v>
      </c>
      <c r="AJ53" s="9">
        <f t="shared" si="12"/>
        <v>0.34361036882064494</v>
      </c>
      <c r="AK53" s="9">
        <f t="shared" si="13"/>
        <v>0.11806808556105965</v>
      </c>
      <c r="AL53" s="9">
        <f t="shared" si="14"/>
        <v>0.38396782027776899</v>
      </c>
      <c r="AM53" s="9">
        <f t="shared" si="15"/>
        <v>0.1474312870088611</v>
      </c>
      <c r="AN53" s="8" t="s">
        <v>1908</v>
      </c>
    </row>
    <row r="54" spans="13:40" ht="23">
      <c r="M54" s="8" t="s">
        <v>322</v>
      </c>
      <c r="N54" s="8" t="s">
        <v>150</v>
      </c>
      <c r="O54" s="8"/>
      <c r="P54" s="8"/>
      <c r="Q54" s="8"/>
      <c r="R54" s="8"/>
      <c r="S54" s="8"/>
      <c r="T54" s="8"/>
      <c r="U54" s="8"/>
      <c r="V54" s="8"/>
      <c r="W54" s="8" t="s">
        <v>322</v>
      </c>
      <c r="X54" s="8">
        <v>44.65</v>
      </c>
      <c r="Y54" s="8">
        <v>2.0699999999999998</v>
      </c>
      <c r="Z54" s="9">
        <v>1.45</v>
      </c>
      <c r="AA54" s="8">
        <v>22.1</v>
      </c>
      <c r="AB54" s="8">
        <v>7724</v>
      </c>
      <c r="AC54" s="21" t="s">
        <v>322</v>
      </c>
      <c r="AD54" s="8" t="s">
        <v>3687</v>
      </c>
      <c r="AE54" s="8" t="s">
        <v>4085</v>
      </c>
      <c r="AF54" s="9">
        <f t="shared" si="8"/>
        <v>45.747</v>
      </c>
      <c r="AG54" s="9">
        <f t="shared" si="9"/>
        <v>38.675000000000004</v>
      </c>
      <c r="AH54" s="9">
        <f t="shared" si="10"/>
        <v>0.15286500843870188</v>
      </c>
      <c r="AI54" s="9">
        <f t="shared" si="11"/>
        <v>2.3367710804964397E-2</v>
      </c>
      <c r="AJ54" s="9">
        <f t="shared" si="12"/>
        <v>0.127822856024249</v>
      </c>
      <c r="AK54" s="9">
        <f t="shared" si="13"/>
        <v>1.6338682522195891E-2</v>
      </c>
      <c r="AL54" s="9">
        <f t="shared" si="14"/>
        <v>0.11909181551467109</v>
      </c>
      <c r="AM54" s="9">
        <f t="shared" si="15"/>
        <v>1.4182860522580453E-2</v>
      </c>
      <c r="AN54" s="8" t="s">
        <v>322</v>
      </c>
    </row>
    <row r="55" spans="13:40" ht="23">
      <c r="M55" s="8" t="s">
        <v>74</v>
      </c>
      <c r="N55" s="8" t="s">
        <v>18</v>
      </c>
      <c r="O55" s="8"/>
      <c r="P55" s="8"/>
      <c r="Q55" s="8"/>
      <c r="R55" s="8"/>
      <c r="S55" s="8"/>
      <c r="T55" s="8"/>
      <c r="U55" s="8"/>
      <c r="V55" s="8"/>
      <c r="W55" s="8" t="s">
        <v>74</v>
      </c>
      <c r="X55" s="8">
        <v>28.51</v>
      </c>
      <c r="Y55" s="8">
        <v>2.14</v>
      </c>
      <c r="Z55" s="9">
        <v>1.1499999999999999</v>
      </c>
      <c r="AA55" s="8">
        <v>21.5</v>
      </c>
      <c r="AB55" s="8">
        <v>6537</v>
      </c>
      <c r="AC55" s="21" t="s">
        <v>74</v>
      </c>
      <c r="AD55" s="8" t="s">
        <v>4090</v>
      </c>
      <c r="AE55" s="8" t="s">
        <v>4085</v>
      </c>
      <c r="AF55" s="9">
        <f t="shared" si="8"/>
        <v>46.010000000000005</v>
      </c>
      <c r="AG55" s="9">
        <f t="shared" si="9"/>
        <v>26.875</v>
      </c>
      <c r="AH55" s="9">
        <f t="shared" si="10"/>
        <v>0.14871482721412174</v>
      </c>
      <c r="AI55" s="9">
        <f t="shared" si="11"/>
        <v>2.2116099833326085E-2</v>
      </c>
      <c r="AJ55" s="9">
        <f t="shared" si="12"/>
        <v>0.12855771101221275</v>
      </c>
      <c r="AK55" s="9">
        <f t="shared" si="13"/>
        <v>1.6527085060699609E-2</v>
      </c>
      <c r="AL55" s="9">
        <f t="shared" si="14"/>
        <v>8.2756109682140533E-2</v>
      </c>
      <c r="AM55" s="9">
        <f t="shared" si="15"/>
        <v>6.8485736897224737E-3</v>
      </c>
      <c r="AN55" s="8" t="s">
        <v>74</v>
      </c>
    </row>
    <row r="56" spans="13:40" ht="23">
      <c r="M56" s="8" t="s">
        <v>123</v>
      </c>
      <c r="N56" s="8" t="s">
        <v>125</v>
      </c>
      <c r="O56" s="8"/>
      <c r="P56" s="8" t="s">
        <v>3691</v>
      </c>
      <c r="Q56" s="8"/>
      <c r="R56" s="8"/>
      <c r="S56" s="8"/>
      <c r="T56" s="8"/>
      <c r="U56" s="8"/>
      <c r="V56" s="8"/>
      <c r="W56" s="8" t="s">
        <v>123</v>
      </c>
      <c r="X56" s="8">
        <v>24.29</v>
      </c>
      <c r="Y56" s="8">
        <v>3.2</v>
      </c>
      <c r="Z56" s="9">
        <v>2.1</v>
      </c>
      <c r="AA56" s="8">
        <v>19.100000000000001</v>
      </c>
      <c r="AB56" s="8">
        <v>6729</v>
      </c>
      <c r="AC56" s="21" t="s">
        <v>123</v>
      </c>
      <c r="AD56" s="8" t="s">
        <v>4090</v>
      </c>
      <c r="AE56" s="8" t="s">
        <v>4085</v>
      </c>
      <c r="AF56" s="9">
        <f t="shared" si="8"/>
        <v>61.120000000000005</v>
      </c>
      <c r="AG56" s="9">
        <f t="shared" si="9"/>
        <v>38.231833333333334</v>
      </c>
      <c r="AH56" s="9">
        <f t="shared" si="10"/>
        <v>0.13211410231580117</v>
      </c>
      <c r="AI56" s="9">
        <f t="shared" si="11"/>
        <v>1.7454136030709982E-2</v>
      </c>
      <c r="AJ56" s="9">
        <f t="shared" si="12"/>
        <v>0.17077694625225914</v>
      </c>
      <c r="AK56" s="9">
        <f t="shared" si="13"/>
        <v>2.9164765371247008E-2</v>
      </c>
      <c r="AL56" s="9">
        <f t="shared" si="14"/>
        <v>0.11772717368121488</v>
      </c>
      <c r="AM56" s="9">
        <f t="shared" si="15"/>
        <v>1.3859687422966933E-2</v>
      </c>
      <c r="AN56" s="8" t="s">
        <v>123</v>
      </c>
    </row>
    <row r="57" spans="13:40" ht="23">
      <c r="M57" s="9" t="s">
        <v>3068</v>
      </c>
      <c r="N57" s="8" t="s">
        <v>1814</v>
      </c>
      <c r="O57" s="8"/>
      <c r="P57" s="8"/>
      <c r="Q57" s="8"/>
      <c r="R57" s="8"/>
      <c r="S57" s="8"/>
      <c r="T57" s="8"/>
      <c r="U57" s="8"/>
      <c r="V57" s="8"/>
      <c r="W57" s="9" t="s">
        <v>3068</v>
      </c>
      <c r="X57" s="8">
        <v>19.809999999999999</v>
      </c>
      <c r="Y57" s="8">
        <v>4.6500000000000004</v>
      </c>
      <c r="Z57" s="9">
        <v>4.2300000000000004</v>
      </c>
      <c r="AA57" s="8">
        <v>19</v>
      </c>
      <c r="AB57" s="8">
        <v>6633</v>
      </c>
      <c r="AC57" s="22" t="s">
        <v>3068</v>
      </c>
      <c r="AD57" s="8" t="s">
        <v>3996</v>
      </c>
      <c r="AE57" s="8" t="s">
        <v>4085</v>
      </c>
      <c r="AF57" s="9">
        <f t="shared" si="8"/>
        <v>88.350000000000009</v>
      </c>
      <c r="AG57" s="9">
        <f t="shared" si="9"/>
        <v>83.283333333333346</v>
      </c>
      <c r="AH57" s="9">
        <f t="shared" si="10"/>
        <v>0.1314224054450378</v>
      </c>
      <c r="AI57" s="9">
        <f t="shared" si="11"/>
        <v>1.7271848652959901E-2</v>
      </c>
      <c r="AJ57" s="9">
        <f t="shared" si="12"/>
        <v>0.24686098169808732</v>
      </c>
      <c r="AK57" s="9">
        <f t="shared" si="13"/>
        <v>6.0940344284943403E-2</v>
      </c>
      <c r="AL57" s="9">
        <f t="shared" si="14"/>
        <v>0.2564541271824225</v>
      </c>
      <c r="AM57" s="9">
        <f t="shared" si="15"/>
        <v>6.5768719348898136E-2</v>
      </c>
      <c r="AN57" s="9" t="s">
        <v>3068</v>
      </c>
    </row>
    <row r="58" spans="13:40" ht="23">
      <c r="M58" s="9" t="s">
        <v>2672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9" t="s">
        <v>2672</v>
      </c>
      <c r="X58" s="8">
        <v>28.98</v>
      </c>
      <c r="Y58" s="8">
        <v>2.4300000000000002</v>
      </c>
      <c r="Z58" s="9">
        <v>1.35</v>
      </c>
      <c r="AA58" s="8">
        <v>17.600000000000001</v>
      </c>
      <c r="AB58" s="8">
        <v>7262</v>
      </c>
      <c r="AC58" s="22" t="s">
        <v>2672</v>
      </c>
      <c r="AD58" s="8" t="s">
        <v>4090</v>
      </c>
      <c r="AE58" s="8" t="s">
        <v>4085</v>
      </c>
      <c r="AF58" s="9">
        <f t="shared" si="8"/>
        <v>42.768000000000008</v>
      </c>
      <c r="AG58" s="9">
        <f t="shared" si="9"/>
        <v>27.866666666666671</v>
      </c>
      <c r="AH58" s="9">
        <f t="shared" si="10"/>
        <v>0.12173864925435081</v>
      </c>
      <c r="AI58" s="9">
        <f t="shared" si="11"/>
        <v>1.4820298722273849E-2</v>
      </c>
      <c r="AJ58" s="9">
        <f t="shared" si="12"/>
        <v>0.11949915636970911</v>
      </c>
      <c r="AK58" s="9">
        <f t="shared" si="13"/>
        <v>1.4280048373072188E-2</v>
      </c>
      <c r="AL58" s="9">
        <f t="shared" si="14"/>
        <v>8.580974597738851E-2</v>
      </c>
      <c r="AM58" s="9">
        <f t="shared" si="15"/>
        <v>7.3633125047039439E-3</v>
      </c>
      <c r="AN58" s="9" t="s">
        <v>2672</v>
      </c>
    </row>
    <row r="59" spans="13:40" ht="23">
      <c r="M59" s="9" t="s">
        <v>3547</v>
      </c>
      <c r="N59" s="8" t="s">
        <v>2041</v>
      </c>
      <c r="O59" s="8"/>
      <c r="P59" s="8"/>
      <c r="Q59" s="8"/>
      <c r="R59" s="8"/>
      <c r="S59" s="8"/>
      <c r="T59" s="8"/>
      <c r="U59" s="8"/>
      <c r="V59" s="8"/>
      <c r="W59" s="9" t="s">
        <v>3547</v>
      </c>
      <c r="X59" s="8">
        <v>31.05</v>
      </c>
      <c r="Y59" s="8">
        <v>9.32</v>
      </c>
      <c r="Z59" s="9">
        <v>12.12</v>
      </c>
      <c r="AA59" s="8">
        <v>17.3</v>
      </c>
      <c r="AB59" s="8">
        <v>4336</v>
      </c>
      <c r="AC59" s="22" t="s">
        <v>3547</v>
      </c>
      <c r="AD59" s="8" t="s">
        <v>4090</v>
      </c>
      <c r="AE59" s="8" t="s">
        <v>4085</v>
      </c>
      <c r="AF59" s="9">
        <f t="shared" si="8"/>
        <v>161.23600000000002</v>
      </c>
      <c r="AG59" s="9">
        <f t="shared" si="9"/>
        <v>211.06</v>
      </c>
      <c r="AH59" s="9">
        <f t="shared" si="10"/>
        <v>0.11966355864206075</v>
      </c>
      <c r="AI59" s="9">
        <f t="shared" si="11"/>
        <v>1.4319367266881914E-2</v>
      </c>
      <c r="AJ59" s="9">
        <f t="shared" si="12"/>
        <v>0.45051360775407817</v>
      </c>
      <c r="AK59" s="9">
        <f t="shared" si="13"/>
        <v>0.20296251077159541</v>
      </c>
      <c r="AL59" s="9">
        <f t="shared" si="14"/>
        <v>0.64991644686558436</v>
      </c>
      <c r="AM59" s="9">
        <f t="shared" si="15"/>
        <v>0.42239138790638592</v>
      </c>
      <c r="AN59" s="9" t="s">
        <v>3547</v>
      </c>
    </row>
    <row r="60" spans="13:40" ht="23">
      <c r="M60" s="8" t="s">
        <v>1987</v>
      </c>
      <c r="N60" s="8" t="s">
        <v>1964</v>
      </c>
      <c r="O60" s="8"/>
      <c r="P60" s="8" t="s">
        <v>3693</v>
      </c>
      <c r="Q60" s="8"/>
      <c r="R60" s="8"/>
      <c r="S60" s="8"/>
      <c r="T60" s="8"/>
      <c r="U60" s="8"/>
      <c r="V60" s="8"/>
      <c r="W60" s="8" t="s">
        <v>1987</v>
      </c>
      <c r="X60" s="8">
        <v>33.19</v>
      </c>
      <c r="Y60" s="8">
        <v>2.2200000000000002</v>
      </c>
      <c r="Z60" s="9">
        <v>1.0900000000000001</v>
      </c>
      <c r="AA60" s="8">
        <v>16.600000000000001</v>
      </c>
      <c r="AB60" s="8">
        <v>10452</v>
      </c>
      <c r="AC60" s="21" t="s">
        <v>1987</v>
      </c>
      <c r="AD60" s="8" t="s">
        <v>4090</v>
      </c>
      <c r="AE60" s="8" t="s">
        <v>4085</v>
      </c>
      <c r="AF60" s="9">
        <f t="shared" si="8"/>
        <v>36.852000000000004</v>
      </c>
      <c r="AG60" s="9">
        <f t="shared" si="9"/>
        <v>19.09</v>
      </c>
      <c r="AH60" s="9">
        <f t="shared" si="10"/>
        <v>0.11482168054671726</v>
      </c>
      <c r="AI60" s="9">
        <f t="shared" si="11"/>
        <v>1.318401832357239E-2</v>
      </c>
      <c r="AJ60" s="9">
        <f t="shared" si="12"/>
        <v>0.10296911032866909</v>
      </c>
      <c r="AK60" s="9">
        <f t="shared" si="13"/>
        <v>1.0602637681877629E-2</v>
      </c>
      <c r="AL60" s="9">
        <f t="shared" si="14"/>
        <v>5.878378172398372E-2</v>
      </c>
      <c r="AM60" s="9">
        <f t="shared" si="15"/>
        <v>3.4555329937729627E-3</v>
      </c>
      <c r="AN60" s="8" t="s">
        <v>1987</v>
      </c>
    </row>
    <row r="61" spans="13:40" ht="23">
      <c r="M61" s="8" t="s">
        <v>1533</v>
      </c>
      <c r="N61" s="8" t="s">
        <v>150</v>
      </c>
      <c r="O61" s="8"/>
      <c r="P61" s="8"/>
      <c r="Q61" s="8"/>
      <c r="R61" s="8"/>
      <c r="S61" s="8"/>
      <c r="T61" s="8"/>
      <c r="U61" s="8"/>
      <c r="V61" s="8"/>
      <c r="W61" s="8" t="s">
        <v>1533</v>
      </c>
      <c r="X61" s="8">
        <v>11.43</v>
      </c>
      <c r="Y61" s="8">
        <v>1.82</v>
      </c>
      <c r="Z61" s="9">
        <v>0.52</v>
      </c>
      <c r="AA61" s="8">
        <v>15.9</v>
      </c>
      <c r="AB61" s="8">
        <v>16515</v>
      </c>
      <c r="AC61" s="21" t="s">
        <v>1533</v>
      </c>
      <c r="AD61" s="8" t="s">
        <v>4090</v>
      </c>
      <c r="AE61" s="8" t="s">
        <v>4085</v>
      </c>
      <c r="AF61" s="9">
        <f t="shared" si="8"/>
        <v>28.938000000000002</v>
      </c>
      <c r="AG61" s="9">
        <f t="shared" si="9"/>
        <v>13.780000000000001</v>
      </c>
      <c r="AH61" s="9">
        <f t="shared" si="10"/>
        <v>0.10997980245137376</v>
      </c>
      <c r="AI61" s="9">
        <f t="shared" si="11"/>
        <v>1.2095556947243197E-2</v>
      </c>
      <c r="AJ61" s="9">
        <f t="shared" si="12"/>
        <v>8.0856401679448228E-2</v>
      </c>
      <c r="AK61" s="9">
        <f t="shared" si="13"/>
        <v>6.5377576925482782E-3</v>
      </c>
      <c r="AL61" s="9">
        <f t="shared" si="14"/>
        <v>4.2432714099344987E-2</v>
      </c>
      <c r="AM61" s="9">
        <f t="shared" si="15"/>
        <v>1.8005352258367508E-3</v>
      </c>
      <c r="AN61" s="8" t="s">
        <v>1533</v>
      </c>
    </row>
    <row r="62" spans="13:40" ht="23">
      <c r="M62" s="9" t="s">
        <v>3096</v>
      </c>
      <c r="N62" s="8" t="s">
        <v>1814</v>
      </c>
      <c r="O62" s="8"/>
      <c r="P62" s="8"/>
      <c r="Q62" s="8"/>
      <c r="R62" s="8"/>
      <c r="S62" s="8"/>
      <c r="T62" s="8"/>
      <c r="U62" s="8"/>
      <c r="V62" s="8"/>
      <c r="W62" s="9" t="s">
        <v>3096</v>
      </c>
      <c r="X62" s="8">
        <v>30.98</v>
      </c>
      <c r="Y62" s="8">
        <v>4.5599999999999996</v>
      </c>
      <c r="Z62" s="9">
        <v>5.17</v>
      </c>
      <c r="AA62" s="8">
        <v>15.8</v>
      </c>
      <c r="AB62" s="8">
        <v>7831</v>
      </c>
      <c r="AC62" s="22" t="s">
        <v>3096</v>
      </c>
      <c r="AD62" s="8" t="s">
        <v>4090</v>
      </c>
      <c r="AE62" s="8" t="s">
        <v>4085</v>
      </c>
      <c r="AF62" s="9">
        <f t="shared" si="8"/>
        <v>72.048000000000002</v>
      </c>
      <c r="AG62" s="9">
        <f t="shared" si="9"/>
        <v>83.476666666666674</v>
      </c>
      <c r="AH62" s="9">
        <f t="shared" si="10"/>
        <v>0.10928810558061039</v>
      </c>
      <c r="AI62" s="9">
        <f t="shared" si="11"/>
        <v>1.1943890021398644E-2</v>
      </c>
      <c r="AJ62" s="9">
        <f t="shared" si="12"/>
        <v>0.20131114894605312</v>
      </c>
      <c r="AK62" s="9">
        <f t="shared" si="13"/>
        <v>4.0526178689979986E-2</v>
      </c>
      <c r="AL62" s="9">
        <f t="shared" si="14"/>
        <v>0.2570494579559498</v>
      </c>
      <c r="AM62" s="9">
        <f t="shared" si="15"/>
        <v>6.6074423835447607E-2</v>
      </c>
      <c r="AN62" s="9" t="s">
        <v>3096</v>
      </c>
    </row>
    <row r="63" spans="13:40" ht="23">
      <c r="M63" s="8" t="s">
        <v>1348</v>
      </c>
      <c r="N63" s="8" t="s">
        <v>150</v>
      </c>
      <c r="O63" s="8"/>
      <c r="P63" s="8"/>
      <c r="Q63" s="8"/>
      <c r="R63" s="8"/>
      <c r="S63" s="8"/>
      <c r="T63" s="8"/>
      <c r="U63" s="8"/>
      <c r="V63" s="8"/>
      <c r="W63" s="8" t="s">
        <v>1348</v>
      </c>
      <c r="X63" s="8">
        <v>32.799999999999997</v>
      </c>
      <c r="Y63" s="8">
        <v>1.46</v>
      </c>
      <c r="Z63" s="9">
        <v>1.1299999999999999</v>
      </c>
      <c r="AA63" s="8">
        <v>15.8</v>
      </c>
      <c r="AB63" s="8">
        <v>22541</v>
      </c>
      <c r="AC63" s="21" t="s">
        <v>1348</v>
      </c>
      <c r="AD63" s="8" t="s">
        <v>4090</v>
      </c>
      <c r="AE63" s="8" t="s">
        <v>4085</v>
      </c>
      <c r="AF63" s="9">
        <f t="shared" si="8"/>
        <v>23.068000000000001</v>
      </c>
      <c r="AG63" s="9">
        <f t="shared" si="9"/>
        <v>19.223333333333336</v>
      </c>
      <c r="AH63" s="9">
        <f t="shared" si="10"/>
        <v>0.10928810558061039</v>
      </c>
      <c r="AI63" s="9">
        <f t="shared" si="11"/>
        <v>1.1943890021398644E-2</v>
      </c>
      <c r="AJ63" s="9">
        <f t="shared" si="12"/>
        <v>6.4454885408166129E-2</v>
      </c>
      <c r="AK63" s="9">
        <f t="shared" si="13"/>
        <v>4.1544322529798268E-3</v>
      </c>
      <c r="AL63" s="9">
        <f t="shared" si="14"/>
        <v>5.9194354671243968E-2</v>
      </c>
      <c r="AM63" s="9">
        <f t="shared" si="15"/>
        <v>3.5039716249450226E-3</v>
      </c>
      <c r="AN63" s="8" t="s">
        <v>1348</v>
      </c>
    </row>
    <row r="64" spans="13:40" ht="23">
      <c r="M64" s="9" t="s">
        <v>3602</v>
      </c>
      <c r="N64" s="8" t="s">
        <v>2084</v>
      </c>
      <c r="O64" s="8"/>
      <c r="P64" s="8" t="s">
        <v>3693</v>
      </c>
      <c r="Q64" s="8"/>
      <c r="R64" s="8"/>
      <c r="S64" s="8"/>
      <c r="T64" s="8"/>
      <c r="U64" s="8"/>
      <c r="V64" s="8"/>
      <c r="W64" s="9" t="s">
        <v>3602</v>
      </c>
      <c r="X64" s="8">
        <v>18.93</v>
      </c>
      <c r="Y64" s="8">
        <v>5.49</v>
      </c>
      <c r="Z64" s="9">
        <v>6.56</v>
      </c>
      <c r="AA64" s="8">
        <v>15.2</v>
      </c>
      <c r="AB64" s="8">
        <v>7444</v>
      </c>
      <c r="AC64" s="22" t="s">
        <v>3602</v>
      </c>
      <c r="AD64" s="8" t="s">
        <v>4090</v>
      </c>
      <c r="AE64" s="8" t="s">
        <v>4085</v>
      </c>
      <c r="AF64" s="9">
        <f t="shared" si="8"/>
        <v>83.447999999999993</v>
      </c>
      <c r="AG64" s="9">
        <f t="shared" si="9"/>
        <v>105.38666666666667</v>
      </c>
      <c r="AH64" s="9">
        <f t="shared" si="10"/>
        <v>0.10513792435603024</v>
      </c>
      <c r="AI64" s="9">
        <f t="shared" si="11"/>
        <v>1.1053983137894336E-2</v>
      </c>
      <c r="AJ64" s="9">
        <f t="shared" si="12"/>
        <v>0.23316417884258048</v>
      </c>
      <c r="AK64" s="9">
        <f t="shared" si="13"/>
        <v>5.4365534295334854E-2</v>
      </c>
      <c r="AL64" s="9">
        <f t="shared" si="14"/>
        <v>0.32451685751448744</v>
      </c>
      <c r="AM64" s="9">
        <f t="shared" si="15"/>
        <v>0.10531119081107815</v>
      </c>
      <c r="AN64" s="9" t="s">
        <v>3602</v>
      </c>
    </row>
    <row r="65" spans="13:40" ht="23">
      <c r="M65" s="8" t="s">
        <v>811</v>
      </c>
      <c r="N65" s="8" t="s">
        <v>150</v>
      </c>
      <c r="O65" s="8"/>
      <c r="P65" s="8" t="s">
        <v>3691</v>
      </c>
      <c r="Q65" s="8"/>
      <c r="R65" s="8"/>
      <c r="S65" s="8"/>
      <c r="T65" s="8"/>
      <c r="U65" s="8"/>
      <c r="V65" s="8"/>
      <c r="W65" s="8" t="s">
        <v>811</v>
      </c>
      <c r="X65" s="8">
        <v>16.809999999999999</v>
      </c>
      <c r="Y65" s="8">
        <v>10.98</v>
      </c>
      <c r="Z65" s="9">
        <v>16.13</v>
      </c>
      <c r="AA65" s="8">
        <v>14.8</v>
      </c>
      <c r="AB65" s="8">
        <v>4789</v>
      </c>
      <c r="AC65" s="21" t="s">
        <v>811</v>
      </c>
      <c r="AD65" s="8" t="s">
        <v>4090</v>
      </c>
      <c r="AE65" s="8" t="s">
        <v>4085</v>
      </c>
      <c r="AF65" s="9">
        <f t="shared" si="8"/>
        <v>162.50400000000002</v>
      </c>
      <c r="AG65" s="9">
        <f t="shared" si="9"/>
        <v>240.00666666666666</v>
      </c>
      <c r="AH65" s="9">
        <f t="shared" si="10"/>
        <v>0.10237113687297683</v>
      </c>
      <c r="AI65" s="9">
        <f t="shared" si="11"/>
        <v>1.0479849664665756E-2</v>
      </c>
      <c r="AJ65" s="9">
        <f t="shared" si="12"/>
        <v>0.45405655879870949</v>
      </c>
      <c r="AK65" s="9">
        <f t="shared" si="13"/>
        <v>0.20616735858812593</v>
      </c>
      <c r="AL65" s="9">
        <f t="shared" si="14"/>
        <v>0.73905183371578076</v>
      </c>
      <c r="AM65" s="9">
        <f t="shared" si="15"/>
        <v>0.54619761291865809</v>
      </c>
      <c r="AN65" s="8" t="s">
        <v>811</v>
      </c>
    </row>
    <row r="66" spans="13:40" ht="23">
      <c r="M66" s="8" t="s">
        <v>71</v>
      </c>
      <c r="N66" s="8" t="s">
        <v>23</v>
      </c>
      <c r="O66" s="8"/>
      <c r="P66" s="8"/>
      <c r="Q66" s="8"/>
      <c r="R66" s="8"/>
      <c r="S66" s="8"/>
      <c r="T66" s="8"/>
      <c r="U66" s="8"/>
      <c r="V66" s="8"/>
      <c r="W66" s="8" t="s">
        <v>71</v>
      </c>
      <c r="X66" s="8">
        <v>28.52</v>
      </c>
      <c r="Y66" s="8">
        <v>2.4900000000000002</v>
      </c>
      <c r="Z66" s="9">
        <v>1.1200000000000001</v>
      </c>
      <c r="AA66" s="8">
        <v>13.1</v>
      </c>
      <c r="AB66" s="8">
        <v>8825</v>
      </c>
      <c r="AC66" s="21" t="s">
        <v>71</v>
      </c>
      <c r="AD66" s="8" t="s">
        <v>3687</v>
      </c>
      <c r="AE66" s="8" t="s">
        <v>4085</v>
      </c>
      <c r="AF66" s="9">
        <f t="shared" ref="AF66:AF97" si="16">(AA66*Y66)</f>
        <v>32.619</v>
      </c>
      <c r="AG66" s="9">
        <f t="shared" ref="AG66:AG97" si="17">((((RIGHT(Z66,2))/60)+(LEFT(Z66,2)))*AA66)</f>
        <v>15.719999999999999</v>
      </c>
      <c r="AH66" s="9">
        <f t="shared" ref="AH66:AH97" si="18">(AA66/$AA$172)*100</f>
        <v>9.0612290069999754E-2</v>
      </c>
      <c r="AI66" s="9">
        <f t="shared" ref="AI66:AI97" si="19">(AH66*AH66)</f>
        <v>8.2105871117297766E-3</v>
      </c>
      <c r="AJ66" s="9">
        <f t="shared" ref="AJ66:AJ97" si="20">(AF66/$AF$172)*100</f>
        <v>9.1141577385511138E-2</v>
      </c>
      <c r="AK66" s="9">
        <f t="shared" ref="AK66:AK97" si="21">(AJ66*AJ66)</f>
        <v>8.3067871283191153E-3</v>
      </c>
      <c r="AL66" s="9">
        <f t="shared" ref="AL66:AL97" si="22">(AG66/$AG$172)*100</f>
        <v>4.8406550481981357E-2</v>
      </c>
      <c r="AM66" s="9">
        <f t="shared" ref="AM66:AM97" si="23">(AL66*AL66)</f>
        <v>2.3431941295646097E-3</v>
      </c>
      <c r="AN66" s="8" t="s">
        <v>71</v>
      </c>
    </row>
    <row r="67" spans="13:40" ht="23">
      <c r="M67" s="9" t="s">
        <v>3010</v>
      </c>
      <c r="N67" s="8" t="s">
        <v>1717</v>
      </c>
      <c r="O67" s="8"/>
      <c r="P67" s="8"/>
      <c r="Q67" s="8"/>
      <c r="R67" s="8"/>
      <c r="S67" s="8"/>
      <c r="T67" s="8"/>
      <c r="U67" s="8"/>
      <c r="V67" s="8"/>
      <c r="W67" s="9" t="s">
        <v>3010</v>
      </c>
      <c r="X67" s="8">
        <v>39.07</v>
      </c>
      <c r="Y67" s="8">
        <v>2.0299999999999998</v>
      </c>
      <c r="Z67" s="9">
        <v>1.07</v>
      </c>
      <c r="AA67" s="8">
        <v>12.9</v>
      </c>
      <c r="AB67" s="8">
        <v>10676</v>
      </c>
      <c r="AC67" s="22" t="s">
        <v>3010</v>
      </c>
      <c r="AD67" s="8" t="s">
        <v>3687</v>
      </c>
      <c r="AE67" s="8" t="s">
        <v>4085</v>
      </c>
      <c r="AF67" s="9">
        <f t="shared" si="16"/>
        <v>26.186999999999998</v>
      </c>
      <c r="AG67" s="9">
        <f t="shared" si="17"/>
        <v>14.405000000000001</v>
      </c>
      <c r="AH67" s="9">
        <f t="shared" si="18"/>
        <v>8.9228896328473042E-2</v>
      </c>
      <c r="AI67" s="9">
        <f t="shared" si="19"/>
        <v>7.9617959399973896E-3</v>
      </c>
      <c r="AJ67" s="9">
        <f t="shared" si="20"/>
        <v>7.3169762622838835E-2</v>
      </c>
      <c r="AK67" s="9">
        <f t="shared" si="21"/>
        <v>5.3538141622825833E-3</v>
      </c>
      <c r="AL67" s="9">
        <f t="shared" si="22"/>
        <v>4.4357274789627324E-2</v>
      </c>
      <c r="AM67" s="9">
        <f t="shared" si="23"/>
        <v>1.9675678267625078E-3</v>
      </c>
      <c r="AN67" s="9" t="s">
        <v>3010</v>
      </c>
    </row>
    <row r="68" spans="13:40" ht="23">
      <c r="M68" s="9" t="s">
        <v>3634</v>
      </c>
      <c r="N68" s="8" t="s">
        <v>2093</v>
      </c>
      <c r="O68" s="8"/>
      <c r="P68" s="8"/>
      <c r="Q68" s="8"/>
      <c r="R68" s="8"/>
      <c r="S68" s="8"/>
      <c r="T68" s="8"/>
      <c r="U68" s="8"/>
      <c r="V68" s="8"/>
      <c r="W68" s="9" t="s">
        <v>3634</v>
      </c>
      <c r="X68" s="8">
        <v>59.97</v>
      </c>
      <c r="Y68" s="8">
        <v>1.76</v>
      </c>
      <c r="Z68" s="9">
        <v>0.45</v>
      </c>
      <c r="AA68" s="8">
        <v>12.7</v>
      </c>
      <c r="AB68" s="8">
        <v>13334</v>
      </c>
      <c r="AC68" s="22" t="s">
        <v>3634</v>
      </c>
      <c r="AD68" s="8" t="s">
        <v>4090</v>
      </c>
      <c r="AE68" s="8" t="s">
        <v>4085</v>
      </c>
      <c r="AF68" s="9">
        <f t="shared" si="16"/>
        <v>22.352</v>
      </c>
      <c r="AG68" s="9">
        <f t="shared" si="17"/>
        <v>9.5249999999999986</v>
      </c>
      <c r="AH68" s="9">
        <f t="shared" si="18"/>
        <v>8.7845502586946331E-2</v>
      </c>
      <c r="AI68" s="9">
        <f t="shared" si="19"/>
        <v>7.7168323247531947E-3</v>
      </c>
      <c r="AJ68" s="9">
        <f t="shared" si="20"/>
        <v>6.2454291600629847E-2</v>
      </c>
      <c r="AK68" s="9">
        <f t="shared" si="21"/>
        <v>3.9005385393365037E-3</v>
      </c>
      <c r="AL68" s="9">
        <f t="shared" si="22"/>
        <v>2.9330304919902822E-2</v>
      </c>
      <c r="AM68" s="9">
        <f t="shared" si="23"/>
        <v>8.6026678669447567E-4</v>
      </c>
      <c r="AN68" s="9" t="s">
        <v>3634</v>
      </c>
    </row>
    <row r="69" spans="13:40" ht="23">
      <c r="M69" s="8" t="s">
        <v>2079</v>
      </c>
      <c r="N69" s="8" t="s">
        <v>2074</v>
      </c>
      <c r="O69" s="8"/>
      <c r="P69" s="8"/>
      <c r="Q69" s="8"/>
      <c r="R69" s="8"/>
      <c r="S69" s="8"/>
      <c r="T69" s="8"/>
      <c r="U69" s="8"/>
      <c r="V69" s="8"/>
      <c r="W69" s="8" t="s">
        <v>2079</v>
      </c>
      <c r="X69" s="8">
        <v>42.72</v>
      </c>
      <c r="Y69" s="8">
        <v>1.64</v>
      </c>
      <c r="Z69" s="9">
        <v>0.27</v>
      </c>
      <c r="AA69" s="8">
        <v>12.7</v>
      </c>
      <c r="AB69" s="8">
        <v>15016</v>
      </c>
      <c r="AC69" s="21" t="s">
        <v>2079</v>
      </c>
      <c r="AD69" s="8" t="s">
        <v>4090</v>
      </c>
      <c r="AE69" s="8" t="s">
        <v>4085</v>
      </c>
      <c r="AF69" s="9">
        <f t="shared" si="16"/>
        <v>20.827999999999996</v>
      </c>
      <c r="AG69" s="9">
        <f t="shared" si="17"/>
        <v>5.7149999999999999</v>
      </c>
      <c r="AH69" s="9">
        <f t="shared" si="18"/>
        <v>8.7845502586946331E-2</v>
      </c>
      <c r="AI69" s="9">
        <f t="shared" si="19"/>
        <v>7.7168323247531947E-3</v>
      </c>
      <c r="AJ69" s="9">
        <f t="shared" si="20"/>
        <v>5.8196044446041442E-2</v>
      </c>
      <c r="AK69" s="9">
        <f t="shared" si="21"/>
        <v>3.3867795891656311E-3</v>
      </c>
      <c r="AL69" s="9">
        <f t="shared" si="22"/>
        <v>1.7598182951941696E-2</v>
      </c>
      <c r="AM69" s="9">
        <f t="shared" si="23"/>
        <v>3.0969604321001134E-4</v>
      </c>
      <c r="AN69" s="8" t="s">
        <v>2079</v>
      </c>
    </row>
    <row r="70" spans="13:40" ht="23">
      <c r="M70" s="9" t="s">
        <v>2814</v>
      </c>
      <c r="N70" s="8" t="s">
        <v>1614</v>
      </c>
      <c r="O70" s="8"/>
      <c r="P70" s="8"/>
      <c r="Q70" s="8"/>
      <c r="R70" s="8"/>
      <c r="S70" s="8"/>
      <c r="T70" s="8"/>
      <c r="U70" s="8"/>
      <c r="V70" s="8"/>
      <c r="W70" s="9" t="s">
        <v>2814</v>
      </c>
      <c r="X70" s="8">
        <v>27.23</v>
      </c>
      <c r="Y70" s="8">
        <v>5.07</v>
      </c>
      <c r="Z70" s="9">
        <v>5.0599999999999996</v>
      </c>
      <c r="AA70" s="8">
        <v>12.3</v>
      </c>
      <c r="AB70" s="8">
        <v>7980</v>
      </c>
      <c r="AC70" s="22" t="s">
        <v>2814</v>
      </c>
      <c r="AD70" s="8" t="s">
        <v>3996</v>
      </c>
      <c r="AE70" s="8" t="s">
        <v>4085</v>
      </c>
      <c r="AF70" s="9">
        <f t="shared" si="16"/>
        <v>62.361000000000004</v>
      </c>
      <c r="AG70" s="9">
        <f t="shared" si="17"/>
        <v>62.73</v>
      </c>
      <c r="AH70" s="9">
        <f t="shared" si="18"/>
        <v>8.5078715103892907E-2</v>
      </c>
      <c r="AI70" s="9">
        <f t="shared" si="19"/>
        <v>7.2383877637293755E-3</v>
      </c>
      <c r="AJ70" s="9">
        <f t="shared" si="20"/>
        <v>0.17424445591029339</v>
      </c>
      <c r="AK70" s="9">
        <f t="shared" si="21"/>
        <v>3.0361130415474176E-2</v>
      </c>
      <c r="AL70" s="9">
        <f t="shared" si="22"/>
        <v>0.19316430736225768</v>
      </c>
      <c r="AM70" s="9">
        <f t="shared" si="23"/>
        <v>3.7312449638740752E-2</v>
      </c>
      <c r="AN70" s="9" t="s">
        <v>2814</v>
      </c>
    </row>
    <row r="71" spans="13:40" ht="23">
      <c r="M71" s="9" t="s">
        <v>3199</v>
      </c>
      <c r="N71" s="8" t="s">
        <v>1869</v>
      </c>
      <c r="O71" s="8"/>
      <c r="P71" s="8"/>
      <c r="Q71" s="8"/>
      <c r="R71" s="8"/>
      <c r="S71" s="8"/>
      <c r="T71" s="8"/>
      <c r="U71" s="8"/>
      <c r="V71" s="8"/>
      <c r="W71" s="9" t="s">
        <v>3199</v>
      </c>
      <c r="X71" s="8">
        <v>40.61</v>
      </c>
      <c r="Y71" s="8">
        <v>32.65</v>
      </c>
      <c r="Z71" s="9">
        <v>17.37</v>
      </c>
      <c r="AA71" s="8">
        <v>11.9</v>
      </c>
      <c r="AB71" s="8">
        <v>3058</v>
      </c>
      <c r="AC71" s="22" t="s">
        <v>3199</v>
      </c>
      <c r="AD71" s="8" t="s">
        <v>4230</v>
      </c>
      <c r="AE71" s="8" t="s">
        <v>4085</v>
      </c>
      <c r="AF71" s="9">
        <f t="shared" si="16"/>
        <v>388.53499999999997</v>
      </c>
      <c r="AG71" s="9">
        <f t="shared" si="17"/>
        <v>209.63833333333335</v>
      </c>
      <c r="AH71" s="9">
        <f t="shared" si="18"/>
        <v>8.231192762083947E-2</v>
      </c>
      <c r="AI71" s="9">
        <f t="shared" si="19"/>
        <v>6.7752534286583156E-3</v>
      </c>
      <c r="AJ71" s="9">
        <f t="shared" si="20"/>
        <v>1.0856155237585323</v>
      </c>
      <c r="AK71" s="9">
        <f t="shared" si="21"/>
        <v>1.1785610654255125</v>
      </c>
      <c r="AL71" s="9">
        <f t="shared" si="22"/>
        <v>0.64553871281542219</v>
      </c>
      <c r="AM71" s="9">
        <f t="shared" si="23"/>
        <v>0.41672022974339212</v>
      </c>
      <c r="AN71" s="9" t="s">
        <v>3199</v>
      </c>
    </row>
    <row r="72" spans="13:40" ht="23">
      <c r="M72" s="9" t="s">
        <v>3106</v>
      </c>
      <c r="N72" s="8" t="s">
        <v>1814</v>
      </c>
      <c r="O72" s="8"/>
      <c r="P72" s="8" t="s">
        <v>4742</v>
      </c>
      <c r="Q72" s="8"/>
      <c r="R72" s="8"/>
      <c r="S72" s="8"/>
      <c r="T72" s="8"/>
      <c r="U72" s="8"/>
      <c r="V72" s="8"/>
      <c r="W72" s="9" t="s">
        <v>3106</v>
      </c>
      <c r="X72" s="8">
        <v>13.93</v>
      </c>
      <c r="Y72" s="8">
        <v>3.85</v>
      </c>
      <c r="Z72" s="9">
        <v>2.21</v>
      </c>
      <c r="AA72" s="8">
        <v>11.7</v>
      </c>
      <c r="AB72" s="8">
        <v>13168</v>
      </c>
      <c r="AC72" s="22" t="s">
        <v>3106</v>
      </c>
      <c r="AD72" s="8" t="s">
        <v>4090</v>
      </c>
      <c r="AE72" s="8" t="s">
        <v>4085</v>
      </c>
      <c r="AF72" s="9">
        <f t="shared" si="16"/>
        <v>45.045000000000002</v>
      </c>
      <c r="AG72" s="9">
        <f t="shared" si="17"/>
        <v>27.495000000000001</v>
      </c>
      <c r="AH72" s="9">
        <f t="shared" si="18"/>
        <v>8.0928533879312758E-2</v>
      </c>
      <c r="AI72" s="9">
        <f t="shared" si="19"/>
        <v>6.5494275958550728E-3</v>
      </c>
      <c r="AJ72" s="9">
        <f t="shared" si="20"/>
        <v>0.12586137997272601</v>
      </c>
      <c r="AK72" s="9">
        <f t="shared" si="21"/>
        <v>1.5841086968638916E-2</v>
      </c>
      <c r="AL72" s="9">
        <f t="shared" si="22"/>
        <v>8.4665273886900608E-2</v>
      </c>
      <c r="AM72" s="9">
        <f t="shared" si="23"/>
        <v>7.1682086023438941E-3</v>
      </c>
      <c r="AN72" s="9" t="s">
        <v>3106</v>
      </c>
    </row>
    <row r="73" spans="13:40" ht="23">
      <c r="M73" s="9" t="s">
        <v>3327</v>
      </c>
      <c r="N73" s="8" t="s">
        <v>1939</v>
      </c>
      <c r="O73" s="8"/>
      <c r="P73" s="8"/>
      <c r="Q73" s="8"/>
      <c r="R73" s="8"/>
      <c r="S73" s="8"/>
      <c r="T73" s="8"/>
      <c r="U73" s="8"/>
      <c r="V73" s="8"/>
      <c r="W73" s="9" t="s">
        <v>3327</v>
      </c>
      <c r="X73" s="8">
        <v>31.91</v>
      </c>
      <c r="Y73" s="8">
        <v>5.09</v>
      </c>
      <c r="Z73" s="9">
        <v>5.38</v>
      </c>
      <c r="AA73" s="8">
        <v>10.9</v>
      </c>
      <c r="AB73" s="8">
        <v>8068</v>
      </c>
      <c r="AC73" s="22" t="s">
        <v>3327</v>
      </c>
      <c r="AD73" s="8" t="s">
        <v>4090</v>
      </c>
      <c r="AE73" s="8" t="s">
        <v>4085</v>
      </c>
      <c r="AF73" s="9">
        <f t="shared" si="16"/>
        <v>55.481000000000002</v>
      </c>
      <c r="AG73" s="9">
        <f t="shared" si="17"/>
        <v>61.403333333333329</v>
      </c>
      <c r="AH73" s="9">
        <f t="shared" si="18"/>
        <v>7.5394958913205912E-2</v>
      </c>
      <c r="AI73" s="9">
        <f t="shared" si="19"/>
        <v>5.6843998295240073E-3</v>
      </c>
      <c r="AJ73" s="9">
        <f t="shared" si="20"/>
        <v>0.15502087295519615</v>
      </c>
      <c r="AK73" s="9">
        <f t="shared" si="21"/>
        <v>2.4031471051791063E-2</v>
      </c>
      <c r="AL73" s="9">
        <f t="shared" si="22"/>
        <v>0.18907910653701837</v>
      </c>
      <c r="AM73" s="9">
        <f t="shared" si="23"/>
        <v>3.5750908528837146E-2</v>
      </c>
      <c r="AN73" s="9" t="s">
        <v>3327</v>
      </c>
    </row>
    <row r="74" spans="13:40" ht="23">
      <c r="M74" s="8" t="s">
        <v>1548</v>
      </c>
      <c r="N74" s="8" t="s">
        <v>150</v>
      </c>
      <c r="O74" s="8"/>
      <c r="P74" s="8"/>
      <c r="Q74" s="8"/>
      <c r="R74" s="8"/>
      <c r="S74" s="8"/>
      <c r="T74" s="8"/>
      <c r="U74" s="8"/>
      <c r="V74" s="8"/>
      <c r="W74" s="8" t="s">
        <v>1548</v>
      </c>
      <c r="X74" s="8">
        <v>39.130000000000003</v>
      </c>
      <c r="Y74" s="8">
        <v>3.57</v>
      </c>
      <c r="Z74" s="9">
        <v>3.29</v>
      </c>
      <c r="AA74" s="8">
        <v>10.8</v>
      </c>
      <c r="AB74" s="8">
        <v>9165</v>
      </c>
      <c r="AC74" s="21" t="s">
        <v>1548</v>
      </c>
      <c r="AD74" s="8" t="s">
        <v>4090</v>
      </c>
      <c r="AE74" s="8" t="s">
        <v>4085</v>
      </c>
      <c r="AF74" s="9">
        <f t="shared" si="16"/>
        <v>38.555999999999997</v>
      </c>
      <c r="AG74" s="9">
        <f t="shared" si="17"/>
        <v>37.620000000000005</v>
      </c>
      <c r="AH74" s="9">
        <f t="shared" si="18"/>
        <v>7.4703262042442556E-2</v>
      </c>
      <c r="AI74" s="9">
        <f t="shared" si="19"/>
        <v>5.5805773597818386E-3</v>
      </c>
      <c r="AJ74" s="9">
        <f t="shared" si="20"/>
        <v>0.10773030006057105</v>
      </c>
      <c r="AK74" s="9">
        <f t="shared" si="21"/>
        <v>1.1605817551140674E-2</v>
      </c>
      <c r="AL74" s="9">
        <f t="shared" si="22"/>
        <v>0.11584315706947448</v>
      </c>
      <c r="AM74" s="9">
        <f t="shared" si="23"/>
        <v>1.3419637039822937E-2</v>
      </c>
      <c r="AN74" s="8" t="s">
        <v>1548</v>
      </c>
    </row>
    <row r="75" spans="13:40" ht="23">
      <c r="M75" s="8" t="s">
        <v>1935</v>
      </c>
      <c r="N75" s="8" t="s">
        <v>1902</v>
      </c>
      <c r="O75" s="8"/>
      <c r="P75" s="8" t="s">
        <v>3691</v>
      </c>
      <c r="Q75" s="8"/>
      <c r="R75" s="8"/>
      <c r="S75" s="8"/>
      <c r="T75" s="8"/>
      <c r="U75" s="8"/>
      <c r="V75" s="8"/>
      <c r="W75" s="8" t="s">
        <v>1935</v>
      </c>
      <c r="X75" s="8">
        <v>51.18</v>
      </c>
      <c r="Y75" s="8">
        <v>1.77</v>
      </c>
      <c r="Z75" s="9">
        <v>1.24</v>
      </c>
      <c r="AA75" s="8">
        <v>9.8000000000000007</v>
      </c>
      <c r="AB75" s="8">
        <v>14353</v>
      </c>
      <c r="AC75" s="21" t="s">
        <v>1935</v>
      </c>
      <c r="AD75" s="8" t="s">
        <v>4090</v>
      </c>
      <c r="AE75" s="8" t="s">
        <v>4085</v>
      </c>
      <c r="AF75" s="9">
        <f t="shared" si="16"/>
        <v>17.346</v>
      </c>
      <c r="AG75" s="9">
        <f t="shared" si="17"/>
        <v>13.72</v>
      </c>
      <c r="AH75" s="9">
        <f t="shared" si="18"/>
        <v>6.7786293334808984E-2</v>
      </c>
      <c r="AI75" s="9">
        <f t="shared" si="19"/>
        <v>4.5949815640727691E-3</v>
      </c>
      <c r="AJ75" s="9">
        <f t="shared" si="20"/>
        <v>4.8466899700452995E-2</v>
      </c>
      <c r="AK75" s="9">
        <f t="shared" si="21"/>
        <v>2.3490403665737706E-3</v>
      </c>
      <c r="AL75" s="9">
        <f t="shared" si="22"/>
        <v>4.2247956273077883E-2</v>
      </c>
      <c r="AM75" s="9">
        <f t="shared" si="23"/>
        <v>1.7848898092519007E-3</v>
      </c>
      <c r="AN75" s="8" t="s">
        <v>1935</v>
      </c>
    </row>
    <row r="76" spans="13:40" ht="23">
      <c r="M76" s="8" t="s">
        <v>1561</v>
      </c>
      <c r="N76" s="8" t="s">
        <v>150</v>
      </c>
      <c r="O76" s="8"/>
      <c r="P76" s="8"/>
      <c r="Q76" s="8"/>
      <c r="R76" s="8"/>
      <c r="S76" s="8"/>
      <c r="T76" s="8"/>
      <c r="U76" s="8"/>
      <c r="V76" s="8"/>
      <c r="W76" s="8" t="s">
        <v>1561</v>
      </c>
      <c r="X76" s="8">
        <v>49.21</v>
      </c>
      <c r="Y76" s="8">
        <v>5.05</v>
      </c>
      <c r="Z76" s="9">
        <v>4.21</v>
      </c>
      <c r="AA76" s="8">
        <v>9.5</v>
      </c>
      <c r="AB76" s="8">
        <v>12493</v>
      </c>
      <c r="AC76" s="21" t="s">
        <v>1561</v>
      </c>
      <c r="AD76" s="8" t="s">
        <v>3687</v>
      </c>
      <c r="AE76" s="8" t="s">
        <v>4085</v>
      </c>
      <c r="AF76" s="9">
        <f t="shared" si="16"/>
        <v>47.975000000000001</v>
      </c>
      <c r="AG76" s="9">
        <f t="shared" si="17"/>
        <v>41.324999999999996</v>
      </c>
      <c r="AH76" s="9">
        <f t="shared" si="18"/>
        <v>6.5711202722518902E-2</v>
      </c>
      <c r="AI76" s="9">
        <f t="shared" si="19"/>
        <v>4.3179621632399752E-3</v>
      </c>
      <c r="AJ76" s="9">
        <f t="shared" si="20"/>
        <v>0.13404816748121945</v>
      </c>
      <c r="AK76" s="9">
        <f t="shared" si="21"/>
        <v>1.796891120507306E-2</v>
      </c>
      <c r="AL76" s="9">
        <f t="shared" si="22"/>
        <v>0.12725195284146817</v>
      </c>
      <c r="AM76" s="9">
        <f t="shared" si="23"/>
        <v>1.6193059501967241E-2</v>
      </c>
      <c r="AN76" s="8" t="s">
        <v>1561</v>
      </c>
    </row>
    <row r="77" spans="13:40" ht="23">
      <c r="M77" s="8" t="s">
        <v>1704</v>
      </c>
      <c r="N77" s="8" t="s">
        <v>1614</v>
      </c>
      <c r="O77" s="8"/>
      <c r="P77" s="8" t="s">
        <v>3700</v>
      </c>
      <c r="Q77" s="8"/>
      <c r="R77" s="8"/>
      <c r="S77" s="8"/>
      <c r="T77" s="8"/>
      <c r="U77" s="8"/>
      <c r="V77" s="8"/>
      <c r="W77" s="8" t="s">
        <v>1704</v>
      </c>
      <c r="X77" s="8">
        <v>40.450000000000003</v>
      </c>
      <c r="Y77" s="8">
        <v>1.83</v>
      </c>
      <c r="Z77" s="9">
        <v>0.46</v>
      </c>
      <c r="AA77" s="8">
        <v>9.3000000000000007</v>
      </c>
      <c r="AB77" s="8">
        <v>19732</v>
      </c>
      <c r="AC77" s="21" t="s">
        <v>1704</v>
      </c>
      <c r="AD77" s="8" t="s">
        <v>4090</v>
      </c>
      <c r="AE77" s="8" t="s">
        <v>4085</v>
      </c>
      <c r="AF77" s="9">
        <f t="shared" si="16"/>
        <v>17.019000000000002</v>
      </c>
      <c r="AG77" s="9">
        <f t="shared" si="17"/>
        <v>7.1300000000000008</v>
      </c>
      <c r="AH77" s="9">
        <f t="shared" si="18"/>
        <v>6.432780898099219E-2</v>
      </c>
      <c r="AI77" s="9">
        <f t="shared" si="19"/>
        <v>4.1380670082950197E-3</v>
      </c>
      <c r="AJ77" s="9">
        <f t="shared" si="20"/>
        <v>4.7553220684999981E-2</v>
      </c>
      <c r="AK77" s="9">
        <f t="shared" si="21"/>
        <v>2.26130879751631E-3</v>
      </c>
      <c r="AL77" s="9">
        <f t="shared" si="22"/>
        <v>2.1955388354740913E-2</v>
      </c>
      <c r="AM77" s="9">
        <f t="shared" si="23"/>
        <v>4.8203907780749289E-4</v>
      </c>
      <c r="AN77" s="8" t="s">
        <v>1704</v>
      </c>
    </row>
    <row r="78" spans="13:40" ht="23">
      <c r="M78" s="9" t="s">
        <v>3508</v>
      </c>
      <c r="N78" s="8" t="s">
        <v>2041</v>
      </c>
      <c r="O78" s="8"/>
      <c r="P78" s="8"/>
      <c r="Q78" s="8"/>
      <c r="R78" s="8"/>
      <c r="S78" s="8"/>
      <c r="T78" s="8"/>
      <c r="U78" s="8"/>
      <c r="V78" s="8"/>
      <c r="W78" s="9" t="s">
        <v>3508</v>
      </c>
      <c r="X78" s="8">
        <v>21.97</v>
      </c>
      <c r="Y78" s="8">
        <v>2.48</v>
      </c>
      <c r="Z78" s="9">
        <v>1.53</v>
      </c>
      <c r="AA78" s="8">
        <v>9.1</v>
      </c>
      <c r="AB78" s="8">
        <v>19164</v>
      </c>
      <c r="AC78" s="22" t="s">
        <v>3508</v>
      </c>
      <c r="AD78" s="8" t="s">
        <v>4090</v>
      </c>
      <c r="AE78" s="8" t="s">
        <v>4085</v>
      </c>
      <c r="AF78" s="9">
        <f t="shared" si="16"/>
        <v>22.567999999999998</v>
      </c>
      <c r="AG78" s="9">
        <f t="shared" si="17"/>
        <v>17.138333333333332</v>
      </c>
      <c r="AH78" s="9">
        <f t="shared" si="18"/>
        <v>6.2944415239465479E-2</v>
      </c>
      <c r="AI78" s="9">
        <f t="shared" si="19"/>
        <v>3.9619994098382544E-3</v>
      </c>
      <c r="AJ78" s="9">
        <f t="shared" si="20"/>
        <v>6.3057822693406151E-2</v>
      </c>
      <c r="AK78" s="9">
        <f t="shared" si="21"/>
        <v>3.9762890028330481E-3</v>
      </c>
      <c r="AL78" s="9">
        <f t="shared" si="22"/>
        <v>5.2774020208462079E-2</v>
      </c>
      <c r="AM78" s="9">
        <f t="shared" si="23"/>
        <v>2.7850972089631639E-3</v>
      </c>
      <c r="AN78" s="9" t="s">
        <v>3508</v>
      </c>
    </row>
    <row r="79" spans="13:40" ht="23">
      <c r="M79" s="9" t="s">
        <v>2816</v>
      </c>
      <c r="N79" s="8" t="s">
        <v>1614</v>
      </c>
      <c r="O79" s="8"/>
      <c r="P79" s="8"/>
      <c r="Q79" s="8"/>
      <c r="R79" s="8"/>
      <c r="S79" s="8"/>
      <c r="T79" s="8"/>
      <c r="U79" s="8"/>
      <c r="V79" s="8"/>
      <c r="W79" s="9" t="s">
        <v>2816</v>
      </c>
      <c r="X79" s="8">
        <v>32.94</v>
      </c>
      <c r="Y79" s="8">
        <v>2.2999999999999998</v>
      </c>
      <c r="Z79" s="9">
        <v>1.44</v>
      </c>
      <c r="AA79" s="8">
        <v>9</v>
      </c>
      <c r="AB79" s="8">
        <v>24932</v>
      </c>
      <c r="AC79" s="22" t="s">
        <v>2816</v>
      </c>
      <c r="AD79" s="8" t="s">
        <v>4090</v>
      </c>
      <c r="AE79" s="8" t="s">
        <v>4085</v>
      </c>
      <c r="AF79" s="9">
        <f t="shared" si="16"/>
        <v>20.7</v>
      </c>
      <c r="AG79" s="9">
        <f t="shared" si="17"/>
        <v>15.600000000000001</v>
      </c>
      <c r="AH79" s="9">
        <f t="shared" si="18"/>
        <v>6.2252718368702123E-2</v>
      </c>
      <c r="AI79" s="9">
        <f t="shared" si="19"/>
        <v>3.8754009442929426E-3</v>
      </c>
      <c r="AJ79" s="9">
        <f t="shared" si="20"/>
        <v>5.7838396391062898E-2</v>
      </c>
      <c r="AK79" s="9">
        <f t="shared" si="21"/>
        <v>3.3452800970897177E-3</v>
      </c>
      <c r="AL79" s="9">
        <f t="shared" si="22"/>
        <v>4.8037034829447156E-2</v>
      </c>
      <c r="AM79" s="9">
        <f t="shared" si="23"/>
        <v>2.307556715205519E-3</v>
      </c>
      <c r="AN79" s="9" t="s">
        <v>2816</v>
      </c>
    </row>
    <row r="80" spans="13:40" ht="23">
      <c r="M80" s="9" t="s">
        <v>3432</v>
      </c>
      <c r="N80" s="8" t="s">
        <v>2003</v>
      </c>
      <c r="O80" s="8"/>
      <c r="P80" s="8" t="s">
        <v>3691</v>
      </c>
      <c r="Q80" s="8"/>
      <c r="R80" s="8"/>
      <c r="S80" s="8"/>
      <c r="T80" s="8"/>
      <c r="U80" s="8"/>
      <c r="V80" s="8"/>
      <c r="W80" s="9" t="s">
        <v>3432</v>
      </c>
      <c r="X80" s="8">
        <v>19.23</v>
      </c>
      <c r="Y80" s="8">
        <v>12.76</v>
      </c>
      <c r="Z80" s="9">
        <v>16.21</v>
      </c>
      <c r="AA80" s="8">
        <v>8.9</v>
      </c>
      <c r="AB80" s="8">
        <v>7388</v>
      </c>
      <c r="AC80" s="22" t="s">
        <v>3432</v>
      </c>
      <c r="AD80" s="8" t="s">
        <v>4090</v>
      </c>
      <c r="AE80" s="8" t="s">
        <v>4085</v>
      </c>
      <c r="AF80" s="9">
        <f t="shared" si="16"/>
        <v>113.56400000000001</v>
      </c>
      <c r="AG80" s="9">
        <f t="shared" si="17"/>
        <v>145.51500000000001</v>
      </c>
      <c r="AH80" s="9">
        <f t="shared" si="18"/>
        <v>6.1561021497938767E-2</v>
      </c>
      <c r="AI80" s="9">
        <f t="shared" si="19"/>
        <v>3.7897593678696789E-3</v>
      </c>
      <c r="AJ80" s="9">
        <f t="shared" si="20"/>
        <v>0.31731206027800324</v>
      </c>
      <c r="AK80" s="9">
        <f t="shared" si="21"/>
        <v>0.10068694359787116</v>
      </c>
      <c r="AL80" s="9">
        <f t="shared" si="22"/>
        <v>0.4480839181542951</v>
      </c>
      <c r="AM80" s="9">
        <f t="shared" si="23"/>
        <v>0.20077919770850503</v>
      </c>
      <c r="AN80" s="9" t="s">
        <v>3432</v>
      </c>
    </row>
    <row r="81" spans="13:40" ht="23">
      <c r="M81" s="9" t="s">
        <v>2633</v>
      </c>
      <c r="N81" s="8" t="s">
        <v>150</v>
      </c>
      <c r="O81" s="8"/>
      <c r="P81" s="8" t="s">
        <v>3691</v>
      </c>
      <c r="Q81" s="8"/>
      <c r="R81" s="8"/>
      <c r="S81" s="8"/>
      <c r="T81" s="8"/>
      <c r="U81" s="8"/>
      <c r="V81" s="8"/>
      <c r="W81" s="9" t="s">
        <v>2633</v>
      </c>
      <c r="X81" s="8">
        <v>37.08</v>
      </c>
      <c r="Y81" s="8">
        <v>4.9000000000000004</v>
      </c>
      <c r="Z81" s="9">
        <v>4.24</v>
      </c>
      <c r="AA81" s="8">
        <v>8.8000000000000007</v>
      </c>
      <c r="AB81" s="8">
        <v>9520</v>
      </c>
      <c r="AC81" s="22" t="s">
        <v>2633</v>
      </c>
      <c r="AD81" s="8" t="s">
        <v>4090</v>
      </c>
      <c r="AE81" s="8" t="s">
        <v>4085</v>
      </c>
      <c r="AF81" s="9">
        <f t="shared" si="16"/>
        <v>43.120000000000005</v>
      </c>
      <c r="AG81" s="9">
        <f t="shared" si="17"/>
        <v>38.720000000000006</v>
      </c>
      <c r="AH81" s="9">
        <f t="shared" si="18"/>
        <v>6.0869324627175404E-2</v>
      </c>
      <c r="AI81" s="9">
        <f t="shared" si="19"/>
        <v>3.7050746805684623E-3</v>
      </c>
      <c r="AJ81" s="9">
        <f t="shared" si="20"/>
        <v>0.12048268852090012</v>
      </c>
      <c r="AK81" s="9">
        <f t="shared" si="21"/>
        <v>1.4516078233224237E-2</v>
      </c>
      <c r="AL81" s="9">
        <f t="shared" si="22"/>
        <v>0.11923038388437142</v>
      </c>
      <c r="AM81" s="9">
        <f t="shared" si="23"/>
        <v>1.4215884441214575E-2</v>
      </c>
      <c r="AN81" s="9" t="s">
        <v>2633</v>
      </c>
    </row>
    <row r="82" spans="13:40" ht="23">
      <c r="M82" s="9" t="s">
        <v>2941</v>
      </c>
      <c r="N82" s="8" t="s">
        <v>1717</v>
      </c>
      <c r="O82" s="8"/>
      <c r="P82" s="8" t="s">
        <v>3691</v>
      </c>
      <c r="Q82" s="8"/>
      <c r="R82" s="8"/>
      <c r="S82" s="8"/>
      <c r="T82" s="8"/>
      <c r="U82" s="8"/>
      <c r="V82" s="8"/>
      <c r="W82" s="9" t="s">
        <v>2941</v>
      </c>
      <c r="X82" s="8">
        <v>10.48</v>
      </c>
      <c r="Y82" s="8">
        <v>6.45</v>
      </c>
      <c r="Z82" s="9">
        <v>5.19</v>
      </c>
      <c r="AA82" s="8">
        <v>8.6</v>
      </c>
      <c r="AB82" s="8">
        <v>9979</v>
      </c>
      <c r="AC82" s="22" t="s">
        <v>2941</v>
      </c>
      <c r="AD82" s="8" t="s">
        <v>4090</v>
      </c>
      <c r="AE82" s="8" t="s">
        <v>4085</v>
      </c>
      <c r="AF82" s="9">
        <f t="shared" si="16"/>
        <v>55.47</v>
      </c>
      <c r="AG82" s="9">
        <f t="shared" si="17"/>
        <v>45.723333333333329</v>
      </c>
      <c r="AH82" s="9">
        <f t="shared" si="18"/>
        <v>5.9485930885648693E-2</v>
      </c>
      <c r="AI82" s="9">
        <f t="shared" si="19"/>
        <v>3.5385759733321731E-3</v>
      </c>
      <c r="AJ82" s="9">
        <f t="shared" si="20"/>
        <v>0.15499013757547145</v>
      </c>
      <c r="AK82" s="9">
        <f t="shared" si="21"/>
        <v>2.4021942745663567E-2</v>
      </c>
      <c r="AL82" s="9">
        <f t="shared" si="22"/>
        <v>0.14079572793921508</v>
      </c>
      <c r="AM82" s="9">
        <f t="shared" si="23"/>
        <v>1.9823437005933468E-2</v>
      </c>
      <c r="AN82" s="9" t="s">
        <v>2941</v>
      </c>
    </row>
    <row r="83" spans="13:40" ht="23">
      <c r="M83" s="9" t="s">
        <v>3152</v>
      </c>
      <c r="N83" s="8" t="s">
        <v>1869</v>
      </c>
      <c r="O83" s="8"/>
      <c r="P83" s="8"/>
      <c r="Q83" s="8"/>
      <c r="R83" s="8"/>
      <c r="S83" s="8"/>
      <c r="T83" s="8"/>
      <c r="U83" s="8"/>
      <c r="V83" s="8"/>
      <c r="W83" s="9" t="s">
        <v>3152</v>
      </c>
      <c r="X83" s="8">
        <v>27.59</v>
      </c>
      <c r="Y83" s="8">
        <v>10.119999999999999</v>
      </c>
      <c r="Z83" s="9">
        <v>9.4</v>
      </c>
      <c r="AA83" s="8">
        <v>8.1999999999999993</v>
      </c>
      <c r="AB83" s="8">
        <v>7585</v>
      </c>
      <c r="AC83" s="22" t="s">
        <v>3152</v>
      </c>
      <c r="AD83" s="8" t="s">
        <v>4090</v>
      </c>
      <c r="AE83" s="8" t="s">
        <v>4085</v>
      </c>
      <c r="AF83" s="9">
        <f t="shared" si="16"/>
        <v>82.98399999999998</v>
      </c>
      <c r="AG83" s="9">
        <f t="shared" si="17"/>
        <v>73.85466666666666</v>
      </c>
      <c r="AH83" s="9">
        <f t="shared" si="18"/>
        <v>5.6719143402595262E-2</v>
      </c>
      <c r="AI83" s="9">
        <f t="shared" si="19"/>
        <v>3.2170612283241658E-3</v>
      </c>
      <c r="AJ83" s="9">
        <f t="shared" si="20"/>
        <v>0.23186770464328318</v>
      </c>
      <c r="AK83" s="9">
        <f t="shared" si="21"/>
        <v>5.3762632456544807E-2</v>
      </c>
      <c r="AL83" s="9">
        <f t="shared" si="22"/>
        <v>0.22742046121691514</v>
      </c>
      <c r="AM83" s="9">
        <f t="shared" si="23"/>
        <v>5.1720066180114405E-2</v>
      </c>
      <c r="AN83" s="9" t="s">
        <v>3152</v>
      </c>
    </row>
    <row r="84" spans="13:40" ht="23">
      <c r="M84" s="8" t="s">
        <v>48</v>
      </c>
      <c r="N84" s="8" t="s">
        <v>23</v>
      </c>
      <c r="O84" s="8"/>
      <c r="P84" s="8"/>
      <c r="Q84" s="8"/>
      <c r="R84" s="8"/>
      <c r="S84" s="8"/>
      <c r="T84" s="8"/>
      <c r="U84" s="8"/>
      <c r="V84" s="8"/>
      <c r="W84" s="8" t="s">
        <v>48</v>
      </c>
      <c r="X84" s="8">
        <v>25.72</v>
      </c>
      <c r="Y84" s="8">
        <v>6.05</v>
      </c>
      <c r="Z84" s="9">
        <v>5.52</v>
      </c>
      <c r="AA84" s="8">
        <v>8.1</v>
      </c>
      <c r="AB84" s="8">
        <v>9251</v>
      </c>
      <c r="AC84" s="21" t="s">
        <v>48</v>
      </c>
      <c r="AD84" s="8" t="s">
        <v>3687</v>
      </c>
      <c r="AE84" s="8" t="s">
        <v>4085</v>
      </c>
      <c r="AF84" s="9">
        <f t="shared" si="16"/>
        <v>49.004999999999995</v>
      </c>
      <c r="AG84" s="9">
        <f t="shared" si="17"/>
        <v>47.52</v>
      </c>
      <c r="AH84" s="9">
        <f t="shared" si="18"/>
        <v>5.6027446531831906E-2</v>
      </c>
      <c r="AI84" s="9">
        <f t="shared" si="19"/>
        <v>3.139074764877283E-3</v>
      </c>
      <c r="AJ84" s="9">
        <f t="shared" si="20"/>
        <v>0.13692611667362498</v>
      </c>
      <c r="AK84" s="9">
        <f t="shared" si="21"/>
        <v>1.8748761427319158E-2</v>
      </c>
      <c r="AL84" s="9">
        <f t="shared" si="22"/>
        <v>0.14632819840354672</v>
      </c>
      <c r="AM84" s="9">
        <f t="shared" si="23"/>
        <v>2.1411941648027732E-2</v>
      </c>
      <c r="AN84" s="8" t="s">
        <v>48</v>
      </c>
    </row>
    <row r="85" spans="13:40" ht="23">
      <c r="M85" s="9" t="s">
        <v>2841</v>
      </c>
      <c r="N85" s="8" t="s">
        <v>1614</v>
      </c>
      <c r="O85" s="8"/>
      <c r="P85" s="8"/>
      <c r="Q85" s="8"/>
      <c r="R85" s="8"/>
      <c r="S85" s="8"/>
      <c r="T85" s="8"/>
      <c r="U85" s="8"/>
      <c r="V85" s="8"/>
      <c r="W85" s="9" t="s">
        <v>2841</v>
      </c>
      <c r="X85" s="8">
        <v>19.64</v>
      </c>
      <c r="Y85" s="8">
        <v>7.71</v>
      </c>
      <c r="Z85" s="9">
        <v>7.54</v>
      </c>
      <c r="AA85" s="8">
        <v>7.7</v>
      </c>
      <c r="AB85" s="8">
        <v>9065</v>
      </c>
      <c r="AC85" s="22" t="s">
        <v>2841</v>
      </c>
      <c r="AD85" s="8" t="s">
        <v>4090</v>
      </c>
      <c r="AE85" s="8" t="s">
        <v>4085</v>
      </c>
      <c r="AF85" s="9">
        <f t="shared" si="16"/>
        <v>59.367000000000004</v>
      </c>
      <c r="AG85" s="9">
        <f t="shared" si="17"/>
        <v>60.830000000000005</v>
      </c>
      <c r="AH85" s="9">
        <f t="shared" si="18"/>
        <v>5.3260659048778476E-2</v>
      </c>
      <c r="AI85" s="9">
        <f t="shared" si="19"/>
        <v>2.8366978023102287E-3</v>
      </c>
      <c r="AJ85" s="9">
        <f t="shared" si="20"/>
        <v>0.16587884437431069</v>
      </c>
      <c r="AK85" s="9">
        <f t="shared" si="21"/>
        <v>2.7515791010956785E-2</v>
      </c>
      <c r="AL85" s="9">
        <f t="shared" si="22"/>
        <v>0.1873136428637994</v>
      </c>
      <c r="AM85" s="9">
        <f t="shared" si="23"/>
        <v>3.5086400802906988E-2</v>
      </c>
      <c r="AN85" s="9" t="s">
        <v>2841</v>
      </c>
    </row>
    <row r="86" spans="13:40" ht="23">
      <c r="M86" s="8" t="s">
        <v>262</v>
      </c>
      <c r="N86" s="8" t="s">
        <v>150</v>
      </c>
      <c r="O86" s="8"/>
      <c r="P86" s="8"/>
      <c r="Q86" s="8"/>
      <c r="R86" s="8"/>
      <c r="S86" s="8"/>
      <c r="T86" s="8"/>
      <c r="U86" s="8"/>
      <c r="V86" s="8"/>
      <c r="W86" s="8" t="s">
        <v>262</v>
      </c>
      <c r="X86" s="8">
        <v>76.319999999999993</v>
      </c>
      <c r="Y86" s="8">
        <v>1.57</v>
      </c>
      <c r="Z86" s="9">
        <v>0.42</v>
      </c>
      <c r="AA86" s="8">
        <v>7.5</v>
      </c>
      <c r="AB86" s="8">
        <v>19153</v>
      </c>
      <c r="AC86" s="21" t="s">
        <v>262</v>
      </c>
      <c r="AD86" s="8" t="s">
        <v>3687</v>
      </c>
      <c r="AE86" s="8" t="s">
        <v>4085</v>
      </c>
      <c r="AF86" s="9">
        <f t="shared" si="16"/>
        <v>11.775</v>
      </c>
      <c r="AG86" s="9">
        <f t="shared" si="17"/>
        <v>5.25</v>
      </c>
      <c r="AH86" s="9">
        <f t="shared" si="18"/>
        <v>5.1877265307251764E-2</v>
      </c>
      <c r="AI86" s="9">
        <f t="shared" si="19"/>
        <v>2.6912506557589875E-3</v>
      </c>
      <c r="AJ86" s="9">
        <f t="shared" si="20"/>
        <v>3.2900826932597375E-2</v>
      </c>
      <c r="AK86" s="9">
        <f t="shared" si="21"/>
        <v>1.0824644128487248E-3</v>
      </c>
      <c r="AL86" s="9">
        <f t="shared" si="22"/>
        <v>1.6166309798371636E-2</v>
      </c>
      <c r="AM86" s="9">
        <f t="shared" si="23"/>
        <v>2.6134957249692679E-4</v>
      </c>
      <c r="AN86" s="8" t="s">
        <v>262</v>
      </c>
    </row>
    <row r="87" spans="13:40" ht="23">
      <c r="M87" s="9" t="s">
        <v>3632</v>
      </c>
      <c r="N87" s="8" t="s">
        <v>2093</v>
      </c>
      <c r="O87" s="8"/>
      <c r="P87" s="8"/>
      <c r="Q87" s="8"/>
      <c r="R87" s="8"/>
      <c r="S87" s="8"/>
      <c r="T87" s="8"/>
      <c r="U87" s="8"/>
      <c r="V87" s="8"/>
      <c r="W87" s="9" t="s">
        <v>3632</v>
      </c>
      <c r="X87" s="8">
        <v>29.73</v>
      </c>
      <c r="Y87" s="8">
        <v>3.28</v>
      </c>
      <c r="Z87" s="9">
        <v>2.44</v>
      </c>
      <c r="AA87" s="8">
        <v>7.4</v>
      </c>
      <c r="AB87" s="8">
        <v>15604</v>
      </c>
      <c r="AC87" s="22" t="s">
        <v>3632</v>
      </c>
      <c r="AD87" s="8" t="s">
        <v>4090</v>
      </c>
      <c r="AE87" s="8" t="s">
        <v>4085</v>
      </c>
      <c r="AF87" s="9">
        <f t="shared" si="16"/>
        <v>24.271999999999998</v>
      </c>
      <c r="AG87" s="9">
        <f t="shared" si="17"/>
        <v>20.226666666666667</v>
      </c>
      <c r="AH87" s="9">
        <f t="shared" si="18"/>
        <v>5.1185568436488416E-2</v>
      </c>
      <c r="AI87" s="9">
        <f t="shared" si="19"/>
        <v>2.619962416166439E-3</v>
      </c>
      <c r="AJ87" s="9">
        <f t="shared" si="20"/>
        <v>6.7819012425308148E-2</v>
      </c>
      <c r="AK87" s="9">
        <f t="shared" si="21"/>
        <v>4.5994184463441007E-3</v>
      </c>
      <c r="AL87" s="9">
        <f t="shared" si="22"/>
        <v>6.2283916099377203E-2</v>
      </c>
      <c r="AM87" s="9">
        <f t="shared" si="23"/>
        <v>3.8792862046742589E-3</v>
      </c>
      <c r="AN87" s="9" t="s">
        <v>3632</v>
      </c>
    </row>
    <row r="88" spans="13:40" ht="23">
      <c r="M88" s="9" t="s">
        <v>2673</v>
      </c>
      <c r="N88" s="8" t="s">
        <v>150</v>
      </c>
      <c r="O88" s="8"/>
      <c r="P88" s="8"/>
      <c r="Q88" s="8"/>
      <c r="R88" s="8"/>
      <c r="S88" s="8"/>
      <c r="T88" s="8"/>
      <c r="U88" s="8"/>
      <c r="V88" s="8"/>
      <c r="W88" s="9" t="s">
        <v>2673</v>
      </c>
      <c r="X88" s="8">
        <v>26.81</v>
      </c>
      <c r="Y88" s="8">
        <v>2.15</v>
      </c>
      <c r="Z88" s="9">
        <v>1.46</v>
      </c>
      <c r="AA88" s="8">
        <v>6.9</v>
      </c>
      <c r="AB88" s="8">
        <v>18212</v>
      </c>
      <c r="AC88" s="22" t="s">
        <v>2673</v>
      </c>
      <c r="AD88" s="8" t="s">
        <v>4090</v>
      </c>
      <c r="AE88" s="8" t="s">
        <v>4085</v>
      </c>
      <c r="AF88" s="9">
        <f t="shared" si="16"/>
        <v>14.835000000000001</v>
      </c>
      <c r="AG88" s="9">
        <f t="shared" si="17"/>
        <v>12.19</v>
      </c>
      <c r="AH88" s="9">
        <f t="shared" si="18"/>
        <v>4.7727084082671629E-2</v>
      </c>
      <c r="AI88" s="9">
        <f t="shared" si="19"/>
        <v>2.2778745550344078E-3</v>
      </c>
      <c r="AJ88" s="9">
        <f t="shared" si="20"/>
        <v>4.1450850746928412E-2</v>
      </c>
      <c r="AK88" s="9">
        <f t="shared" si="21"/>
        <v>1.7181730276441358E-3</v>
      </c>
      <c r="AL88" s="9">
        <f t="shared" si="22"/>
        <v>3.7536631703266717E-2</v>
      </c>
      <c r="AM88" s="9">
        <f t="shared" si="23"/>
        <v>1.4089987196266879E-3</v>
      </c>
      <c r="AN88" s="9" t="s">
        <v>2673</v>
      </c>
    </row>
    <row r="89" spans="13:40" ht="23">
      <c r="M89" s="8" t="s">
        <v>1876</v>
      </c>
      <c r="N89" s="8" t="s">
        <v>1869</v>
      </c>
      <c r="O89" s="8"/>
      <c r="P89" s="8"/>
      <c r="Q89" s="8"/>
      <c r="R89" s="8"/>
      <c r="S89" s="8"/>
      <c r="T89" s="8"/>
      <c r="U89" s="8"/>
      <c r="V89" s="8"/>
      <c r="W89" s="8" t="s">
        <v>1876</v>
      </c>
      <c r="X89" s="8">
        <v>33.53</v>
      </c>
      <c r="Y89" s="8">
        <v>4.0599999999999996</v>
      </c>
      <c r="Z89" s="9">
        <v>4.1900000000000004</v>
      </c>
      <c r="AA89" s="8">
        <v>6.6</v>
      </c>
      <c r="AB89" s="8">
        <v>15325</v>
      </c>
      <c r="AC89" s="21" t="s">
        <v>1876</v>
      </c>
      <c r="AD89" s="8" t="s">
        <v>4090</v>
      </c>
      <c r="AE89" s="8" t="s">
        <v>4085</v>
      </c>
      <c r="AF89" s="9">
        <f t="shared" si="16"/>
        <v>26.795999999999996</v>
      </c>
      <c r="AG89" s="9">
        <f t="shared" si="17"/>
        <v>28.49</v>
      </c>
      <c r="AH89" s="9">
        <f t="shared" si="18"/>
        <v>4.5651993470381548E-2</v>
      </c>
      <c r="AI89" s="9">
        <f t="shared" si="19"/>
        <v>2.0841045078197596E-3</v>
      </c>
      <c r="AJ89" s="9">
        <f t="shared" si="20"/>
        <v>7.487138500941648E-2</v>
      </c>
      <c r="AK89" s="9">
        <f t="shared" si="21"/>
        <v>5.6057242932282744E-3</v>
      </c>
      <c r="AL89" s="9">
        <f t="shared" si="22"/>
        <v>8.7729174505830079E-2</v>
      </c>
      <c r="AM89" s="9">
        <f t="shared" si="23"/>
        <v>7.6964080594743864E-3</v>
      </c>
      <c r="AN89" s="8" t="s">
        <v>1876</v>
      </c>
    </row>
    <row r="90" spans="13:40" ht="23">
      <c r="M90" s="9" t="s">
        <v>2540</v>
      </c>
      <c r="N90" s="8" t="s">
        <v>150</v>
      </c>
      <c r="O90" s="8"/>
      <c r="P90" s="8" t="s">
        <v>3700</v>
      </c>
      <c r="Q90" s="8"/>
      <c r="R90" s="8"/>
      <c r="S90" s="8"/>
      <c r="T90" s="8"/>
      <c r="U90" s="8"/>
      <c r="V90" s="8"/>
      <c r="W90" s="9" t="s">
        <v>2540</v>
      </c>
      <c r="X90" s="8">
        <v>28.39</v>
      </c>
      <c r="Y90" s="8">
        <v>4.2300000000000004</v>
      </c>
      <c r="Z90" s="9">
        <v>3.44</v>
      </c>
      <c r="AA90" s="8">
        <v>6.5</v>
      </c>
      <c r="AB90" s="8">
        <v>17152</v>
      </c>
      <c r="AC90" s="22" t="s">
        <v>2540</v>
      </c>
      <c r="AD90" s="8" t="s">
        <v>4090</v>
      </c>
      <c r="AE90" s="8" t="s">
        <v>4085</v>
      </c>
      <c r="AF90" s="9">
        <f t="shared" si="16"/>
        <v>27.495000000000005</v>
      </c>
      <c r="AG90" s="9">
        <f t="shared" si="17"/>
        <v>24.266666666666666</v>
      </c>
      <c r="AH90" s="9">
        <f t="shared" si="18"/>
        <v>4.4960296599618199E-2</v>
      </c>
      <c r="AI90" s="9">
        <f t="shared" si="19"/>
        <v>2.0214282703256399E-3</v>
      </c>
      <c r="AJ90" s="9">
        <f t="shared" si="20"/>
        <v>7.6824478684650949E-2</v>
      </c>
      <c r="AK90" s="9">
        <f t="shared" si="21"/>
        <v>5.9020005251683881E-3</v>
      </c>
      <c r="AL90" s="9">
        <f t="shared" si="22"/>
        <v>7.4724276401362241E-2</v>
      </c>
      <c r="AM90" s="9">
        <f t="shared" si="23"/>
        <v>5.5837174837071821E-3</v>
      </c>
      <c r="AN90" s="9" t="s">
        <v>2540</v>
      </c>
    </row>
    <row r="91" spans="13:40" ht="23">
      <c r="M91" s="8" t="s">
        <v>1414</v>
      </c>
      <c r="N91" s="8" t="s">
        <v>150</v>
      </c>
      <c r="O91" s="8"/>
      <c r="P91" s="8"/>
      <c r="Q91" s="8"/>
      <c r="R91" s="8"/>
      <c r="S91" s="8"/>
      <c r="T91" s="8"/>
      <c r="U91" s="8"/>
      <c r="V91" s="8"/>
      <c r="W91" s="8" t="s">
        <v>1414</v>
      </c>
      <c r="X91" s="8">
        <v>26.78</v>
      </c>
      <c r="Y91" s="8">
        <v>2.2599999999999998</v>
      </c>
      <c r="Z91" s="9">
        <v>1.02</v>
      </c>
      <c r="AA91" s="8">
        <v>6.3</v>
      </c>
      <c r="AB91" s="8">
        <v>24266</v>
      </c>
      <c r="AC91" s="21" t="s">
        <v>1414</v>
      </c>
      <c r="AD91" s="8" t="s">
        <v>4438</v>
      </c>
      <c r="AE91" s="8" t="s">
        <v>4085</v>
      </c>
      <c r="AF91" s="9">
        <f t="shared" si="16"/>
        <v>14.237999999999998</v>
      </c>
      <c r="AG91" s="9">
        <f t="shared" si="17"/>
        <v>6.5100000000000007</v>
      </c>
      <c r="AH91" s="9">
        <f t="shared" si="18"/>
        <v>4.3576902858091481E-2</v>
      </c>
      <c r="AI91" s="9">
        <f t="shared" si="19"/>
        <v>1.8989464627035414E-3</v>
      </c>
      <c r="AJ91" s="9">
        <f t="shared" si="20"/>
        <v>3.9782757865504996E-2</v>
      </c>
      <c r="AK91" s="9">
        <f t="shared" si="21"/>
        <v>1.5826678233853996E-3</v>
      </c>
      <c r="AL91" s="9">
        <f t="shared" si="22"/>
        <v>2.0046224149980835E-2</v>
      </c>
      <c r="AM91" s="9">
        <f t="shared" si="23"/>
        <v>4.0185110267127486E-4</v>
      </c>
      <c r="AN91" s="8" t="s">
        <v>1414</v>
      </c>
    </row>
    <row r="92" spans="13:40" ht="23">
      <c r="M92" s="9" t="s">
        <v>2621</v>
      </c>
      <c r="N92" s="8" t="s">
        <v>150</v>
      </c>
      <c r="O92" s="8"/>
      <c r="P92" s="8"/>
      <c r="Q92" s="8"/>
      <c r="R92" s="8"/>
      <c r="S92" s="8"/>
      <c r="T92" s="8"/>
      <c r="U92" s="8"/>
      <c r="V92" s="8"/>
      <c r="W92" s="9" t="s">
        <v>2621</v>
      </c>
      <c r="X92" s="8">
        <v>3.47</v>
      </c>
      <c r="Y92" s="8">
        <v>2.0299999999999998</v>
      </c>
      <c r="Z92" s="9">
        <v>0.03</v>
      </c>
      <c r="AA92" s="8">
        <v>6.2</v>
      </c>
      <c r="AB92" s="8">
        <v>109279</v>
      </c>
      <c r="AC92" s="22" t="s">
        <v>2621</v>
      </c>
      <c r="AD92" s="8" t="s">
        <v>3687</v>
      </c>
      <c r="AE92" s="8" t="s">
        <v>4085</v>
      </c>
      <c r="AF92" s="9">
        <f t="shared" si="16"/>
        <v>12.585999999999999</v>
      </c>
      <c r="AG92" s="9">
        <f t="shared" si="17"/>
        <v>0.31000000000000005</v>
      </c>
      <c r="AH92" s="9">
        <f t="shared" si="18"/>
        <v>4.2885205987328125E-2</v>
      </c>
      <c r="AI92" s="9">
        <f t="shared" si="19"/>
        <v>1.839140892575564E-3</v>
      </c>
      <c r="AJ92" s="9">
        <f t="shared" si="20"/>
        <v>3.5166862655938047E-2</v>
      </c>
      <c r="AK92" s="9">
        <f t="shared" si="21"/>
        <v>1.2367082290616099E-3</v>
      </c>
      <c r="AL92" s="9">
        <f t="shared" si="22"/>
        <v>9.5458210238003982E-4</v>
      </c>
      <c r="AM92" s="9">
        <f t="shared" si="23"/>
        <v>9.1122699018429682E-7</v>
      </c>
      <c r="AN92" s="9" t="s">
        <v>2621</v>
      </c>
    </row>
    <row r="93" spans="13:40" ht="23">
      <c r="M93" s="8" t="s">
        <v>1797</v>
      </c>
      <c r="N93" s="8" t="s">
        <v>1717</v>
      </c>
      <c r="O93" s="8"/>
      <c r="P93" s="8"/>
      <c r="Q93" s="8"/>
      <c r="R93" s="8"/>
      <c r="S93" s="8"/>
      <c r="T93" s="8"/>
      <c r="U93" s="8"/>
      <c r="V93" s="8"/>
      <c r="W93" s="8" t="s">
        <v>1797</v>
      </c>
      <c r="X93" s="8">
        <v>29.87</v>
      </c>
      <c r="Y93" s="8">
        <v>3</v>
      </c>
      <c r="Z93" s="9">
        <v>4.55</v>
      </c>
      <c r="AA93" s="8">
        <v>6.1</v>
      </c>
      <c r="AB93" s="8">
        <v>22052</v>
      </c>
      <c r="AC93" s="21" t="s">
        <v>1797</v>
      </c>
      <c r="AD93" s="8" t="s">
        <v>4090</v>
      </c>
      <c r="AE93" s="8" t="s">
        <v>4085</v>
      </c>
      <c r="AF93" s="9">
        <f t="shared" si="16"/>
        <v>18.299999999999997</v>
      </c>
      <c r="AG93" s="9">
        <f t="shared" si="17"/>
        <v>29.991666666666667</v>
      </c>
      <c r="AH93" s="9">
        <f t="shared" si="18"/>
        <v>4.2193509116564769E-2</v>
      </c>
      <c r="AI93" s="9">
        <f t="shared" si="19"/>
        <v>1.7802922115696344E-3</v>
      </c>
      <c r="AJ93" s="9">
        <f t="shared" si="20"/>
        <v>5.1132495360215011E-2</v>
      </c>
      <c r="AK93" s="9">
        <f t="shared" si="21"/>
        <v>2.6145320817624095E-3</v>
      </c>
      <c r="AL93" s="9">
        <f t="shared" si="22"/>
        <v>9.2353252324348462E-2</v>
      </c>
      <c r="AM93" s="9">
        <f t="shared" si="23"/>
        <v>8.5291232148847745E-3</v>
      </c>
      <c r="AN93" s="8" t="s">
        <v>1797</v>
      </c>
    </row>
    <row r="94" spans="13:40" ht="23">
      <c r="M94" s="8" t="s">
        <v>315</v>
      </c>
      <c r="N94" s="8" t="s">
        <v>150</v>
      </c>
      <c r="O94" s="8"/>
      <c r="P94" s="8"/>
      <c r="Q94" s="8"/>
      <c r="R94" s="8"/>
      <c r="S94" s="8"/>
      <c r="T94" s="8"/>
      <c r="U94" s="8"/>
      <c r="V94" s="8"/>
      <c r="W94" s="8" t="s">
        <v>315</v>
      </c>
      <c r="X94" s="8">
        <v>30.91</v>
      </c>
      <c r="Y94" s="8">
        <v>2.4</v>
      </c>
      <c r="Z94" s="9">
        <v>1.58</v>
      </c>
      <c r="AA94" s="8">
        <v>5.9</v>
      </c>
      <c r="AB94" s="8">
        <v>17083</v>
      </c>
      <c r="AC94" s="21" t="s">
        <v>315</v>
      </c>
      <c r="AD94" s="8" t="s">
        <v>3687</v>
      </c>
      <c r="AE94" s="8" t="s">
        <v>4085</v>
      </c>
      <c r="AF94" s="9">
        <f t="shared" si="16"/>
        <v>14.16</v>
      </c>
      <c r="AG94" s="9">
        <f t="shared" si="17"/>
        <v>11.603333333333335</v>
      </c>
      <c r="AH94" s="9">
        <f t="shared" si="18"/>
        <v>4.0810115375038064E-2</v>
      </c>
      <c r="AI94" s="9">
        <f t="shared" si="19"/>
        <v>1.6654655169239183E-3</v>
      </c>
      <c r="AJ94" s="9">
        <f t="shared" si="20"/>
        <v>3.9564816082002449E-2</v>
      </c>
      <c r="AK94" s="9">
        <f t="shared" si="21"/>
        <v>1.5653746716026797E-3</v>
      </c>
      <c r="AL94" s="9">
        <f t="shared" si="22"/>
        <v>3.5730110735321702E-2</v>
      </c>
      <c r="AM94" s="9">
        <f t="shared" si="23"/>
        <v>1.2766408131583511E-3</v>
      </c>
      <c r="AN94" s="8" t="s">
        <v>315</v>
      </c>
    </row>
    <row r="95" spans="13:40" ht="23">
      <c r="M95" s="8" t="s">
        <v>105</v>
      </c>
      <c r="N95" s="8" t="s">
        <v>82</v>
      </c>
      <c r="O95" s="8"/>
      <c r="P95" s="8"/>
      <c r="Q95" s="8"/>
      <c r="R95" s="8"/>
      <c r="S95" s="8"/>
      <c r="T95" s="8"/>
      <c r="U95" s="8"/>
      <c r="V95" s="8"/>
      <c r="W95" s="8" t="s">
        <v>105</v>
      </c>
      <c r="X95" s="8">
        <v>27.09</v>
      </c>
      <c r="Y95" s="8">
        <v>4.34</v>
      </c>
      <c r="Z95" s="9">
        <v>5.35</v>
      </c>
      <c r="AA95" s="8">
        <v>5.7</v>
      </c>
      <c r="AB95" s="8">
        <v>15821</v>
      </c>
      <c r="AC95" s="21" t="s">
        <v>105</v>
      </c>
      <c r="AD95" s="8" t="s">
        <v>3687</v>
      </c>
      <c r="AE95" s="8" t="s">
        <v>4085</v>
      </c>
      <c r="AF95" s="9">
        <f t="shared" si="16"/>
        <v>24.738</v>
      </c>
      <c r="AG95" s="9">
        <f t="shared" si="17"/>
        <v>31.824999999999999</v>
      </c>
      <c r="AH95" s="9">
        <f t="shared" si="18"/>
        <v>3.9426721633511345E-2</v>
      </c>
      <c r="AI95" s="9">
        <f t="shared" si="19"/>
        <v>1.5544663787663915E-3</v>
      </c>
      <c r="AJ95" s="9">
        <f t="shared" si="20"/>
        <v>6.9121074875464442E-2</v>
      </c>
      <c r="AK95" s="9">
        <f t="shared" si="21"/>
        <v>4.7777229919395616E-3</v>
      </c>
      <c r="AL95" s="9">
        <f t="shared" si="22"/>
        <v>9.7998630349176635E-2</v>
      </c>
      <c r="AM95" s="9">
        <f t="shared" si="23"/>
        <v>9.6037315503145638E-3</v>
      </c>
      <c r="AN95" s="8" t="s">
        <v>105</v>
      </c>
    </row>
    <row r="96" spans="13:40" ht="23">
      <c r="M96" s="9" t="s">
        <v>3118</v>
      </c>
      <c r="N96" s="8" t="s">
        <v>1862</v>
      </c>
      <c r="O96" s="8"/>
      <c r="P96" s="8"/>
      <c r="Q96" s="8"/>
      <c r="R96" s="8"/>
      <c r="S96" s="8"/>
      <c r="T96" s="8"/>
      <c r="U96" s="8"/>
      <c r="V96" s="8"/>
      <c r="W96" s="9" t="s">
        <v>3118</v>
      </c>
      <c r="X96" s="8">
        <v>28.85</v>
      </c>
      <c r="Y96" s="8">
        <v>2.7</v>
      </c>
      <c r="Z96" s="9">
        <v>3.48</v>
      </c>
      <c r="AA96" s="8">
        <v>5.4</v>
      </c>
      <c r="AB96" s="8">
        <v>19346</v>
      </c>
      <c r="AC96" s="22" t="s">
        <v>3118</v>
      </c>
      <c r="AD96" s="8" t="s">
        <v>4438</v>
      </c>
      <c r="AE96" s="8" t="s">
        <v>4085</v>
      </c>
      <c r="AF96" s="9">
        <f t="shared" si="16"/>
        <v>14.580000000000002</v>
      </c>
      <c r="AG96" s="9">
        <f t="shared" si="17"/>
        <v>20.52</v>
      </c>
      <c r="AH96" s="9">
        <f t="shared" si="18"/>
        <v>3.7351631021221278E-2</v>
      </c>
      <c r="AI96" s="9">
        <f t="shared" si="19"/>
        <v>1.3951443399454597E-3</v>
      </c>
      <c r="AJ96" s="9">
        <f t="shared" si="20"/>
        <v>4.0738348762400824E-2</v>
      </c>
      <c r="AK96" s="9">
        <f t="shared" si="21"/>
        <v>1.6596130598870047E-3</v>
      </c>
      <c r="AL96" s="9">
        <f t="shared" si="22"/>
        <v>6.3187176583349713E-2</v>
      </c>
      <c r="AM96" s="9">
        <f t="shared" si="23"/>
        <v>3.9926192845754181E-3</v>
      </c>
      <c r="AN96" s="9" t="s">
        <v>3118</v>
      </c>
    </row>
    <row r="97" spans="13:40" ht="23">
      <c r="M97" s="8" t="s">
        <v>1742</v>
      </c>
      <c r="N97" s="8" t="s">
        <v>1717</v>
      </c>
      <c r="O97" s="8"/>
      <c r="P97" s="8"/>
      <c r="Q97" s="8"/>
      <c r="R97" s="8"/>
      <c r="S97" s="8"/>
      <c r="T97" s="8"/>
      <c r="U97" s="8"/>
      <c r="V97" s="8"/>
      <c r="W97" s="8" t="s">
        <v>1742</v>
      </c>
      <c r="X97" s="8">
        <v>27.04</v>
      </c>
      <c r="Y97" s="8">
        <v>3.66</v>
      </c>
      <c r="Z97" s="9">
        <v>4.24</v>
      </c>
      <c r="AA97" s="8">
        <v>5.0999999999999996</v>
      </c>
      <c r="AB97" s="8">
        <v>17004</v>
      </c>
      <c r="AC97" s="21" t="s">
        <v>1742</v>
      </c>
      <c r="AD97" s="8" t="s">
        <v>4090</v>
      </c>
      <c r="AE97" s="8" t="s">
        <v>4085</v>
      </c>
      <c r="AF97" s="9">
        <f t="shared" si="16"/>
        <v>18.666</v>
      </c>
      <c r="AG97" s="9">
        <f t="shared" si="17"/>
        <v>22.44</v>
      </c>
      <c r="AH97" s="9">
        <f t="shared" si="18"/>
        <v>3.5276540408931197E-2</v>
      </c>
      <c r="AI97" s="9">
        <f t="shared" si="19"/>
        <v>1.2444343032229556E-3</v>
      </c>
      <c r="AJ97" s="9">
        <f t="shared" si="20"/>
        <v>5.2155145267419323E-2</v>
      </c>
      <c r="AK97" s="9">
        <f t="shared" si="21"/>
        <v>2.7201591778656122E-3</v>
      </c>
      <c r="AL97" s="9">
        <f t="shared" si="22"/>
        <v>6.909942702389707E-2</v>
      </c>
      <c r="AM97" s="9">
        <f t="shared" si="23"/>
        <v>4.7747308150308766E-3</v>
      </c>
      <c r="AN97" s="8" t="s">
        <v>1742</v>
      </c>
    </row>
    <row r="98" spans="13:40" ht="23">
      <c r="M98" s="9" t="s">
        <v>3193</v>
      </c>
      <c r="N98" s="8" t="s">
        <v>1869</v>
      </c>
      <c r="O98" s="8"/>
      <c r="P98" s="8"/>
      <c r="Q98" s="8"/>
      <c r="R98" s="8"/>
      <c r="S98" s="8"/>
      <c r="T98" s="8"/>
      <c r="U98" s="8"/>
      <c r="V98" s="8"/>
      <c r="W98" s="9" t="s">
        <v>3193</v>
      </c>
      <c r="X98" s="8">
        <v>20.190000000000001</v>
      </c>
      <c r="Y98" s="8">
        <v>2.9</v>
      </c>
      <c r="Z98" s="9">
        <v>2.15</v>
      </c>
      <c r="AA98" s="8">
        <v>5</v>
      </c>
      <c r="AB98" s="8">
        <v>20179</v>
      </c>
      <c r="AC98" s="22" t="s">
        <v>3193</v>
      </c>
      <c r="AD98" s="8" t="s">
        <v>4090</v>
      </c>
      <c r="AE98" s="8" t="s">
        <v>4085</v>
      </c>
      <c r="AF98" s="9">
        <f t="shared" ref="AF98:AF129" si="24">(AA98*Y98)</f>
        <v>14.5</v>
      </c>
      <c r="AG98" s="9">
        <f t="shared" ref="AG98:AG129" si="25">((((RIGHT(Z98,2))/60)+(LEFT(Z98,2)))*AA98)</f>
        <v>11.25</v>
      </c>
      <c r="AH98" s="9">
        <f t="shared" ref="AH98:AH129" si="26">(AA98/$AA$172)*100</f>
        <v>3.4584843538167848E-2</v>
      </c>
      <c r="AI98" s="9">
        <f t="shared" ref="AI98:AI129" si="27">(AH98*AH98)</f>
        <v>1.1961114025595503E-3</v>
      </c>
      <c r="AJ98" s="9">
        <f t="shared" ref="AJ98:AJ129" si="28">(AF98/$AF$172)*100</f>
        <v>4.0514818728039227E-2</v>
      </c>
      <c r="AK98" s="9">
        <f t="shared" ref="AK98:AK129" si="29">(AJ98*AJ98)</f>
        <v>1.6414505365658781E-3</v>
      </c>
      <c r="AL98" s="9">
        <f t="shared" ref="AL98:AL129" si="30">(AG98/$AG$172)*100</f>
        <v>3.464209242508208E-2</v>
      </c>
      <c r="AM98" s="9">
        <f t="shared" ref="AM98:AM129" si="31">(AL98*AL98)</f>
        <v>1.2000745675879293E-3</v>
      </c>
      <c r="AN98" s="9" t="s">
        <v>3193</v>
      </c>
    </row>
    <row r="99" spans="13:40" ht="23">
      <c r="M99" s="8" t="s">
        <v>1455</v>
      </c>
      <c r="N99" s="8" t="s">
        <v>150</v>
      </c>
      <c r="O99" s="8"/>
      <c r="P99" s="8"/>
      <c r="Q99" s="8"/>
      <c r="R99" s="8"/>
      <c r="S99" s="8"/>
      <c r="T99" s="8"/>
      <c r="U99" s="8"/>
      <c r="V99" s="8"/>
      <c r="W99" s="8" t="s">
        <v>1455</v>
      </c>
      <c r="X99" s="8">
        <v>6.32</v>
      </c>
      <c r="Y99" s="8">
        <v>17.27</v>
      </c>
      <c r="Z99" s="9">
        <v>15.39</v>
      </c>
      <c r="AA99" s="8">
        <v>4.9000000000000004</v>
      </c>
      <c r="AB99" s="8">
        <v>9782</v>
      </c>
      <c r="AC99" s="21" t="s">
        <v>1455</v>
      </c>
      <c r="AD99" s="8" t="s">
        <v>3687</v>
      </c>
      <c r="AE99" s="8" t="s">
        <v>4085</v>
      </c>
      <c r="AF99" s="9">
        <f t="shared" si="24"/>
        <v>84.623000000000005</v>
      </c>
      <c r="AG99" s="9">
        <f t="shared" si="25"/>
        <v>76.685000000000002</v>
      </c>
      <c r="AH99" s="9">
        <f t="shared" si="26"/>
        <v>3.3893146667404492E-2</v>
      </c>
      <c r="AI99" s="9">
        <f t="shared" si="27"/>
        <v>1.1487453910181923E-3</v>
      </c>
      <c r="AJ99" s="9">
        <f t="shared" si="28"/>
        <v>0.23644727622226647</v>
      </c>
      <c r="AK99" s="9">
        <f t="shared" si="29"/>
        <v>5.5907314432928776E-2</v>
      </c>
      <c r="AL99" s="9">
        <f t="shared" si="30"/>
        <v>0.23613589845488175</v>
      </c>
      <c r="AM99" s="9">
        <f t="shared" si="31"/>
        <v>5.576016253909423E-2</v>
      </c>
      <c r="AN99" s="8" t="s">
        <v>1455</v>
      </c>
    </row>
    <row r="100" spans="13:40" ht="23">
      <c r="M100" s="9" t="s">
        <v>3492</v>
      </c>
      <c r="N100" s="8" t="s">
        <v>2027</v>
      </c>
      <c r="O100" s="8"/>
      <c r="P100" s="8" t="s">
        <v>3691</v>
      </c>
      <c r="Q100" s="8"/>
      <c r="R100" s="8"/>
      <c r="S100" s="8"/>
      <c r="T100" s="8"/>
      <c r="U100" s="8"/>
      <c r="V100" s="8"/>
      <c r="W100" s="9" t="s">
        <v>3492</v>
      </c>
      <c r="X100" s="8">
        <v>25.75</v>
      </c>
      <c r="Y100" s="8">
        <v>8.5</v>
      </c>
      <c r="Z100" s="9">
        <v>6.23</v>
      </c>
      <c r="AA100" s="8">
        <v>4.8</v>
      </c>
      <c r="AB100" s="8">
        <v>12619</v>
      </c>
      <c r="AC100" s="22" t="s">
        <v>3492</v>
      </c>
      <c r="AD100" s="8" t="s">
        <v>3687</v>
      </c>
      <c r="AE100" s="8" t="s">
        <v>4085</v>
      </c>
      <c r="AF100" s="9">
        <f t="shared" si="24"/>
        <v>40.799999999999997</v>
      </c>
      <c r="AG100" s="9">
        <f t="shared" si="25"/>
        <v>30.64</v>
      </c>
      <c r="AH100" s="9">
        <f t="shared" si="26"/>
        <v>3.3201449796641129E-2</v>
      </c>
      <c r="AI100" s="9">
        <f t="shared" si="27"/>
        <v>1.1023362685988812E-3</v>
      </c>
      <c r="AJ100" s="9">
        <f t="shared" si="28"/>
        <v>0.11400031752441381</v>
      </c>
      <c r="AK100" s="9">
        <f t="shared" si="29"/>
        <v>1.299607239566717E-2</v>
      </c>
      <c r="AL100" s="9">
        <f t="shared" si="30"/>
        <v>9.4349663280401327E-2</v>
      </c>
      <c r="AM100" s="9">
        <f t="shared" si="31"/>
        <v>8.9018589611251104E-3</v>
      </c>
      <c r="AN100" s="9" t="s">
        <v>3492</v>
      </c>
    </row>
    <row r="101" spans="13:40" ht="23">
      <c r="M101" s="9" t="s">
        <v>3194</v>
      </c>
      <c r="N101" s="8" t="s">
        <v>1869</v>
      </c>
      <c r="O101" s="8"/>
      <c r="P101" s="8"/>
      <c r="Q101" s="8"/>
      <c r="R101" s="8"/>
      <c r="S101" s="8"/>
      <c r="T101" s="8"/>
      <c r="U101" s="8"/>
      <c r="V101" s="8"/>
      <c r="W101" s="9" t="s">
        <v>3194</v>
      </c>
      <c r="X101" s="8">
        <v>27.84</v>
      </c>
      <c r="Y101" s="8">
        <v>4.4800000000000004</v>
      </c>
      <c r="Z101" s="9">
        <v>3.06</v>
      </c>
      <c r="AA101" s="8">
        <v>4.8</v>
      </c>
      <c r="AB101" s="8">
        <v>36502</v>
      </c>
      <c r="AC101" s="22" t="s">
        <v>3194</v>
      </c>
      <c r="AD101" s="8" t="s">
        <v>4090</v>
      </c>
      <c r="AE101" s="8" t="s">
        <v>4085</v>
      </c>
      <c r="AF101" s="9">
        <f t="shared" si="24"/>
        <v>21.504000000000001</v>
      </c>
      <c r="AG101" s="9">
        <f t="shared" si="25"/>
        <v>14.879999999999999</v>
      </c>
      <c r="AH101" s="9">
        <f t="shared" si="26"/>
        <v>3.3201449796641129E-2</v>
      </c>
      <c r="AI101" s="9">
        <f t="shared" si="27"/>
        <v>1.1023362685988812E-3</v>
      </c>
      <c r="AJ101" s="9">
        <f t="shared" si="28"/>
        <v>6.0084873236396934E-2</v>
      </c>
      <c r="AK101" s="9">
        <f t="shared" si="29"/>
        <v>3.6101919918338885E-3</v>
      </c>
      <c r="AL101" s="9">
        <f t="shared" si="30"/>
        <v>4.5819940914241894E-2</v>
      </c>
      <c r="AM101" s="9">
        <f t="shared" si="31"/>
        <v>2.0994669853846184E-3</v>
      </c>
      <c r="AN101" s="9" t="s">
        <v>3194</v>
      </c>
    </row>
    <row r="102" spans="13:40" ht="23">
      <c r="M102" s="8" t="s">
        <v>1677</v>
      </c>
      <c r="N102" s="8" t="s">
        <v>1614</v>
      </c>
      <c r="O102" s="8"/>
      <c r="P102" s="8"/>
      <c r="Q102" s="8"/>
      <c r="R102" s="8"/>
      <c r="S102" s="8"/>
      <c r="T102" s="8"/>
      <c r="U102" s="8"/>
      <c r="V102" s="8"/>
      <c r="W102" s="8" t="s">
        <v>1677</v>
      </c>
      <c r="X102" s="8">
        <v>43.94</v>
      </c>
      <c r="Y102" s="8">
        <v>2.67</v>
      </c>
      <c r="Z102" s="9">
        <v>5.35</v>
      </c>
      <c r="AA102" s="8">
        <v>4.7</v>
      </c>
      <c r="AB102" s="8">
        <v>21294</v>
      </c>
      <c r="AC102" s="21" t="s">
        <v>1677</v>
      </c>
      <c r="AD102" s="8" t="s">
        <v>4090</v>
      </c>
      <c r="AE102" s="8" t="s">
        <v>4085</v>
      </c>
      <c r="AF102" s="9">
        <f t="shared" si="24"/>
        <v>12.548999999999999</v>
      </c>
      <c r="AG102" s="9">
        <f t="shared" si="25"/>
        <v>26.241666666666667</v>
      </c>
      <c r="AH102" s="9">
        <f t="shared" si="26"/>
        <v>3.2509752925877773E-2</v>
      </c>
      <c r="AI102" s="9">
        <f t="shared" si="27"/>
        <v>1.0568840353016185E-3</v>
      </c>
      <c r="AJ102" s="9">
        <f t="shared" si="28"/>
        <v>3.5063480015045813E-2</v>
      </c>
      <c r="AK102" s="9">
        <f t="shared" si="29"/>
        <v>1.2294476307655171E-3</v>
      </c>
      <c r="AL102" s="9">
        <f t="shared" si="30"/>
        <v>8.0805888182654426E-2</v>
      </c>
      <c r="AM102" s="9">
        <f t="shared" si="31"/>
        <v>6.5295915649876499E-3</v>
      </c>
      <c r="AN102" s="8" t="s">
        <v>1677</v>
      </c>
    </row>
    <row r="103" spans="13:40" ht="23">
      <c r="M103" s="9" t="s">
        <v>3179</v>
      </c>
      <c r="N103" s="8" t="s">
        <v>1869</v>
      </c>
      <c r="O103" s="8"/>
      <c r="P103" s="8"/>
      <c r="Q103" s="8"/>
      <c r="R103" s="8"/>
      <c r="S103" s="8"/>
      <c r="T103" s="8"/>
      <c r="U103" s="8"/>
      <c r="V103" s="8"/>
      <c r="W103" s="9" t="s">
        <v>3179</v>
      </c>
      <c r="X103" s="8">
        <v>12.97</v>
      </c>
      <c r="Y103" s="8">
        <v>7.22</v>
      </c>
      <c r="Z103" s="9">
        <v>3.52</v>
      </c>
      <c r="AA103" s="8">
        <v>4.5</v>
      </c>
      <c r="AB103" s="8">
        <v>15144</v>
      </c>
      <c r="AC103" s="22" t="s">
        <v>3179</v>
      </c>
      <c r="AD103" s="8" t="s">
        <v>4090</v>
      </c>
      <c r="AE103" s="8" t="s">
        <v>4085</v>
      </c>
      <c r="AF103" s="9">
        <f t="shared" si="24"/>
        <v>32.49</v>
      </c>
      <c r="AG103" s="9">
        <f t="shared" si="25"/>
        <v>17.399999999999999</v>
      </c>
      <c r="AH103" s="9">
        <f t="shared" si="26"/>
        <v>3.1126359184351061E-2</v>
      </c>
      <c r="AI103" s="9">
        <f t="shared" si="27"/>
        <v>9.6885023607323566E-4</v>
      </c>
      <c r="AJ103" s="9">
        <f t="shared" si="28"/>
        <v>9.0781135205103072E-2</v>
      </c>
      <c r="AK103" s="9">
        <f t="shared" si="29"/>
        <v>8.2412145091272041E-3</v>
      </c>
      <c r="AL103" s="9">
        <f t="shared" si="30"/>
        <v>5.3579769617460284E-2</v>
      </c>
      <c r="AM103" s="9">
        <f t="shared" si="31"/>
        <v>2.8707917122601199E-3</v>
      </c>
      <c r="AN103" s="9" t="s">
        <v>3179</v>
      </c>
    </row>
    <row r="104" spans="13:40" ht="23">
      <c r="M104" s="9" t="s">
        <v>2661</v>
      </c>
      <c r="N104" s="8" t="s">
        <v>150</v>
      </c>
      <c r="O104" s="8"/>
      <c r="P104" s="8"/>
      <c r="Q104" s="8"/>
      <c r="R104" s="8"/>
      <c r="S104" s="8"/>
      <c r="T104" s="8"/>
      <c r="U104" s="8"/>
      <c r="V104" s="8"/>
      <c r="W104" s="9" t="s">
        <v>2661</v>
      </c>
      <c r="X104" s="8">
        <v>51.48</v>
      </c>
      <c r="Y104" s="8">
        <v>1.74</v>
      </c>
      <c r="Z104" s="9">
        <v>1.37</v>
      </c>
      <c r="AA104" s="8">
        <v>4.5</v>
      </c>
      <c r="AB104" s="8">
        <v>29639</v>
      </c>
      <c r="AC104" s="22" t="s">
        <v>2661</v>
      </c>
      <c r="AD104" s="8" t="s">
        <v>3687</v>
      </c>
      <c r="AE104" s="8" t="s">
        <v>4085</v>
      </c>
      <c r="AF104" s="9">
        <f t="shared" si="24"/>
        <v>7.83</v>
      </c>
      <c r="AG104" s="9">
        <f t="shared" si="25"/>
        <v>7.2750000000000004</v>
      </c>
      <c r="AH104" s="9">
        <f t="shared" si="26"/>
        <v>3.1126359184351061E-2</v>
      </c>
      <c r="AI104" s="9">
        <f t="shared" si="27"/>
        <v>9.6885023607323566E-4</v>
      </c>
      <c r="AJ104" s="9">
        <f t="shared" si="28"/>
        <v>2.1878002113141181E-2</v>
      </c>
      <c r="AK104" s="9">
        <f t="shared" si="29"/>
        <v>4.7864697646260999E-4</v>
      </c>
      <c r="AL104" s="9">
        <f t="shared" si="30"/>
        <v>2.2401886434886414E-2</v>
      </c>
      <c r="AM104" s="9">
        <f t="shared" si="31"/>
        <v>5.0184451584154796E-4</v>
      </c>
      <c r="AN104" s="9" t="s">
        <v>2661</v>
      </c>
    </row>
    <row r="105" spans="13:40" ht="23">
      <c r="M105" s="9" t="s">
        <v>3556</v>
      </c>
      <c r="N105" s="8" t="s">
        <v>2066</v>
      </c>
      <c r="O105" s="8"/>
      <c r="P105" s="8"/>
      <c r="Q105" s="8"/>
      <c r="R105" s="8"/>
      <c r="S105" s="8"/>
      <c r="T105" s="8"/>
      <c r="U105" s="8"/>
      <c r="V105" s="8"/>
      <c r="W105" s="9" t="s">
        <v>3556</v>
      </c>
      <c r="X105" s="8">
        <v>63.43</v>
      </c>
      <c r="Y105" s="8">
        <v>1.39</v>
      </c>
      <c r="Z105" s="9">
        <v>0.54</v>
      </c>
      <c r="AA105" s="8">
        <v>4.5</v>
      </c>
      <c r="AB105" s="8">
        <v>44232</v>
      </c>
      <c r="AC105" s="22" t="s">
        <v>3556</v>
      </c>
      <c r="AD105" s="8" t="s">
        <v>4090</v>
      </c>
      <c r="AE105" s="8" t="s">
        <v>4085</v>
      </c>
      <c r="AF105" s="9">
        <f t="shared" si="24"/>
        <v>6.2549999999999999</v>
      </c>
      <c r="AG105" s="9">
        <f t="shared" si="25"/>
        <v>4.05</v>
      </c>
      <c r="AH105" s="9">
        <f t="shared" si="26"/>
        <v>3.1126359184351061E-2</v>
      </c>
      <c r="AI105" s="9">
        <f t="shared" si="27"/>
        <v>9.6885023607323566E-4</v>
      </c>
      <c r="AJ105" s="9">
        <f t="shared" si="28"/>
        <v>1.7477254561647268E-2</v>
      </c>
      <c r="AK105" s="9">
        <f t="shared" si="29"/>
        <v>3.0545442701262023E-4</v>
      </c>
      <c r="AL105" s="9">
        <f t="shared" si="30"/>
        <v>1.2471153273029549E-2</v>
      </c>
      <c r="AM105" s="9">
        <f t="shared" si="31"/>
        <v>1.5552966395939564E-4</v>
      </c>
      <c r="AN105" s="9" t="s">
        <v>3556</v>
      </c>
    </row>
    <row r="106" spans="13:40" ht="23">
      <c r="M106" s="9" t="s">
        <v>3452</v>
      </c>
      <c r="N106" s="8" t="s">
        <v>2003</v>
      </c>
      <c r="O106" s="8"/>
      <c r="P106" s="8"/>
      <c r="Q106" s="8"/>
      <c r="R106" s="8"/>
      <c r="S106" s="8"/>
      <c r="T106" s="8"/>
      <c r="U106" s="8"/>
      <c r="V106" s="8"/>
      <c r="W106" s="9" t="s">
        <v>3452</v>
      </c>
      <c r="X106" s="8">
        <v>27.22</v>
      </c>
      <c r="Y106" s="8">
        <v>2.4700000000000002</v>
      </c>
      <c r="Z106" s="9">
        <v>2.16</v>
      </c>
      <c r="AA106" s="8">
        <v>4.0999999999999996</v>
      </c>
      <c r="AB106" s="8">
        <v>26237</v>
      </c>
      <c r="AC106" s="22" t="s">
        <v>3452</v>
      </c>
      <c r="AD106" s="8" t="s">
        <v>4090</v>
      </c>
      <c r="AE106" s="8" t="s">
        <v>4085</v>
      </c>
      <c r="AF106" s="9">
        <f t="shared" si="24"/>
        <v>10.127000000000001</v>
      </c>
      <c r="AG106" s="9">
        <f t="shared" si="25"/>
        <v>9.293333333333333</v>
      </c>
      <c r="AH106" s="9">
        <f t="shared" si="26"/>
        <v>2.8359571701297631E-2</v>
      </c>
      <c r="AI106" s="9">
        <f t="shared" si="27"/>
        <v>8.0426530708104145E-4</v>
      </c>
      <c r="AJ106" s="9">
        <f t="shared" si="28"/>
        <v>2.8296108224748501E-2</v>
      </c>
      <c r="AK106" s="9">
        <f t="shared" si="29"/>
        <v>8.0066974066667974E-4</v>
      </c>
      <c r="AL106" s="9">
        <f t="shared" si="30"/>
        <v>2.8616934424038176E-2</v>
      </c>
      <c r="AM106" s="9">
        <f t="shared" si="31"/>
        <v>8.1892893582970118E-4</v>
      </c>
      <c r="AN106" s="9" t="s">
        <v>3452</v>
      </c>
    </row>
    <row r="107" spans="13:40" ht="23">
      <c r="M107" s="9" t="s">
        <v>2950</v>
      </c>
      <c r="N107" s="8" t="s">
        <v>1717</v>
      </c>
      <c r="O107" s="8"/>
      <c r="P107" s="8" t="s">
        <v>3691</v>
      </c>
      <c r="Q107" s="8"/>
      <c r="R107" s="8"/>
      <c r="S107" s="8"/>
      <c r="T107" s="8"/>
      <c r="U107" s="8"/>
      <c r="V107" s="8"/>
      <c r="W107" s="9" t="s">
        <v>2950</v>
      </c>
      <c r="X107" s="8">
        <v>1</v>
      </c>
      <c r="Y107" s="8">
        <v>7.14</v>
      </c>
      <c r="Z107" s="9">
        <v>6.48</v>
      </c>
      <c r="AA107" s="8">
        <v>4</v>
      </c>
      <c r="AB107" s="8">
        <v>16053</v>
      </c>
      <c r="AC107" s="22" t="s">
        <v>2950</v>
      </c>
      <c r="AD107" s="8" t="s">
        <v>4204</v>
      </c>
      <c r="AE107" s="8" t="s">
        <v>4085</v>
      </c>
      <c r="AF107" s="9">
        <f t="shared" si="24"/>
        <v>28.56</v>
      </c>
      <c r="AG107" s="9">
        <f t="shared" si="25"/>
        <v>27.2</v>
      </c>
      <c r="AH107" s="9">
        <f t="shared" si="26"/>
        <v>2.7667874830534275E-2</v>
      </c>
      <c r="AI107" s="9">
        <f t="shared" si="27"/>
        <v>7.6551129763811204E-4</v>
      </c>
      <c r="AJ107" s="9">
        <f t="shared" si="28"/>
        <v>7.9800222267089674E-2</v>
      </c>
      <c r="AK107" s="9">
        <f t="shared" si="29"/>
        <v>6.3680754738769142E-3</v>
      </c>
      <c r="AL107" s="9">
        <f t="shared" si="30"/>
        <v>8.3756881241087336E-2</v>
      </c>
      <c r="AM107" s="9">
        <f t="shared" si="31"/>
        <v>7.0152151552336081E-3</v>
      </c>
      <c r="AN107" s="9" t="s">
        <v>2950</v>
      </c>
    </row>
    <row r="108" spans="13:40" ht="23">
      <c r="M108" s="9" t="s">
        <v>3560</v>
      </c>
      <c r="N108" s="8" t="s">
        <v>2066</v>
      </c>
      <c r="O108" s="8"/>
      <c r="P108" s="8"/>
      <c r="Q108" s="8"/>
      <c r="R108" s="8"/>
      <c r="S108" s="8"/>
      <c r="T108" s="8"/>
      <c r="U108" s="8"/>
      <c r="V108" s="8"/>
      <c r="W108" s="9" t="s">
        <v>3560</v>
      </c>
      <c r="X108" s="8">
        <v>35.96</v>
      </c>
      <c r="Y108" s="8">
        <v>2.08</v>
      </c>
      <c r="Z108" s="9">
        <v>1.28</v>
      </c>
      <c r="AA108" s="8">
        <v>4</v>
      </c>
      <c r="AB108" s="8">
        <v>28726</v>
      </c>
      <c r="AC108" s="22" t="s">
        <v>3560</v>
      </c>
      <c r="AD108" s="8" t="s">
        <v>4090</v>
      </c>
      <c r="AE108" s="8" t="s">
        <v>4085</v>
      </c>
      <c r="AF108" s="9">
        <f t="shared" si="24"/>
        <v>8.32</v>
      </c>
      <c r="AG108" s="9">
        <f t="shared" si="25"/>
        <v>5.8666666666666671</v>
      </c>
      <c r="AH108" s="9">
        <f t="shared" si="26"/>
        <v>2.7667874830534275E-2</v>
      </c>
      <c r="AI108" s="9">
        <f t="shared" si="27"/>
        <v>7.6551129763811204E-4</v>
      </c>
      <c r="AJ108" s="9">
        <f t="shared" si="28"/>
        <v>2.3247123573605956E-2</v>
      </c>
      <c r="AK108" s="9">
        <f t="shared" si="29"/>
        <v>5.4042875444650573E-4</v>
      </c>
      <c r="AL108" s="9">
        <f t="shared" si="30"/>
        <v>1.8065209679450214E-2</v>
      </c>
      <c r="AM108" s="9">
        <f t="shared" si="31"/>
        <v>3.2635180076250167E-4</v>
      </c>
      <c r="AN108" s="9" t="s">
        <v>3560</v>
      </c>
    </row>
    <row r="109" spans="13:40" ht="23">
      <c r="M109" s="9" t="s">
        <v>3355</v>
      </c>
      <c r="N109" s="8" t="s">
        <v>1964</v>
      </c>
      <c r="O109" s="8"/>
      <c r="P109" s="8"/>
      <c r="Q109" s="8"/>
      <c r="R109" s="8"/>
      <c r="S109" s="8"/>
      <c r="T109" s="8"/>
      <c r="U109" s="8"/>
      <c r="V109" s="8"/>
      <c r="W109" s="9" t="s">
        <v>3355</v>
      </c>
      <c r="X109" s="8">
        <v>14.04</v>
      </c>
      <c r="Y109" s="8">
        <v>4.96</v>
      </c>
      <c r="Z109" s="9">
        <v>2.2799999999999998</v>
      </c>
      <c r="AA109" s="8">
        <v>3.8</v>
      </c>
      <c r="AB109" s="8">
        <v>18367</v>
      </c>
      <c r="AC109" s="22" t="s">
        <v>3355</v>
      </c>
      <c r="AD109" s="8" t="s">
        <v>4090</v>
      </c>
      <c r="AE109" s="8" t="s">
        <v>4085</v>
      </c>
      <c r="AF109" s="9">
        <f t="shared" si="24"/>
        <v>18.847999999999999</v>
      </c>
      <c r="AG109" s="9">
        <f t="shared" si="25"/>
        <v>9.3733333333333331</v>
      </c>
      <c r="AH109" s="9">
        <f t="shared" si="26"/>
        <v>2.628448108900756E-2</v>
      </c>
      <c r="AI109" s="9">
        <f t="shared" si="27"/>
        <v>6.9087394611839603E-4</v>
      </c>
      <c r="AJ109" s="9">
        <f t="shared" si="28"/>
        <v>5.2663676095591951E-2</v>
      </c>
      <c r="AK109" s="9">
        <f t="shared" si="29"/>
        <v>2.7734627799014229E-3</v>
      </c>
      <c r="AL109" s="9">
        <f t="shared" si="30"/>
        <v>2.8863278192394315E-2</v>
      </c>
      <c r="AM109" s="9">
        <f t="shared" si="31"/>
        <v>8.3308882801154524E-4</v>
      </c>
      <c r="AN109" s="9" t="s">
        <v>3355</v>
      </c>
    </row>
    <row r="110" spans="13:40" ht="23">
      <c r="M110" s="8" t="s">
        <v>1119</v>
      </c>
      <c r="N110" s="8" t="s">
        <v>150</v>
      </c>
      <c r="O110" s="8"/>
      <c r="P110" s="8"/>
      <c r="Q110" s="8"/>
      <c r="R110" s="8"/>
      <c r="S110" s="8"/>
      <c r="T110" s="8"/>
      <c r="U110" s="8"/>
      <c r="V110" s="8"/>
      <c r="W110" s="8" t="s">
        <v>1119</v>
      </c>
      <c r="X110" s="8">
        <v>52.31</v>
      </c>
      <c r="Y110" s="8">
        <v>3.73</v>
      </c>
      <c r="Z110" s="9">
        <v>3.04</v>
      </c>
      <c r="AA110" s="8">
        <v>3.8</v>
      </c>
      <c r="AB110" s="8">
        <v>24996</v>
      </c>
      <c r="AC110" s="21" t="s">
        <v>1119</v>
      </c>
      <c r="AD110" s="8" t="s">
        <v>3687</v>
      </c>
      <c r="AE110" s="8" t="s">
        <v>4085</v>
      </c>
      <c r="AF110" s="9">
        <f t="shared" si="24"/>
        <v>14.173999999999999</v>
      </c>
      <c r="AG110" s="9">
        <f t="shared" si="25"/>
        <v>11.653333333333334</v>
      </c>
      <c r="AH110" s="9">
        <f t="shared" si="26"/>
        <v>2.628448108900756E-2</v>
      </c>
      <c r="AI110" s="9">
        <f t="shared" si="27"/>
        <v>6.9087394611839603E-4</v>
      </c>
      <c r="AJ110" s="9">
        <f t="shared" si="28"/>
        <v>3.960393383801572E-2</v>
      </c>
      <c r="AK110" s="9">
        <f t="shared" si="29"/>
        <v>1.5684715754459265E-3</v>
      </c>
      <c r="AL110" s="9">
        <f t="shared" si="30"/>
        <v>3.5884075590544288E-2</v>
      </c>
      <c r="AM110" s="9">
        <f t="shared" si="31"/>
        <v>1.2876668809878964E-3</v>
      </c>
      <c r="AN110" s="8" t="s">
        <v>1119</v>
      </c>
    </row>
    <row r="111" spans="13:40" ht="23">
      <c r="M111" s="8" t="s">
        <v>1411</v>
      </c>
      <c r="N111" s="8" t="s">
        <v>150</v>
      </c>
      <c r="O111" s="8"/>
      <c r="P111" s="8"/>
      <c r="Q111" s="8"/>
      <c r="R111" s="8"/>
      <c r="S111" s="8"/>
      <c r="T111" s="8"/>
      <c r="U111" s="8"/>
      <c r="V111" s="8"/>
      <c r="W111" s="8" t="s">
        <v>1411</v>
      </c>
      <c r="X111" s="8">
        <v>37.840000000000003</v>
      </c>
      <c r="Y111" s="8">
        <v>2.54</v>
      </c>
      <c r="Z111" s="9">
        <v>3.47</v>
      </c>
      <c r="AA111" s="8">
        <v>3.8</v>
      </c>
      <c r="AB111" s="8">
        <v>26359</v>
      </c>
      <c r="AC111" s="21" t="s">
        <v>1411</v>
      </c>
      <c r="AD111" s="8" t="s">
        <v>4090</v>
      </c>
      <c r="AE111" s="8" t="s">
        <v>4085</v>
      </c>
      <c r="AF111" s="9">
        <f t="shared" si="24"/>
        <v>9.6519999999999992</v>
      </c>
      <c r="AG111" s="9">
        <f t="shared" si="25"/>
        <v>14.376666666666665</v>
      </c>
      <c r="AH111" s="9">
        <f t="shared" si="26"/>
        <v>2.628448108900756E-2</v>
      </c>
      <c r="AI111" s="9">
        <f t="shared" si="27"/>
        <v>6.9087394611839603E-4</v>
      </c>
      <c r="AJ111" s="9">
        <f t="shared" si="28"/>
        <v>2.6968898645726522E-2</v>
      </c>
      <c r="AK111" s="9">
        <f t="shared" si="29"/>
        <v>7.2732149416346987E-4</v>
      </c>
      <c r="AL111" s="9">
        <f t="shared" si="30"/>
        <v>4.4270028038334519E-2</v>
      </c>
      <c r="AM111" s="9">
        <f t="shared" si="31"/>
        <v>1.9598353825149243E-3</v>
      </c>
      <c r="AN111" s="8" t="s">
        <v>1411</v>
      </c>
    </row>
    <row r="112" spans="13:40" ht="23">
      <c r="M112" s="8" t="s">
        <v>1115</v>
      </c>
      <c r="N112" s="8" t="s">
        <v>150</v>
      </c>
      <c r="O112" s="8"/>
      <c r="P112" s="8"/>
      <c r="Q112" s="8"/>
      <c r="R112" s="8"/>
      <c r="S112" s="8"/>
      <c r="T112" s="8"/>
      <c r="U112" s="8"/>
      <c r="V112" s="8"/>
      <c r="W112" s="8" t="s">
        <v>1115</v>
      </c>
      <c r="X112" s="8">
        <v>24.79</v>
      </c>
      <c r="Y112" s="8">
        <v>3.06</v>
      </c>
      <c r="Z112" s="9">
        <v>4.51</v>
      </c>
      <c r="AA112" s="8">
        <v>3.7</v>
      </c>
      <c r="AB112" s="8">
        <v>27092</v>
      </c>
      <c r="AC112" s="21" t="s">
        <v>1115</v>
      </c>
      <c r="AD112" s="8" t="s">
        <v>4438</v>
      </c>
      <c r="AE112" s="8" t="s">
        <v>4085</v>
      </c>
      <c r="AF112" s="9">
        <f t="shared" si="24"/>
        <v>11.322000000000001</v>
      </c>
      <c r="AG112" s="9">
        <f t="shared" si="25"/>
        <v>17.945</v>
      </c>
      <c r="AH112" s="9">
        <f t="shared" si="26"/>
        <v>2.5592784218244208E-2</v>
      </c>
      <c r="AI112" s="9">
        <f t="shared" si="27"/>
        <v>6.5499060404160974E-4</v>
      </c>
      <c r="AJ112" s="9">
        <f t="shared" si="28"/>
        <v>3.1635088113024838E-2</v>
      </c>
      <c r="AK112" s="9">
        <f t="shared" si="29"/>
        <v>1.0007787999188455E-3</v>
      </c>
      <c r="AL112" s="9">
        <f t="shared" si="30"/>
        <v>5.5257986539386482E-2</v>
      </c>
      <c r="AM112" s="9">
        <f t="shared" si="31"/>
        <v>3.0534450763870175E-3</v>
      </c>
      <c r="AN112" s="8" t="s">
        <v>1115</v>
      </c>
    </row>
    <row r="113" spans="13:40" ht="23">
      <c r="M113" s="9" t="s">
        <v>3505</v>
      </c>
      <c r="N113" s="8" t="s">
        <v>2032</v>
      </c>
      <c r="O113" s="8"/>
      <c r="P113" s="8"/>
      <c r="Q113" s="8"/>
      <c r="R113" s="8"/>
      <c r="S113" s="8"/>
      <c r="T113" s="8"/>
      <c r="U113" s="8"/>
      <c r="V113" s="8"/>
      <c r="W113" s="9" t="s">
        <v>3505</v>
      </c>
      <c r="X113" s="8">
        <v>26.01</v>
      </c>
      <c r="Y113" s="8">
        <v>2.52</v>
      </c>
      <c r="Z113" s="9">
        <v>2.0499999999999998</v>
      </c>
      <c r="AA113" s="8">
        <v>3.6</v>
      </c>
      <c r="AB113" s="8">
        <v>28643</v>
      </c>
      <c r="AC113" s="22" t="s">
        <v>3505</v>
      </c>
      <c r="AD113" s="8" t="s">
        <v>4090</v>
      </c>
      <c r="AE113" s="8" t="s">
        <v>4085</v>
      </c>
      <c r="AF113" s="9">
        <f t="shared" si="24"/>
        <v>9.072000000000001</v>
      </c>
      <c r="AG113" s="9">
        <f t="shared" si="25"/>
        <v>7.5000000000000009</v>
      </c>
      <c r="AH113" s="9">
        <f t="shared" si="26"/>
        <v>2.4901087347480845E-2</v>
      </c>
      <c r="AI113" s="9">
        <f t="shared" si="27"/>
        <v>6.2006415108687059E-4</v>
      </c>
      <c r="AJ113" s="9">
        <f t="shared" si="28"/>
        <v>2.5348305896604958E-2</v>
      </c>
      <c r="AK113" s="9">
        <f t="shared" si="29"/>
        <v>6.4253661182785767E-4</v>
      </c>
      <c r="AL113" s="9">
        <f t="shared" si="30"/>
        <v>2.3094728283388058E-2</v>
      </c>
      <c r="AM113" s="9">
        <f t="shared" si="31"/>
        <v>5.3336647448352426E-4</v>
      </c>
      <c r="AN113" s="9" t="s">
        <v>3505</v>
      </c>
    </row>
    <row r="114" spans="13:40" ht="23">
      <c r="M114" s="8" t="s">
        <v>33</v>
      </c>
      <c r="N114" s="8" t="s">
        <v>24</v>
      </c>
      <c r="O114" s="8"/>
      <c r="P114" s="8"/>
      <c r="Q114" s="8"/>
      <c r="R114" s="8"/>
      <c r="S114" s="8"/>
      <c r="T114" s="8"/>
      <c r="U114" s="8"/>
      <c r="V114" s="8"/>
      <c r="W114" s="8" t="s">
        <v>33</v>
      </c>
      <c r="X114" s="8">
        <v>8.08</v>
      </c>
      <c r="Y114" s="8">
        <v>2.34</v>
      </c>
      <c r="Z114" s="9">
        <v>0.19</v>
      </c>
      <c r="AA114" s="8">
        <v>3.5</v>
      </c>
      <c r="AB114" s="8">
        <v>62857</v>
      </c>
      <c r="AC114" s="21" t="s">
        <v>33</v>
      </c>
      <c r="AD114" s="8" t="s">
        <v>3687</v>
      </c>
      <c r="AE114" s="8" t="s">
        <v>4085</v>
      </c>
      <c r="AF114" s="9">
        <f t="shared" si="24"/>
        <v>8.19</v>
      </c>
      <c r="AG114" s="9">
        <f t="shared" si="25"/>
        <v>1.1083333333333334</v>
      </c>
      <c r="AH114" s="9">
        <f t="shared" si="26"/>
        <v>2.4209390476717493E-2</v>
      </c>
      <c r="AI114" s="9">
        <f t="shared" si="27"/>
        <v>5.8609458725417964E-4</v>
      </c>
      <c r="AJ114" s="9">
        <f t="shared" si="28"/>
        <v>2.2883887267768362E-2</v>
      </c>
      <c r="AK114" s="9">
        <f t="shared" si="29"/>
        <v>5.2367229648393092E-4</v>
      </c>
      <c r="AL114" s="9">
        <f t="shared" si="30"/>
        <v>3.412887624100679E-3</v>
      </c>
      <c r="AM114" s="9">
        <f t="shared" si="31"/>
        <v>1.1647801934739577E-5</v>
      </c>
      <c r="AN114" s="8" t="s">
        <v>33</v>
      </c>
    </row>
    <row r="115" spans="13:40" ht="23">
      <c r="M115" s="9" t="s">
        <v>3307</v>
      </c>
      <c r="N115" s="8" t="s">
        <v>1939</v>
      </c>
      <c r="O115" s="8"/>
      <c r="P115" s="8"/>
      <c r="Q115" s="8"/>
      <c r="R115" s="8"/>
      <c r="S115" s="8"/>
      <c r="T115" s="8"/>
      <c r="U115" s="8"/>
      <c r="V115" s="8"/>
      <c r="W115" s="9" t="s">
        <v>3307</v>
      </c>
      <c r="X115" s="8">
        <v>19.54</v>
      </c>
      <c r="Y115" s="8">
        <v>5.1100000000000003</v>
      </c>
      <c r="Z115" s="9">
        <v>8.35</v>
      </c>
      <c r="AA115" s="8">
        <v>3.4</v>
      </c>
      <c r="AB115" s="8">
        <v>20654</v>
      </c>
      <c r="AC115" s="22" t="s">
        <v>3307</v>
      </c>
      <c r="AD115" s="8" t="s">
        <v>4090</v>
      </c>
      <c r="AE115" s="8" t="s">
        <v>4085</v>
      </c>
      <c r="AF115" s="9">
        <f t="shared" si="24"/>
        <v>17.374000000000002</v>
      </c>
      <c r="AG115" s="9">
        <f t="shared" si="25"/>
        <v>29.183333333333334</v>
      </c>
      <c r="AH115" s="9">
        <f t="shared" si="26"/>
        <v>2.3517693605954133E-2</v>
      </c>
      <c r="AI115" s="9">
        <f t="shared" si="27"/>
        <v>5.5308191254353593E-4</v>
      </c>
      <c r="AJ115" s="9">
        <f t="shared" si="28"/>
        <v>4.8545135212479558E-2</v>
      </c>
      <c r="AK115" s="9">
        <f t="shared" si="29"/>
        <v>2.3566301527979225E-3</v>
      </c>
      <c r="AL115" s="9">
        <f t="shared" si="30"/>
        <v>8.9864153831583291E-2</v>
      </c>
      <c r="AM115" s="9">
        <f t="shared" si="31"/>
        <v>8.0755661438664667E-3</v>
      </c>
      <c r="AN115" s="9" t="s">
        <v>3307</v>
      </c>
    </row>
    <row r="116" spans="13:40" ht="23">
      <c r="M116" s="8" t="s">
        <v>252</v>
      </c>
      <c r="N116" s="8" t="s">
        <v>150</v>
      </c>
      <c r="O116" s="8"/>
      <c r="P116" s="8"/>
      <c r="Q116" s="8"/>
      <c r="R116" s="8"/>
      <c r="S116" s="8"/>
      <c r="T116" s="8"/>
      <c r="U116" s="8"/>
      <c r="V116" s="8"/>
      <c r="W116" s="8" t="s">
        <v>252</v>
      </c>
      <c r="X116" s="8">
        <v>37.24</v>
      </c>
      <c r="Y116" s="8">
        <v>4.3</v>
      </c>
      <c r="Z116" s="9">
        <v>2.13</v>
      </c>
      <c r="AA116" s="8">
        <v>3.3</v>
      </c>
      <c r="AB116" s="8">
        <v>29673</v>
      </c>
      <c r="AC116" s="21" t="s">
        <v>252</v>
      </c>
      <c r="AD116" s="8" t="s">
        <v>4090</v>
      </c>
      <c r="AE116" s="8" t="s">
        <v>4085</v>
      </c>
      <c r="AF116" s="9">
        <f t="shared" si="24"/>
        <v>14.19</v>
      </c>
      <c r="AG116" s="9">
        <f t="shared" si="25"/>
        <v>7.3150000000000004</v>
      </c>
      <c r="AH116" s="9">
        <f t="shared" si="26"/>
        <v>2.2825996735190774E-2</v>
      </c>
      <c r="AI116" s="9">
        <f t="shared" si="27"/>
        <v>5.210261269549399E-4</v>
      </c>
      <c r="AJ116" s="9">
        <f t="shared" si="28"/>
        <v>3.9648639844888041E-2</v>
      </c>
      <c r="AK116" s="9">
        <f t="shared" si="29"/>
        <v>1.5720146415496435E-3</v>
      </c>
      <c r="AL116" s="9">
        <f t="shared" si="30"/>
        <v>2.2525058319064484E-2</v>
      </c>
      <c r="AM116" s="9">
        <f t="shared" si="31"/>
        <v>5.0737825227725611E-4</v>
      </c>
      <c r="AN116" s="8" t="s">
        <v>252</v>
      </c>
    </row>
    <row r="117" spans="13:40" ht="23">
      <c r="M117" s="8" t="s">
        <v>1697</v>
      </c>
      <c r="N117" s="8" t="s">
        <v>1614</v>
      </c>
      <c r="O117" s="8"/>
      <c r="P117" s="8"/>
      <c r="Q117" s="8"/>
      <c r="R117" s="8"/>
      <c r="S117" s="8"/>
      <c r="T117" s="8"/>
      <c r="U117" s="8"/>
      <c r="V117" s="8"/>
      <c r="W117" s="8" t="s">
        <v>1697</v>
      </c>
      <c r="X117" s="8">
        <v>40.42</v>
      </c>
      <c r="Y117" s="8">
        <v>2.76</v>
      </c>
      <c r="Z117" s="9">
        <v>1.1000000000000001</v>
      </c>
      <c r="AA117" s="8">
        <v>3.3</v>
      </c>
      <c r="AB117" s="8">
        <v>32682</v>
      </c>
      <c r="AC117" s="21" t="s">
        <v>1697</v>
      </c>
      <c r="AD117" s="8" t="s">
        <v>4090</v>
      </c>
      <c r="AE117" s="8" t="s">
        <v>4085</v>
      </c>
      <c r="AF117" s="9">
        <f t="shared" si="24"/>
        <v>9.1079999999999988</v>
      </c>
      <c r="AG117" s="9">
        <f t="shared" si="25"/>
        <v>3.3054999999999999</v>
      </c>
      <c r="AH117" s="9">
        <f t="shared" si="26"/>
        <v>2.2825996735190774E-2</v>
      </c>
      <c r="AI117" s="9">
        <f t="shared" si="27"/>
        <v>5.210261269549399E-4</v>
      </c>
      <c r="AJ117" s="9">
        <f t="shared" si="28"/>
        <v>2.5448894412067668E-2</v>
      </c>
      <c r="AK117" s="9">
        <f t="shared" si="29"/>
        <v>6.4764622679656892E-4</v>
      </c>
      <c r="AL117" s="9">
        <f t="shared" si="30"/>
        <v>1.0178616578765228E-2</v>
      </c>
      <c r="AM117" s="9">
        <f t="shared" si="31"/>
        <v>1.0360423545751436E-4</v>
      </c>
      <c r="AN117" s="8" t="s">
        <v>1697</v>
      </c>
    </row>
    <row r="118" spans="13:40" ht="23">
      <c r="M118" s="8" t="s">
        <v>1282</v>
      </c>
      <c r="N118" s="8" t="s">
        <v>150</v>
      </c>
      <c r="O118" s="8"/>
      <c r="P118" s="8"/>
      <c r="Q118" s="8"/>
      <c r="R118" s="8"/>
      <c r="S118" s="8"/>
      <c r="T118" s="8"/>
      <c r="U118" s="8"/>
      <c r="V118" s="8"/>
      <c r="W118" s="8" t="s">
        <v>1282</v>
      </c>
      <c r="X118" s="8">
        <v>23.04</v>
      </c>
      <c r="Y118" s="8">
        <v>2.5499999999999998</v>
      </c>
      <c r="Z118" s="9">
        <v>2.13</v>
      </c>
      <c r="AA118" s="8">
        <v>3.3</v>
      </c>
      <c r="AB118" s="8">
        <v>50657</v>
      </c>
      <c r="AC118" s="21" t="s">
        <v>1282</v>
      </c>
      <c r="AD118" s="8" t="s">
        <v>3996</v>
      </c>
      <c r="AE118" s="8" t="s">
        <v>4085</v>
      </c>
      <c r="AF118" s="9">
        <f t="shared" si="24"/>
        <v>8.4149999999999991</v>
      </c>
      <c r="AG118" s="9">
        <f t="shared" si="25"/>
        <v>7.3150000000000004</v>
      </c>
      <c r="AH118" s="9">
        <f t="shared" si="26"/>
        <v>2.2825996735190774E-2</v>
      </c>
      <c r="AI118" s="9">
        <f t="shared" si="27"/>
        <v>5.210261269549399E-4</v>
      </c>
      <c r="AJ118" s="9">
        <f t="shared" si="28"/>
        <v>2.3512565489410348E-2</v>
      </c>
      <c r="AK118" s="9">
        <f t="shared" si="29"/>
        <v>5.5284073589381049E-4</v>
      </c>
      <c r="AL118" s="9">
        <f t="shared" si="30"/>
        <v>2.2525058319064484E-2</v>
      </c>
      <c r="AM118" s="9">
        <f t="shared" si="31"/>
        <v>5.0737825227725611E-4</v>
      </c>
      <c r="AN118" s="8" t="s">
        <v>1282</v>
      </c>
    </row>
    <row r="119" spans="13:40" ht="23">
      <c r="M119" s="8" t="s">
        <v>250</v>
      </c>
      <c r="N119" s="8" t="s">
        <v>150</v>
      </c>
      <c r="O119" s="8"/>
      <c r="P119" s="8"/>
      <c r="Q119" s="8"/>
      <c r="R119" s="8"/>
      <c r="S119" s="8"/>
      <c r="T119" s="8"/>
      <c r="U119" s="8"/>
      <c r="V119" s="8"/>
      <c r="W119" s="8" t="s">
        <v>250</v>
      </c>
      <c r="X119" s="8">
        <v>23.09</v>
      </c>
      <c r="Y119" s="8">
        <v>2.5299999999999998</v>
      </c>
      <c r="Z119" s="9">
        <v>1.48</v>
      </c>
      <c r="AA119" s="8">
        <v>3.3</v>
      </c>
      <c r="AB119" s="8">
        <v>38633</v>
      </c>
      <c r="AC119" s="21" t="s">
        <v>250</v>
      </c>
      <c r="AD119" s="8" t="s">
        <v>4090</v>
      </c>
      <c r="AE119" s="8" t="s">
        <v>4085</v>
      </c>
      <c r="AF119" s="9">
        <f t="shared" si="24"/>
        <v>8.3489999999999984</v>
      </c>
      <c r="AG119" s="9">
        <f t="shared" si="25"/>
        <v>5.9399999999999995</v>
      </c>
      <c r="AH119" s="9">
        <f t="shared" si="26"/>
        <v>2.2825996735190774E-2</v>
      </c>
      <c r="AI119" s="9">
        <f t="shared" si="27"/>
        <v>5.210261269549399E-4</v>
      </c>
      <c r="AJ119" s="9">
        <f t="shared" si="28"/>
        <v>2.332815321106203E-2</v>
      </c>
      <c r="AK119" s="9">
        <f t="shared" si="29"/>
        <v>5.4420273223878364E-4</v>
      </c>
      <c r="AL119" s="9">
        <f t="shared" si="30"/>
        <v>1.8291024800443336E-2</v>
      </c>
      <c r="AM119" s="9">
        <f t="shared" si="31"/>
        <v>3.3456158825043316E-4</v>
      </c>
      <c r="AN119" s="8" t="s">
        <v>250</v>
      </c>
    </row>
    <row r="120" spans="13:40" ht="23">
      <c r="M120" s="8" t="s">
        <v>9</v>
      </c>
      <c r="N120" s="8" t="s">
        <v>8</v>
      </c>
      <c r="O120" s="8"/>
      <c r="P120" s="8"/>
      <c r="Q120" s="8"/>
      <c r="R120" s="8"/>
      <c r="S120" s="8"/>
      <c r="T120" s="8"/>
      <c r="U120" s="8"/>
      <c r="V120" s="8"/>
      <c r="W120" s="8" t="s">
        <v>9</v>
      </c>
      <c r="X120" s="8">
        <v>36.31</v>
      </c>
      <c r="Y120" s="8">
        <v>2.5299999999999998</v>
      </c>
      <c r="Z120" s="9">
        <v>1.04</v>
      </c>
      <c r="AA120" s="8">
        <v>3.3</v>
      </c>
      <c r="AB120" s="8">
        <v>26394</v>
      </c>
      <c r="AC120" s="21" t="s">
        <v>9</v>
      </c>
      <c r="AD120" s="8" t="s">
        <v>3687</v>
      </c>
      <c r="AE120" s="8" t="s">
        <v>4085</v>
      </c>
      <c r="AF120" s="9">
        <f t="shared" si="24"/>
        <v>8.3489999999999984</v>
      </c>
      <c r="AG120" s="9">
        <f t="shared" si="25"/>
        <v>3.5199999999999996</v>
      </c>
      <c r="AH120" s="9">
        <f t="shared" si="26"/>
        <v>2.2825996735190774E-2</v>
      </c>
      <c r="AI120" s="9">
        <f t="shared" si="27"/>
        <v>5.210261269549399E-4</v>
      </c>
      <c r="AJ120" s="9">
        <f t="shared" si="28"/>
        <v>2.332815321106203E-2</v>
      </c>
      <c r="AK120" s="9">
        <f t="shared" si="29"/>
        <v>5.4420273223878364E-4</v>
      </c>
      <c r="AL120" s="9">
        <f t="shared" si="30"/>
        <v>1.0839125807670125E-2</v>
      </c>
      <c r="AM120" s="9">
        <f t="shared" si="31"/>
        <v>1.1748664827450053E-4</v>
      </c>
      <c r="AN120" s="8" t="s">
        <v>9</v>
      </c>
    </row>
    <row r="121" spans="13:40" ht="23">
      <c r="M121" s="8" t="s">
        <v>451</v>
      </c>
      <c r="N121" s="8" t="s">
        <v>150</v>
      </c>
      <c r="O121" s="8"/>
      <c r="P121" s="8"/>
      <c r="Q121" s="8"/>
      <c r="R121" s="8"/>
      <c r="S121" s="8"/>
      <c r="T121" s="8"/>
      <c r="U121" s="8"/>
      <c r="V121" s="8"/>
      <c r="W121" s="8" t="s">
        <v>451</v>
      </c>
      <c r="X121" s="8">
        <v>49.3</v>
      </c>
      <c r="Y121" s="8">
        <v>1.98</v>
      </c>
      <c r="Z121" s="9">
        <v>0.33</v>
      </c>
      <c r="AA121" s="8">
        <v>3.3</v>
      </c>
      <c r="AB121" s="8">
        <v>32722</v>
      </c>
      <c r="AC121" s="21" t="s">
        <v>451</v>
      </c>
      <c r="AD121" s="8" t="s">
        <v>3687</v>
      </c>
      <c r="AE121" s="8" t="s">
        <v>4085</v>
      </c>
      <c r="AF121" s="9">
        <f t="shared" si="24"/>
        <v>6.5339999999999998</v>
      </c>
      <c r="AG121" s="9">
        <f t="shared" si="25"/>
        <v>1.8149999999999999</v>
      </c>
      <c r="AH121" s="9">
        <f t="shared" si="26"/>
        <v>2.2825996735190774E-2</v>
      </c>
      <c r="AI121" s="9">
        <f t="shared" si="27"/>
        <v>5.210261269549399E-4</v>
      </c>
      <c r="AJ121" s="9">
        <f t="shared" si="28"/>
        <v>1.8256815556483331E-2</v>
      </c>
      <c r="AK121" s="9">
        <f t="shared" si="29"/>
        <v>3.3331131426345178E-4</v>
      </c>
      <c r="AL121" s="9">
        <f t="shared" si="30"/>
        <v>5.5889242445799087E-3</v>
      </c>
      <c r="AM121" s="9">
        <f t="shared" si="31"/>
        <v>3.1236074211653103E-5</v>
      </c>
      <c r="AN121" s="8" t="s">
        <v>451</v>
      </c>
    </row>
    <row r="122" spans="13:40" ht="23">
      <c r="M122" s="8" t="s">
        <v>796</v>
      </c>
      <c r="N122" s="8" t="s">
        <v>150</v>
      </c>
      <c r="O122" s="8"/>
      <c r="P122" s="8"/>
      <c r="Q122" s="8"/>
      <c r="R122" s="8"/>
      <c r="S122" s="8"/>
      <c r="T122" s="8"/>
      <c r="U122" s="8"/>
      <c r="V122" s="8"/>
      <c r="W122" s="8" t="s">
        <v>796</v>
      </c>
      <c r="X122" s="8">
        <v>35.78</v>
      </c>
      <c r="Y122" s="8">
        <v>1.92</v>
      </c>
      <c r="Z122" s="9">
        <v>0.27</v>
      </c>
      <c r="AA122" s="8">
        <v>3.3</v>
      </c>
      <c r="AB122" s="8">
        <v>39847</v>
      </c>
      <c r="AC122" s="21" t="s">
        <v>796</v>
      </c>
      <c r="AD122" s="8" t="s">
        <v>3687</v>
      </c>
      <c r="AE122" s="8" t="s">
        <v>4085</v>
      </c>
      <c r="AF122" s="9">
        <f t="shared" si="24"/>
        <v>6.3359999999999994</v>
      </c>
      <c r="AG122" s="9">
        <f t="shared" si="25"/>
        <v>1.4849999999999999</v>
      </c>
      <c r="AH122" s="9">
        <f t="shared" si="26"/>
        <v>2.2825996735190774E-2</v>
      </c>
      <c r="AI122" s="9">
        <f t="shared" si="27"/>
        <v>5.210261269549399E-4</v>
      </c>
      <c r="AJ122" s="9">
        <f t="shared" si="28"/>
        <v>1.7703578721438379E-2</v>
      </c>
      <c r="AK122" s="9">
        <f t="shared" si="29"/>
        <v>3.1341669954616574E-4</v>
      </c>
      <c r="AL122" s="9">
        <f t="shared" si="30"/>
        <v>4.572756200110834E-3</v>
      </c>
      <c r="AM122" s="9">
        <f t="shared" si="31"/>
        <v>2.0910099265652072E-5</v>
      </c>
      <c r="AN122" s="8" t="s">
        <v>796</v>
      </c>
    </row>
    <row r="123" spans="13:40" ht="23">
      <c r="M123" s="8" t="s">
        <v>1899</v>
      </c>
      <c r="N123" s="8" t="s">
        <v>1869</v>
      </c>
      <c r="O123" s="8"/>
      <c r="P123" s="8"/>
      <c r="Q123" s="8"/>
      <c r="R123" s="8"/>
      <c r="S123" s="8"/>
      <c r="T123" s="8"/>
      <c r="U123" s="8"/>
      <c r="V123" s="8"/>
      <c r="W123" s="8" t="s">
        <v>1899</v>
      </c>
      <c r="X123" s="8">
        <v>24.71</v>
      </c>
      <c r="Y123" s="8">
        <v>5.45</v>
      </c>
      <c r="Z123" s="9">
        <v>4.22</v>
      </c>
      <c r="AA123" s="8">
        <v>3.2</v>
      </c>
      <c r="AB123" s="8">
        <v>21495</v>
      </c>
      <c r="AC123" s="21" t="s">
        <v>1899</v>
      </c>
      <c r="AD123" s="8" t="s">
        <v>4090</v>
      </c>
      <c r="AE123" s="8" t="s">
        <v>4085</v>
      </c>
      <c r="AF123" s="9">
        <f t="shared" si="24"/>
        <v>17.440000000000001</v>
      </c>
      <c r="AG123" s="9">
        <f t="shared" si="25"/>
        <v>13.973333333333333</v>
      </c>
      <c r="AH123" s="9">
        <f t="shared" si="26"/>
        <v>2.2134299864427422E-2</v>
      </c>
      <c r="AI123" s="9">
        <f t="shared" si="27"/>
        <v>4.8992723048839175E-4</v>
      </c>
      <c r="AJ123" s="9">
        <f t="shared" si="28"/>
        <v>4.8729547490827869E-2</v>
      </c>
      <c r="AK123" s="9">
        <f t="shared" si="29"/>
        <v>2.3745687986608489E-3</v>
      </c>
      <c r="AL123" s="9">
        <f t="shared" si="30"/>
        <v>4.3028044872872317E-2</v>
      </c>
      <c r="AM123" s="9">
        <f t="shared" si="31"/>
        <v>1.8514126455819136E-3</v>
      </c>
      <c r="AN123" s="8" t="s">
        <v>1899</v>
      </c>
    </row>
    <row r="124" spans="13:40" ht="23">
      <c r="M124" s="9" t="s">
        <v>3460</v>
      </c>
      <c r="N124" s="8" t="s">
        <v>2003</v>
      </c>
      <c r="O124" s="8"/>
      <c r="P124" s="8"/>
      <c r="Q124" s="8"/>
      <c r="R124" s="8"/>
      <c r="S124" s="8"/>
      <c r="T124" s="8"/>
      <c r="U124" s="8"/>
      <c r="V124" s="8"/>
      <c r="W124" s="9" t="s">
        <v>3460</v>
      </c>
      <c r="X124" s="8">
        <v>28.25</v>
      </c>
      <c r="Y124" s="8">
        <v>3.88</v>
      </c>
      <c r="Z124" s="9">
        <v>5.4</v>
      </c>
      <c r="AA124" s="8">
        <v>3.2</v>
      </c>
      <c r="AB124" s="8">
        <v>26064</v>
      </c>
      <c r="AC124" s="22" t="s">
        <v>3460</v>
      </c>
      <c r="AD124" s="8" t="s">
        <v>4090</v>
      </c>
      <c r="AE124" s="8" t="s">
        <v>4085</v>
      </c>
      <c r="AF124" s="9">
        <f t="shared" si="24"/>
        <v>12.416</v>
      </c>
      <c r="AG124" s="9">
        <f t="shared" si="25"/>
        <v>16.021333333333335</v>
      </c>
      <c r="AH124" s="9">
        <f t="shared" si="26"/>
        <v>2.2134299864427422E-2</v>
      </c>
      <c r="AI124" s="9">
        <f t="shared" si="27"/>
        <v>4.8992723048839175E-4</v>
      </c>
      <c r="AJ124" s="9">
        <f t="shared" si="28"/>
        <v>3.4691861332919662E-2</v>
      </c>
      <c r="AK124" s="9">
        <f t="shared" si="29"/>
        <v>1.2035252427425264E-3</v>
      </c>
      <c r="AL124" s="9">
        <f t="shared" si="30"/>
        <v>4.9334445342789489E-2</v>
      </c>
      <c r="AM124" s="9">
        <f t="shared" si="31"/>
        <v>2.4338874972806837E-3</v>
      </c>
      <c r="AN124" s="9" t="s">
        <v>3460</v>
      </c>
    </row>
    <row r="125" spans="13:40" ht="23">
      <c r="M125" s="8" t="s">
        <v>5</v>
      </c>
      <c r="N125" s="8" t="s">
        <v>0</v>
      </c>
      <c r="O125" s="8"/>
      <c r="P125" s="8"/>
      <c r="Q125" s="8"/>
      <c r="R125" s="8"/>
      <c r="S125" s="8"/>
      <c r="T125" s="8"/>
      <c r="U125" s="8"/>
      <c r="V125" s="8"/>
      <c r="W125" s="8" t="s">
        <v>5</v>
      </c>
      <c r="X125" s="8">
        <v>38.17</v>
      </c>
      <c r="Y125" s="8">
        <v>3.64</v>
      </c>
      <c r="Z125" s="9">
        <v>5.25</v>
      </c>
      <c r="AA125" s="8">
        <v>3.2</v>
      </c>
      <c r="AB125" s="8">
        <v>31077</v>
      </c>
      <c r="AC125" s="21" t="s">
        <v>5</v>
      </c>
      <c r="AD125" s="8" t="s">
        <v>3687</v>
      </c>
      <c r="AE125" s="8" t="s">
        <v>4085</v>
      </c>
      <c r="AF125" s="9">
        <f t="shared" si="24"/>
        <v>11.648000000000001</v>
      </c>
      <c r="AG125" s="9">
        <f t="shared" si="25"/>
        <v>17.333333333333336</v>
      </c>
      <c r="AH125" s="9">
        <f t="shared" si="26"/>
        <v>2.2134299864427422E-2</v>
      </c>
      <c r="AI125" s="9">
        <f t="shared" si="27"/>
        <v>4.8992723048839175E-4</v>
      </c>
      <c r="AJ125" s="9">
        <f t="shared" si="28"/>
        <v>3.2545973003048345E-2</v>
      </c>
      <c r="AK125" s="9">
        <f t="shared" si="29"/>
        <v>1.0592403587151517E-3</v>
      </c>
      <c r="AL125" s="9">
        <f t="shared" si="30"/>
        <v>5.337448314383017E-2</v>
      </c>
      <c r="AM125" s="9">
        <f t="shared" si="31"/>
        <v>2.8488354508710112E-3</v>
      </c>
      <c r="AN125" s="8" t="s">
        <v>5</v>
      </c>
    </row>
    <row r="126" spans="13:40" ht="23">
      <c r="M126" s="9" t="s">
        <v>2861</v>
      </c>
      <c r="N126" s="8" t="s">
        <v>1717</v>
      </c>
      <c r="O126" s="8"/>
      <c r="P126" s="8"/>
      <c r="Q126" s="8"/>
      <c r="R126" s="8"/>
      <c r="S126" s="8"/>
      <c r="T126" s="8"/>
      <c r="U126" s="8"/>
      <c r="V126" s="8"/>
      <c r="W126" s="9" t="s">
        <v>2861</v>
      </c>
      <c r="X126" s="8">
        <v>24.49</v>
      </c>
      <c r="Y126" s="8">
        <v>2.92</v>
      </c>
      <c r="Z126" s="9">
        <v>1.42</v>
      </c>
      <c r="AA126" s="8">
        <v>3.1</v>
      </c>
      <c r="AB126" s="8">
        <v>29845</v>
      </c>
      <c r="AC126" s="22" t="s">
        <v>2861</v>
      </c>
      <c r="AD126" s="8" t="s">
        <v>4090</v>
      </c>
      <c r="AE126" s="8" t="s">
        <v>4085</v>
      </c>
      <c r="AF126" s="9">
        <f t="shared" si="24"/>
        <v>9.0519999999999996</v>
      </c>
      <c r="AG126" s="9">
        <f t="shared" si="25"/>
        <v>5.27</v>
      </c>
      <c r="AH126" s="9">
        <f t="shared" si="26"/>
        <v>2.1442602993664062E-2</v>
      </c>
      <c r="AI126" s="9">
        <f t="shared" si="27"/>
        <v>4.59785223143891E-4</v>
      </c>
      <c r="AJ126" s="9">
        <f t="shared" si="28"/>
        <v>2.5292423388014559E-2</v>
      </c>
      <c r="AK126" s="9">
        <f t="shared" si="29"/>
        <v>6.397066808385859E-4</v>
      </c>
      <c r="AL126" s="9">
        <f t="shared" si="30"/>
        <v>1.6227895740460671E-2</v>
      </c>
      <c r="AM126" s="9">
        <f t="shared" si="31"/>
        <v>2.6334460016326158E-4</v>
      </c>
      <c r="AN126" s="9" t="s">
        <v>2861</v>
      </c>
    </row>
    <row r="127" spans="13:40" ht="23">
      <c r="M127" s="9" t="s">
        <v>3020</v>
      </c>
      <c r="N127" s="8" t="s">
        <v>1814</v>
      </c>
      <c r="O127" s="8"/>
      <c r="P127" s="8"/>
      <c r="Q127" s="8"/>
      <c r="R127" s="8"/>
      <c r="S127" s="8"/>
      <c r="T127" s="8"/>
      <c r="U127" s="8"/>
      <c r="V127" s="8"/>
      <c r="W127" s="9" t="s">
        <v>3020</v>
      </c>
      <c r="X127" s="8">
        <v>61.29</v>
      </c>
      <c r="Y127" s="8">
        <v>2.2400000000000002</v>
      </c>
      <c r="Z127" s="9">
        <v>1.0900000000000001</v>
      </c>
      <c r="AA127" s="8">
        <v>3.1</v>
      </c>
      <c r="AB127" s="8">
        <v>43431</v>
      </c>
      <c r="AC127" s="22" t="s">
        <v>3020</v>
      </c>
      <c r="AD127" s="8" t="s">
        <v>4090</v>
      </c>
      <c r="AE127" s="8" t="s">
        <v>4085</v>
      </c>
      <c r="AF127" s="9">
        <f t="shared" si="24"/>
        <v>6.9440000000000008</v>
      </c>
      <c r="AG127" s="9">
        <f t="shared" si="25"/>
        <v>3.5649999999999999</v>
      </c>
      <c r="AH127" s="9">
        <f t="shared" si="26"/>
        <v>2.1442602993664062E-2</v>
      </c>
      <c r="AI127" s="9">
        <f t="shared" si="27"/>
        <v>4.59785223143891E-4</v>
      </c>
      <c r="AJ127" s="9">
        <f t="shared" si="28"/>
        <v>1.9402406982586513E-2</v>
      </c>
      <c r="AK127" s="9">
        <f t="shared" si="29"/>
        <v>3.7645339671792187E-4</v>
      </c>
      <c r="AL127" s="9">
        <f t="shared" si="30"/>
        <v>1.0977694177370455E-2</v>
      </c>
      <c r="AM127" s="9">
        <f t="shared" si="31"/>
        <v>1.2050976945187318E-4</v>
      </c>
      <c r="AN127" s="9" t="s">
        <v>3020</v>
      </c>
    </row>
    <row r="128" spans="13:40" ht="23">
      <c r="M128" s="9" t="s">
        <v>2989</v>
      </c>
      <c r="N128" s="8" t="s">
        <v>1717</v>
      </c>
      <c r="O128" s="8"/>
      <c r="P128" s="8"/>
      <c r="Q128" s="8"/>
      <c r="R128" s="8"/>
      <c r="S128" s="8"/>
      <c r="T128" s="8"/>
      <c r="U128" s="8"/>
      <c r="V128" s="8"/>
      <c r="W128" s="9" t="s">
        <v>2989</v>
      </c>
      <c r="X128" s="8">
        <v>30.39</v>
      </c>
      <c r="Y128" s="8">
        <v>2.95</v>
      </c>
      <c r="Z128" s="9">
        <v>1.5</v>
      </c>
      <c r="AA128" s="8">
        <v>3</v>
      </c>
      <c r="AB128" s="8">
        <v>34258</v>
      </c>
      <c r="AC128" s="22" t="s">
        <v>2989</v>
      </c>
      <c r="AD128" s="8" t="s">
        <v>4090</v>
      </c>
      <c r="AE128" s="8" t="s">
        <v>4085</v>
      </c>
      <c r="AF128" s="9">
        <f t="shared" si="24"/>
        <v>8.8500000000000014</v>
      </c>
      <c r="AG128" s="9">
        <f t="shared" si="25"/>
        <v>3.0249999999999999</v>
      </c>
      <c r="AH128" s="9">
        <f t="shared" si="26"/>
        <v>2.0750906122900706E-2</v>
      </c>
      <c r="AI128" s="9">
        <f t="shared" si="27"/>
        <v>4.3060010492143802E-4</v>
      </c>
      <c r="AJ128" s="9">
        <f t="shared" si="28"/>
        <v>2.4728010051251532E-2</v>
      </c>
      <c r="AK128" s="9">
        <f t="shared" si="29"/>
        <v>6.1147448109479679E-4</v>
      </c>
      <c r="AL128" s="9">
        <f t="shared" si="30"/>
        <v>9.3148737409665151E-3</v>
      </c>
      <c r="AM128" s="9">
        <f t="shared" si="31"/>
        <v>8.6766872810147523E-5</v>
      </c>
      <c r="AN128" s="9" t="s">
        <v>2989</v>
      </c>
    </row>
    <row r="129" spans="13:40" ht="23">
      <c r="M129" s="8" t="s">
        <v>20</v>
      </c>
      <c r="N129" s="8" t="s">
        <v>23</v>
      </c>
      <c r="O129" s="8"/>
      <c r="P129" s="8"/>
      <c r="Q129" s="8"/>
      <c r="R129" s="8"/>
      <c r="S129" s="8"/>
      <c r="T129" s="8"/>
      <c r="U129" s="8"/>
      <c r="V129" s="8"/>
      <c r="W129" s="8" t="s">
        <v>20</v>
      </c>
      <c r="X129" s="8">
        <v>44.21</v>
      </c>
      <c r="Y129" s="8">
        <v>3.17</v>
      </c>
      <c r="Z129" s="9">
        <v>6.36</v>
      </c>
      <c r="AA129" s="8">
        <v>2.9</v>
      </c>
      <c r="AB129" s="8">
        <v>33690</v>
      </c>
      <c r="AC129" s="21" t="s">
        <v>20</v>
      </c>
      <c r="AD129" s="8" t="s">
        <v>3687</v>
      </c>
      <c r="AE129" s="8" t="s">
        <v>4085</v>
      </c>
      <c r="AF129" s="9">
        <f t="shared" si="24"/>
        <v>9.1929999999999996</v>
      </c>
      <c r="AG129" s="9">
        <f t="shared" si="25"/>
        <v>19.139999999999997</v>
      </c>
      <c r="AH129" s="9">
        <f t="shared" si="26"/>
        <v>2.0059209252137351E-2</v>
      </c>
      <c r="AI129" s="9">
        <f t="shared" si="27"/>
        <v>4.0237187582103267E-4</v>
      </c>
      <c r="AJ129" s="9">
        <f t="shared" si="28"/>
        <v>2.5686395073576868E-2</v>
      </c>
      <c r="AK129" s="9">
        <f t="shared" si="29"/>
        <v>6.5979089187587399E-4</v>
      </c>
      <c r="AL129" s="9">
        <f t="shared" si="30"/>
        <v>5.8937746579206307E-2</v>
      </c>
      <c r="AM129" s="9">
        <f t="shared" si="31"/>
        <v>3.4736579718347448E-3</v>
      </c>
      <c r="AN129" s="8" t="s">
        <v>20</v>
      </c>
    </row>
    <row r="130" spans="13:40" ht="23">
      <c r="M130" s="8" t="s">
        <v>1640</v>
      </c>
      <c r="N130" s="8" t="s">
        <v>1614</v>
      </c>
      <c r="O130" s="8"/>
      <c r="P130" s="8"/>
      <c r="Q130" s="8"/>
      <c r="R130" s="8"/>
      <c r="S130" s="8"/>
      <c r="T130" s="8"/>
      <c r="U130" s="8"/>
      <c r="V130" s="8"/>
      <c r="W130" s="8" t="s">
        <v>1640</v>
      </c>
      <c r="X130" s="8">
        <v>40.99</v>
      </c>
      <c r="Y130" s="8">
        <v>4.49</v>
      </c>
      <c r="Z130" s="9">
        <v>3.46</v>
      </c>
      <c r="AA130" s="8">
        <v>2.7</v>
      </c>
      <c r="AB130" s="8">
        <v>25465</v>
      </c>
      <c r="AC130" s="21" t="s">
        <v>1640</v>
      </c>
      <c r="AD130" s="8" t="s">
        <v>3687</v>
      </c>
      <c r="AE130" s="8" t="s">
        <v>4085</v>
      </c>
      <c r="AF130" s="9">
        <f t="shared" ref="AF130:AF161" si="32">(AA130*Y130)</f>
        <v>12.123000000000001</v>
      </c>
      <c r="AG130" s="9">
        <f t="shared" ref="AG130:AG161" si="33">((((RIGHT(Z130,2))/60)+(LEFT(Z130,2)))*AA130)</f>
        <v>10.17</v>
      </c>
      <c r="AH130" s="9">
        <f t="shared" ref="AH130:AH161" si="34">(AA130/$AA$172)*100</f>
        <v>1.8675815510610639E-2</v>
      </c>
      <c r="AI130" s="9">
        <f t="shared" ref="AI130:AI161" si="35">(AH130*AH130)</f>
        <v>3.4878608498636491E-4</v>
      </c>
      <c r="AJ130" s="9">
        <f t="shared" ref="AJ130:AJ161" si="36">(AF130/$AF$172)*100</f>
        <v>3.3873182582070317E-2</v>
      </c>
      <c r="AK130" s="9">
        <f t="shared" ref="AK130:AK161" si="37">(AJ130*AJ130)</f>
        <v>1.1473924982382719E-3</v>
      </c>
      <c r="AL130" s="9">
        <f t="shared" ref="AL130:AL161" si="38">(AG130/$AG$172)*100</f>
        <v>3.1316451552274201E-2</v>
      </c>
      <c r="AM130" s="9">
        <f t="shared" ref="AM130:AM161" si="39">(AL130*AL130)</f>
        <v>9.8072013782593711E-4</v>
      </c>
      <c r="AN130" s="8" t="s">
        <v>1640</v>
      </c>
    </row>
    <row r="131" spans="13:40" ht="23">
      <c r="M131" s="8" t="s">
        <v>75</v>
      </c>
      <c r="N131" s="8" t="s">
        <v>18</v>
      </c>
      <c r="O131" s="8"/>
      <c r="P131" s="8" t="s">
        <v>3691</v>
      </c>
      <c r="Q131" s="8"/>
      <c r="R131" s="8"/>
      <c r="S131" s="8"/>
      <c r="T131" s="8"/>
      <c r="U131" s="8"/>
      <c r="V131" s="8"/>
      <c r="W131" s="8" t="s">
        <v>75</v>
      </c>
      <c r="X131" s="8">
        <v>7.55</v>
      </c>
      <c r="Y131" s="8">
        <v>14.42</v>
      </c>
      <c r="Z131" s="9">
        <v>11.56</v>
      </c>
      <c r="AA131" s="8">
        <v>2.5</v>
      </c>
      <c r="AB131" s="8">
        <v>30952</v>
      </c>
      <c r="AC131" s="21" t="s">
        <v>75</v>
      </c>
      <c r="AD131" s="8" t="s">
        <v>4090</v>
      </c>
      <c r="AE131" s="8" t="s">
        <v>4085</v>
      </c>
      <c r="AF131" s="9">
        <f t="shared" si="32"/>
        <v>36.049999999999997</v>
      </c>
      <c r="AG131" s="9">
        <f t="shared" si="33"/>
        <v>29.833333333333336</v>
      </c>
      <c r="AH131" s="9">
        <f t="shared" si="34"/>
        <v>1.7292421769083924E-2</v>
      </c>
      <c r="AI131" s="9">
        <f t="shared" si="35"/>
        <v>2.9902785063988757E-4</v>
      </c>
      <c r="AJ131" s="9">
        <f t="shared" si="36"/>
        <v>0.10072822173419406</v>
      </c>
      <c r="AK131" s="9">
        <f t="shared" si="37"/>
        <v>1.0146174653732964E-2</v>
      </c>
      <c r="AL131" s="9">
        <f t="shared" si="38"/>
        <v>9.1865696949476924E-2</v>
      </c>
      <c r="AM131" s="9">
        <f t="shared" si="39"/>
        <v>8.4393062760131331E-3</v>
      </c>
      <c r="AN131" s="8" t="s">
        <v>75</v>
      </c>
    </row>
    <row r="132" spans="13:40" ht="23">
      <c r="M132" s="8" t="s">
        <v>1883</v>
      </c>
      <c r="N132" s="8" t="s">
        <v>1869</v>
      </c>
      <c r="O132" s="8"/>
      <c r="P132" s="8"/>
      <c r="Q132" s="8"/>
      <c r="R132" s="8"/>
      <c r="S132" s="8"/>
      <c r="T132" s="8"/>
      <c r="U132" s="8"/>
      <c r="V132" s="8"/>
      <c r="W132" s="8" t="s">
        <v>1883</v>
      </c>
      <c r="X132" s="8">
        <v>44.18</v>
      </c>
      <c r="Y132" s="8">
        <v>3.02</v>
      </c>
      <c r="Z132" s="9">
        <v>6.23</v>
      </c>
      <c r="AA132" s="8">
        <v>2.5</v>
      </c>
      <c r="AB132" s="8">
        <v>34319</v>
      </c>
      <c r="AC132" s="21" t="s">
        <v>1883</v>
      </c>
      <c r="AD132" s="8" t="s">
        <v>4090</v>
      </c>
      <c r="AE132" s="8" t="s">
        <v>4085</v>
      </c>
      <c r="AF132" s="9">
        <f t="shared" si="32"/>
        <v>7.55</v>
      </c>
      <c r="AG132" s="9">
        <f t="shared" si="33"/>
        <v>15.958333333333334</v>
      </c>
      <c r="AH132" s="9">
        <f t="shared" si="34"/>
        <v>1.7292421769083924E-2</v>
      </c>
      <c r="AI132" s="9">
        <f t="shared" si="35"/>
        <v>2.9902785063988757E-4</v>
      </c>
      <c r="AJ132" s="9">
        <f t="shared" si="36"/>
        <v>2.1095646992875597E-2</v>
      </c>
      <c r="AK132" s="9">
        <f t="shared" si="37"/>
        <v>4.4502632204802123E-4</v>
      </c>
      <c r="AL132" s="9">
        <f t="shared" si="38"/>
        <v>4.9140449625209026E-2</v>
      </c>
      <c r="AM132" s="9">
        <f t="shared" si="39"/>
        <v>2.414783789367706E-3</v>
      </c>
      <c r="AN132" s="8" t="s">
        <v>1883</v>
      </c>
    </row>
    <row r="133" spans="13:40" ht="23">
      <c r="M133" s="8" t="s">
        <v>1931</v>
      </c>
      <c r="N133" s="8" t="s">
        <v>1902</v>
      </c>
      <c r="O133" s="8"/>
      <c r="P133" s="8"/>
      <c r="Q133" s="8"/>
      <c r="R133" s="8"/>
      <c r="S133" s="8"/>
      <c r="T133" s="8"/>
      <c r="U133" s="8"/>
      <c r="V133" s="8"/>
      <c r="W133" s="8" t="s">
        <v>1931</v>
      </c>
      <c r="X133" s="8">
        <v>32.92</v>
      </c>
      <c r="Y133" s="8">
        <v>2.97</v>
      </c>
      <c r="Z133" s="9">
        <v>2.4700000000000002</v>
      </c>
      <c r="AA133" s="8">
        <v>2.4</v>
      </c>
      <c r="AB133" s="8">
        <v>35831</v>
      </c>
      <c r="AC133" s="21" t="s">
        <v>1931</v>
      </c>
      <c r="AD133" s="8" t="s">
        <v>4090</v>
      </c>
      <c r="AE133" s="8" t="s">
        <v>4085</v>
      </c>
      <c r="AF133" s="9">
        <f t="shared" si="32"/>
        <v>7.1280000000000001</v>
      </c>
      <c r="AG133" s="9">
        <f t="shared" si="33"/>
        <v>6.68</v>
      </c>
      <c r="AH133" s="9">
        <f t="shared" si="34"/>
        <v>1.6600724898320564E-2</v>
      </c>
      <c r="AI133" s="9">
        <f t="shared" si="35"/>
        <v>2.755840671497203E-4</v>
      </c>
      <c r="AJ133" s="9">
        <f t="shared" si="36"/>
        <v>1.991652606161818E-2</v>
      </c>
      <c r="AK133" s="9">
        <f t="shared" si="37"/>
        <v>3.9666801036311616E-4</v>
      </c>
      <c r="AL133" s="9">
        <f t="shared" si="38"/>
        <v>2.0569704657737626E-2</v>
      </c>
      <c r="AM133" s="9">
        <f t="shared" si="39"/>
        <v>4.2311274970655298E-4</v>
      </c>
      <c r="AN133" s="8" t="s">
        <v>1931</v>
      </c>
    </row>
    <row r="134" spans="13:40" ht="23">
      <c r="M134" s="8" t="s">
        <v>774</v>
      </c>
      <c r="N134" s="8" t="s">
        <v>150</v>
      </c>
      <c r="O134" s="8"/>
      <c r="P134" s="8"/>
      <c r="Q134" s="8"/>
      <c r="R134" s="8"/>
      <c r="S134" s="8"/>
      <c r="T134" s="8"/>
      <c r="U134" s="8"/>
      <c r="V134" s="8"/>
      <c r="W134" s="8" t="s">
        <v>774</v>
      </c>
      <c r="X134" s="8">
        <v>43.84</v>
      </c>
      <c r="Y134" s="8">
        <v>2.82</v>
      </c>
      <c r="Z134" s="9">
        <v>3.06</v>
      </c>
      <c r="AA134" s="8">
        <v>2.4</v>
      </c>
      <c r="AB134" s="8">
        <v>31700</v>
      </c>
      <c r="AC134" s="21" t="s">
        <v>774</v>
      </c>
      <c r="AD134" s="8" t="s">
        <v>3687</v>
      </c>
      <c r="AE134" s="8" t="s">
        <v>4085</v>
      </c>
      <c r="AF134" s="9">
        <f t="shared" si="32"/>
        <v>6.7679999999999998</v>
      </c>
      <c r="AG134" s="9">
        <f t="shared" si="33"/>
        <v>7.4399999999999995</v>
      </c>
      <c r="AH134" s="9">
        <f t="shared" si="34"/>
        <v>1.6600724898320564E-2</v>
      </c>
      <c r="AI134" s="9">
        <f t="shared" si="35"/>
        <v>2.755840671497203E-4</v>
      </c>
      <c r="AJ134" s="9">
        <f t="shared" si="36"/>
        <v>1.8910640906990996E-2</v>
      </c>
      <c r="AK134" s="9">
        <f t="shared" si="37"/>
        <v>3.5761233951316123E-4</v>
      </c>
      <c r="AL134" s="9">
        <f t="shared" si="38"/>
        <v>2.2909970457120947E-2</v>
      </c>
      <c r="AM134" s="9">
        <f t="shared" si="39"/>
        <v>5.2486674634615461E-4</v>
      </c>
      <c r="AN134" s="8" t="s">
        <v>774</v>
      </c>
    </row>
    <row r="135" spans="13:40" ht="23">
      <c r="M135" s="8" t="s">
        <v>804</v>
      </c>
      <c r="N135" s="8" t="s">
        <v>150</v>
      </c>
      <c r="O135" s="8"/>
      <c r="P135" s="8"/>
      <c r="Q135" s="8"/>
      <c r="R135" s="8"/>
      <c r="S135" s="8"/>
      <c r="T135" s="8"/>
      <c r="U135" s="8"/>
      <c r="V135" s="8"/>
      <c r="W135" s="8" t="s">
        <v>804</v>
      </c>
      <c r="X135" s="8">
        <v>29.89</v>
      </c>
      <c r="Y135" s="8">
        <v>1.95</v>
      </c>
      <c r="Z135" s="9">
        <v>1.41</v>
      </c>
      <c r="AA135" s="8">
        <v>2.4</v>
      </c>
      <c r="AB135" s="8">
        <v>36870</v>
      </c>
      <c r="AC135" s="21" t="s">
        <v>804</v>
      </c>
      <c r="AD135" s="8" t="s">
        <v>4090</v>
      </c>
      <c r="AE135" s="8" t="s">
        <v>4085</v>
      </c>
      <c r="AF135" s="9">
        <f t="shared" si="32"/>
        <v>4.68</v>
      </c>
      <c r="AG135" s="9">
        <f t="shared" si="33"/>
        <v>4.04</v>
      </c>
      <c r="AH135" s="9">
        <f t="shared" si="34"/>
        <v>1.6600724898320564E-2</v>
      </c>
      <c r="AI135" s="9">
        <f t="shared" si="35"/>
        <v>2.755840671497203E-4</v>
      </c>
      <c r="AJ135" s="9">
        <f t="shared" si="36"/>
        <v>1.307650701015335E-2</v>
      </c>
      <c r="AK135" s="9">
        <f t="shared" si="37"/>
        <v>1.709950355865897E-4</v>
      </c>
      <c r="AL135" s="9">
        <f t="shared" si="38"/>
        <v>1.2440360301985032E-2</v>
      </c>
      <c r="AM135" s="9">
        <f t="shared" si="39"/>
        <v>1.5476256444320511E-4</v>
      </c>
      <c r="AN135" s="8" t="s">
        <v>804</v>
      </c>
    </row>
    <row r="136" spans="13:40" ht="23">
      <c r="M136" s="8" t="s">
        <v>474</v>
      </c>
      <c r="N136" s="8" t="s">
        <v>150</v>
      </c>
      <c r="O136" s="8"/>
      <c r="P136" s="8"/>
      <c r="Q136" s="8"/>
      <c r="R136" s="8"/>
      <c r="S136" s="8"/>
      <c r="T136" s="8"/>
      <c r="U136" s="8"/>
      <c r="V136" s="8"/>
      <c r="W136" s="8" t="s">
        <v>474</v>
      </c>
      <c r="X136" s="8">
        <v>15.11</v>
      </c>
      <c r="Y136" s="8">
        <v>8.4499999999999993</v>
      </c>
      <c r="Z136" s="9">
        <v>3.2</v>
      </c>
      <c r="AA136" s="8">
        <v>2.2999999999999998</v>
      </c>
      <c r="AB136" s="8">
        <v>25912</v>
      </c>
      <c r="AC136" s="21" t="s">
        <v>474</v>
      </c>
      <c r="AD136" s="8" t="s">
        <v>4086</v>
      </c>
      <c r="AE136" s="8" t="s">
        <v>4085</v>
      </c>
      <c r="AF136" s="9">
        <f t="shared" si="32"/>
        <v>19.434999999999995</v>
      </c>
      <c r="AG136" s="9">
        <f t="shared" si="33"/>
        <v>6.9076666666666666</v>
      </c>
      <c r="AH136" s="9">
        <f t="shared" si="34"/>
        <v>1.5909028027557205E-2</v>
      </c>
      <c r="AI136" s="9">
        <f t="shared" si="35"/>
        <v>2.5309717278160069E-4</v>
      </c>
      <c r="AJ136" s="9">
        <f t="shared" si="36"/>
        <v>5.4303827722720154E-2</v>
      </c>
      <c r="AK136" s="9">
        <f t="shared" si="37"/>
        <v>2.9489057053388697E-3</v>
      </c>
      <c r="AL136" s="9">
        <f t="shared" si="38"/>
        <v>2.1270757965184472E-2</v>
      </c>
      <c r="AM136" s="9">
        <f t="shared" si="39"/>
        <v>4.5244514441345867E-4</v>
      </c>
      <c r="AN136" s="8" t="s">
        <v>474</v>
      </c>
    </row>
    <row r="137" spans="13:40" ht="23">
      <c r="M137" s="9" t="s">
        <v>3074</v>
      </c>
      <c r="N137" s="8" t="s">
        <v>1814</v>
      </c>
      <c r="O137" s="8"/>
      <c r="P137" s="8"/>
      <c r="Q137" s="8"/>
      <c r="R137" s="8"/>
      <c r="S137" s="8"/>
      <c r="T137" s="8"/>
      <c r="U137" s="8"/>
      <c r="V137" s="8"/>
      <c r="W137" s="9" t="s">
        <v>3074</v>
      </c>
      <c r="X137" s="8">
        <v>19.86</v>
      </c>
      <c r="Y137" s="8">
        <v>3.04</v>
      </c>
      <c r="Z137" s="9">
        <v>3.02</v>
      </c>
      <c r="AA137" s="8">
        <v>2.2999999999999998</v>
      </c>
      <c r="AB137" s="8">
        <v>36540</v>
      </c>
      <c r="AC137" s="22" t="s">
        <v>3074</v>
      </c>
      <c r="AD137" s="8" t="s">
        <v>4090</v>
      </c>
      <c r="AE137" s="8" t="s">
        <v>4085</v>
      </c>
      <c r="AF137" s="9">
        <f t="shared" si="32"/>
        <v>6.9919999999999991</v>
      </c>
      <c r="AG137" s="9">
        <f t="shared" si="33"/>
        <v>6.9766666666666657</v>
      </c>
      <c r="AH137" s="9">
        <f t="shared" si="34"/>
        <v>1.5909028027557205E-2</v>
      </c>
      <c r="AI137" s="9">
        <f t="shared" si="35"/>
        <v>2.5309717278160069E-4</v>
      </c>
      <c r="AJ137" s="9">
        <f t="shared" si="36"/>
        <v>1.9536525003203464E-2</v>
      </c>
      <c r="AK137" s="9">
        <f t="shared" si="37"/>
        <v>3.8167580920079415E-4</v>
      </c>
      <c r="AL137" s="9">
        <f t="shared" si="38"/>
        <v>2.1483229465391641E-2</v>
      </c>
      <c r="AM137" s="9">
        <f t="shared" si="39"/>
        <v>4.6152914826267164E-4</v>
      </c>
      <c r="AN137" s="9" t="s">
        <v>3074</v>
      </c>
    </row>
    <row r="138" spans="13:40" ht="23">
      <c r="M138" s="8" t="s">
        <v>1080</v>
      </c>
      <c r="N138" s="8" t="s">
        <v>150</v>
      </c>
      <c r="O138" s="8"/>
      <c r="P138" s="8"/>
      <c r="Q138" s="8"/>
      <c r="R138" s="8"/>
      <c r="S138" s="8"/>
      <c r="T138" s="8"/>
      <c r="U138" s="8"/>
      <c r="V138" s="8"/>
      <c r="W138" s="8" t="s">
        <v>1080</v>
      </c>
      <c r="X138" s="8">
        <v>59.5</v>
      </c>
      <c r="Y138" s="8">
        <v>2.56</v>
      </c>
      <c r="Z138" s="9">
        <v>1.1000000000000001</v>
      </c>
      <c r="AA138" s="8">
        <v>2.2999999999999998</v>
      </c>
      <c r="AB138" s="8">
        <v>44949</v>
      </c>
      <c r="AC138" s="21" t="s">
        <v>1080</v>
      </c>
      <c r="AD138" s="8" t="s">
        <v>4438</v>
      </c>
      <c r="AE138" s="8" t="s">
        <v>4085</v>
      </c>
      <c r="AF138" s="9">
        <f t="shared" si="32"/>
        <v>5.8879999999999999</v>
      </c>
      <c r="AG138" s="9">
        <f t="shared" si="33"/>
        <v>2.3038333333333334</v>
      </c>
      <c r="AH138" s="9">
        <f t="shared" si="34"/>
        <v>1.5909028027557205E-2</v>
      </c>
      <c r="AI138" s="9">
        <f t="shared" si="35"/>
        <v>2.5309717278160069E-4</v>
      </c>
      <c r="AJ138" s="9">
        <f t="shared" si="36"/>
        <v>1.6451810529013448E-2</v>
      </c>
      <c r="AK138" s="9">
        <f t="shared" si="37"/>
        <v>2.7066206968255776E-4</v>
      </c>
      <c r="AL138" s="9">
        <f t="shared" si="38"/>
        <v>7.0941873124727352E-3</v>
      </c>
      <c r="AM138" s="9">
        <f t="shared" si="39"/>
        <v>5.0327493624449131E-5</v>
      </c>
      <c r="AN138" s="8" t="s">
        <v>1080</v>
      </c>
    </row>
    <row r="139" spans="13:40" ht="23">
      <c r="M139" s="9" t="s">
        <v>2301</v>
      </c>
      <c r="N139" s="8" t="s">
        <v>150</v>
      </c>
      <c r="O139" s="8"/>
      <c r="P139" s="8"/>
      <c r="Q139" s="8"/>
      <c r="R139" s="8"/>
      <c r="S139" s="8"/>
      <c r="T139" s="8"/>
      <c r="U139" s="8"/>
      <c r="V139" s="8"/>
      <c r="W139" s="9" t="s">
        <v>2301</v>
      </c>
      <c r="X139" s="8">
        <v>45.18</v>
      </c>
      <c r="Y139" s="8">
        <v>1.81</v>
      </c>
      <c r="Z139" s="9">
        <v>0.32</v>
      </c>
      <c r="AA139" s="8">
        <v>2.2999999999999998</v>
      </c>
      <c r="AB139" s="8">
        <v>41198</v>
      </c>
      <c r="AC139" s="22" t="s">
        <v>2301</v>
      </c>
      <c r="AD139" s="8" t="s">
        <v>4090</v>
      </c>
      <c r="AE139" s="8" t="s">
        <v>4085</v>
      </c>
      <c r="AF139" s="9">
        <f t="shared" si="32"/>
        <v>4.1629999999999994</v>
      </c>
      <c r="AG139" s="9">
        <f t="shared" si="33"/>
        <v>1.2266666666666666</v>
      </c>
      <c r="AH139" s="9">
        <f t="shared" si="34"/>
        <v>1.5909028027557205E-2</v>
      </c>
      <c r="AI139" s="9">
        <f t="shared" si="35"/>
        <v>2.5309717278160069E-4</v>
      </c>
      <c r="AJ139" s="9">
        <f t="shared" si="36"/>
        <v>1.1631944163091535E-2</v>
      </c>
      <c r="AK139" s="9">
        <f t="shared" si="37"/>
        <v>1.3530212501327923E-4</v>
      </c>
      <c r="AL139" s="9">
        <f t="shared" si="38"/>
        <v>3.7772711147941347E-3</v>
      </c>
      <c r="AM139" s="9">
        <f t="shared" si="39"/>
        <v>1.4267777074658126E-5</v>
      </c>
      <c r="AN139" s="9" t="s">
        <v>2301</v>
      </c>
    </row>
    <row r="140" spans="13:40" ht="23">
      <c r="M140" s="8" t="s">
        <v>825</v>
      </c>
      <c r="N140" s="8" t="s">
        <v>150</v>
      </c>
      <c r="O140" s="8"/>
      <c r="P140" s="8"/>
      <c r="Q140" s="8"/>
      <c r="R140" s="8"/>
      <c r="S140" s="8"/>
      <c r="T140" s="8"/>
      <c r="U140" s="8"/>
      <c r="V140" s="8"/>
      <c r="W140" s="8" t="s">
        <v>825</v>
      </c>
      <c r="X140" s="8">
        <v>33.56</v>
      </c>
      <c r="Y140" s="8">
        <v>3.14</v>
      </c>
      <c r="Z140" s="9">
        <v>3.57</v>
      </c>
      <c r="AA140" s="8">
        <v>2.2000000000000002</v>
      </c>
      <c r="AB140" s="8">
        <v>37044</v>
      </c>
      <c r="AC140" s="21" t="s">
        <v>825</v>
      </c>
      <c r="AD140" s="8" t="s">
        <v>3687</v>
      </c>
      <c r="AE140" s="8" t="s">
        <v>4085</v>
      </c>
      <c r="AF140" s="9">
        <f t="shared" si="32"/>
        <v>6.9080000000000013</v>
      </c>
      <c r="AG140" s="9">
        <f t="shared" si="33"/>
        <v>8.6900000000000013</v>
      </c>
      <c r="AH140" s="9">
        <f t="shared" si="34"/>
        <v>1.5217331156793851E-2</v>
      </c>
      <c r="AI140" s="9">
        <f t="shared" si="35"/>
        <v>2.3156716753552889E-4</v>
      </c>
      <c r="AJ140" s="9">
        <f t="shared" si="36"/>
        <v>1.9301818467123796E-2</v>
      </c>
      <c r="AK140" s="9">
        <f t="shared" si="37"/>
        <v>3.7256019613780123E-4</v>
      </c>
      <c r="AL140" s="9">
        <f t="shared" si="38"/>
        <v>2.6759091837685628E-2</v>
      </c>
      <c r="AM140" s="9">
        <f t="shared" si="39"/>
        <v>7.160489959776936E-4</v>
      </c>
      <c r="AN140" s="8" t="s">
        <v>825</v>
      </c>
    </row>
    <row r="141" spans="13:40" ht="23">
      <c r="M141" s="8" t="s">
        <v>2014</v>
      </c>
      <c r="N141" s="8" t="s">
        <v>2003</v>
      </c>
      <c r="O141" s="8"/>
      <c r="P141" s="8"/>
      <c r="Q141" s="8"/>
      <c r="R141" s="8"/>
      <c r="S141" s="8"/>
      <c r="T141" s="8"/>
      <c r="U141" s="8"/>
      <c r="V141" s="8"/>
      <c r="W141" s="8" t="s">
        <v>2014</v>
      </c>
      <c r="X141" s="8">
        <v>48.94</v>
      </c>
      <c r="Y141" s="8">
        <v>1.76</v>
      </c>
      <c r="Z141" s="9">
        <v>0.37</v>
      </c>
      <c r="AA141" s="8">
        <v>2.2000000000000002</v>
      </c>
      <c r="AB141" s="8">
        <v>51996</v>
      </c>
      <c r="AC141" s="21" t="s">
        <v>2014</v>
      </c>
      <c r="AD141" s="8" t="s">
        <v>4090</v>
      </c>
      <c r="AE141" s="8" t="s">
        <v>4085</v>
      </c>
      <c r="AF141" s="9">
        <f t="shared" si="32"/>
        <v>3.8720000000000003</v>
      </c>
      <c r="AG141" s="9">
        <f t="shared" si="33"/>
        <v>1.3566666666666669</v>
      </c>
      <c r="AH141" s="9">
        <f t="shared" si="34"/>
        <v>1.5217331156793851E-2</v>
      </c>
      <c r="AI141" s="9">
        <f t="shared" si="35"/>
        <v>2.3156716753552889E-4</v>
      </c>
      <c r="AJ141" s="9">
        <f t="shared" si="36"/>
        <v>1.0818853663101235E-2</v>
      </c>
      <c r="AK141" s="9">
        <f t="shared" si="37"/>
        <v>1.1704759458359901E-4</v>
      </c>
      <c r="AL141" s="9">
        <f t="shared" si="38"/>
        <v>4.1775797383728618E-3</v>
      </c>
      <c r="AM141" s="9">
        <f t="shared" si="39"/>
        <v>1.745217247046347E-5</v>
      </c>
      <c r="AN141" s="8" t="s">
        <v>2014</v>
      </c>
    </row>
    <row r="142" spans="13:40" ht="23">
      <c r="M142" s="9" t="s">
        <v>3645</v>
      </c>
      <c r="N142" s="8" t="s">
        <v>2100</v>
      </c>
      <c r="O142" s="8"/>
      <c r="P142" s="8"/>
      <c r="Q142" s="8"/>
      <c r="R142" s="8"/>
      <c r="S142" s="8"/>
      <c r="T142" s="8"/>
      <c r="U142" s="8"/>
      <c r="V142" s="8"/>
      <c r="W142" s="9" t="s">
        <v>3645</v>
      </c>
      <c r="X142" s="8">
        <v>15.48</v>
      </c>
      <c r="Y142" s="8">
        <v>2.27</v>
      </c>
      <c r="Z142" s="9">
        <v>2.15</v>
      </c>
      <c r="AA142" s="8">
        <v>2.1</v>
      </c>
      <c r="AB142" s="8">
        <v>44223</v>
      </c>
      <c r="AC142" s="22" t="s">
        <v>3645</v>
      </c>
      <c r="AD142" s="8" t="s">
        <v>4090</v>
      </c>
      <c r="AE142" s="8" t="s">
        <v>4085</v>
      </c>
      <c r="AF142" s="9">
        <f t="shared" si="32"/>
        <v>4.7670000000000003</v>
      </c>
      <c r="AG142" s="9">
        <f t="shared" si="33"/>
        <v>4.7250000000000005</v>
      </c>
      <c r="AH142" s="9">
        <f t="shared" si="34"/>
        <v>1.4525634286030495E-2</v>
      </c>
      <c r="AI142" s="9">
        <f t="shared" si="35"/>
        <v>2.1099405141150466E-4</v>
      </c>
      <c r="AJ142" s="9">
        <f t="shared" si="36"/>
        <v>1.3319595922521587E-2</v>
      </c>
      <c r="AK142" s="9">
        <f t="shared" si="37"/>
        <v>1.774116355392537E-4</v>
      </c>
      <c r="AL142" s="9">
        <f t="shared" si="38"/>
        <v>1.4549678818534476E-2</v>
      </c>
      <c r="AM142" s="9">
        <f t="shared" si="39"/>
        <v>2.1169315372251079E-4</v>
      </c>
      <c r="AN142" s="9" t="s">
        <v>3645</v>
      </c>
    </row>
    <row r="143" spans="13:40" ht="23">
      <c r="M143" s="9" t="s">
        <v>3544</v>
      </c>
      <c r="N143" s="8" t="s">
        <v>2041</v>
      </c>
      <c r="O143" s="8"/>
      <c r="P143" s="8" t="s">
        <v>3691</v>
      </c>
      <c r="Q143" s="8"/>
      <c r="R143" s="8"/>
      <c r="S143" s="8"/>
      <c r="T143" s="8"/>
      <c r="U143" s="8"/>
      <c r="V143" s="8"/>
      <c r="W143" s="9" t="s">
        <v>3544</v>
      </c>
      <c r="X143" s="8">
        <v>19.82</v>
      </c>
      <c r="Y143" s="8">
        <v>5.75</v>
      </c>
      <c r="Z143" s="9">
        <v>8.09</v>
      </c>
      <c r="AA143" s="8">
        <v>1.9</v>
      </c>
      <c r="AB143" s="8">
        <v>38503</v>
      </c>
      <c r="AC143" s="22" t="s">
        <v>3544</v>
      </c>
      <c r="AD143" s="8" t="s">
        <v>4090</v>
      </c>
      <c r="AE143" s="8" t="s">
        <v>4085</v>
      </c>
      <c r="AF143" s="9">
        <f t="shared" si="32"/>
        <v>10.924999999999999</v>
      </c>
      <c r="AG143" s="9">
        <f t="shared" si="33"/>
        <v>15.484999999999999</v>
      </c>
      <c r="AH143" s="9">
        <f t="shared" si="34"/>
        <v>1.314224054450378E-2</v>
      </c>
      <c r="AI143" s="9">
        <f t="shared" si="35"/>
        <v>1.7271848652959901E-4</v>
      </c>
      <c r="AJ143" s="9">
        <f t="shared" si="36"/>
        <v>3.0525820317505413E-2</v>
      </c>
      <c r="AK143" s="9">
        <f t="shared" si="37"/>
        <v>9.3182570605662631E-4</v>
      </c>
      <c r="AL143" s="9">
        <f t="shared" si="38"/>
        <v>4.7682915662435203E-2</v>
      </c>
      <c r="AM143" s="9">
        <f t="shared" si="39"/>
        <v>2.2736604460709083E-3</v>
      </c>
      <c r="AN143" s="9" t="s">
        <v>3544</v>
      </c>
    </row>
    <row r="144" spans="13:40" ht="23">
      <c r="M144" s="9" t="s">
        <v>3236</v>
      </c>
      <c r="N144" s="8" t="s">
        <v>1902</v>
      </c>
      <c r="O144" s="8"/>
      <c r="P144" s="8"/>
      <c r="Q144" s="8"/>
      <c r="R144" s="8"/>
      <c r="S144" s="8"/>
      <c r="T144" s="8"/>
      <c r="U144" s="8"/>
      <c r="V144" s="8"/>
      <c r="W144" s="9" t="s">
        <v>3236</v>
      </c>
      <c r="X144" s="8">
        <v>21.44</v>
      </c>
      <c r="Y144" s="8">
        <v>3.61</v>
      </c>
      <c r="Z144" s="9">
        <v>2.38</v>
      </c>
      <c r="AA144" s="8">
        <v>1.9</v>
      </c>
      <c r="AB144" s="8">
        <v>37125</v>
      </c>
      <c r="AC144" s="22" t="s">
        <v>3236</v>
      </c>
      <c r="AD144" s="8" t="s">
        <v>4090</v>
      </c>
      <c r="AE144" s="8" t="s">
        <v>4085</v>
      </c>
      <c r="AF144" s="9">
        <f t="shared" si="32"/>
        <v>6.8589999999999991</v>
      </c>
      <c r="AG144" s="9">
        <f t="shared" si="33"/>
        <v>5.003333333333333</v>
      </c>
      <c r="AH144" s="9">
        <f t="shared" si="34"/>
        <v>1.314224054450378E-2</v>
      </c>
      <c r="AI144" s="9">
        <f t="shared" si="35"/>
        <v>1.7271848652959901E-4</v>
      </c>
      <c r="AJ144" s="9">
        <f t="shared" si="36"/>
        <v>1.9164906321077309E-2</v>
      </c>
      <c r="AK144" s="9">
        <f t="shared" si="37"/>
        <v>3.6729363429566903E-4</v>
      </c>
      <c r="AL144" s="9">
        <f t="shared" si="38"/>
        <v>1.5406749845940206E-2</v>
      </c>
      <c r="AM144" s="9">
        <f t="shared" si="39"/>
        <v>2.3736794081537856E-4</v>
      </c>
      <c r="AN144" s="9" t="s">
        <v>3236</v>
      </c>
    </row>
    <row r="145" spans="13:40" ht="23">
      <c r="M145" s="8" t="s">
        <v>1587</v>
      </c>
      <c r="N145" s="8" t="s">
        <v>150</v>
      </c>
      <c r="O145" s="8"/>
      <c r="P145" s="8"/>
      <c r="Q145" s="8"/>
      <c r="R145" s="8"/>
      <c r="S145" s="8"/>
      <c r="T145" s="8"/>
      <c r="U145" s="8"/>
      <c r="V145" s="8"/>
      <c r="W145" s="8" t="s">
        <v>1587</v>
      </c>
      <c r="X145" s="8">
        <v>11.82</v>
      </c>
      <c r="Y145" s="8">
        <v>3.51</v>
      </c>
      <c r="Z145" s="9">
        <v>1.26</v>
      </c>
      <c r="AA145" s="8">
        <v>1.9</v>
      </c>
      <c r="AB145" s="8">
        <v>98956</v>
      </c>
      <c r="AC145" s="21" t="s">
        <v>1587</v>
      </c>
      <c r="AD145" s="8" t="s">
        <v>3687</v>
      </c>
      <c r="AE145" s="8" t="s">
        <v>4085</v>
      </c>
      <c r="AF145" s="9">
        <f t="shared" si="32"/>
        <v>6.6689999999999996</v>
      </c>
      <c r="AG145" s="9">
        <f t="shared" si="33"/>
        <v>2.7233333333333332</v>
      </c>
      <c r="AH145" s="9">
        <f t="shared" si="34"/>
        <v>1.314224054450378E-2</v>
      </c>
      <c r="AI145" s="9">
        <f t="shared" si="35"/>
        <v>1.7271848652959901E-4</v>
      </c>
      <c r="AJ145" s="9">
        <f t="shared" si="36"/>
        <v>1.8634022489468525E-2</v>
      </c>
      <c r="AK145" s="9">
        <f t="shared" si="37"/>
        <v>3.4722679413801876E-4</v>
      </c>
      <c r="AL145" s="9">
        <f t="shared" si="38"/>
        <v>8.3859524477902393E-3</v>
      </c>
      <c r="AM145" s="9">
        <f t="shared" si="39"/>
        <v>7.0324198456599108E-5</v>
      </c>
      <c r="AN145" s="8" t="s">
        <v>1587</v>
      </c>
    </row>
    <row r="146" spans="13:40" ht="23">
      <c r="M146" s="8" t="s">
        <v>1822</v>
      </c>
      <c r="N146" s="8" t="s">
        <v>1814</v>
      </c>
      <c r="O146" s="8"/>
      <c r="P146" s="8"/>
      <c r="Q146" s="8"/>
      <c r="R146" s="8"/>
      <c r="S146" s="8"/>
      <c r="T146" s="8"/>
      <c r="U146" s="8"/>
      <c r="V146" s="8"/>
      <c r="W146" s="8" t="s">
        <v>1822</v>
      </c>
      <c r="X146" s="8">
        <v>42.84</v>
      </c>
      <c r="Y146" s="8">
        <v>3.07</v>
      </c>
      <c r="Z146" s="9">
        <v>4.3899999999999997</v>
      </c>
      <c r="AA146" s="8">
        <v>1.9</v>
      </c>
      <c r="AB146" s="8">
        <v>44271</v>
      </c>
      <c r="AC146" s="21" t="s">
        <v>1822</v>
      </c>
      <c r="AD146" s="8" t="s">
        <v>4090</v>
      </c>
      <c r="AE146" s="8" t="s">
        <v>4085</v>
      </c>
      <c r="AF146" s="9">
        <f t="shared" si="32"/>
        <v>5.8329999999999993</v>
      </c>
      <c r="AG146" s="9">
        <f t="shared" si="33"/>
        <v>8.8350000000000009</v>
      </c>
      <c r="AH146" s="9">
        <f t="shared" si="34"/>
        <v>1.314224054450378E-2</v>
      </c>
      <c r="AI146" s="9">
        <f t="shared" si="35"/>
        <v>1.7271848652959901E-4</v>
      </c>
      <c r="AJ146" s="9">
        <f t="shared" si="36"/>
        <v>1.6298133630389847E-2</v>
      </c>
      <c r="AK146" s="9">
        <f t="shared" si="37"/>
        <v>2.6562915983404452E-4</v>
      </c>
      <c r="AL146" s="9">
        <f t="shared" si="38"/>
        <v>2.7205589917831129E-2</v>
      </c>
      <c r="AM146" s="9">
        <f t="shared" si="39"/>
        <v>7.4014412277719475E-4</v>
      </c>
      <c r="AN146" s="8" t="s">
        <v>1822</v>
      </c>
    </row>
    <row r="147" spans="13:40" ht="23">
      <c r="M147" s="9" t="s">
        <v>3586</v>
      </c>
      <c r="N147" s="8" t="s">
        <v>2074</v>
      </c>
      <c r="O147" s="8"/>
      <c r="P147" s="8"/>
      <c r="Q147" s="8"/>
      <c r="R147" s="8"/>
      <c r="S147" s="8"/>
      <c r="T147" s="8"/>
      <c r="U147" s="8"/>
      <c r="V147" s="8"/>
      <c r="W147" s="9" t="s">
        <v>3586</v>
      </c>
      <c r="X147" s="8">
        <v>22.6</v>
      </c>
      <c r="Y147" s="8">
        <v>2.4900000000000002</v>
      </c>
      <c r="Z147" s="9">
        <v>3.43</v>
      </c>
      <c r="AA147" s="8">
        <v>1.9</v>
      </c>
      <c r="AB147" s="8">
        <v>41400</v>
      </c>
      <c r="AC147" s="22" t="s">
        <v>3586</v>
      </c>
      <c r="AD147" s="8" t="s">
        <v>4090</v>
      </c>
      <c r="AE147" s="8" t="s">
        <v>4085</v>
      </c>
      <c r="AF147" s="9">
        <f t="shared" si="32"/>
        <v>4.7309999999999999</v>
      </c>
      <c r="AG147" s="9">
        <f t="shared" si="33"/>
        <v>7.0616666666666665</v>
      </c>
      <c r="AH147" s="9">
        <f t="shared" si="34"/>
        <v>1.314224054450378E-2</v>
      </c>
      <c r="AI147" s="9">
        <f t="shared" si="35"/>
        <v>1.7271848652959901E-4</v>
      </c>
      <c r="AJ147" s="9">
        <f t="shared" si="36"/>
        <v>1.3219007407058865E-2</v>
      </c>
      <c r="AK147" s="9">
        <f t="shared" si="37"/>
        <v>1.7474215682787716E-4</v>
      </c>
      <c r="AL147" s="9">
        <f t="shared" si="38"/>
        <v>2.1744969719270042E-2</v>
      </c>
      <c r="AM147" s="9">
        <f t="shared" si="39"/>
        <v>4.7284370809197104E-4</v>
      </c>
      <c r="AN147" s="9" t="s">
        <v>3586</v>
      </c>
    </row>
    <row r="148" spans="13:40" ht="23">
      <c r="M148" s="9" t="s">
        <v>2969</v>
      </c>
      <c r="N148" s="8" t="s">
        <v>1717</v>
      </c>
      <c r="O148" s="8"/>
      <c r="P148" s="8" t="s">
        <v>3693</v>
      </c>
      <c r="Q148" s="8"/>
      <c r="R148" s="8"/>
      <c r="S148" s="8"/>
      <c r="T148" s="8"/>
      <c r="U148" s="8"/>
      <c r="V148" s="8"/>
      <c r="W148" s="9" t="s">
        <v>2969</v>
      </c>
      <c r="X148" s="8">
        <v>20.5</v>
      </c>
      <c r="Y148" s="8">
        <v>5.99</v>
      </c>
      <c r="Z148" s="9">
        <v>8.31</v>
      </c>
      <c r="AA148" s="8">
        <v>1.8</v>
      </c>
      <c r="AB148" s="8">
        <v>36118</v>
      </c>
      <c r="AC148" s="22" t="s">
        <v>2969</v>
      </c>
      <c r="AD148" s="8" t="s">
        <v>4090</v>
      </c>
      <c r="AE148" s="8" t="s">
        <v>4085</v>
      </c>
      <c r="AF148" s="9">
        <f t="shared" si="32"/>
        <v>10.782</v>
      </c>
      <c r="AG148" s="9">
        <f t="shared" si="33"/>
        <v>15.330000000000002</v>
      </c>
      <c r="AH148" s="9">
        <f t="shared" si="34"/>
        <v>1.2450543673740423E-2</v>
      </c>
      <c r="AI148" s="9">
        <f t="shared" si="35"/>
        <v>1.5501603777171765E-4</v>
      </c>
      <c r="AJ148" s="9">
        <f t="shared" si="36"/>
        <v>3.0126260381084062E-2</v>
      </c>
      <c r="AK148" s="9">
        <f t="shared" si="37"/>
        <v>9.0759156454887522E-4</v>
      </c>
      <c r="AL148" s="9">
        <f t="shared" si="38"/>
        <v>4.7205624611245188E-2</v>
      </c>
      <c r="AM148" s="9">
        <f t="shared" si="39"/>
        <v>2.2283709949377974E-3</v>
      </c>
      <c r="AN148" s="9" t="s">
        <v>2969</v>
      </c>
    </row>
    <row r="149" spans="13:40" ht="23">
      <c r="M149" s="9" t="s">
        <v>3578</v>
      </c>
      <c r="N149" s="8" t="s">
        <v>2074</v>
      </c>
      <c r="O149" s="8"/>
      <c r="P149" s="8"/>
      <c r="Q149" s="8"/>
      <c r="R149" s="8"/>
      <c r="S149" s="8"/>
      <c r="T149" s="8"/>
      <c r="U149" s="8"/>
      <c r="V149" s="8"/>
      <c r="W149" s="9" t="s">
        <v>3578</v>
      </c>
      <c r="X149" s="8">
        <v>68.11</v>
      </c>
      <c r="Y149" s="8">
        <v>3.3</v>
      </c>
      <c r="Z149" s="9">
        <v>1.59</v>
      </c>
      <c r="AA149" s="8">
        <v>1.8</v>
      </c>
      <c r="AB149" s="8">
        <v>39194</v>
      </c>
      <c r="AC149" s="22" t="s">
        <v>3578</v>
      </c>
      <c r="AD149" s="8" t="s">
        <v>4101</v>
      </c>
      <c r="AE149" s="8" t="s">
        <v>4085</v>
      </c>
      <c r="AF149" s="9">
        <f t="shared" si="32"/>
        <v>5.9399999999999995</v>
      </c>
      <c r="AG149" s="9">
        <f t="shared" si="33"/>
        <v>3.5700000000000003</v>
      </c>
      <c r="AH149" s="9">
        <f t="shared" si="34"/>
        <v>1.2450543673740423E-2</v>
      </c>
      <c r="AI149" s="9">
        <f t="shared" si="35"/>
        <v>1.5501603777171765E-4</v>
      </c>
      <c r="AJ149" s="9">
        <f t="shared" si="36"/>
        <v>1.6597105051348482E-2</v>
      </c>
      <c r="AK149" s="9">
        <f t="shared" si="37"/>
        <v>2.754638960854973E-4</v>
      </c>
      <c r="AL149" s="9">
        <f t="shared" si="38"/>
        <v>1.0993090662892715E-2</v>
      </c>
      <c r="AM149" s="9">
        <f t="shared" si="39"/>
        <v>1.20848042322579E-4</v>
      </c>
      <c r="AN149" s="9" t="s">
        <v>3578</v>
      </c>
    </row>
    <row r="150" spans="13:40" ht="23">
      <c r="M150" s="8" t="s">
        <v>2062</v>
      </c>
      <c r="N150" s="8" t="s">
        <v>2041</v>
      </c>
      <c r="O150" s="8"/>
      <c r="P150" s="8"/>
      <c r="Q150" s="8"/>
      <c r="R150" s="8"/>
      <c r="S150" s="8"/>
      <c r="T150" s="8"/>
      <c r="U150" s="8"/>
      <c r="V150" s="8"/>
      <c r="W150" s="8" t="s">
        <v>2062</v>
      </c>
      <c r="X150" s="8">
        <v>35.380000000000003</v>
      </c>
      <c r="Y150" s="8">
        <v>5.66</v>
      </c>
      <c r="Z150" s="9">
        <v>5.08</v>
      </c>
      <c r="AA150" s="8">
        <v>1.7</v>
      </c>
      <c r="AB150" s="8">
        <v>36680</v>
      </c>
      <c r="AC150" s="21" t="s">
        <v>2062</v>
      </c>
      <c r="AD150" s="8" t="s">
        <v>4090</v>
      </c>
      <c r="AE150" s="8" t="s">
        <v>4085</v>
      </c>
      <c r="AF150" s="9">
        <f t="shared" si="32"/>
        <v>9.6219999999999999</v>
      </c>
      <c r="AG150" s="9">
        <f t="shared" si="33"/>
        <v>8.7266666666666666</v>
      </c>
      <c r="AH150" s="9">
        <f t="shared" si="34"/>
        <v>1.1758846802977067E-2</v>
      </c>
      <c r="AI150" s="9">
        <f t="shared" si="35"/>
        <v>1.3827047813588398E-4</v>
      </c>
      <c r="AJ150" s="9">
        <f t="shared" si="36"/>
        <v>2.6885074882840927E-2</v>
      </c>
      <c r="AK150" s="9">
        <f t="shared" si="37"/>
        <v>7.2280725145596413E-4</v>
      </c>
      <c r="AL150" s="9">
        <f t="shared" si="38"/>
        <v>2.6871999398182186E-2</v>
      </c>
      <c r="AM150" s="9">
        <f t="shared" si="39"/>
        <v>7.2210435165590372E-4</v>
      </c>
      <c r="AN150" s="8" t="s">
        <v>2062</v>
      </c>
    </row>
    <row r="151" spans="13:40" ht="23">
      <c r="M151" s="8" t="s">
        <v>1689</v>
      </c>
      <c r="N151" s="8" t="s">
        <v>1614</v>
      </c>
      <c r="O151" s="8"/>
      <c r="P151" s="8"/>
      <c r="Q151" s="8"/>
      <c r="R151" s="8"/>
      <c r="S151" s="8"/>
      <c r="T151" s="8"/>
      <c r="U151" s="8"/>
      <c r="V151" s="8"/>
      <c r="W151" s="8" t="s">
        <v>1689</v>
      </c>
      <c r="X151" s="8">
        <v>35.64</v>
      </c>
      <c r="Y151" s="8">
        <v>3.64</v>
      </c>
      <c r="Z151" s="9">
        <v>4.1100000000000003</v>
      </c>
      <c r="AA151" s="8">
        <v>1.7</v>
      </c>
      <c r="AB151" s="8">
        <v>43955</v>
      </c>
      <c r="AC151" s="21" t="s">
        <v>1689</v>
      </c>
      <c r="AD151" s="8" t="s">
        <v>4090</v>
      </c>
      <c r="AE151" s="8" t="s">
        <v>4085</v>
      </c>
      <c r="AF151" s="9">
        <f t="shared" si="32"/>
        <v>6.1879999999999997</v>
      </c>
      <c r="AG151" s="9">
        <f t="shared" si="33"/>
        <v>7.1116666666666672</v>
      </c>
      <c r="AH151" s="9">
        <f t="shared" si="34"/>
        <v>1.1758846802977067E-2</v>
      </c>
      <c r="AI151" s="9">
        <f t="shared" si="35"/>
        <v>1.3827047813588398E-4</v>
      </c>
      <c r="AJ151" s="9">
        <f t="shared" si="36"/>
        <v>1.7290048157869428E-2</v>
      </c>
      <c r="AK151" s="9">
        <f t="shared" si="37"/>
        <v>2.9894576530144402E-4</v>
      </c>
      <c r="AL151" s="9">
        <f t="shared" si="38"/>
        <v>2.1898934574492632E-2</v>
      </c>
      <c r="AM151" s="9">
        <f t="shared" si="39"/>
        <v>4.7956333549790882E-4</v>
      </c>
      <c r="AN151" s="8" t="s">
        <v>1689</v>
      </c>
    </row>
    <row r="152" spans="13:40" ht="23">
      <c r="M152" s="8" t="s">
        <v>1712</v>
      </c>
      <c r="N152" s="8" t="s">
        <v>1614</v>
      </c>
      <c r="O152" s="8"/>
      <c r="P152" s="8" t="s">
        <v>4008</v>
      </c>
      <c r="Q152" s="8"/>
      <c r="R152" s="8"/>
      <c r="S152" s="8"/>
      <c r="T152" s="8"/>
      <c r="U152" s="8"/>
      <c r="V152" s="8"/>
      <c r="W152" s="8" t="s">
        <v>1712</v>
      </c>
      <c r="X152" s="8">
        <v>27.43</v>
      </c>
      <c r="Y152" s="8">
        <v>3.23</v>
      </c>
      <c r="Z152" s="9">
        <v>3.1</v>
      </c>
      <c r="AA152" s="8">
        <v>1.7</v>
      </c>
      <c r="AB152" s="8">
        <v>45322</v>
      </c>
      <c r="AC152" s="21" t="s">
        <v>1712</v>
      </c>
      <c r="AD152" s="8" t="s">
        <v>4233</v>
      </c>
      <c r="AE152" s="8" t="s">
        <v>4085</v>
      </c>
      <c r="AF152" s="9">
        <f t="shared" si="32"/>
        <v>5.4909999999999997</v>
      </c>
      <c r="AG152" s="9">
        <f t="shared" si="33"/>
        <v>5.1028333333333329</v>
      </c>
      <c r="AH152" s="9">
        <f t="shared" si="34"/>
        <v>1.1758846802977067E-2</v>
      </c>
      <c r="AI152" s="9">
        <f t="shared" si="35"/>
        <v>1.3827047813588398E-4</v>
      </c>
      <c r="AJ152" s="9">
        <f t="shared" si="36"/>
        <v>1.5342542733494025E-2</v>
      </c>
      <c r="AK152" s="9">
        <f t="shared" si="37"/>
        <v>2.3539361752909031E-4</v>
      </c>
      <c r="AL152" s="9">
        <f t="shared" si="38"/>
        <v>1.5713139907833153E-2</v>
      </c>
      <c r="AM152" s="9">
        <f t="shared" si="39"/>
        <v>2.469027657631389E-4</v>
      </c>
      <c r="AN152" s="8" t="s">
        <v>1712</v>
      </c>
    </row>
    <row r="153" spans="13:40" ht="23">
      <c r="M153" s="9" t="s">
        <v>3303</v>
      </c>
      <c r="N153" s="8" t="s">
        <v>1939</v>
      </c>
      <c r="O153" s="8"/>
      <c r="P153" s="8"/>
      <c r="Q153" s="8"/>
      <c r="R153" s="8"/>
      <c r="S153" s="8"/>
      <c r="T153" s="8"/>
      <c r="U153" s="8"/>
      <c r="V153" s="8"/>
      <c r="W153" s="9" t="s">
        <v>3303</v>
      </c>
      <c r="X153" s="8">
        <v>37.69</v>
      </c>
      <c r="Y153" s="8">
        <v>4.47</v>
      </c>
      <c r="Z153" s="9">
        <v>5.21</v>
      </c>
      <c r="AA153" s="8">
        <v>1.6</v>
      </c>
      <c r="AB153" s="8">
        <v>38479</v>
      </c>
      <c r="AC153" s="22" t="s">
        <v>3303</v>
      </c>
      <c r="AD153" s="8" t="s">
        <v>4090</v>
      </c>
      <c r="AE153" s="8" t="s">
        <v>4085</v>
      </c>
      <c r="AF153" s="9">
        <f t="shared" si="32"/>
        <v>7.1520000000000001</v>
      </c>
      <c r="AG153" s="9">
        <f t="shared" si="33"/>
        <v>8.56</v>
      </c>
      <c r="AH153" s="9">
        <f t="shared" si="34"/>
        <v>1.1067149932213711E-2</v>
      </c>
      <c r="AI153" s="9">
        <f t="shared" si="35"/>
        <v>1.2248180762209794E-4</v>
      </c>
      <c r="AJ153" s="9">
        <f t="shared" si="36"/>
        <v>1.9983585071926657E-2</v>
      </c>
      <c r="AK153" s="9">
        <f t="shared" si="37"/>
        <v>3.9934367232692994E-4</v>
      </c>
      <c r="AL153" s="9">
        <f t="shared" si="38"/>
        <v>2.6358783214106903E-2</v>
      </c>
      <c r="AM153" s="9">
        <f t="shared" si="39"/>
        <v>6.9478545252828379E-4</v>
      </c>
      <c r="AN153" s="9" t="s">
        <v>3303</v>
      </c>
    </row>
    <row r="154" spans="13:40" ht="23">
      <c r="M154" s="8" t="s">
        <v>1872</v>
      </c>
      <c r="N154" s="8" t="s">
        <v>1869</v>
      </c>
      <c r="O154" s="8"/>
      <c r="P154" s="8" t="s">
        <v>3691</v>
      </c>
      <c r="Q154" s="8"/>
      <c r="R154" s="8"/>
      <c r="S154" s="8"/>
      <c r="T154" s="8"/>
      <c r="U154" s="8"/>
      <c r="V154" s="8"/>
      <c r="W154" s="8" t="s">
        <v>1872</v>
      </c>
      <c r="X154" s="8">
        <v>25.82</v>
      </c>
      <c r="Y154" s="8">
        <v>3.34</v>
      </c>
      <c r="Z154" s="9">
        <v>2.4900000000000002</v>
      </c>
      <c r="AA154" s="8">
        <v>1.6</v>
      </c>
      <c r="AB154" s="8">
        <v>40402</v>
      </c>
      <c r="AC154" s="21" t="s">
        <v>1872</v>
      </c>
      <c r="AD154" s="8" t="s">
        <v>4090</v>
      </c>
      <c r="AE154" s="8" t="s">
        <v>4085</v>
      </c>
      <c r="AF154" s="9">
        <f t="shared" si="32"/>
        <v>5.3440000000000003</v>
      </c>
      <c r="AG154" s="9">
        <f t="shared" si="33"/>
        <v>4.5066666666666668</v>
      </c>
      <c r="AH154" s="9">
        <f t="shared" si="34"/>
        <v>1.1067149932213711E-2</v>
      </c>
      <c r="AI154" s="9">
        <f t="shared" si="35"/>
        <v>1.2248180762209794E-4</v>
      </c>
      <c r="AJ154" s="9">
        <f t="shared" si="36"/>
        <v>1.4931806295354596E-2</v>
      </c>
      <c r="AK154" s="9">
        <f t="shared" si="37"/>
        <v>2.2295883924199113E-4</v>
      </c>
      <c r="AL154" s="9">
        <f t="shared" si="38"/>
        <v>1.3877365617395845E-2</v>
      </c>
      <c r="AM154" s="9">
        <f t="shared" si="39"/>
        <v>1.9258127647888036E-4</v>
      </c>
      <c r="AN154" s="8" t="s">
        <v>1872</v>
      </c>
    </row>
    <row r="155" spans="13:40" ht="23">
      <c r="M155" s="9" t="s">
        <v>2581</v>
      </c>
      <c r="N155" s="8" t="s">
        <v>150</v>
      </c>
      <c r="O155" s="8"/>
      <c r="P155" s="8"/>
      <c r="Q155" s="8"/>
      <c r="R155" s="8"/>
      <c r="S155" s="8"/>
      <c r="T155" s="8"/>
      <c r="U155" s="8"/>
      <c r="V155" s="8"/>
      <c r="W155" s="9" t="s">
        <v>2581</v>
      </c>
      <c r="X155" s="8">
        <v>41.09</v>
      </c>
      <c r="Y155" s="8">
        <v>2.2999999999999998</v>
      </c>
      <c r="Z155" s="9">
        <v>2.0299999999999998</v>
      </c>
      <c r="AA155" s="8">
        <v>1.6</v>
      </c>
      <c r="AB155" s="8">
        <v>52187</v>
      </c>
      <c r="AC155" s="22" t="s">
        <v>2581</v>
      </c>
      <c r="AD155" s="8" t="s">
        <v>3687</v>
      </c>
      <c r="AE155" s="8" t="s">
        <v>4085</v>
      </c>
      <c r="AF155" s="9">
        <f t="shared" si="32"/>
        <v>3.6799999999999997</v>
      </c>
      <c r="AG155" s="9">
        <f t="shared" si="33"/>
        <v>3.28</v>
      </c>
      <c r="AH155" s="9">
        <f t="shared" si="34"/>
        <v>1.1067149932213711E-2</v>
      </c>
      <c r="AI155" s="9">
        <f t="shared" si="35"/>
        <v>1.2248180762209794E-4</v>
      </c>
      <c r="AJ155" s="9">
        <f t="shared" si="36"/>
        <v>1.0282381580633403E-2</v>
      </c>
      <c r="AK155" s="9">
        <f t="shared" si="37"/>
        <v>1.0572737096974907E-4</v>
      </c>
      <c r="AL155" s="9">
        <f t="shared" si="38"/>
        <v>1.0100094502601707E-2</v>
      </c>
      <c r="AM155" s="9">
        <f t="shared" si="39"/>
        <v>1.0201190896148523E-4</v>
      </c>
      <c r="AN155" s="9" t="s">
        <v>2581</v>
      </c>
    </row>
    <row r="156" spans="13:40" ht="23">
      <c r="M156" s="8" t="s">
        <v>235</v>
      </c>
      <c r="N156" s="8" t="s">
        <v>150</v>
      </c>
      <c r="O156" s="8"/>
      <c r="P156" s="8"/>
      <c r="Q156" s="8"/>
      <c r="R156" s="8"/>
      <c r="S156" s="8"/>
      <c r="T156" s="8"/>
      <c r="U156" s="8"/>
      <c r="V156" s="8"/>
      <c r="W156" s="8" t="s">
        <v>235</v>
      </c>
      <c r="X156" s="8">
        <v>59.03</v>
      </c>
      <c r="Y156" s="8">
        <v>1.71</v>
      </c>
      <c r="Z156" s="9">
        <v>7.0000000000000007E-2</v>
      </c>
      <c r="AA156" s="8">
        <v>1.6</v>
      </c>
      <c r="AB156" s="8">
        <v>67028</v>
      </c>
      <c r="AC156" s="21" t="s">
        <v>235</v>
      </c>
      <c r="AD156" s="8" t="s">
        <v>3687</v>
      </c>
      <c r="AE156" s="8" t="s">
        <v>4085</v>
      </c>
      <c r="AF156" s="9">
        <f t="shared" si="32"/>
        <v>2.7360000000000002</v>
      </c>
      <c r="AG156" s="9">
        <f t="shared" si="33"/>
        <v>0.18666666666666668</v>
      </c>
      <c r="AH156" s="9">
        <f t="shared" si="34"/>
        <v>1.1067149932213711E-2</v>
      </c>
      <c r="AI156" s="9">
        <f t="shared" si="35"/>
        <v>1.2248180762209794E-4</v>
      </c>
      <c r="AJ156" s="9">
        <f t="shared" si="36"/>
        <v>7.6447271751665744E-3</v>
      </c>
      <c r="AK156" s="9">
        <f t="shared" si="37"/>
        <v>5.8441853582730314E-5</v>
      </c>
      <c r="AL156" s="9">
        <f t="shared" si="38"/>
        <v>5.7480212616432488E-4</v>
      </c>
      <c r="AM156" s="9">
        <f t="shared" si="39"/>
        <v>3.3039748424302844E-7</v>
      </c>
      <c r="AN156" s="8" t="s">
        <v>235</v>
      </c>
    </row>
    <row r="157" spans="13:40" ht="23">
      <c r="M157" s="9" t="s">
        <v>2870</v>
      </c>
      <c r="N157" s="8" t="s">
        <v>1717</v>
      </c>
      <c r="O157" s="8"/>
      <c r="P157" s="8"/>
      <c r="Q157" s="8"/>
      <c r="R157" s="8"/>
      <c r="S157" s="8"/>
      <c r="T157" s="8"/>
      <c r="U157" s="8"/>
      <c r="V157" s="8"/>
      <c r="W157" s="9" t="s">
        <v>2870</v>
      </c>
      <c r="X157" s="8">
        <v>9.9499999999999993</v>
      </c>
      <c r="Y157" s="8">
        <v>7.53</v>
      </c>
      <c r="Z157" s="9">
        <v>7.09</v>
      </c>
      <c r="AA157" s="8">
        <v>1.5</v>
      </c>
      <c r="AB157" s="8">
        <v>31133</v>
      </c>
      <c r="AC157" s="22" t="s">
        <v>2870</v>
      </c>
      <c r="AD157" s="8" t="s">
        <v>4090</v>
      </c>
      <c r="AE157" s="8" t="s">
        <v>4085</v>
      </c>
      <c r="AF157" s="9">
        <f t="shared" si="32"/>
        <v>11.295</v>
      </c>
      <c r="AG157" s="9">
        <f t="shared" si="33"/>
        <v>10.725000000000001</v>
      </c>
      <c r="AH157" s="9">
        <f t="shared" si="34"/>
        <v>1.0375453061450353E-2</v>
      </c>
      <c r="AI157" s="9">
        <f t="shared" si="35"/>
        <v>1.0765002623035951E-4</v>
      </c>
      <c r="AJ157" s="9">
        <f t="shared" si="36"/>
        <v>3.1559646726427797E-2</v>
      </c>
      <c r="AK157" s="9">
        <f t="shared" si="37"/>
        <v>9.9601130149692464E-4</v>
      </c>
      <c r="AL157" s="9">
        <f t="shared" si="38"/>
        <v>3.3025461445244916E-2</v>
      </c>
      <c r="AM157" s="9">
        <f t="shared" si="39"/>
        <v>1.0906811036713584E-3</v>
      </c>
      <c r="AN157" s="9" t="s">
        <v>2870</v>
      </c>
    </row>
    <row r="158" spans="13:40" ht="23">
      <c r="M158" s="9" t="s">
        <v>3165</v>
      </c>
      <c r="N158" s="8" t="s">
        <v>1869</v>
      </c>
      <c r="O158" s="8"/>
      <c r="P158" s="8"/>
      <c r="Q158" s="8"/>
      <c r="R158" s="8"/>
      <c r="S158" s="8"/>
      <c r="T158" s="8"/>
      <c r="U158" s="8"/>
      <c r="V158" s="8"/>
      <c r="W158" s="9" t="s">
        <v>3165</v>
      </c>
      <c r="X158" s="8">
        <v>35.729999999999997</v>
      </c>
      <c r="Y158" s="8">
        <v>2.34</v>
      </c>
      <c r="Z158" s="9">
        <v>0.24</v>
      </c>
      <c r="AA158" s="8">
        <v>1.4</v>
      </c>
      <c r="AB158" s="8">
        <v>62081</v>
      </c>
      <c r="AC158" s="22" t="s">
        <v>3165</v>
      </c>
      <c r="AD158" s="8" t="s">
        <v>4090</v>
      </c>
      <c r="AE158" s="8" t="s">
        <v>4085</v>
      </c>
      <c r="AF158" s="9">
        <f t="shared" si="32"/>
        <v>3.2759999999999998</v>
      </c>
      <c r="AG158" s="9">
        <f t="shared" si="33"/>
        <v>0.55999999999999994</v>
      </c>
      <c r="AH158" s="9">
        <f t="shared" si="34"/>
        <v>9.6837561906869957E-3</v>
      </c>
      <c r="AI158" s="9">
        <f t="shared" si="35"/>
        <v>9.3775133960668719E-5</v>
      </c>
      <c r="AJ158" s="9">
        <f t="shared" si="36"/>
        <v>9.1535549071073453E-3</v>
      </c>
      <c r="AK158" s="9">
        <f t="shared" si="37"/>
        <v>8.3787567437428956E-5</v>
      </c>
      <c r="AL158" s="9">
        <f t="shared" si="38"/>
        <v>1.7244063784929748E-3</v>
      </c>
      <c r="AM158" s="9">
        <f t="shared" si="39"/>
        <v>2.9735773581872566E-6</v>
      </c>
      <c r="AN158" s="9" t="s">
        <v>3165</v>
      </c>
    </row>
    <row r="159" spans="13:40" ht="23">
      <c r="M159" s="8" t="s">
        <v>1960</v>
      </c>
      <c r="N159" s="8" t="s">
        <v>1939</v>
      </c>
      <c r="O159" s="8"/>
      <c r="P159" s="8"/>
      <c r="Q159" s="8"/>
      <c r="R159" s="8"/>
      <c r="S159" s="8"/>
      <c r="T159" s="8"/>
      <c r="U159" s="8"/>
      <c r="V159" s="8"/>
      <c r="W159" s="8" t="s">
        <v>1960</v>
      </c>
      <c r="X159" s="8">
        <v>27.65</v>
      </c>
      <c r="Y159" s="8">
        <v>2.09</v>
      </c>
      <c r="Z159" s="9">
        <v>2.54</v>
      </c>
      <c r="AA159" s="8">
        <v>1.4</v>
      </c>
      <c r="AB159" s="8">
        <v>60953</v>
      </c>
      <c r="AC159" s="21" t="s">
        <v>1960</v>
      </c>
      <c r="AD159" s="8" t="s">
        <v>4090</v>
      </c>
      <c r="AE159" s="8" t="s">
        <v>4085</v>
      </c>
      <c r="AF159" s="9">
        <f t="shared" si="32"/>
        <v>2.9259999999999997</v>
      </c>
      <c r="AG159" s="9">
        <f t="shared" si="33"/>
        <v>4.0599999999999996</v>
      </c>
      <c r="AH159" s="9">
        <f t="shared" si="34"/>
        <v>9.6837561906869957E-3</v>
      </c>
      <c r="AI159" s="9">
        <f t="shared" si="35"/>
        <v>9.3775133960668719E-5</v>
      </c>
      <c r="AJ159" s="9">
        <f t="shared" si="36"/>
        <v>8.1756110067753626E-3</v>
      </c>
      <c r="AK159" s="9">
        <f t="shared" si="37"/>
        <v>6.6840615334106453E-5</v>
      </c>
      <c r="AL159" s="9">
        <f t="shared" si="38"/>
        <v>1.2501946244074065E-2</v>
      </c>
      <c r="AM159" s="9">
        <f t="shared" si="39"/>
        <v>1.562986598897176E-4</v>
      </c>
      <c r="AN159" s="8" t="s">
        <v>1960</v>
      </c>
    </row>
    <row r="160" spans="13:40" ht="23">
      <c r="M160" s="8" t="s">
        <v>354</v>
      </c>
      <c r="N160" s="8" t="s">
        <v>150</v>
      </c>
      <c r="O160" s="8"/>
      <c r="P160" s="8"/>
      <c r="Q160" s="8"/>
      <c r="R160" s="8"/>
      <c r="S160" s="8"/>
      <c r="T160" s="8"/>
      <c r="U160" s="8"/>
      <c r="V160" s="8"/>
      <c r="W160" s="8" t="s">
        <v>354</v>
      </c>
      <c r="X160" s="8">
        <v>92.72</v>
      </c>
      <c r="Y160" s="8">
        <v>1.0900000000000001</v>
      </c>
      <c r="Z160" s="9">
        <v>1.1200000000000001</v>
      </c>
      <c r="AA160" s="8">
        <v>1.4</v>
      </c>
      <c r="AB160" s="8">
        <v>77009</v>
      </c>
      <c r="AC160" s="21" t="s">
        <v>354</v>
      </c>
      <c r="AD160" s="8" t="s">
        <v>4438</v>
      </c>
      <c r="AE160" s="8" t="s">
        <v>4085</v>
      </c>
      <c r="AF160" s="9">
        <f t="shared" si="32"/>
        <v>1.526</v>
      </c>
      <c r="AG160" s="9">
        <f t="shared" si="33"/>
        <v>1.68</v>
      </c>
      <c r="AH160" s="9">
        <f t="shared" si="34"/>
        <v>9.6837561906869957E-3</v>
      </c>
      <c r="AI160" s="9">
        <f t="shared" si="35"/>
        <v>9.3775133960668719E-5</v>
      </c>
      <c r="AJ160" s="9">
        <f t="shared" si="36"/>
        <v>4.2638354054474383E-3</v>
      </c>
      <c r="AK160" s="9">
        <f t="shared" si="37"/>
        <v>1.818029236474712E-5</v>
      </c>
      <c r="AL160" s="9">
        <f t="shared" si="38"/>
        <v>5.1732191354789238E-3</v>
      </c>
      <c r="AM160" s="9">
        <f t="shared" si="39"/>
        <v>2.6762196223685303E-5</v>
      </c>
      <c r="AN160" s="8" t="s">
        <v>354</v>
      </c>
    </row>
    <row r="161" spans="13:40" ht="23">
      <c r="M161" s="8" t="s">
        <v>1006</v>
      </c>
      <c r="N161" s="8" t="s">
        <v>150</v>
      </c>
      <c r="O161" s="8"/>
      <c r="P161" s="8"/>
      <c r="Q161" s="8"/>
      <c r="R161" s="8"/>
      <c r="S161" s="8"/>
      <c r="T161" s="8"/>
      <c r="U161" s="8"/>
      <c r="V161" s="8"/>
      <c r="W161" s="8" t="s">
        <v>1006</v>
      </c>
      <c r="X161" s="8">
        <v>32.14</v>
      </c>
      <c r="Y161" s="8">
        <v>5.66</v>
      </c>
      <c r="Z161" s="9">
        <v>3.34</v>
      </c>
      <c r="AA161" s="8">
        <v>1.3</v>
      </c>
      <c r="AB161" s="8">
        <v>38689</v>
      </c>
      <c r="AC161" s="21" t="s">
        <v>1006</v>
      </c>
      <c r="AD161" s="8" t="s">
        <v>4090</v>
      </c>
      <c r="AE161" s="8" t="s">
        <v>4085</v>
      </c>
      <c r="AF161" s="9">
        <f t="shared" si="32"/>
        <v>7.3580000000000005</v>
      </c>
      <c r="AG161" s="9">
        <f t="shared" si="33"/>
        <v>4.6366666666666667</v>
      </c>
      <c r="AH161" s="9">
        <f t="shared" si="34"/>
        <v>8.9920593199236398E-3</v>
      </c>
      <c r="AI161" s="9">
        <f t="shared" si="35"/>
        <v>8.0857130813025588E-5</v>
      </c>
      <c r="AJ161" s="9">
        <f t="shared" si="36"/>
        <v>2.055917491040777E-2</v>
      </c>
      <c r="AK161" s="9">
        <f t="shared" si="37"/>
        <v>4.2267967299674034E-4</v>
      </c>
      <c r="AL161" s="9">
        <f t="shared" si="38"/>
        <v>1.4277674240974571E-2</v>
      </c>
      <c r="AM161" s="9">
        <f t="shared" si="39"/>
        <v>2.0385198173138879E-4</v>
      </c>
      <c r="AN161" s="8" t="s">
        <v>1006</v>
      </c>
    </row>
    <row r="162" spans="13:40" ht="23">
      <c r="M162" s="8" t="s">
        <v>269</v>
      </c>
      <c r="N162" s="8" t="s">
        <v>150</v>
      </c>
      <c r="O162" s="8"/>
      <c r="P162" s="8"/>
      <c r="Q162" s="8"/>
      <c r="R162" s="8"/>
      <c r="S162" s="8"/>
      <c r="T162" s="8"/>
      <c r="U162" s="8"/>
      <c r="V162" s="8"/>
      <c r="W162" s="8" t="s">
        <v>269</v>
      </c>
      <c r="X162" s="8">
        <v>36.42</v>
      </c>
      <c r="Y162" s="8">
        <v>2.25</v>
      </c>
      <c r="Z162" s="9">
        <v>0.38</v>
      </c>
      <c r="AA162" s="8">
        <v>1.3</v>
      </c>
      <c r="AB162" s="8">
        <v>61275</v>
      </c>
      <c r="AC162" s="21" t="s">
        <v>269</v>
      </c>
      <c r="AD162" s="8" t="s">
        <v>4090</v>
      </c>
      <c r="AE162" s="8" t="s">
        <v>4085</v>
      </c>
      <c r="AF162" s="9">
        <f t="shared" ref="AF162:AF171" si="40">(AA162*Y162)</f>
        <v>2.9250000000000003</v>
      </c>
      <c r="AG162" s="9">
        <f t="shared" ref="AG162:AG171" si="41">((((RIGHT(Z162,2))/60)+(LEFT(Z162,2)))*AA162)</f>
        <v>0.82333333333333336</v>
      </c>
      <c r="AH162" s="9">
        <f t="shared" ref="AH162:AH171" si="42">(AA162/$AA$172)*100</f>
        <v>8.9920593199236398E-3</v>
      </c>
      <c r="AI162" s="9">
        <f t="shared" ref="AI162:AI171" si="43">(AH162*AH162)</f>
        <v>8.0857130813025588E-5</v>
      </c>
      <c r="AJ162" s="9">
        <f t="shared" ref="AJ162:AJ171" si="44">(AF162/$AF$172)*100</f>
        <v>8.1728168813458447E-3</v>
      </c>
      <c r="AK162" s="9">
        <f t="shared" ref="AK162:AK171" si="45">(AJ162*AJ162)</f>
        <v>6.6794935776011622E-5</v>
      </c>
      <c r="AL162" s="9">
        <f t="shared" ref="AL162:AL171" si="46">(AG162/$AG$172)*100</f>
        <v>2.5352879493319332E-3</v>
      </c>
      <c r="AM162" s="9">
        <f t="shared" ref="AM162:AM171" si="47">(AL162*AL162)</f>
        <v>6.427684986027719E-6</v>
      </c>
      <c r="AN162" s="8" t="s">
        <v>269</v>
      </c>
    </row>
    <row r="163" spans="13:40" ht="23">
      <c r="M163" s="8" t="s">
        <v>1580</v>
      </c>
      <c r="N163" s="8" t="s">
        <v>150</v>
      </c>
      <c r="O163" s="8"/>
      <c r="P163" s="8"/>
      <c r="Q163" s="8"/>
      <c r="R163" s="8"/>
      <c r="S163" s="8"/>
      <c r="T163" s="8"/>
      <c r="U163" s="8"/>
      <c r="V163" s="8"/>
      <c r="W163" s="8" t="s">
        <v>1580</v>
      </c>
      <c r="X163" s="8">
        <v>55.36</v>
      </c>
      <c r="Y163" s="8">
        <v>1.72</v>
      </c>
      <c r="Z163" s="9">
        <v>0.35</v>
      </c>
      <c r="AA163" s="8">
        <v>1.3</v>
      </c>
      <c r="AB163" s="8">
        <v>71011</v>
      </c>
      <c r="AC163" s="21" t="s">
        <v>1580</v>
      </c>
      <c r="AD163" s="8" t="s">
        <v>4090</v>
      </c>
      <c r="AE163" s="8" t="s">
        <v>4085</v>
      </c>
      <c r="AF163" s="9">
        <f t="shared" si="40"/>
        <v>2.2360000000000002</v>
      </c>
      <c r="AG163" s="9">
        <f t="shared" si="41"/>
        <v>0.75833333333333341</v>
      </c>
      <c r="AH163" s="9">
        <f t="shared" si="42"/>
        <v>8.9920593199236398E-3</v>
      </c>
      <c r="AI163" s="9">
        <f t="shared" si="43"/>
        <v>8.0857130813025588E-5</v>
      </c>
      <c r="AJ163" s="9">
        <f t="shared" si="44"/>
        <v>6.2476644604066009E-3</v>
      </c>
      <c r="AK163" s="9">
        <f t="shared" si="45"/>
        <v>3.9033311209827701E-5</v>
      </c>
      <c r="AL163" s="9">
        <f t="shared" si="46"/>
        <v>2.3351336375425705E-3</v>
      </c>
      <c r="AM163" s="9">
        <f t="shared" si="47"/>
        <v>5.4528491051827968E-6</v>
      </c>
      <c r="AN163" s="8" t="s">
        <v>1580</v>
      </c>
    </row>
    <row r="164" spans="13:40" ht="23">
      <c r="M164" s="8" t="s">
        <v>1652</v>
      </c>
      <c r="N164" s="8" t="s">
        <v>1614</v>
      </c>
      <c r="O164" s="8"/>
      <c r="P164" s="8"/>
      <c r="Q164" s="8"/>
      <c r="R164" s="8"/>
      <c r="S164" s="8"/>
      <c r="T164" s="8"/>
      <c r="U164" s="8"/>
      <c r="V164" s="8"/>
      <c r="W164" s="8" t="s">
        <v>1652</v>
      </c>
      <c r="X164" s="8">
        <v>58.71</v>
      </c>
      <c r="Y164" s="8">
        <v>1.65</v>
      </c>
      <c r="Z164" s="9">
        <v>0.13</v>
      </c>
      <c r="AA164" s="8">
        <v>1.3</v>
      </c>
      <c r="AB164" s="8">
        <v>69080</v>
      </c>
      <c r="AC164" s="21" t="s">
        <v>1652</v>
      </c>
      <c r="AD164" s="8" t="s">
        <v>3687</v>
      </c>
      <c r="AE164" s="8" t="s">
        <v>4085</v>
      </c>
      <c r="AF164" s="9">
        <f t="shared" si="40"/>
        <v>2.145</v>
      </c>
      <c r="AG164" s="9">
        <f t="shared" si="41"/>
        <v>0.28166666666666668</v>
      </c>
      <c r="AH164" s="9">
        <f t="shared" si="42"/>
        <v>8.9920593199236398E-3</v>
      </c>
      <c r="AI164" s="9">
        <f t="shared" si="43"/>
        <v>8.0857130813025588E-5</v>
      </c>
      <c r="AJ164" s="9">
        <f t="shared" si="44"/>
        <v>5.9933990463202861E-3</v>
      </c>
      <c r="AK164" s="9">
        <f t="shared" si="45"/>
        <v>3.5920832128432913E-5</v>
      </c>
      <c r="AL164" s="9">
        <f t="shared" si="46"/>
        <v>8.6733535108724034E-4</v>
      </c>
      <c r="AM164" s="9">
        <f t="shared" si="47"/>
        <v>7.5227061124562642E-7</v>
      </c>
      <c r="AN164" s="8" t="s">
        <v>1652</v>
      </c>
    </row>
    <row r="165" spans="13:40" ht="23">
      <c r="M165" s="9" t="s">
        <v>3139</v>
      </c>
      <c r="N165" s="8" t="s">
        <v>1869</v>
      </c>
      <c r="O165" s="8"/>
      <c r="P165" s="8"/>
      <c r="Q165" s="8"/>
      <c r="R165" s="8"/>
      <c r="S165" s="8"/>
      <c r="T165" s="8"/>
      <c r="U165" s="8"/>
      <c r="V165" s="8"/>
      <c r="W165" s="9" t="s">
        <v>3139</v>
      </c>
      <c r="X165" s="8">
        <v>13.18</v>
      </c>
      <c r="Y165" s="8">
        <v>2.86</v>
      </c>
      <c r="Z165" s="9">
        <v>1.41</v>
      </c>
      <c r="AA165" s="8">
        <v>1.2</v>
      </c>
      <c r="AB165" s="8">
        <v>59459</v>
      </c>
      <c r="AC165" s="22" t="s">
        <v>3139</v>
      </c>
      <c r="AD165" s="8" t="s">
        <v>4090</v>
      </c>
      <c r="AE165" s="8" t="s">
        <v>4085</v>
      </c>
      <c r="AF165" s="9">
        <f t="shared" si="40"/>
        <v>3.4319999999999999</v>
      </c>
      <c r="AG165" s="9">
        <f t="shared" si="41"/>
        <v>2.02</v>
      </c>
      <c r="AH165" s="9">
        <f t="shared" si="42"/>
        <v>8.3003624491602822E-3</v>
      </c>
      <c r="AI165" s="9">
        <f t="shared" si="43"/>
        <v>6.8896016787430074E-5</v>
      </c>
      <c r="AJ165" s="9">
        <f t="shared" si="44"/>
        <v>9.5894384741124564E-3</v>
      </c>
      <c r="AK165" s="9">
        <f t="shared" si="45"/>
        <v>9.1957330248788237E-5</v>
      </c>
      <c r="AL165" s="9">
        <f t="shared" si="46"/>
        <v>6.2201801509925159E-3</v>
      </c>
      <c r="AM165" s="9">
        <f t="shared" si="47"/>
        <v>3.8690641110801278E-5</v>
      </c>
      <c r="AN165" s="9" t="s">
        <v>3139</v>
      </c>
    </row>
    <row r="166" spans="13:40" ht="23">
      <c r="M166" s="9" t="s">
        <v>3465</v>
      </c>
      <c r="N166" s="8" t="s">
        <v>2017</v>
      </c>
      <c r="O166" s="8"/>
      <c r="P166" s="8"/>
      <c r="Q166" s="8"/>
      <c r="R166" s="8"/>
      <c r="S166" s="8"/>
      <c r="T166" s="8"/>
      <c r="U166" s="8"/>
      <c r="V166" s="8"/>
      <c r="W166" s="9" t="s">
        <v>3465</v>
      </c>
      <c r="X166" s="8">
        <v>67.86</v>
      </c>
      <c r="Y166" s="8">
        <v>2.83</v>
      </c>
      <c r="Z166" s="9">
        <v>0.4</v>
      </c>
      <c r="AA166" s="8">
        <v>1.2</v>
      </c>
      <c r="AB166" s="8">
        <v>64163</v>
      </c>
      <c r="AC166" s="22" t="s">
        <v>3465</v>
      </c>
      <c r="AD166" s="8" t="s">
        <v>4090</v>
      </c>
      <c r="AE166" s="8" t="s">
        <v>4085</v>
      </c>
      <c r="AF166" s="9">
        <f t="shared" si="40"/>
        <v>3.3959999999999999</v>
      </c>
      <c r="AG166" s="9">
        <f t="shared" si="41"/>
        <v>8.0000000000000002E-3</v>
      </c>
      <c r="AH166" s="9">
        <f t="shared" si="42"/>
        <v>8.3003624491602822E-3</v>
      </c>
      <c r="AI166" s="9">
        <f t="shared" si="43"/>
        <v>6.8896016787430074E-5</v>
      </c>
      <c r="AJ166" s="9">
        <f t="shared" si="44"/>
        <v>9.48884995864974E-3</v>
      </c>
      <c r="AK166" s="9">
        <f t="shared" si="45"/>
        <v>9.0038273537767179E-5</v>
      </c>
      <c r="AL166" s="9">
        <f t="shared" si="46"/>
        <v>2.4634376835613927E-5</v>
      </c>
      <c r="AM166" s="9">
        <f t="shared" si="47"/>
        <v>6.0685252207903201E-10</v>
      </c>
      <c r="AN166" s="9" t="s">
        <v>3465</v>
      </c>
    </row>
    <row r="167" spans="13:40" ht="23">
      <c r="M167" s="9" t="s">
        <v>2983</v>
      </c>
      <c r="N167" s="8" t="s">
        <v>1717</v>
      </c>
      <c r="O167" s="8"/>
      <c r="P167" s="8"/>
      <c r="Q167" s="8"/>
      <c r="R167" s="8"/>
      <c r="S167" s="8"/>
      <c r="T167" s="8"/>
      <c r="U167" s="8"/>
      <c r="V167" s="8"/>
      <c r="W167" s="9" t="s">
        <v>2983</v>
      </c>
      <c r="X167" s="8">
        <v>14.52</v>
      </c>
      <c r="Y167" s="8">
        <v>2.5299999999999998</v>
      </c>
      <c r="Z167" s="9">
        <v>1.1100000000000001</v>
      </c>
      <c r="AA167" s="8">
        <v>1.2</v>
      </c>
      <c r="AB167" s="8">
        <v>77803</v>
      </c>
      <c r="AC167" s="22" t="s">
        <v>2983</v>
      </c>
      <c r="AD167" s="8" t="s">
        <v>4090</v>
      </c>
      <c r="AE167" s="8" t="s">
        <v>4085</v>
      </c>
      <c r="AF167" s="9">
        <f t="shared" si="40"/>
        <v>3.0359999999999996</v>
      </c>
      <c r="AG167" s="9">
        <f t="shared" si="41"/>
        <v>1.42</v>
      </c>
      <c r="AH167" s="9">
        <f t="shared" si="42"/>
        <v>8.3003624491602822E-3</v>
      </c>
      <c r="AI167" s="9">
        <f t="shared" si="43"/>
        <v>6.8896016787430074E-5</v>
      </c>
      <c r="AJ167" s="9">
        <f t="shared" si="44"/>
        <v>8.482964804022556E-3</v>
      </c>
      <c r="AK167" s="9">
        <f t="shared" si="45"/>
        <v>7.1960691866285436E-5</v>
      </c>
      <c r="AL167" s="9">
        <f t="shared" si="46"/>
        <v>4.3726018883214713E-3</v>
      </c>
      <c r="AM167" s="9">
        <f t="shared" si="47"/>
        <v>1.9119647273752498E-5</v>
      </c>
      <c r="AN167" s="9" t="s">
        <v>2983</v>
      </c>
    </row>
    <row r="168" spans="13:40" ht="23">
      <c r="M168" s="8" t="s">
        <v>1972</v>
      </c>
      <c r="N168" s="8" t="s">
        <v>1964</v>
      </c>
      <c r="O168" s="8"/>
      <c r="P168" s="8"/>
      <c r="Q168" s="8"/>
      <c r="R168" s="8"/>
      <c r="S168" s="8"/>
      <c r="T168" s="8"/>
      <c r="U168" s="8"/>
      <c r="V168" s="8"/>
      <c r="W168" s="8" t="s">
        <v>1972</v>
      </c>
      <c r="X168" s="8">
        <v>34.17</v>
      </c>
      <c r="Y168" s="8">
        <v>2.1</v>
      </c>
      <c r="Z168" s="9">
        <v>3.04</v>
      </c>
      <c r="AA168" s="8">
        <v>1.2</v>
      </c>
      <c r="AB168" s="8">
        <v>59847</v>
      </c>
      <c r="AC168" s="21" t="s">
        <v>1972</v>
      </c>
      <c r="AD168" s="8" t="s">
        <v>4090</v>
      </c>
      <c r="AE168" s="8" t="s">
        <v>4085</v>
      </c>
      <c r="AF168" s="9">
        <f t="shared" si="40"/>
        <v>2.52</v>
      </c>
      <c r="AG168" s="9">
        <f t="shared" si="41"/>
        <v>3.68</v>
      </c>
      <c r="AH168" s="9">
        <f t="shared" si="42"/>
        <v>8.3003624491602822E-3</v>
      </c>
      <c r="AI168" s="9">
        <f t="shared" si="43"/>
        <v>6.8896016787430074E-5</v>
      </c>
      <c r="AJ168" s="9">
        <f t="shared" si="44"/>
        <v>7.0411960823902661E-3</v>
      </c>
      <c r="AK168" s="9">
        <f t="shared" si="45"/>
        <v>4.9578442270668031E-5</v>
      </c>
      <c r="AL168" s="9">
        <f t="shared" si="46"/>
        <v>1.1331813344382406E-2</v>
      </c>
      <c r="AM168" s="9">
        <f t="shared" si="47"/>
        <v>1.2840999367192316E-4</v>
      </c>
      <c r="AN168" s="8" t="s">
        <v>1972</v>
      </c>
    </row>
    <row r="169" spans="13:40" ht="23">
      <c r="M169" s="9" t="s">
        <v>3243</v>
      </c>
      <c r="N169" s="8" t="s">
        <v>1902</v>
      </c>
      <c r="O169" s="8"/>
      <c r="P169" s="8"/>
      <c r="Q169" s="8"/>
      <c r="R169" s="8"/>
      <c r="S169" s="8"/>
      <c r="T169" s="8"/>
      <c r="U169" s="8"/>
      <c r="V169" s="8"/>
      <c r="W169" s="9" t="s">
        <v>3243</v>
      </c>
      <c r="X169" s="8">
        <v>18.899999999999999</v>
      </c>
      <c r="Y169" s="8">
        <v>2.02</v>
      </c>
      <c r="Z169" s="9">
        <v>1.26</v>
      </c>
      <c r="AA169" s="8">
        <v>1.2</v>
      </c>
      <c r="AB169" s="8">
        <v>60803</v>
      </c>
      <c r="AC169" s="22" t="s">
        <v>3243</v>
      </c>
      <c r="AD169" s="8" t="s">
        <v>4090</v>
      </c>
      <c r="AE169" s="8" t="s">
        <v>4085</v>
      </c>
      <c r="AF169" s="9">
        <f t="shared" si="40"/>
        <v>2.4239999999999999</v>
      </c>
      <c r="AG169" s="9">
        <f t="shared" si="41"/>
        <v>1.72</v>
      </c>
      <c r="AH169" s="9">
        <f t="shared" si="42"/>
        <v>8.3003624491602822E-3</v>
      </c>
      <c r="AI169" s="9">
        <f t="shared" si="43"/>
        <v>6.8896016787430074E-5</v>
      </c>
      <c r="AJ169" s="9">
        <f t="shared" si="44"/>
        <v>6.7729600411563498E-3</v>
      </c>
      <c r="AK169" s="9">
        <f t="shared" si="45"/>
        <v>4.5872987719100625E-5</v>
      </c>
      <c r="AL169" s="9">
        <f t="shared" si="46"/>
        <v>5.296391019656994E-3</v>
      </c>
      <c r="AM169" s="9">
        <f t="shared" si="47"/>
        <v>2.8051757833103254E-5</v>
      </c>
      <c r="AN169" s="9" t="s">
        <v>3243</v>
      </c>
    </row>
    <row r="170" spans="13:40" ht="23">
      <c r="M170" s="8" t="s">
        <v>2099</v>
      </c>
      <c r="N170" s="8" t="s">
        <v>2093</v>
      </c>
      <c r="O170" s="8"/>
      <c r="P170" s="8"/>
      <c r="Q170" s="8"/>
      <c r="R170" s="8"/>
      <c r="S170" s="8"/>
      <c r="T170" s="8"/>
      <c r="U170" s="8"/>
      <c r="V170" s="8"/>
      <c r="W170" s="8" t="s">
        <v>2099</v>
      </c>
      <c r="X170" s="8">
        <v>24.12</v>
      </c>
      <c r="Y170" s="8">
        <v>2.71</v>
      </c>
      <c r="Z170" s="9">
        <v>0.52</v>
      </c>
      <c r="AA170" s="8">
        <v>1.1000000000000001</v>
      </c>
      <c r="AB170" s="8">
        <v>84800</v>
      </c>
      <c r="AC170" s="21" t="s">
        <v>2099</v>
      </c>
      <c r="AD170" s="8" t="s">
        <v>4090</v>
      </c>
      <c r="AE170" s="8" t="s">
        <v>4085</v>
      </c>
      <c r="AF170" s="9">
        <f t="shared" si="40"/>
        <v>2.9810000000000003</v>
      </c>
      <c r="AG170" s="9">
        <f t="shared" si="41"/>
        <v>0.95333333333333348</v>
      </c>
      <c r="AH170" s="9">
        <f t="shared" si="42"/>
        <v>7.6086655783969255E-3</v>
      </c>
      <c r="AI170" s="9">
        <f t="shared" si="43"/>
        <v>5.7891791883882223E-5</v>
      </c>
      <c r="AJ170" s="9">
        <f t="shared" si="44"/>
        <v>8.3292879053989619E-3</v>
      </c>
      <c r="AK170" s="9">
        <f t="shared" si="45"/>
        <v>6.9377037011025426E-5</v>
      </c>
      <c r="AL170" s="9">
        <f t="shared" si="46"/>
        <v>2.9355965729106598E-3</v>
      </c>
      <c r="AM170" s="9">
        <f t="shared" si="47"/>
        <v>8.6177272388848102E-6</v>
      </c>
      <c r="AN170" s="8" t="s">
        <v>2099</v>
      </c>
    </row>
    <row r="171" spans="13:40" ht="23">
      <c r="M171" s="8" t="s">
        <v>1635</v>
      </c>
      <c r="N171" s="8" t="s">
        <v>1614</v>
      </c>
      <c r="O171" s="8"/>
      <c r="P171" s="8"/>
      <c r="Q171" s="8"/>
      <c r="R171" s="8"/>
      <c r="S171" s="8"/>
      <c r="T171" s="8"/>
      <c r="U171" s="8"/>
      <c r="V171" s="8"/>
      <c r="W171" s="8" t="s">
        <v>1635</v>
      </c>
      <c r="X171" s="8">
        <v>82.92</v>
      </c>
      <c r="Y171" s="8">
        <v>1.17</v>
      </c>
      <c r="Z171" s="9">
        <v>0.59</v>
      </c>
      <c r="AA171" s="8">
        <v>1.1000000000000001</v>
      </c>
      <c r="AB171" s="8"/>
      <c r="AC171" s="21" t="s">
        <v>1635</v>
      </c>
      <c r="AD171" s="8" t="s">
        <v>4090</v>
      </c>
      <c r="AE171" s="8" t="s">
        <v>4085</v>
      </c>
      <c r="AF171" s="9">
        <f t="shared" si="40"/>
        <v>1.2869999999999999</v>
      </c>
      <c r="AG171" s="9">
        <f t="shared" si="41"/>
        <v>1.0816666666666668</v>
      </c>
      <c r="AH171" s="9">
        <f t="shared" si="42"/>
        <v>7.6086655783969255E-3</v>
      </c>
      <c r="AI171" s="9">
        <f t="shared" si="43"/>
        <v>5.7891791883882223E-5</v>
      </c>
      <c r="AJ171" s="9">
        <f t="shared" si="44"/>
        <v>3.5960394277921716E-3</v>
      </c>
      <c r="AK171" s="9">
        <f t="shared" si="45"/>
        <v>1.2931499566235849E-5</v>
      </c>
      <c r="AL171" s="9">
        <f t="shared" si="46"/>
        <v>3.3307730346486329E-3</v>
      </c>
      <c r="AM171" s="9">
        <f t="shared" si="47"/>
        <v>1.1094049008342463E-5</v>
      </c>
      <c r="AN171" s="8" t="s">
        <v>1635</v>
      </c>
    </row>
    <row r="172" spans="13:40" ht="23"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9"/>
      <c r="AA172" s="8">
        <f>SUBTOTAL(109,Table13676[ترافیک کل])</f>
        <v>14457.199999999995</v>
      </c>
      <c r="AB172" s="8"/>
      <c r="AC172" s="21"/>
      <c r="AD172" s="8"/>
      <c r="AE172" s="8"/>
      <c r="AF172" s="9">
        <f>SUBTOTAL(109,Table13676[[مجموع صفحات  مشاهده شده   ]])</f>
        <v>35789.373999999996</v>
      </c>
      <c r="AG172" s="9">
        <f>SUBTOTAL(109,Table13676[[مجموع زمان حضور در سایت ]])</f>
        <v>32474.943666666648</v>
      </c>
      <c r="AH172" s="9">
        <f>SUBTOTAL(109,Table13676[سهم سایت از کل ترافیک طبقه بندی])</f>
        <v>100.00000000000001</v>
      </c>
      <c r="AI172" s="9">
        <f>SUBTOTAL(109,Table13676[شاخص هرفیندال هیرشمن (ترافیک)])</f>
        <v>749.95232548740626</v>
      </c>
      <c r="AJ172" s="9">
        <f>SUBTOTAL(109,Table13676[سهم سایت از کل صفحات مشاهده شده در طبقه بندی])</f>
        <v>99.999999999999915</v>
      </c>
      <c r="AK172" s="9">
        <f>SUBTOTAL(109,Table13676[شاخص هرفیندال -هیرشمن (صفحات مشاهده شده )])</f>
        <v>511.83736585085421</v>
      </c>
      <c r="AL172" s="9">
        <f>SUBTOTAL(109,Table13676[سهم سایت از کل زمان حضور در طبقه بندی])</f>
        <v>100</v>
      </c>
      <c r="AM172" s="9">
        <f>SUBTOTAL(109,Table13676[شاخص هرفیندال هیرشمن (زمان حضور)])</f>
        <v>722.29013371722635</v>
      </c>
      <c r="AN172" s="9"/>
    </row>
    <row r="206" ht="26" customHeight="1"/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{97079910-9921-4289-94D6-41032207F4CB}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{2A936849-2351-4DBD-A5FD-CB54FDBF4080}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{B4D89D5B-5AEC-4343-907B-81C121592C64}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{93E995C7-81D3-4F30-A906-AF38427BA074}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{0099AABF-94F2-4504-9FAE-5B89367C0C35}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{437A2D4D-1C5A-4B9A-8C6C-80C85D4D81AA}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7079910-9921-4289-94D6-41032207F4C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A936849-2351-4DBD-A5FD-CB54FDBF408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B4D89D5B-5AEC-4343-907B-81C121592C6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3E995C7-81D3-4F30-A906-AF38427BA07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099AABF-94F2-4504-9FAE-5B89367C0C3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437A2D4D-1C5A-4B9A-8C6C-80C85D4D81A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73"/>
  <sheetViews>
    <sheetView showGridLines="0" rightToLeft="1" topLeftCell="Q1" zoomScale="70" zoomScaleNormal="70" workbookViewId="0">
      <selection activeCell="AA2" sqref="AA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5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3734</v>
      </c>
      <c r="N2" s="8"/>
      <c r="O2" s="8"/>
      <c r="P2" s="8"/>
      <c r="Q2" s="8"/>
      <c r="R2" s="8"/>
      <c r="S2" s="8"/>
      <c r="T2" s="8"/>
      <c r="U2" s="8"/>
      <c r="V2" s="8"/>
      <c r="W2" s="8" t="s">
        <v>3734</v>
      </c>
      <c r="X2" s="8">
        <v>58.94</v>
      </c>
      <c r="Y2" s="8">
        <v>2.0499999999999998</v>
      </c>
      <c r="Z2" s="9">
        <v>2.14</v>
      </c>
      <c r="AA2" s="8">
        <v>26851.3</v>
      </c>
      <c r="AB2" s="8">
        <v>18</v>
      </c>
      <c r="AC2" s="21" t="s">
        <v>3734</v>
      </c>
      <c r="AD2" s="8" t="s">
        <v>4288</v>
      </c>
      <c r="AE2" s="8" t="s">
        <v>3722</v>
      </c>
      <c r="AF2" s="9">
        <f t="shared" ref="AF2:AF33" si="0">(AA2*Y2)</f>
        <v>55045.164999999994</v>
      </c>
      <c r="AG2" s="9">
        <f t="shared" ref="AG2:AG33" si="1">((((RIGHT(Z2,2))/60)+(LEFT(Z2,2)))*AA2)</f>
        <v>59967.903333333335</v>
      </c>
      <c r="AH2" s="9">
        <f t="shared" ref="AH2:AH33" si="2">(AA2/$AA$73)*100</f>
        <v>12.636839521790549</v>
      </c>
      <c r="AI2" s="9">
        <f t="shared" ref="AI2:AI33" si="3">(AH2*AH2)</f>
        <v>159.68971309948759</v>
      </c>
      <c r="AJ2" s="9">
        <f t="shared" ref="AJ2:AJ33" si="4">(AF2/$AF$73)*100</f>
        <v>9.9901347964148801</v>
      </c>
      <c r="AK2" s="9">
        <f t="shared" ref="AK2:AK33" si="5">(AJ2*AJ2)</f>
        <v>99.802793250539381</v>
      </c>
      <c r="AL2" s="9">
        <f t="shared" ref="AL2:AL33" si="6">(AG2/$AG$73)*100</f>
        <v>8.6674023266972871</v>
      </c>
      <c r="AM2" s="9">
        <f t="shared" ref="AM2:AM33" si="7">(AL2*AL2)</f>
        <v>75.123863092837539</v>
      </c>
      <c r="AN2" s="8" t="s">
        <v>3734</v>
      </c>
    </row>
    <row r="3" spans="8:40" ht="23">
      <c r="M3" s="8" t="s">
        <v>3735</v>
      </c>
      <c r="N3" s="8"/>
      <c r="O3" s="8"/>
      <c r="P3" s="8"/>
      <c r="Q3" s="8"/>
      <c r="R3" s="8"/>
      <c r="S3" s="8"/>
      <c r="T3" s="8"/>
      <c r="U3" s="8"/>
      <c r="V3" s="8"/>
      <c r="W3" s="8" t="s">
        <v>3735</v>
      </c>
      <c r="X3" s="8">
        <v>57</v>
      </c>
      <c r="Y3" s="8">
        <v>2.42</v>
      </c>
      <c r="Z3" s="9">
        <v>2.5</v>
      </c>
      <c r="AA3" s="8">
        <v>8476.4</v>
      </c>
      <c r="AB3" s="8">
        <v>58</v>
      </c>
      <c r="AC3" s="21" t="s">
        <v>3735</v>
      </c>
      <c r="AD3" s="8" t="s">
        <v>4288</v>
      </c>
      <c r="AE3" s="8" t="s">
        <v>3722</v>
      </c>
      <c r="AF3" s="9">
        <f t="shared" si="0"/>
        <v>20512.887999999999</v>
      </c>
      <c r="AG3" s="9">
        <f t="shared" si="1"/>
        <v>17023.436666666665</v>
      </c>
      <c r="AH3" s="9">
        <f t="shared" si="2"/>
        <v>3.9891888483054978</v>
      </c>
      <c r="AI3" s="9">
        <f t="shared" si="3"/>
        <v>15.913627667444944</v>
      </c>
      <c r="AJ3" s="9">
        <f t="shared" si="4"/>
        <v>3.7228794969324053</v>
      </c>
      <c r="AK3" s="9">
        <f t="shared" si="5"/>
        <v>13.85983174867968</v>
      </c>
      <c r="AL3" s="9">
        <f t="shared" si="6"/>
        <v>2.4604657887219319</v>
      </c>
      <c r="AM3" s="9">
        <f t="shared" si="7"/>
        <v>6.0538918974710381</v>
      </c>
      <c r="AN3" s="8" t="s">
        <v>3735</v>
      </c>
    </row>
    <row r="4" spans="8:40" ht="23">
      <c r="M4" s="8" t="s">
        <v>3736</v>
      </c>
      <c r="N4" s="8"/>
      <c r="O4" s="8"/>
      <c r="P4" s="8"/>
      <c r="Q4" s="8"/>
      <c r="R4" s="8"/>
      <c r="S4" s="8"/>
      <c r="T4" s="8"/>
      <c r="U4" s="8"/>
      <c r="V4" s="8"/>
      <c r="W4" s="8" t="s">
        <v>3736</v>
      </c>
      <c r="X4" s="8">
        <v>46.11</v>
      </c>
      <c r="Y4" s="8">
        <v>2.77</v>
      </c>
      <c r="Z4" s="9">
        <v>3.44</v>
      </c>
      <c r="AA4" s="8">
        <v>8433.7999999999993</v>
      </c>
      <c r="AB4" s="8">
        <v>34</v>
      </c>
      <c r="AC4" s="21" t="s">
        <v>3736</v>
      </c>
      <c r="AD4" s="8" t="s">
        <v>4288</v>
      </c>
      <c r="AE4" s="8" t="s">
        <v>3722</v>
      </c>
      <c r="AF4" s="9">
        <f t="shared" si="0"/>
        <v>23361.625999999997</v>
      </c>
      <c r="AG4" s="9">
        <f t="shared" si="1"/>
        <v>31486.186666666665</v>
      </c>
      <c r="AH4" s="9">
        <f t="shared" si="2"/>
        <v>3.9691403082486558</v>
      </c>
      <c r="AI4" s="9">
        <f t="shared" si="3"/>
        <v>15.754074786564235</v>
      </c>
      <c r="AJ4" s="9">
        <f t="shared" si="4"/>
        <v>4.2398963251982362</v>
      </c>
      <c r="AK4" s="9">
        <f t="shared" si="5"/>
        <v>17.976720848429508</v>
      </c>
      <c r="AL4" s="9">
        <f t="shared" si="6"/>
        <v>4.550825231566793</v>
      </c>
      <c r="AM4" s="9">
        <f t="shared" si="7"/>
        <v>20.710010288264954</v>
      </c>
      <c r="AN4" s="8" t="s">
        <v>3736</v>
      </c>
    </row>
    <row r="5" spans="8:40" ht="23">
      <c r="M5" s="8" t="s">
        <v>3739</v>
      </c>
      <c r="N5" s="8"/>
      <c r="O5" s="8"/>
      <c r="P5" s="8"/>
      <c r="Q5" s="8"/>
      <c r="R5" s="8"/>
      <c r="S5" s="8"/>
      <c r="T5" s="8"/>
      <c r="U5" s="8"/>
      <c r="V5" s="8"/>
      <c r="W5" s="8" t="s">
        <v>3739</v>
      </c>
      <c r="X5" s="8">
        <v>61.54</v>
      </c>
      <c r="Y5" s="8">
        <v>2.11</v>
      </c>
      <c r="Z5" s="9">
        <v>2.1800000000000002</v>
      </c>
      <c r="AA5" s="8">
        <v>8146.7</v>
      </c>
      <c r="AB5" s="8">
        <v>47</v>
      </c>
      <c r="AC5" s="21" t="s">
        <v>3739</v>
      </c>
      <c r="AD5" s="8" t="s">
        <v>4288</v>
      </c>
      <c r="AE5" s="8" t="s">
        <v>3722</v>
      </c>
      <c r="AF5" s="9">
        <f t="shared" si="0"/>
        <v>17189.537</v>
      </c>
      <c r="AG5" s="9">
        <f t="shared" si="1"/>
        <v>18737.41</v>
      </c>
      <c r="AH5" s="9">
        <f t="shared" si="2"/>
        <v>3.8340244432176864</v>
      </c>
      <c r="AI5" s="9">
        <f t="shared" si="3"/>
        <v>14.69974343119069</v>
      </c>
      <c r="AJ5" s="9">
        <f t="shared" si="4"/>
        <v>3.1197252604831154</v>
      </c>
      <c r="AK5" s="9">
        <f t="shared" si="5"/>
        <v>9.7326857008964414</v>
      </c>
      <c r="AL5" s="9">
        <f t="shared" si="6"/>
        <v>2.7081932501049755</v>
      </c>
      <c r="AM5" s="9">
        <f t="shared" si="7"/>
        <v>7.3343106799141502</v>
      </c>
      <c r="AN5" s="8" t="s">
        <v>3739</v>
      </c>
    </row>
    <row r="6" spans="8:40" ht="23">
      <c r="M6" s="8" t="s">
        <v>3752</v>
      </c>
      <c r="N6" s="8"/>
      <c r="O6" s="8"/>
      <c r="P6" s="8"/>
      <c r="Q6" s="8"/>
      <c r="R6" s="8"/>
      <c r="S6" s="8"/>
      <c r="T6" s="8"/>
      <c r="U6" s="8"/>
      <c r="V6" s="8"/>
      <c r="W6" s="8" t="s">
        <v>3752</v>
      </c>
      <c r="X6" s="8">
        <v>27.74</v>
      </c>
      <c r="Y6" s="8">
        <v>4.54</v>
      </c>
      <c r="Z6" s="9">
        <v>6.26</v>
      </c>
      <c r="AA6" s="8">
        <v>7488.7</v>
      </c>
      <c r="AB6" s="8">
        <v>64</v>
      </c>
      <c r="AC6" s="21" t="s">
        <v>3752</v>
      </c>
      <c r="AD6" s="8" t="s">
        <v>4288</v>
      </c>
      <c r="AE6" s="8" t="s">
        <v>3722</v>
      </c>
      <c r="AF6" s="9">
        <f t="shared" si="0"/>
        <v>33998.697999999997</v>
      </c>
      <c r="AG6" s="9">
        <f t="shared" si="1"/>
        <v>48177.303333333337</v>
      </c>
      <c r="AH6" s="9">
        <f t="shared" si="2"/>
        <v>3.5243545052505052</v>
      </c>
      <c r="AI6" s="9">
        <f t="shared" si="3"/>
        <v>12.421074678679533</v>
      </c>
      <c r="AJ6" s="9">
        <f t="shared" si="4"/>
        <v>6.1704161650274099</v>
      </c>
      <c r="AK6" s="9">
        <f t="shared" si="5"/>
        <v>38.074035649631568</v>
      </c>
      <c r="AL6" s="9">
        <f t="shared" si="6"/>
        <v>6.963259473726267</v>
      </c>
      <c r="AM6" s="9">
        <f t="shared" si="7"/>
        <v>48.486982498438607</v>
      </c>
      <c r="AN6" s="8" t="s">
        <v>3752</v>
      </c>
    </row>
    <row r="7" spans="8:40" ht="23">
      <c r="M7" s="8" t="s">
        <v>3743</v>
      </c>
      <c r="N7" s="8"/>
      <c r="O7" s="8"/>
      <c r="P7" s="8"/>
      <c r="Q7" s="8"/>
      <c r="R7" s="8"/>
      <c r="S7" s="8"/>
      <c r="T7" s="8"/>
      <c r="U7" s="8"/>
      <c r="V7" s="8"/>
      <c r="W7" s="8" t="s">
        <v>3743</v>
      </c>
      <c r="X7" s="8">
        <v>53.65</v>
      </c>
      <c r="Y7" s="8">
        <v>4.25</v>
      </c>
      <c r="Z7" s="9">
        <v>9.35</v>
      </c>
      <c r="AA7" s="8">
        <v>6798.5</v>
      </c>
      <c r="AB7" s="8">
        <v>27</v>
      </c>
      <c r="AC7" s="21" t="s">
        <v>3743</v>
      </c>
      <c r="AD7" s="8" t="s">
        <v>4288</v>
      </c>
      <c r="AE7" s="8" t="s">
        <v>3722</v>
      </c>
      <c r="AF7" s="9">
        <f t="shared" si="0"/>
        <v>28893.625</v>
      </c>
      <c r="AG7" s="9">
        <f t="shared" si="1"/>
        <v>65152.291666666672</v>
      </c>
      <c r="AH7" s="9">
        <f t="shared" si="2"/>
        <v>3.199530506489185</v>
      </c>
      <c r="AI7" s="9">
        <f t="shared" si="3"/>
        <v>10.23699546195494</v>
      </c>
      <c r="AJ7" s="9">
        <f t="shared" si="4"/>
        <v>5.2438975976738913</v>
      </c>
      <c r="AK7" s="9">
        <f t="shared" si="5"/>
        <v>27.498462014890009</v>
      </c>
      <c r="AL7" s="9">
        <f t="shared" si="6"/>
        <v>9.4167228299181858</v>
      </c>
      <c r="AM7" s="9">
        <f t="shared" si="7"/>
        <v>88.674668855502361</v>
      </c>
      <c r="AN7" s="8" t="s">
        <v>3743</v>
      </c>
    </row>
    <row r="8" spans="8:40" ht="23">
      <c r="M8" s="8" t="s">
        <v>3744</v>
      </c>
      <c r="N8" s="8"/>
      <c r="O8" s="8"/>
      <c r="P8" s="8"/>
      <c r="Q8" s="8"/>
      <c r="R8" s="8"/>
      <c r="S8" s="8"/>
      <c r="T8" s="8"/>
      <c r="U8" s="8"/>
      <c r="V8" s="8"/>
      <c r="W8" s="8" t="s">
        <v>3744</v>
      </c>
      <c r="X8" s="8">
        <v>48.89</v>
      </c>
      <c r="Y8" s="8">
        <v>3.54</v>
      </c>
      <c r="Z8" s="9">
        <v>8.01</v>
      </c>
      <c r="AA8" s="8">
        <v>6642.2</v>
      </c>
      <c r="AB8" s="8">
        <v>42</v>
      </c>
      <c r="AC8" s="21" t="s">
        <v>3744</v>
      </c>
      <c r="AD8" s="8" t="s">
        <v>4288</v>
      </c>
      <c r="AE8" s="8" t="s">
        <v>3722</v>
      </c>
      <c r="AF8" s="9">
        <f t="shared" si="0"/>
        <v>23513.387999999999</v>
      </c>
      <c r="AG8" s="9">
        <f t="shared" si="1"/>
        <v>53248.303333333337</v>
      </c>
      <c r="AH8" s="9">
        <f t="shared" si="2"/>
        <v>3.1259721306468284</v>
      </c>
      <c r="AI8" s="9">
        <f t="shared" si="3"/>
        <v>9.7717017615806725</v>
      </c>
      <c r="AJ8" s="9">
        <f t="shared" si="4"/>
        <v>4.2674395769438451</v>
      </c>
      <c r="AK8" s="9">
        <f t="shared" si="5"/>
        <v>18.211040542866662</v>
      </c>
      <c r="AL8" s="9">
        <f t="shared" si="6"/>
        <v>7.6961915049558947</v>
      </c>
      <c r="AM8" s="9">
        <f t="shared" si="7"/>
        <v>59.231363680955276</v>
      </c>
      <c r="AN8" s="8" t="s">
        <v>3744</v>
      </c>
    </row>
    <row r="9" spans="8:40" ht="23">
      <c r="M9" s="8" t="s">
        <v>3803</v>
      </c>
      <c r="N9" s="8"/>
      <c r="O9" s="8"/>
      <c r="P9" s="8"/>
      <c r="Q9" s="8"/>
      <c r="R9" s="8"/>
      <c r="S9" s="8"/>
      <c r="T9" s="8"/>
      <c r="U9" s="8"/>
      <c r="V9" s="8"/>
      <c r="W9" s="8" t="s">
        <v>3803</v>
      </c>
      <c r="X9" s="8">
        <v>67.63</v>
      </c>
      <c r="Y9" s="8">
        <v>1.91</v>
      </c>
      <c r="Z9" s="9">
        <v>1.55</v>
      </c>
      <c r="AA9" s="8">
        <v>5851.4</v>
      </c>
      <c r="AB9" s="8">
        <v>161</v>
      </c>
      <c r="AC9" s="21" t="s">
        <v>3803</v>
      </c>
      <c r="AD9" s="8" t="s">
        <v>4288</v>
      </c>
      <c r="AE9" s="8" t="s">
        <v>3722</v>
      </c>
      <c r="AF9" s="9">
        <f t="shared" si="0"/>
        <v>11176.173999999999</v>
      </c>
      <c r="AG9" s="9">
        <f t="shared" si="1"/>
        <v>11215.183333333332</v>
      </c>
      <c r="AH9" s="9">
        <f t="shared" si="2"/>
        <v>2.7538034574789756</v>
      </c>
      <c r="AI9" s="9">
        <f t="shared" si="3"/>
        <v>7.5834334824231604</v>
      </c>
      <c r="AJ9" s="9">
        <f t="shared" si="4"/>
        <v>2.0283613423301992</v>
      </c>
      <c r="AK9" s="9">
        <f t="shared" si="5"/>
        <v>4.114249735059567</v>
      </c>
      <c r="AL9" s="9">
        <f t="shared" si="6"/>
        <v>1.6209755671687365</v>
      </c>
      <c r="AM9" s="9">
        <f t="shared" si="7"/>
        <v>2.627561789358007</v>
      </c>
      <c r="AN9" s="8" t="s">
        <v>3803</v>
      </c>
    </row>
    <row r="10" spans="8:40" ht="23">
      <c r="M10" s="8" t="s">
        <v>3746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3746</v>
      </c>
      <c r="X10" s="8">
        <v>56.52</v>
      </c>
      <c r="Y10" s="8">
        <v>3.09</v>
      </c>
      <c r="Z10" s="9">
        <v>10.06</v>
      </c>
      <c r="AA10" s="8">
        <v>5707.7</v>
      </c>
      <c r="AB10" s="8">
        <v>60</v>
      </c>
      <c r="AC10" s="21" t="s">
        <v>3746</v>
      </c>
      <c r="AD10" s="8" t="s">
        <v>4288</v>
      </c>
      <c r="AE10" s="8" t="s">
        <v>3722</v>
      </c>
      <c r="AF10" s="9">
        <f t="shared" si="0"/>
        <v>17636.792999999998</v>
      </c>
      <c r="AG10" s="9">
        <f t="shared" si="1"/>
        <v>57647.77</v>
      </c>
      <c r="AH10" s="9">
        <f t="shared" si="2"/>
        <v>2.6861749315125869</v>
      </c>
      <c r="AI10" s="9">
        <f t="shared" si="3"/>
        <v>7.2155357626866508</v>
      </c>
      <c r="AJ10" s="9">
        <f t="shared" si="4"/>
        <v>3.2008976527995947</v>
      </c>
      <c r="AK10" s="9">
        <f t="shared" si="5"/>
        <v>10.245745783697954</v>
      </c>
      <c r="AL10" s="9">
        <f t="shared" si="6"/>
        <v>8.3320641218612455</v>
      </c>
      <c r="AM10" s="9">
        <f t="shared" si="7"/>
        <v>69.423292530807402</v>
      </c>
      <c r="AN10" s="8" t="s">
        <v>3746</v>
      </c>
    </row>
    <row r="11" spans="8:40" ht="23">
      <c r="M11" s="8" t="s">
        <v>3741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3741</v>
      </c>
      <c r="X11" s="8">
        <v>58.53</v>
      </c>
      <c r="Y11" s="8">
        <v>1.94</v>
      </c>
      <c r="Z11" s="9">
        <v>2.04</v>
      </c>
      <c r="AA11" s="8">
        <v>5457.5</v>
      </c>
      <c r="AB11" s="8">
        <v>97</v>
      </c>
      <c r="AC11" s="21" t="s">
        <v>3741</v>
      </c>
      <c r="AD11" s="8" t="s">
        <v>4288</v>
      </c>
      <c r="AE11" s="8" t="s">
        <v>3722</v>
      </c>
      <c r="AF11" s="9">
        <f t="shared" si="0"/>
        <v>10587.55</v>
      </c>
      <c r="AG11" s="9">
        <f t="shared" si="1"/>
        <v>11278.833333333334</v>
      </c>
      <c r="AH11" s="9">
        <f t="shared" si="2"/>
        <v>2.5684250554040933</v>
      </c>
      <c r="AI11" s="9">
        <f t="shared" si="3"/>
        <v>6.59680726522752</v>
      </c>
      <c r="AJ11" s="9">
        <f t="shared" si="4"/>
        <v>1.9215321030245325</v>
      </c>
      <c r="AK11" s="9">
        <f t="shared" si="5"/>
        <v>3.6922856229538823</v>
      </c>
      <c r="AL11" s="9">
        <f t="shared" si="6"/>
        <v>1.6301751577401755</v>
      </c>
      <c r="AM11" s="9">
        <f t="shared" si="7"/>
        <v>2.6574710449132062</v>
      </c>
      <c r="AN11" s="8" t="s">
        <v>3741</v>
      </c>
    </row>
    <row r="12" spans="8:40" ht="23">
      <c r="M12" s="8" t="s">
        <v>3758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3758</v>
      </c>
      <c r="X12" s="8">
        <v>58.88</v>
      </c>
      <c r="Y12" s="8">
        <v>2.0699999999999998</v>
      </c>
      <c r="Z12" s="9">
        <v>2.21</v>
      </c>
      <c r="AA12" s="8">
        <v>5090.8</v>
      </c>
      <c r="AB12" s="8">
        <v>108</v>
      </c>
      <c r="AC12" s="21" t="s">
        <v>3758</v>
      </c>
      <c r="AD12" s="8" t="s">
        <v>4288</v>
      </c>
      <c r="AE12" s="8" t="s">
        <v>3722</v>
      </c>
      <c r="AF12" s="9">
        <f t="shared" si="0"/>
        <v>10537.956</v>
      </c>
      <c r="AG12" s="9">
        <f t="shared" si="1"/>
        <v>11963.380000000001</v>
      </c>
      <c r="AH12" s="9">
        <f t="shared" si="2"/>
        <v>2.3958475990932033</v>
      </c>
      <c r="AI12" s="9">
        <f t="shared" si="3"/>
        <v>5.7400857180806666</v>
      </c>
      <c r="AJ12" s="9">
        <f t="shared" si="4"/>
        <v>1.9125312989558483</v>
      </c>
      <c r="AK12" s="9">
        <f t="shared" si="5"/>
        <v>3.6577759694857441</v>
      </c>
      <c r="AL12" s="9">
        <f t="shared" si="6"/>
        <v>1.7291154414852887</v>
      </c>
      <c r="AM12" s="9">
        <f t="shared" si="7"/>
        <v>2.9898402099828649</v>
      </c>
      <c r="AN12" s="8" t="s">
        <v>3758</v>
      </c>
    </row>
    <row r="13" spans="8:40" ht="27" customHeight="1">
      <c r="M13" s="8" t="s">
        <v>3812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3812</v>
      </c>
      <c r="X13" s="8">
        <v>52.6</v>
      </c>
      <c r="Y13" s="8">
        <v>3.33</v>
      </c>
      <c r="Z13" s="9">
        <v>1.42</v>
      </c>
      <c r="AA13" s="8">
        <v>5044.1000000000004</v>
      </c>
      <c r="AB13" s="8">
        <v>50</v>
      </c>
      <c r="AC13" s="21" t="s">
        <v>3812</v>
      </c>
      <c r="AD13" s="8" t="s">
        <v>4288</v>
      </c>
      <c r="AE13" s="8" t="s">
        <v>3722</v>
      </c>
      <c r="AF13" s="9">
        <f t="shared" si="0"/>
        <v>16796.853000000003</v>
      </c>
      <c r="AG13" s="9">
        <f t="shared" si="1"/>
        <v>8574.9700000000012</v>
      </c>
      <c r="AH13" s="9">
        <f t="shared" si="2"/>
        <v>2.3738695047116423</v>
      </c>
      <c r="AI13" s="9">
        <f t="shared" si="3"/>
        <v>5.6352564253998976</v>
      </c>
      <c r="AJ13" s="9">
        <f t="shared" si="4"/>
        <v>3.0484571283520676</v>
      </c>
      <c r="AK13" s="9">
        <f t="shared" si="5"/>
        <v>9.2930908634005345</v>
      </c>
      <c r="AL13" s="9">
        <f t="shared" si="6"/>
        <v>1.2393749122131963</v>
      </c>
      <c r="AM13" s="9">
        <f t="shared" si="7"/>
        <v>1.5360501730234679</v>
      </c>
      <c r="AN13" s="8" t="s">
        <v>3812</v>
      </c>
    </row>
    <row r="14" spans="8:40" ht="23">
      <c r="M14" s="8" t="s">
        <v>3845</v>
      </c>
      <c r="N14" s="8"/>
      <c r="O14" s="8"/>
      <c r="P14" s="8"/>
      <c r="Q14" s="8"/>
      <c r="R14" s="8"/>
      <c r="S14" s="8"/>
      <c r="T14" s="8"/>
      <c r="U14" s="8"/>
      <c r="V14" s="8"/>
      <c r="W14" s="8" t="s">
        <v>3845</v>
      </c>
      <c r="X14" s="8">
        <v>63.64</v>
      </c>
      <c r="Y14" s="8">
        <v>2.0699999999999998</v>
      </c>
      <c r="Z14" s="9">
        <v>2.4500000000000002</v>
      </c>
      <c r="AA14" s="8">
        <v>4759</v>
      </c>
      <c r="AB14" s="8">
        <v>257</v>
      </c>
      <c r="AC14" s="21" t="s">
        <v>3845</v>
      </c>
      <c r="AD14" s="8" t="s">
        <v>4288</v>
      </c>
      <c r="AE14" s="8" t="s">
        <v>3722</v>
      </c>
      <c r="AF14" s="9">
        <f t="shared" si="0"/>
        <v>9851.1299999999992</v>
      </c>
      <c r="AG14" s="9">
        <f t="shared" si="1"/>
        <v>13087.25</v>
      </c>
      <c r="AH14" s="9">
        <f t="shared" si="2"/>
        <v>2.2396948856927312</v>
      </c>
      <c r="AI14" s="9">
        <f t="shared" si="3"/>
        <v>5.0162331809981762</v>
      </c>
      <c r="AJ14" s="9">
        <f t="shared" si="4"/>
        <v>1.7878794004342895</v>
      </c>
      <c r="AK14" s="9">
        <f t="shared" si="5"/>
        <v>3.1965127504972743</v>
      </c>
      <c r="AL14" s="9">
        <f t="shared" si="6"/>
        <v>1.8915528940465272</v>
      </c>
      <c r="AM14" s="9">
        <f t="shared" si="7"/>
        <v>3.5779723509757924</v>
      </c>
      <c r="AN14" s="8" t="s">
        <v>3845</v>
      </c>
    </row>
    <row r="15" spans="8:40" ht="23">
      <c r="M15" s="8" t="s">
        <v>3866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3866</v>
      </c>
      <c r="X15" s="8">
        <v>34.020000000000003</v>
      </c>
      <c r="Y15" s="8">
        <v>4.68</v>
      </c>
      <c r="Z15" s="9">
        <v>1.47</v>
      </c>
      <c r="AA15" s="8">
        <v>4752.8</v>
      </c>
      <c r="AB15" s="8">
        <v>38</v>
      </c>
      <c r="AC15" s="21" t="s">
        <v>3866</v>
      </c>
      <c r="AD15" s="8" t="s">
        <v>4288</v>
      </c>
      <c r="AE15" s="8" t="s">
        <v>3722</v>
      </c>
      <c r="AF15" s="9">
        <f t="shared" si="0"/>
        <v>22243.103999999999</v>
      </c>
      <c r="AG15" s="9">
        <f t="shared" si="1"/>
        <v>8475.8266666666659</v>
      </c>
      <c r="AH15" s="9">
        <f t="shared" si="2"/>
        <v>2.2367770230553501</v>
      </c>
      <c r="AI15" s="9">
        <f t="shared" si="3"/>
        <v>5.0031714508683542</v>
      </c>
      <c r="AJ15" s="9">
        <f t="shared" si="4"/>
        <v>4.0368960153116999</v>
      </c>
      <c r="AK15" s="9">
        <f t="shared" si="5"/>
        <v>16.296529438439482</v>
      </c>
      <c r="AL15" s="9">
        <f t="shared" si="6"/>
        <v>1.2250453273812347</v>
      </c>
      <c r="AM15" s="9">
        <f t="shared" si="7"/>
        <v>1.5007360541385966</v>
      </c>
      <c r="AN15" s="8" t="s">
        <v>3866</v>
      </c>
    </row>
    <row r="16" spans="8:40" ht="23">
      <c r="M16" s="8" t="s">
        <v>3749</v>
      </c>
      <c r="N16" s="8"/>
      <c r="O16" s="8"/>
      <c r="P16" s="8"/>
      <c r="Q16" s="8"/>
      <c r="R16" s="8"/>
      <c r="S16" s="8"/>
      <c r="T16" s="8"/>
      <c r="U16" s="8"/>
      <c r="V16" s="8"/>
      <c r="W16" s="8" t="s">
        <v>3749</v>
      </c>
      <c r="X16" s="8">
        <v>29.66</v>
      </c>
      <c r="Y16" s="8">
        <v>3.2</v>
      </c>
      <c r="Z16" s="9">
        <v>3.03</v>
      </c>
      <c r="AA16" s="8">
        <v>4726</v>
      </c>
      <c r="AB16" s="8">
        <v>102</v>
      </c>
      <c r="AC16" s="21" t="s">
        <v>3749</v>
      </c>
      <c r="AD16" s="8" t="s">
        <v>4288</v>
      </c>
      <c r="AE16" s="8" t="s">
        <v>3722</v>
      </c>
      <c r="AF16" s="9">
        <f t="shared" si="0"/>
        <v>15123.2</v>
      </c>
      <c r="AG16" s="9">
        <f t="shared" si="1"/>
        <v>14414.3</v>
      </c>
      <c r="AH16" s="9">
        <f t="shared" si="2"/>
        <v>2.2241643264937694</v>
      </c>
      <c r="AI16" s="9">
        <f t="shared" si="3"/>
        <v>4.9469069512474828</v>
      </c>
      <c r="AJ16" s="9">
        <f t="shared" si="4"/>
        <v>2.744706216306946</v>
      </c>
      <c r="AK16" s="9">
        <f t="shared" si="5"/>
        <v>7.5334122138339916</v>
      </c>
      <c r="AL16" s="9">
        <f t="shared" si="6"/>
        <v>2.0833567694248112</v>
      </c>
      <c r="AM16" s="9">
        <f t="shared" si="7"/>
        <v>4.3403754287081862</v>
      </c>
      <c r="AN16" s="8" t="s">
        <v>3749</v>
      </c>
    </row>
    <row r="17" spans="13:40" ht="22" customHeight="1">
      <c r="M17" s="8" t="s">
        <v>3760</v>
      </c>
      <c r="N17" s="8"/>
      <c r="O17" s="8"/>
      <c r="P17" s="8"/>
      <c r="Q17" s="8"/>
      <c r="R17" s="8"/>
      <c r="S17" s="8"/>
      <c r="T17" s="8"/>
      <c r="U17" s="8"/>
      <c r="V17" s="8"/>
      <c r="W17" s="8" t="s">
        <v>3760</v>
      </c>
      <c r="X17" s="8">
        <v>38.18</v>
      </c>
      <c r="Y17" s="8">
        <v>2.7</v>
      </c>
      <c r="Z17" s="9">
        <v>2.04</v>
      </c>
      <c r="AA17" s="8">
        <v>4462.6000000000004</v>
      </c>
      <c r="AB17" s="8">
        <v>166</v>
      </c>
      <c r="AC17" s="21" t="s">
        <v>3760</v>
      </c>
      <c r="AD17" s="8" t="s">
        <v>4288</v>
      </c>
      <c r="AE17" s="8" t="s">
        <v>3722</v>
      </c>
      <c r="AF17" s="9">
        <f t="shared" si="0"/>
        <v>12049.020000000002</v>
      </c>
      <c r="AG17" s="9">
        <f t="shared" si="1"/>
        <v>9222.7066666666688</v>
      </c>
      <c r="AH17" s="9">
        <f t="shared" si="2"/>
        <v>2.1002022267056906</v>
      </c>
      <c r="AI17" s="9">
        <f t="shared" si="3"/>
        <v>4.4108493930595412</v>
      </c>
      <c r="AJ17" s="9">
        <f t="shared" si="4"/>
        <v>2.1867739694249053</v>
      </c>
      <c r="AK17" s="9">
        <f t="shared" si="5"/>
        <v>4.781980393354357</v>
      </c>
      <c r="AL17" s="9">
        <f t="shared" si="6"/>
        <v>1.332994898567349</v>
      </c>
      <c r="AM17" s="9">
        <f t="shared" si="7"/>
        <v>1.7768753996065769</v>
      </c>
      <c r="AN17" s="8" t="s">
        <v>3760</v>
      </c>
    </row>
    <row r="18" spans="13:40" ht="23">
      <c r="M18" s="8" t="s">
        <v>3847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3847</v>
      </c>
      <c r="X18" s="8">
        <v>47.7</v>
      </c>
      <c r="Y18" s="8">
        <v>3.58</v>
      </c>
      <c r="Z18" s="9">
        <v>3.49</v>
      </c>
      <c r="AA18" s="8">
        <v>4118.7</v>
      </c>
      <c r="AB18" s="8">
        <v>54</v>
      </c>
      <c r="AC18" s="21" t="s">
        <v>3847</v>
      </c>
      <c r="AD18" s="8" t="s">
        <v>4288</v>
      </c>
      <c r="AE18" s="8" t="s">
        <v>3722</v>
      </c>
      <c r="AF18" s="9">
        <f t="shared" si="0"/>
        <v>14744.946</v>
      </c>
      <c r="AG18" s="9">
        <f t="shared" si="1"/>
        <v>15719.704999999998</v>
      </c>
      <c r="AH18" s="9">
        <f t="shared" si="2"/>
        <v>1.9383549749322653</v>
      </c>
      <c r="AI18" s="9">
        <f t="shared" si="3"/>
        <v>3.7572200088446626</v>
      </c>
      <c r="AJ18" s="9">
        <f t="shared" si="4"/>
        <v>2.6760569816778355</v>
      </c>
      <c r="AK18" s="9">
        <f t="shared" si="5"/>
        <v>7.161280969186687</v>
      </c>
      <c r="AL18" s="9">
        <f t="shared" si="6"/>
        <v>2.2720322058727134</v>
      </c>
      <c r="AM18" s="9">
        <f t="shared" si="7"/>
        <v>5.1621303445228275</v>
      </c>
      <c r="AN18" s="8" t="s">
        <v>3847</v>
      </c>
    </row>
    <row r="19" spans="13:40" ht="23">
      <c r="M19" s="8" t="s">
        <v>3761</v>
      </c>
      <c r="N19" s="8"/>
      <c r="O19" s="8"/>
      <c r="P19" s="8"/>
      <c r="Q19" s="8"/>
      <c r="R19" s="8"/>
      <c r="S19" s="8"/>
      <c r="T19" s="8"/>
      <c r="U19" s="8"/>
      <c r="V19" s="8"/>
      <c r="W19" s="8" t="s">
        <v>3761</v>
      </c>
      <c r="X19" s="8">
        <v>52.53</v>
      </c>
      <c r="Y19" s="8">
        <v>2.4300000000000002</v>
      </c>
      <c r="Z19" s="9">
        <v>2.48</v>
      </c>
      <c r="AA19" s="8">
        <v>4059.2</v>
      </c>
      <c r="AB19" s="8">
        <v>118</v>
      </c>
      <c r="AC19" s="21" t="s">
        <v>3761</v>
      </c>
      <c r="AD19" s="8" t="s">
        <v>4288</v>
      </c>
      <c r="AE19" s="8" t="s">
        <v>3722</v>
      </c>
      <c r="AF19" s="9">
        <f t="shared" si="0"/>
        <v>9863.8559999999998</v>
      </c>
      <c r="AG19" s="9">
        <f t="shared" si="1"/>
        <v>11365.759999999998</v>
      </c>
      <c r="AH19" s="9">
        <f t="shared" si="2"/>
        <v>1.9103529060735307</v>
      </c>
      <c r="AI19" s="9">
        <f t="shared" si="3"/>
        <v>3.6494482257435839</v>
      </c>
      <c r="AJ19" s="9">
        <f t="shared" si="4"/>
        <v>1.7901890393538782</v>
      </c>
      <c r="AK19" s="9">
        <f t="shared" si="5"/>
        <v>3.2047767966227614</v>
      </c>
      <c r="AL19" s="9">
        <f t="shared" si="6"/>
        <v>1.6427390185897155</v>
      </c>
      <c r="AM19" s="9">
        <f t="shared" si="7"/>
        <v>2.6985914831971018</v>
      </c>
      <c r="AN19" s="8" t="s">
        <v>3761</v>
      </c>
    </row>
    <row r="20" spans="13:40" ht="24" customHeight="1">
      <c r="M20" s="8" t="s">
        <v>1942</v>
      </c>
      <c r="N20" s="8" t="s">
        <v>1939</v>
      </c>
      <c r="O20" s="8"/>
      <c r="P20" s="8"/>
      <c r="Q20" s="8"/>
      <c r="R20" s="8"/>
      <c r="S20" s="8"/>
      <c r="T20" s="8"/>
      <c r="U20" s="8"/>
      <c r="V20" s="8"/>
      <c r="W20" s="8" t="s">
        <v>1942</v>
      </c>
      <c r="X20" s="8">
        <v>49.71</v>
      </c>
      <c r="Y20" s="8">
        <v>2.98</v>
      </c>
      <c r="Z20" s="9">
        <v>5.17</v>
      </c>
      <c r="AA20" s="8">
        <v>4046.3</v>
      </c>
      <c r="AB20" s="8">
        <v>244</v>
      </c>
      <c r="AC20" s="21" t="s">
        <v>1942</v>
      </c>
      <c r="AD20" s="8" t="s">
        <v>4288</v>
      </c>
      <c r="AE20" s="8" t="s">
        <v>3722</v>
      </c>
      <c r="AF20" s="9">
        <f t="shared" si="0"/>
        <v>12057.974</v>
      </c>
      <c r="AG20" s="9">
        <f t="shared" si="1"/>
        <v>21377.951666666668</v>
      </c>
      <c r="AH20" s="9">
        <f t="shared" si="2"/>
        <v>1.9042818692957548</v>
      </c>
      <c r="AI20" s="9">
        <f t="shared" si="3"/>
        <v>3.6262894377285342</v>
      </c>
      <c r="AJ20" s="9">
        <f t="shared" si="4"/>
        <v>2.1883990289004664</v>
      </c>
      <c r="AK20" s="9">
        <f t="shared" si="5"/>
        <v>4.7890903096925044</v>
      </c>
      <c r="AL20" s="9">
        <f t="shared" si="6"/>
        <v>3.0898413603981068</v>
      </c>
      <c r="AM20" s="9">
        <f t="shared" si="7"/>
        <v>9.5471196324268224</v>
      </c>
      <c r="AN20" s="8" t="s">
        <v>1942</v>
      </c>
    </row>
    <row r="21" spans="13:40" ht="23">
      <c r="M21" s="8" t="s">
        <v>3815</v>
      </c>
      <c r="N21" s="8"/>
      <c r="O21" s="8"/>
      <c r="P21" s="8"/>
      <c r="Q21" s="8"/>
      <c r="R21" s="8"/>
      <c r="S21" s="8"/>
      <c r="T21" s="8"/>
      <c r="U21" s="8"/>
      <c r="V21" s="8"/>
      <c r="W21" s="8" t="s">
        <v>3815</v>
      </c>
      <c r="X21" s="8">
        <v>66.58</v>
      </c>
      <c r="Y21" s="8">
        <v>1.76</v>
      </c>
      <c r="Z21" s="9">
        <v>2.25</v>
      </c>
      <c r="AA21" s="8">
        <v>3856.3</v>
      </c>
      <c r="AB21" s="8">
        <v>423</v>
      </c>
      <c r="AC21" s="21" t="s">
        <v>3815</v>
      </c>
      <c r="AD21" s="8" t="s">
        <v>4288</v>
      </c>
      <c r="AE21" s="8" t="s">
        <v>3722</v>
      </c>
      <c r="AF21" s="9">
        <f t="shared" si="0"/>
        <v>6787.0880000000006</v>
      </c>
      <c r="AG21" s="9">
        <f t="shared" si="1"/>
        <v>9319.3916666666664</v>
      </c>
      <c r="AH21" s="9">
        <f t="shared" si="2"/>
        <v>1.8148634981502161</v>
      </c>
      <c r="AI21" s="9">
        <f t="shared" si="3"/>
        <v>3.2937295169180394</v>
      </c>
      <c r="AJ21" s="9">
        <f t="shared" si="4"/>
        <v>1.2317870969254048</v>
      </c>
      <c r="AK21" s="9">
        <f t="shared" si="5"/>
        <v>1.5172994521519165</v>
      </c>
      <c r="AL21" s="9">
        <f t="shared" si="6"/>
        <v>1.3469691705924791</v>
      </c>
      <c r="AM21" s="9">
        <f t="shared" si="7"/>
        <v>1.8143259465265911</v>
      </c>
      <c r="AN21" s="8" t="s">
        <v>3815</v>
      </c>
    </row>
    <row r="22" spans="13:40" ht="23">
      <c r="M22" s="8" t="s">
        <v>3778</v>
      </c>
      <c r="N22" s="8"/>
      <c r="O22" s="8"/>
      <c r="P22" s="8"/>
      <c r="Q22" s="8"/>
      <c r="R22" s="8"/>
      <c r="S22" s="8"/>
      <c r="T22" s="8"/>
      <c r="U22" s="8"/>
      <c r="V22" s="8"/>
      <c r="W22" s="8" t="s">
        <v>3778</v>
      </c>
      <c r="X22" s="8">
        <v>70.489999999999995</v>
      </c>
      <c r="Y22" s="8">
        <v>2.14</v>
      </c>
      <c r="Z22" s="9">
        <v>2.17</v>
      </c>
      <c r="AA22" s="8">
        <v>3837</v>
      </c>
      <c r="AB22" s="8">
        <v>201</v>
      </c>
      <c r="AC22" s="21" t="s">
        <v>3778</v>
      </c>
      <c r="AD22" s="8" t="s">
        <v>4288</v>
      </c>
      <c r="AE22" s="8" t="s">
        <v>3722</v>
      </c>
      <c r="AF22" s="9">
        <f t="shared" si="0"/>
        <v>8211.18</v>
      </c>
      <c r="AG22" s="9">
        <f t="shared" si="1"/>
        <v>8761.15</v>
      </c>
      <c r="AH22" s="9">
        <f t="shared" si="2"/>
        <v>1.8057804741338537</v>
      </c>
      <c r="AI22" s="9">
        <f t="shared" si="3"/>
        <v>3.2608431207630852</v>
      </c>
      <c r="AJ22" s="9">
        <f t="shared" si="4"/>
        <v>1.4902452383897105</v>
      </c>
      <c r="AK22" s="9">
        <f t="shared" si="5"/>
        <v>2.2208308705432049</v>
      </c>
      <c r="AL22" s="9">
        <f t="shared" si="6"/>
        <v>1.2662842566372412</v>
      </c>
      <c r="AM22" s="9">
        <f t="shared" si="7"/>
        <v>1.6034758186073306</v>
      </c>
      <c r="AN22" s="8" t="s">
        <v>3778</v>
      </c>
    </row>
    <row r="23" spans="13:40" ht="24" customHeight="1">
      <c r="M23" s="8" t="s">
        <v>3804</v>
      </c>
      <c r="N23" s="8"/>
      <c r="O23" s="8"/>
      <c r="P23" s="8"/>
      <c r="Q23" s="8"/>
      <c r="R23" s="8"/>
      <c r="S23" s="8"/>
      <c r="T23" s="8"/>
      <c r="U23" s="8"/>
      <c r="V23" s="8"/>
      <c r="W23" s="8" t="s">
        <v>3804</v>
      </c>
      <c r="X23" s="8">
        <v>35.47</v>
      </c>
      <c r="Y23" s="8">
        <v>2.88</v>
      </c>
      <c r="Z23" s="9">
        <v>3.17</v>
      </c>
      <c r="AA23" s="8">
        <v>3574.7</v>
      </c>
      <c r="AB23" s="8">
        <v>158</v>
      </c>
      <c r="AC23" s="21" t="s">
        <v>3804</v>
      </c>
      <c r="AD23" s="8" t="s">
        <v>4288</v>
      </c>
      <c r="AE23" s="8" t="s">
        <v>3722</v>
      </c>
      <c r="AF23" s="9">
        <f t="shared" si="0"/>
        <v>10295.135999999999</v>
      </c>
      <c r="AG23" s="9">
        <f t="shared" si="1"/>
        <v>11736.931666666665</v>
      </c>
      <c r="AH23" s="9">
        <f t="shared" si="2"/>
        <v>1.6823360596524068</v>
      </c>
      <c r="AI23" s="9">
        <f t="shared" si="3"/>
        <v>2.8302546176067866</v>
      </c>
      <c r="AJ23" s="9">
        <f t="shared" si="4"/>
        <v>1.8684619509710527</v>
      </c>
      <c r="AK23" s="9">
        <f t="shared" si="5"/>
        <v>3.4911500622265526</v>
      </c>
      <c r="AL23" s="9">
        <f t="shared" si="6"/>
        <v>1.6963859528403342</v>
      </c>
      <c r="AM23" s="9">
        <f t="shared" si="7"/>
        <v>2.8777253009940087</v>
      </c>
      <c r="AN23" s="8" t="s">
        <v>3804</v>
      </c>
    </row>
    <row r="24" spans="13:40" ht="22.5" customHeight="1">
      <c r="M24" s="8" t="s">
        <v>3757</v>
      </c>
      <c r="N24" s="8"/>
      <c r="O24" s="8"/>
      <c r="P24" s="8"/>
      <c r="Q24" s="8"/>
      <c r="R24" s="8"/>
      <c r="S24" s="8"/>
      <c r="T24" s="8"/>
      <c r="U24" s="8"/>
      <c r="V24" s="8"/>
      <c r="W24" s="8" t="s">
        <v>3757</v>
      </c>
      <c r="X24" s="8">
        <v>64.48</v>
      </c>
      <c r="Y24" s="8">
        <v>1.83</v>
      </c>
      <c r="Z24" s="9">
        <v>1.19</v>
      </c>
      <c r="AA24" s="8">
        <v>3521.2</v>
      </c>
      <c r="AB24" s="8">
        <v>191</v>
      </c>
      <c r="AC24" s="21" t="s">
        <v>3757</v>
      </c>
      <c r="AD24" s="8" t="s">
        <v>4288</v>
      </c>
      <c r="AE24" s="8" t="s">
        <v>3722</v>
      </c>
      <c r="AF24" s="9">
        <f t="shared" si="0"/>
        <v>6443.7960000000003</v>
      </c>
      <c r="AG24" s="9">
        <f t="shared" si="1"/>
        <v>4636.246666666666</v>
      </c>
      <c r="AH24" s="9">
        <f t="shared" si="2"/>
        <v>1.6571577288298476</v>
      </c>
      <c r="AI24" s="9">
        <f t="shared" si="3"/>
        <v>2.7461717382204984</v>
      </c>
      <c r="AJ24" s="9">
        <f t="shared" si="4"/>
        <v>1.1694831079278087</v>
      </c>
      <c r="AK24" s="9">
        <f t="shared" si="5"/>
        <v>1.3676907397284868</v>
      </c>
      <c r="AL24" s="9">
        <f t="shared" si="6"/>
        <v>0.67009538289914983</v>
      </c>
      <c r="AM24" s="9">
        <f t="shared" si="7"/>
        <v>0.44902782218275822</v>
      </c>
      <c r="AN24" s="8" t="s">
        <v>3757</v>
      </c>
    </row>
    <row r="25" spans="13:40" ht="22.5" customHeight="1">
      <c r="M25" s="8" t="s">
        <v>3792</v>
      </c>
      <c r="N25" s="8"/>
      <c r="O25" s="8"/>
      <c r="P25" s="8"/>
      <c r="Q25" s="8"/>
      <c r="R25" s="8"/>
      <c r="S25" s="8"/>
      <c r="T25" s="8"/>
      <c r="U25" s="8"/>
      <c r="V25" s="8"/>
      <c r="W25" s="8" t="s">
        <v>3792</v>
      </c>
      <c r="X25" s="8">
        <v>68.06</v>
      </c>
      <c r="Y25" s="8">
        <v>1.6</v>
      </c>
      <c r="Z25" s="9">
        <v>1.38</v>
      </c>
      <c r="AA25" s="8">
        <v>3361.6</v>
      </c>
      <c r="AB25" s="8">
        <v>233</v>
      </c>
      <c r="AC25" s="21" t="s">
        <v>3792</v>
      </c>
      <c r="AD25" s="8" t="s">
        <v>4288</v>
      </c>
      <c r="AE25" s="8" t="s">
        <v>3722</v>
      </c>
      <c r="AF25" s="9">
        <f t="shared" si="0"/>
        <v>5378.56</v>
      </c>
      <c r="AG25" s="9">
        <f t="shared" si="1"/>
        <v>5490.6133333333328</v>
      </c>
      <c r="AH25" s="9">
        <f t="shared" si="2"/>
        <v>1.582046297067595</v>
      </c>
      <c r="AI25" s="9">
        <f t="shared" si="3"/>
        <v>2.5028704860652891</v>
      </c>
      <c r="AJ25" s="9">
        <f t="shared" si="4"/>
        <v>0.97615366237171297</v>
      </c>
      <c r="AK25" s="9">
        <f t="shared" si="5"/>
        <v>0.9528759725617082</v>
      </c>
      <c r="AL25" s="9">
        <f t="shared" si="6"/>
        <v>0.79358043445010351</v>
      </c>
      <c r="AM25" s="9">
        <f t="shared" si="7"/>
        <v>0.62976990594201498</v>
      </c>
      <c r="AN25" s="8" t="s">
        <v>3792</v>
      </c>
    </row>
    <row r="26" spans="13:40" ht="23">
      <c r="M26" s="9" t="s">
        <v>2719</v>
      </c>
      <c r="N26" s="8" t="s">
        <v>1614</v>
      </c>
      <c r="O26" s="8"/>
      <c r="P26" s="8"/>
      <c r="Q26" s="8"/>
      <c r="R26" s="8"/>
      <c r="S26" s="8"/>
      <c r="T26" s="8"/>
      <c r="U26" s="8"/>
      <c r="V26" s="8"/>
      <c r="W26" s="9" t="s">
        <v>2719</v>
      </c>
      <c r="X26" s="8">
        <v>42.98</v>
      </c>
      <c r="Y26" s="8">
        <v>3.98</v>
      </c>
      <c r="Z26" s="9">
        <v>7.58</v>
      </c>
      <c r="AA26" s="8">
        <v>3269.9</v>
      </c>
      <c r="AB26" s="8">
        <v>168</v>
      </c>
      <c r="AC26" s="22" t="s">
        <v>2719</v>
      </c>
      <c r="AD26" s="8" t="s">
        <v>4288</v>
      </c>
      <c r="AE26" s="8" t="s">
        <v>3722</v>
      </c>
      <c r="AF26" s="9">
        <f t="shared" si="0"/>
        <v>13014.202000000001</v>
      </c>
      <c r="AG26" s="9">
        <f t="shared" si="1"/>
        <v>26050.203333333335</v>
      </c>
      <c r="AH26" s="9">
        <f t="shared" si="2"/>
        <v>1.538890167414722</v>
      </c>
      <c r="AI26" s="9">
        <f t="shared" si="3"/>
        <v>2.3681829473657108</v>
      </c>
      <c r="AJ26" s="9">
        <f t="shared" si="4"/>
        <v>2.3619446366955601</v>
      </c>
      <c r="AK26" s="9">
        <f t="shared" si="5"/>
        <v>5.5787824668149213</v>
      </c>
      <c r="AL26" s="9">
        <f t="shared" si="6"/>
        <v>3.7651406907996079</v>
      </c>
      <c r="AM26" s="9">
        <f t="shared" si="7"/>
        <v>14.176284421514948</v>
      </c>
      <c r="AN26" s="9" t="s">
        <v>2719</v>
      </c>
    </row>
    <row r="27" spans="13:40" ht="25.5" customHeight="1">
      <c r="M27" s="8" t="s">
        <v>3985</v>
      </c>
      <c r="N27" s="8"/>
      <c r="O27" s="8"/>
      <c r="P27" s="8"/>
      <c r="Q27" s="8"/>
      <c r="R27" s="8"/>
      <c r="S27" s="8"/>
      <c r="T27" s="8"/>
      <c r="U27" s="8"/>
      <c r="V27" s="8"/>
      <c r="W27" s="8" t="s">
        <v>3985</v>
      </c>
      <c r="X27" s="8">
        <v>53.84</v>
      </c>
      <c r="Y27" s="8">
        <v>2.4300000000000002</v>
      </c>
      <c r="Z27" s="9">
        <v>1.37</v>
      </c>
      <c r="AA27" s="8">
        <v>3249.1</v>
      </c>
      <c r="AB27" s="8">
        <v>87</v>
      </c>
      <c r="AC27" s="21" t="s">
        <v>3985</v>
      </c>
      <c r="AD27" s="8" t="s">
        <v>4288</v>
      </c>
      <c r="AE27" s="8" t="s">
        <v>3722</v>
      </c>
      <c r="AF27" s="9">
        <f t="shared" si="0"/>
        <v>7895.3130000000001</v>
      </c>
      <c r="AG27" s="9">
        <f t="shared" si="1"/>
        <v>5252.711666666667</v>
      </c>
      <c r="AH27" s="9">
        <f t="shared" si="2"/>
        <v>1.5291012088893154</v>
      </c>
      <c r="AI27" s="9">
        <f t="shared" si="3"/>
        <v>2.3381505070267661</v>
      </c>
      <c r="AJ27" s="9">
        <f t="shared" si="4"/>
        <v>1.4329186065640238</v>
      </c>
      <c r="AK27" s="9">
        <f t="shared" si="5"/>
        <v>2.0532557330373837</v>
      </c>
      <c r="AL27" s="9">
        <f t="shared" si="6"/>
        <v>0.75919554946037493</v>
      </c>
      <c r="AM27" s="9">
        <f t="shared" si="7"/>
        <v>0.57637788232044063</v>
      </c>
      <c r="AN27" s="8" t="s">
        <v>3985</v>
      </c>
    </row>
    <row r="28" spans="13:40" ht="23">
      <c r="M28" s="8" t="s">
        <v>3789</v>
      </c>
      <c r="N28" s="8"/>
      <c r="O28" s="8"/>
      <c r="P28" s="8"/>
      <c r="Q28" s="8"/>
      <c r="R28" s="8"/>
      <c r="S28" s="8"/>
      <c r="T28" s="8"/>
      <c r="U28" s="8"/>
      <c r="V28" s="8"/>
      <c r="W28" s="8" t="s">
        <v>3789</v>
      </c>
      <c r="X28" s="8">
        <v>54.44</v>
      </c>
      <c r="Y28" s="8">
        <v>2.65</v>
      </c>
      <c r="Z28" s="9">
        <v>4.1500000000000004</v>
      </c>
      <c r="AA28" s="8">
        <v>2998.5</v>
      </c>
      <c r="AB28" s="8">
        <v>197</v>
      </c>
      <c r="AC28" s="21" t="s">
        <v>3789</v>
      </c>
      <c r="AD28" s="8" t="s">
        <v>4288</v>
      </c>
      <c r="AE28" s="8" t="s">
        <v>3722</v>
      </c>
      <c r="AF28" s="9">
        <f t="shared" si="0"/>
        <v>7946.0249999999996</v>
      </c>
      <c r="AG28" s="9">
        <f t="shared" si="1"/>
        <v>12743.625</v>
      </c>
      <c r="AH28" s="9">
        <f t="shared" si="2"/>
        <v>1.4111630835784101</v>
      </c>
      <c r="AI28" s="9">
        <f t="shared" si="3"/>
        <v>1.991381248454527</v>
      </c>
      <c r="AJ28" s="9">
        <f t="shared" si="4"/>
        <v>1.4421223162049304</v>
      </c>
      <c r="AK28" s="9">
        <f t="shared" si="5"/>
        <v>2.0797167748962733</v>
      </c>
      <c r="AL28" s="9">
        <f t="shared" si="6"/>
        <v>1.8418873903527235</v>
      </c>
      <c r="AM28" s="9">
        <f t="shared" si="7"/>
        <v>3.392549158740366</v>
      </c>
      <c r="AN28" s="8" t="s">
        <v>3789</v>
      </c>
    </row>
    <row r="29" spans="13:40" ht="23">
      <c r="M29" s="8" t="s">
        <v>3881</v>
      </c>
      <c r="N29" s="8"/>
      <c r="O29" s="8"/>
      <c r="P29" s="8"/>
      <c r="Q29" s="8"/>
      <c r="R29" s="8"/>
      <c r="S29" s="8"/>
      <c r="T29" s="8"/>
      <c r="U29" s="8"/>
      <c r="V29" s="8"/>
      <c r="W29" s="8" t="s">
        <v>3881</v>
      </c>
      <c r="X29" s="8">
        <v>64.16</v>
      </c>
      <c r="Y29" s="8">
        <v>2.4300000000000002</v>
      </c>
      <c r="Z29" s="9">
        <v>4.54</v>
      </c>
      <c r="AA29" s="8">
        <v>2864.4</v>
      </c>
      <c r="AB29" s="8">
        <v>516</v>
      </c>
      <c r="AC29" s="21" t="s">
        <v>3881</v>
      </c>
      <c r="AD29" s="8" t="s">
        <v>4288</v>
      </c>
      <c r="AE29" s="8" t="s">
        <v>3722</v>
      </c>
      <c r="AF29" s="9">
        <f t="shared" si="0"/>
        <v>6960.4920000000011</v>
      </c>
      <c r="AG29" s="9">
        <f t="shared" si="1"/>
        <v>14035.560000000001</v>
      </c>
      <c r="AH29" s="9">
        <f t="shared" si="2"/>
        <v>1.3480525384699011</v>
      </c>
      <c r="AI29" s="9">
        <f t="shared" si="3"/>
        <v>1.8172456464751443</v>
      </c>
      <c r="AJ29" s="9">
        <f t="shared" si="4"/>
        <v>1.2632581504545846</v>
      </c>
      <c r="AK29" s="9">
        <f t="shared" si="5"/>
        <v>1.5958211546899379</v>
      </c>
      <c r="AL29" s="9">
        <f t="shared" si="6"/>
        <v>2.028615953509231</v>
      </c>
      <c r="AM29" s="9">
        <f t="shared" si="7"/>
        <v>4.1152826868321659</v>
      </c>
      <c r="AN29" s="8" t="s">
        <v>3881</v>
      </c>
    </row>
    <row r="30" spans="13:40" ht="23">
      <c r="M30" s="22" t="s">
        <v>2232</v>
      </c>
      <c r="N30" s="8"/>
      <c r="O30" s="8"/>
      <c r="P30" s="8"/>
      <c r="Q30" s="8"/>
      <c r="R30" s="8"/>
      <c r="S30" s="8"/>
      <c r="T30" s="8"/>
      <c r="U30" s="8"/>
      <c r="V30" s="8"/>
      <c r="W30" s="22" t="s">
        <v>2232</v>
      </c>
      <c r="X30" s="8">
        <v>63.06</v>
      </c>
      <c r="Y30" s="8">
        <v>2.29</v>
      </c>
      <c r="Z30" s="9">
        <v>3.58</v>
      </c>
      <c r="AA30" s="8">
        <v>2803</v>
      </c>
      <c r="AB30" s="8">
        <v>237</v>
      </c>
      <c r="AC30" s="22" t="s">
        <v>2232</v>
      </c>
      <c r="AD30" s="8" t="s">
        <v>4288</v>
      </c>
      <c r="AE30" s="8" t="s">
        <v>3722</v>
      </c>
      <c r="AF30" s="9">
        <f t="shared" si="0"/>
        <v>6418.87</v>
      </c>
      <c r="AG30" s="9">
        <f t="shared" si="1"/>
        <v>11118.566666666668</v>
      </c>
      <c r="AH30" s="9">
        <f t="shared" si="2"/>
        <v>1.319156285899711</v>
      </c>
      <c r="AI30" s="9">
        <f t="shared" si="3"/>
        <v>1.7401733066287202</v>
      </c>
      <c r="AJ30" s="9">
        <f t="shared" si="4"/>
        <v>1.1649592937120561</v>
      </c>
      <c r="AK30" s="9">
        <f t="shared" si="5"/>
        <v>1.3571301560060927</v>
      </c>
      <c r="AL30" s="9">
        <f t="shared" si="6"/>
        <v>1.6070111716351858</v>
      </c>
      <c r="AM30" s="9">
        <f t="shared" si="7"/>
        <v>2.5824849057602925</v>
      </c>
      <c r="AN30" s="22" t="s">
        <v>2232</v>
      </c>
    </row>
    <row r="31" spans="13:40" ht="27" customHeight="1">
      <c r="M31" s="8" t="s">
        <v>3984</v>
      </c>
      <c r="N31" s="8"/>
      <c r="O31" s="8"/>
      <c r="P31" s="8"/>
      <c r="Q31" s="8"/>
      <c r="R31" s="8"/>
      <c r="S31" s="8"/>
      <c r="T31" s="8"/>
      <c r="U31" s="8"/>
      <c r="V31" s="8"/>
      <c r="W31" s="8" t="s">
        <v>3984</v>
      </c>
      <c r="X31" s="8">
        <v>28.07</v>
      </c>
      <c r="Y31" s="8">
        <v>2.68</v>
      </c>
      <c r="Z31" s="9">
        <v>1.53</v>
      </c>
      <c r="AA31" s="8">
        <v>2722.2</v>
      </c>
      <c r="AB31" s="8">
        <v>105</v>
      </c>
      <c r="AC31" s="21" t="s">
        <v>3984</v>
      </c>
      <c r="AD31" s="8" t="s">
        <v>4288</v>
      </c>
      <c r="AE31" s="8" t="s">
        <v>3722</v>
      </c>
      <c r="AF31" s="9">
        <f t="shared" si="0"/>
        <v>7295.4960000000001</v>
      </c>
      <c r="AG31" s="9">
        <f t="shared" si="1"/>
        <v>5126.8099999999995</v>
      </c>
      <c r="AH31" s="9">
        <f t="shared" si="2"/>
        <v>1.2811299470125554</v>
      </c>
      <c r="AI31" s="9">
        <f t="shared" si="3"/>
        <v>1.641293941132393</v>
      </c>
      <c r="AJ31" s="9">
        <f t="shared" si="4"/>
        <v>1.3240579521690159</v>
      </c>
      <c r="AK31" s="9">
        <f t="shared" si="5"/>
        <v>1.753129460702008</v>
      </c>
      <c r="AL31" s="9">
        <f t="shared" si="6"/>
        <v>0.74099847505982364</v>
      </c>
      <c r="AM31" s="9">
        <f t="shared" si="7"/>
        <v>0.54907874004098411</v>
      </c>
      <c r="AN31" s="8" t="s">
        <v>3984</v>
      </c>
    </row>
    <row r="32" spans="13:40" ht="23">
      <c r="M32" s="8" t="s">
        <v>3776</v>
      </c>
      <c r="N32" s="8"/>
      <c r="O32" s="8"/>
      <c r="P32" s="8"/>
      <c r="Q32" s="8"/>
      <c r="R32" s="8"/>
      <c r="S32" s="8"/>
      <c r="T32" s="8"/>
      <c r="U32" s="8"/>
      <c r="V32" s="8"/>
      <c r="W32" s="8" t="s">
        <v>3776</v>
      </c>
      <c r="X32" s="8">
        <v>65.040000000000006</v>
      </c>
      <c r="Y32" s="8">
        <v>2.13</v>
      </c>
      <c r="Z32" s="9">
        <v>4.07</v>
      </c>
      <c r="AA32" s="8">
        <v>2383</v>
      </c>
      <c r="AB32" s="8">
        <v>243</v>
      </c>
      <c r="AC32" s="21" t="s">
        <v>3776</v>
      </c>
      <c r="AD32" s="8" t="s">
        <v>4288</v>
      </c>
      <c r="AE32" s="8" t="s">
        <v>3722</v>
      </c>
      <c r="AF32" s="9">
        <f t="shared" si="0"/>
        <v>5075.79</v>
      </c>
      <c r="AG32" s="9">
        <f t="shared" si="1"/>
        <v>9810.0166666666664</v>
      </c>
      <c r="AH32" s="9">
        <f t="shared" si="2"/>
        <v>1.1214946233674674</v>
      </c>
      <c r="AI32" s="9">
        <f t="shared" si="3"/>
        <v>1.2577501902421375</v>
      </c>
      <c r="AJ32" s="9">
        <f t="shared" si="4"/>
        <v>0.92120400217339149</v>
      </c>
      <c r="AK32" s="9">
        <f t="shared" si="5"/>
        <v>0.84861681362027386</v>
      </c>
      <c r="AL32" s="9">
        <f t="shared" si="6"/>
        <v>1.4178811756845786</v>
      </c>
      <c r="AM32" s="9">
        <f t="shared" si="7"/>
        <v>2.0103870283606828</v>
      </c>
      <c r="AN32" s="8" t="s">
        <v>3776</v>
      </c>
    </row>
    <row r="33" spans="13:40" ht="23">
      <c r="M33" s="8" t="s">
        <v>3829</v>
      </c>
      <c r="N33" s="8"/>
      <c r="O33" s="8"/>
      <c r="P33" s="8"/>
      <c r="Q33" s="8"/>
      <c r="R33" s="8"/>
      <c r="S33" s="8"/>
      <c r="T33" s="8"/>
      <c r="U33" s="8"/>
      <c r="V33" s="8"/>
      <c r="W33" s="8" t="s">
        <v>3829</v>
      </c>
      <c r="X33" s="8">
        <v>68.45</v>
      </c>
      <c r="Y33" s="8">
        <v>2.2000000000000002</v>
      </c>
      <c r="Z33" s="9">
        <v>4.05</v>
      </c>
      <c r="AA33" s="8">
        <v>2375.8000000000002</v>
      </c>
      <c r="AB33" s="8">
        <v>227</v>
      </c>
      <c r="AC33" s="21" t="s">
        <v>3829</v>
      </c>
      <c r="AD33" s="8" t="s">
        <v>4288</v>
      </c>
      <c r="AE33" s="8" t="s">
        <v>3722</v>
      </c>
      <c r="AF33" s="9">
        <f t="shared" si="0"/>
        <v>5226.7600000000011</v>
      </c>
      <c r="AG33" s="9">
        <f t="shared" si="1"/>
        <v>9701.1833333333325</v>
      </c>
      <c r="AH33" s="9">
        <f t="shared" si="2"/>
        <v>1.1181061377240575</v>
      </c>
      <c r="AI33" s="9">
        <f t="shared" si="3"/>
        <v>1.2501613352162091</v>
      </c>
      <c r="AJ33" s="9">
        <f t="shared" si="4"/>
        <v>0.94860351401452725</v>
      </c>
      <c r="AK33" s="9">
        <f t="shared" si="5"/>
        <v>0.89984862680070943</v>
      </c>
      <c r="AL33" s="9">
        <f t="shared" si="6"/>
        <v>1.402151056168607</v>
      </c>
      <c r="AM33" s="9">
        <f t="shared" si="7"/>
        <v>1.9660275843147401</v>
      </c>
      <c r="AN33" s="8" t="s">
        <v>3829</v>
      </c>
    </row>
    <row r="34" spans="13:40" ht="23">
      <c r="M34" s="8" t="s">
        <v>3790</v>
      </c>
      <c r="N34" s="8"/>
      <c r="O34" s="8"/>
      <c r="P34" s="8"/>
      <c r="Q34" s="8"/>
      <c r="R34" s="8"/>
      <c r="S34" s="8"/>
      <c r="T34" s="8"/>
      <c r="U34" s="8"/>
      <c r="V34" s="8"/>
      <c r="W34" s="8" t="s">
        <v>3790</v>
      </c>
      <c r="X34" s="8">
        <v>49.73</v>
      </c>
      <c r="Y34" s="8">
        <v>2.85</v>
      </c>
      <c r="Z34" s="9">
        <v>4.51</v>
      </c>
      <c r="AA34" s="8">
        <v>2249.1</v>
      </c>
      <c r="AB34" s="8">
        <v>256</v>
      </c>
      <c r="AC34" s="21" t="s">
        <v>3790</v>
      </c>
      <c r="AD34" s="8" t="s">
        <v>4288</v>
      </c>
      <c r="AE34" s="8" t="s">
        <v>3722</v>
      </c>
      <c r="AF34" s="9">
        <f t="shared" ref="AF34:AF65" si="8">(AA34*Y34)</f>
        <v>6409.9349999999995</v>
      </c>
      <c r="AG34" s="9">
        <f t="shared" ref="AG34:AG65" si="9">((((RIGHT(Z34,2))/60)+(LEFT(Z34,2)))*AA34)</f>
        <v>10908.134999999998</v>
      </c>
      <c r="AH34" s="9">
        <f t="shared" ref="AH34:AH65" si="10">(AA34/$AA$73)*100</f>
        <v>1.058478202860164</v>
      </c>
      <c r="AI34" s="9">
        <f t="shared" ref="AI34:AI65" si="11">(AH34*AH34)</f>
        <v>1.1203761059300825</v>
      </c>
      <c r="AJ34" s="9">
        <f t="shared" ref="AJ34:AJ65" si="12">(AF34/$AF$73)*100</f>
        <v>1.1633376825422836</v>
      </c>
      <c r="AK34" s="9">
        <f t="shared" ref="AK34:AK65" si="13">(AJ34*AJ34)</f>
        <v>1.3533545636228512</v>
      </c>
      <c r="AL34" s="9">
        <f t="shared" ref="AL34:AL65" si="14">(AG34/$AG$73)*100</f>
        <v>1.5765966362604991</v>
      </c>
      <c r="AM34" s="9">
        <f t="shared" ref="AM34:AM65" si="15">(AL34*AL34)</f>
        <v>2.4856569534679203</v>
      </c>
      <c r="AN34" s="8" t="s">
        <v>3790</v>
      </c>
    </row>
    <row r="35" spans="13:40" ht="23">
      <c r="M35" s="8" t="s">
        <v>3856</v>
      </c>
      <c r="N35" s="8"/>
      <c r="O35" s="8"/>
      <c r="P35" s="8"/>
      <c r="Q35" s="8"/>
      <c r="R35" s="8"/>
      <c r="S35" s="8"/>
      <c r="T35" s="8"/>
      <c r="U35" s="8"/>
      <c r="V35" s="8"/>
      <c r="W35" s="8" t="s">
        <v>3856</v>
      </c>
      <c r="X35" s="8">
        <v>23.53</v>
      </c>
      <c r="Y35" s="8">
        <v>3.58</v>
      </c>
      <c r="Z35" s="9">
        <v>1.2</v>
      </c>
      <c r="AA35" s="8">
        <v>2213.1</v>
      </c>
      <c r="AB35" s="8">
        <v>188</v>
      </c>
      <c r="AC35" s="21" t="s">
        <v>3856</v>
      </c>
      <c r="AD35" s="8" t="s">
        <v>4288</v>
      </c>
      <c r="AE35" s="8" t="s">
        <v>3722</v>
      </c>
      <c r="AF35" s="9">
        <f t="shared" si="8"/>
        <v>7922.8980000000001</v>
      </c>
      <c r="AG35" s="9">
        <f t="shared" si="9"/>
        <v>2220.4769999999999</v>
      </c>
      <c r="AH35" s="9">
        <f t="shared" si="10"/>
        <v>1.0415357746431146</v>
      </c>
      <c r="AI35" s="9">
        <f t="shared" si="11"/>
        <v>1.0847967698614329</v>
      </c>
      <c r="AJ35" s="9">
        <f t="shared" si="12"/>
        <v>1.4379250021004728</v>
      </c>
      <c r="AK35" s="9">
        <f t="shared" si="13"/>
        <v>2.0676283116656449</v>
      </c>
      <c r="AL35" s="9">
        <f t="shared" si="14"/>
        <v>0.32093447405022069</v>
      </c>
      <c r="AM35" s="9">
        <f t="shared" si="15"/>
        <v>0.10299893663389177</v>
      </c>
      <c r="AN35" s="8" t="s">
        <v>3856</v>
      </c>
    </row>
    <row r="36" spans="13:40" ht="23">
      <c r="M36" s="8" t="s">
        <v>3988</v>
      </c>
      <c r="N36" s="8"/>
      <c r="O36" s="8"/>
      <c r="P36" s="8"/>
      <c r="Q36" s="8"/>
      <c r="R36" s="8"/>
      <c r="S36" s="8"/>
      <c r="T36" s="8"/>
      <c r="U36" s="8"/>
      <c r="V36" s="8"/>
      <c r="W36" s="8" t="s">
        <v>3988</v>
      </c>
      <c r="X36" s="8">
        <v>48.88</v>
      </c>
      <c r="Y36" s="8">
        <v>2.3199999999999998</v>
      </c>
      <c r="Z36" s="9">
        <v>0.44</v>
      </c>
      <c r="AA36" s="8">
        <v>2097.8000000000002</v>
      </c>
      <c r="AB36" s="8">
        <v>218</v>
      </c>
      <c r="AC36" s="21" t="s">
        <v>3988</v>
      </c>
      <c r="AD36" s="8" t="s">
        <v>4288</v>
      </c>
      <c r="AE36" s="8" t="s">
        <v>3722</v>
      </c>
      <c r="AF36" s="9">
        <f t="shared" si="8"/>
        <v>4866.8959999999997</v>
      </c>
      <c r="AG36" s="9">
        <f t="shared" si="9"/>
        <v>1538.3866666666668</v>
      </c>
      <c r="AH36" s="9">
        <f t="shared" si="10"/>
        <v>0.98727294204795368</v>
      </c>
      <c r="AI36" s="9">
        <f t="shared" si="11"/>
        <v>0.97470786210002214</v>
      </c>
      <c r="AJ36" s="9">
        <f t="shared" si="12"/>
        <v>0.88329187640971552</v>
      </c>
      <c r="AK36" s="9">
        <f t="shared" si="13"/>
        <v>0.78020453893139619</v>
      </c>
      <c r="AL36" s="9">
        <f t="shared" si="14"/>
        <v>0.22234921404389188</v>
      </c>
      <c r="AM36" s="9">
        <f t="shared" si="15"/>
        <v>4.9439172985936447E-2</v>
      </c>
      <c r="AN36" s="8" t="s">
        <v>3988</v>
      </c>
    </row>
    <row r="37" spans="13:40" ht="23">
      <c r="M37" s="8" t="s">
        <v>3947</v>
      </c>
      <c r="N37" s="8"/>
      <c r="O37" s="8"/>
      <c r="P37" s="8"/>
      <c r="Q37" s="8"/>
      <c r="R37" s="8"/>
      <c r="S37" s="8"/>
      <c r="T37" s="8"/>
      <c r="U37" s="8"/>
      <c r="V37" s="8"/>
      <c r="W37" s="8" t="s">
        <v>3947</v>
      </c>
      <c r="X37" s="8">
        <v>73.38</v>
      </c>
      <c r="Y37" s="8">
        <v>1.41</v>
      </c>
      <c r="Z37" s="9">
        <v>1.01</v>
      </c>
      <c r="AA37" s="8">
        <v>1980.2</v>
      </c>
      <c r="AB37" s="8">
        <v>377</v>
      </c>
      <c r="AC37" s="21" t="s">
        <v>3947</v>
      </c>
      <c r="AD37" s="8" t="s">
        <v>4288</v>
      </c>
      <c r="AE37" s="8" t="s">
        <v>3722</v>
      </c>
      <c r="AF37" s="9">
        <f t="shared" si="8"/>
        <v>2792.0819999999999</v>
      </c>
      <c r="AG37" s="9">
        <f t="shared" si="9"/>
        <v>2013.2033333333334</v>
      </c>
      <c r="AH37" s="9">
        <f t="shared" si="10"/>
        <v>0.93192767653892528</v>
      </c>
      <c r="AI37" s="9">
        <f t="shared" si="11"/>
        <v>0.86848919429923976</v>
      </c>
      <c r="AJ37" s="9">
        <f t="shared" si="12"/>
        <v>0.50673434338226897</v>
      </c>
      <c r="AK37" s="9">
        <f t="shared" si="13"/>
        <v>0.25677969476305929</v>
      </c>
      <c r="AL37" s="9">
        <f t="shared" si="14"/>
        <v>0.29097637712053964</v>
      </c>
      <c r="AM37" s="9">
        <f t="shared" si="15"/>
        <v>8.466725204219451E-2</v>
      </c>
      <c r="AN37" s="8" t="s">
        <v>3947</v>
      </c>
    </row>
    <row r="38" spans="13:40" ht="23">
      <c r="M38" s="8" t="s">
        <v>3915</v>
      </c>
      <c r="N38" s="8"/>
      <c r="O38" s="8"/>
      <c r="P38" s="8"/>
      <c r="Q38" s="8"/>
      <c r="R38" s="8"/>
      <c r="S38" s="8"/>
      <c r="T38" s="8"/>
      <c r="U38" s="8"/>
      <c r="V38" s="8"/>
      <c r="W38" s="8" t="s">
        <v>3915</v>
      </c>
      <c r="X38" s="8">
        <v>72.27</v>
      </c>
      <c r="Y38" s="8">
        <v>1.83</v>
      </c>
      <c r="Z38" s="9">
        <v>1.07</v>
      </c>
      <c r="AA38" s="8">
        <v>1846.9</v>
      </c>
      <c r="AB38" s="8">
        <v>972</v>
      </c>
      <c r="AC38" s="21" t="s">
        <v>3915</v>
      </c>
      <c r="AD38" s="8" t="s">
        <v>4288</v>
      </c>
      <c r="AE38" s="8" t="s">
        <v>3722</v>
      </c>
      <c r="AF38" s="9">
        <f t="shared" si="8"/>
        <v>3379.8270000000002</v>
      </c>
      <c r="AG38" s="9">
        <f t="shared" si="9"/>
        <v>2062.3716666666669</v>
      </c>
      <c r="AH38" s="9">
        <f t="shared" si="10"/>
        <v>0.86919362983523962</v>
      </c>
      <c r="AI38" s="9">
        <f t="shared" si="11"/>
        <v>0.75549756614615959</v>
      </c>
      <c r="AJ38" s="9">
        <f t="shared" si="12"/>
        <v>0.61340405317274505</v>
      </c>
      <c r="AK38" s="9">
        <f t="shared" si="13"/>
        <v>0.37626453244875185</v>
      </c>
      <c r="AL38" s="9">
        <f t="shared" si="14"/>
        <v>0.29808287414719625</v>
      </c>
      <c r="AM38" s="9">
        <f t="shared" si="15"/>
        <v>8.8853399859853244E-2</v>
      </c>
      <c r="AN38" s="8" t="s">
        <v>3915</v>
      </c>
    </row>
    <row r="39" spans="13:40" ht="25" customHeight="1">
      <c r="M39" s="8" t="s">
        <v>3823</v>
      </c>
      <c r="N39" s="8"/>
      <c r="O39" s="8"/>
      <c r="P39" s="8"/>
      <c r="Q39" s="8"/>
      <c r="R39" s="8"/>
      <c r="S39" s="8"/>
      <c r="T39" s="8"/>
      <c r="U39" s="8"/>
      <c r="V39" s="8"/>
      <c r="W39" s="8" t="s">
        <v>3823</v>
      </c>
      <c r="X39" s="8">
        <v>75.31</v>
      </c>
      <c r="Y39" s="8">
        <v>1.47</v>
      </c>
      <c r="Z39" s="9">
        <v>0.49</v>
      </c>
      <c r="AA39" s="8">
        <v>1724</v>
      </c>
      <c r="AB39" s="8">
        <v>536</v>
      </c>
      <c r="AC39" s="21" t="s">
        <v>3823</v>
      </c>
      <c r="AD39" s="8" t="s">
        <v>4288</v>
      </c>
      <c r="AE39" s="8" t="s">
        <v>3722</v>
      </c>
      <c r="AF39" s="9">
        <f t="shared" si="8"/>
        <v>2534.2799999999997</v>
      </c>
      <c r="AG39" s="9">
        <f t="shared" si="9"/>
        <v>1407.9333333333334</v>
      </c>
      <c r="AH39" s="9">
        <f t="shared" si="10"/>
        <v>0.81135406239425689</v>
      </c>
      <c r="AI39" s="9">
        <f t="shared" si="11"/>
        <v>0.65829541456366369</v>
      </c>
      <c r="AJ39" s="9">
        <f t="shared" si="12"/>
        <v>0.45994591553787345</v>
      </c>
      <c r="AK39" s="9">
        <f t="shared" si="13"/>
        <v>0.21155024521997262</v>
      </c>
      <c r="AL39" s="9">
        <f t="shared" si="14"/>
        <v>0.20349426894811676</v>
      </c>
      <c r="AM39" s="9">
        <f t="shared" si="15"/>
        <v>4.1409917494728478E-2</v>
      </c>
      <c r="AN39" s="8" t="s">
        <v>3823</v>
      </c>
    </row>
    <row r="40" spans="13:40" ht="23">
      <c r="M40" s="8" t="s">
        <v>3879</v>
      </c>
      <c r="N40" s="8"/>
      <c r="O40" s="8"/>
      <c r="P40" s="8"/>
      <c r="Q40" s="8"/>
      <c r="R40" s="8"/>
      <c r="S40" s="8"/>
      <c r="T40" s="8"/>
      <c r="U40" s="8"/>
      <c r="V40" s="8"/>
      <c r="W40" s="8" t="s">
        <v>3879</v>
      </c>
      <c r="X40" s="8">
        <v>71.260000000000005</v>
      </c>
      <c r="Y40" s="8">
        <v>1.5</v>
      </c>
      <c r="Z40" s="9">
        <v>0.49</v>
      </c>
      <c r="AA40" s="8">
        <v>1717.7</v>
      </c>
      <c r="AB40" s="8">
        <v>908</v>
      </c>
      <c r="AC40" s="21" t="s">
        <v>3879</v>
      </c>
      <c r="AD40" s="8" t="s">
        <v>4288</v>
      </c>
      <c r="AE40" s="8" t="s">
        <v>3722</v>
      </c>
      <c r="AF40" s="9">
        <f t="shared" si="8"/>
        <v>2576.5500000000002</v>
      </c>
      <c r="AG40" s="9">
        <f t="shared" si="9"/>
        <v>1402.7883333333334</v>
      </c>
      <c r="AH40" s="9">
        <f t="shared" si="10"/>
        <v>0.80838913745627328</v>
      </c>
      <c r="AI40" s="9">
        <f t="shared" si="11"/>
        <v>0.65349299755729751</v>
      </c>
      <c r="AJ40" s="9">
        <f t="shared" si="12"/>
        <v>0.46761748846974605</v>
      </c>
      <c r="AK40" s="9">
        <f t="shared" si="13"/>
        <v>0.21866611552275309</v>
      </c>
      <c r="AL40" s="9">
        <f t="shared" si="14"/>
        <v>0.20275064139917642</v>
      </c>
      <c r="AM40" s="9">
        <f t="shared" si="15"/>
        <v>4.1107822587777433E-2</v>
      </c>
      <c r="AN40" s="8" t="s">
        <v>3879</v>
      </c>
    </row>
    <row r="41" spans="13:40" ht="23">
      <c r="M41" s="8" t="s">
        <v>3892</v>
      </c>
      <c r="N41" s="8"/>
      <c r="O41" s="8"/>
      <c r="P41" s="8"/>
      <c r="Q41" s="8"/>
      <c r="R41" s="8"/>
      <c r="S41" s="8"/>
      <c r="T41" s="8"/>
      <c r="U41" s="8"/>
      <c r="V41" s="8"/>
      <c r="W41" s="8" t="s">
        <v>3892</v>
      </c>
      <c r="X41" s="8">
        <v>36.89</v>
      </c>
      <c r="Y41" s="8">
        <v>2.15</v>
      </c>
      <c r="Z41" s="9">
        <v>1.42</v>
      </c>
      <c r="AA41" s="8">
        <v>1670.7</v>
      </c>
      <c r="AB41" s="8">
        <v>415</v>
      </c>
      <c r="AC41" s="21" t="s">
        <v>3892</v>
      </c>
      <c r="AD41" s="8" t="s">
        <v>4288</v>
      </c>
      <c r="AE41" s="8" t="s">
        <v>3722</v>
      </c>
      <c r="AF41" s="9">
        <f t="shared" si="8"/>
        <v>3592.0050000000001</v>
      </c>
      <c r="AG41" s="9">
        <f t="shared" si="9"/>
        <v>2840.19</v>
      </c>
      <c r="AH41" s="9">
        <f t="shared" si="10"/>
        <v>0.78626985617290313</v>
      </c>
      <c r="AI41" s="9">
        <f t="shared" si="11"/>
        <v>0.61822028672615781</v>
      </c>
      <c r="AJ41" s="9">
        <f t="shared" si="12"/>
        <v>0.65191219136860146</v>
      </c>
      <c r="AK41" s="9">
        <f t="shared" si="13"/>
        <v>0.42498950525501206</v>
      </c>
      <c r="AL41" s="9">
        <f t="shared" si="14"/>
        <v>0.41050408711853192</v>
      </c>
      <c r="AM41" s="9">
        <f t="shared" si="15"/>
        <v>0.16851360554101924</v>
      </c>
      <c r="AN41" s="8" t="s">
        <v>3892</v>
      </c>
    </row>
    <row r="42" spans="13:40" ht="23">
      <c r="M42" s="8" t="s">
        <v>3905</v>
      </c>
      <c r="N42" s="8"/>
      <c r="O42" s="8"/>
      <c r="P42" s="8"/>
      <c r="Q42" s="8"/>
      <c r="R42" s="8"/>
      <c r="S42" s="8"/>
      <c r="T42" s="8"/>
      <c r="U42" s="8"/>
      <c r="V42" s="8"/>
      <c r="W42" s="8" t="s">
        <v>3905</v>
      </c>
      <c r="X42" s="8">
        <v>26.38</v>
      </c>
      <c r="Y42" s="8">
        <v>3.42</v>
      </c>
      <c r="Z42" s="9">
        <v>1.28</v>
      </c>
      <c r="AA42" s="8">
        <v>1668.3</v>
      </c>
      <c r="AB42" s="8">
        <v>239</v>
      </c>
      <c r="AC42" s="21" t="s">
        <v>3905</v>
      </c>
      <c r="AD42" s="8" t="s">
        <v>4288</v>
      </c>
      <c r="AE42" s="8" t="s">
        <v>3722</v>
      </c>
      <c r="AF42" s="9">
        <f t="shared" si="8"/>
        <v>5705.5859999999993</v>
      </c>
      <c r="AG42" s="9">
        <f t="shared" si="9"/>
        <v>2446.84</v>
      </c>
      <c r="AH42" s="9">
        <f t="shared" si="10"/>
        <v>0.78514036095843309</v>
      </c>
      <c r="AI42" s="9">
        <f t="shared" si="11"/>
        <v>0.6164453864059386</v>
      </c>
      <c r="AJ42" s="9">
        <f t="shared" si="12"/>
        <v>1.035505538634276</v>
      </c>
      <c r="AK42" s="9">
        <f t="shared" si="13"/>
        <v>1.0722717205422621</v>
      </c>
      <c r="AL42" s="9">
        <f t="shared" si="14"/>
        <v>0.35365162912520243</v>
      </c>
      <c r="AM42" s="9">
        <f t="shared" si="15"/>
        <v>0.12506947478290972</v>
      </c>
      <c r="AN42" s="8" t="s">
        <v>3905</v>
      </c>
    </row>
    <row r="43" spans="13:40" ht="28.5" customHeight="1">
      <c r="M43" s="8" t="s">
        <v>3885</v>
      </c>
      <c r="N43" s="8"/>
      <c r="O43" s="8"/>
      <c r="P43" s="8"/>
      <c r="Q43" s="8"/>
      <c r="R43" s="8"/>
      <c r="S43" s="8"/>
      <c r="T43" s="8"/>
      <c r="U43" s="8"/>
      <c r="V43" s="8"/>
      <c r="W43" s="8" t="s">
        <v>3885</v>
      </c>
      <c r="X43" s="8">
        <v>65.84</v>
      </c>
      <c r="Y43" s="8">
        <v>1.63</v>
      </c>
      <c r="Z43" s="9">
        <v>1.42</v>
      </c>
      <c r="AA43" s="8">
        <v>1523.4</v>
      </c>
      <c r="AB43" s="8">
        <v>502</v>
      </c>
      <c r="AC43" s="21" t="s">
        <v>3885</v>
      </c>
      <c r="AD43" s="8" t="s">
        <v>4288</v>
      </c>
      <c r="AE43" s="8" t="s">
        <v>3722</v>
      </c>
      <c r="AF43" s="9">
        <f t="shared" si="8"/>
        <v>2483.1419999999998</v>
      </c>
      <c r="AG43" s="9">
        <f t="shared" si="9"/>
        <v>2589.7800000000002</v>
      </c>
      <c r="AH43" s="9">
        <f t="shared" si="10"/>
        <v>0.71694708738480906</v>
      </c>
      <c r="AI43" s="9">
        <f t="shared" si="11"/>
        <v>0.51401312610956107</v>
      </c>
      <c r="AJ43" s="9">
        <f t="shared" si="12"/>
        <v>0.45066489125137948</v>
      </c>
      <c r="AK43" s="9">
        <f t="shared" si="13"/>
        <v>0.2030988442066177</v>
      </c>
      <c r="AL43" s="9">
        <f t="shared" si="14"/>
        <v>0.37431132238963999</v>
      </c>
      <c r="AM43" s="9">
        <f t="shared" si="15"/>
        <v>0.14010896606908099</v>
      </c>
      <c r="AN43" s="8" t="s">
        <v>3885</v>
      </c>
    </row>
    <row r="44" spans="13:40" ht="23">
      <c r="M44" s="8" t="s">
        <v>3894</v>
      </c>
      <c r="N44" s="8"/>
      <c r="O44" s="8"/>
      <c r="P44" s="8"/>
      <c r="Q44" s="8"/>
      <c r="R44" s="8"/>
      <c r="S44" s="8"/>
      <c r="T44" s="8"/>
      <c r="U44" s="8"/>
      <c r="V44" s="8"/>
      <c r="W44" s="8" t="s">
        <v>3894</v>
      </c>
      <c r="X44" s="8">
        <v>63.89</v>
      </c>
      <c r="Y44" s="8">
        <v>1.64</v>
      </c>
      <c r="Z44" s="9">
        <v>0.55000000000000004</v>
      </c>
      <c r="AA44" s="8">
        <v>1405.1</v>
      </c>
      <c r="AB44" s="8">
        <v>581</v>
      </c>
      <c r="AC44" s="21" t="s">
        <v>3894</v>
      </c>
      <c r="AD44" s="8" t="s">
        <v>4288</v>
      </c>
      <c r="AE44" s="8" t="s">
        <v>3722</v>
      </c>
      <c r="AF44" s="9">
        <f t="shared" si="8"/>
        <v>2304.3639999999996</v>
      </c>
      <c r="AG44" s="9">
        <f t="shared" si="9"/>
        <v>1288.0083333333332</v>
      </c>
      <c r="AH44" s="9">
        <f t="shared" si="10"/>
        <v>0.66127238577156044</v>
      </c>
      <c r="AI44" s="9">
        <f t="shared" si="11"/>
        <v>0.43728116818401147</v>
      </c>
      <c r="AJ44" s="9">
        <f t="shared" si="12"/>
        <v>0.4182185116532175</v>
      </c>
      <c r="AK44" s="9">
        <f t="shared" si="13"/>
        <v>0.17490672348943243</v>
      </c>
      <c r="AL44" s="9">
        <f t="shared" si="14"/>
        <v>0.18616102622573197</v>
      </c>
      <c r="AM44" s="9">
        <f t="shared" si="15"/>
        <v>3.4655927685417663E-2</v>
      </c>
      <c r="AN44" s="8" t="s">
        <v>3894</v>
      </c>
    </row>
    <row r="45" spans="13:40" ht="23">
      <c r="M45" s="8" t="s">
        <v>3864</v>
      </c>
      <c r="N45" s="8"/>
      <c r="O45" s="8"/>
      <c r="P45" s="8"/>
      <c r="Q45" s="8"/>
      <c r="R45" s="8"/>
      <c r="S45" s="8"/>
      <c r="T45" s="8"/>
      <c r="U45" s="8"/>
      <c r="V45" s="8"/>
      <c r="W45" s="8" t="s">
        <v>3864</v>
      </c>
      <c r="X45" s="8">
        <v>65.400000000000006</v>
      </c>
      <c r="Y45" s="8">
        <v>1.55</v>
      </c>
      <c r="Z45" s="9">
        <v>0.51</v>
      </c>
      <c r="AA45" s="8">
        <v>1383.7</v>
      </c>
      <c r="AB45" s="8">
        <v>540</v>
      </c>
      <c r="AC45" s="21" t="s">
        <v>3864</v>
      </c>
      <c r="AD45" s="8" t="s">
        <v>4288</v>
      </c>
      <c r="AE45" s="8" t="s">
        <v>3722</v>
      </c>
      <c r="AF45" s="9">
        <f t="shared" si="8"/>
        <v>2144.7350000000001</v>
      </c>
      <c r="AG45" s="9">
        <f t="shared" si="9"/>
        <v>1176.145</v>
      </c>
      <c r="AH45" s="9">
        <f t="shared" si="10"/>
        <v>0.65120105344253665</v>
      </c>
      <c r="AI45" s="9">
        <f t="shared" si="11"/>
        <v>0.4240628120046695</v>
      </c>
      <c r="AJ45" s="9">
        <f t="shared" si="12"/>
        <v>0.38924747982114094</v>
      </c>
      <c r="AK45" s="9">
        <f t="shared" si="13"/>
        <v>0.15151360054710952</v>
      </c>
      <c r="AL45" s="9">
        <f t="shared" si="14"/>
        <v>0.16999296861971408</v>
      </c>
      <c r="AM45" s="9">
        <f t="shared" si="15"/>
        <v>2.8897609380143095E-2</v>
      </c>
      <c r="AN45" s="8" t="s">
        <v>3864</v>
      </c>
    </row>
    <row r="46" spans="13:40" ht="23">
      <c r="M46" s="8" t="s">
        <v>3951</v>
      </c>
      <c r="N46" s="8"/>
      <c r="O46" s="8"/>
      <c r="P46" s="8"/>
      <c r="Q46" s="8"/>
      <c r="R46" s="8"/>
      <c r="S46" s="8"/>
      <c r="T46" s="8"/>
      <c r="U46" s="8"/>
      <c r="V46" s="8"/>
      <c r="W46" s="8" t="s">
        <v>3951</v>
      </c>
      <c r="X46" s="8">
        <v>20.95</v>
      </c>
      <c r="Y46" s="8">
        <v>2.83</v>
      </c>
      <c r="Z46" s="9">
        <v>1.36</v>
      </c>
      <c r="AA46" s="8">
        <v>1312.2</v>
      </c>
      <c r="AB46" s="8">
        <v>172</v>
      </c>
      <c r="AC46" s="21" t="s">
        <v>3951</v>
      </c>
      <c r="AD46" s="8" t="s">
        <v>4288</v>
      </c>
      <c r="AE46" s="8" t="s">
        <v>3722</v>
      </c>
      <c r="AF46" s="9">
        <f t="shared" si="8"/>
        <v>3713.5260000000003</v>
      </c>
      <c r="AG46" s="9">
        <f t="shared" si="9"/>
        <v>2099.52</v>
      </c>
      <c r="AH46" s="9">
        <f t="shared" si="10"/>
        <v>0.61755150851145235</v>
      </c>
      <c r="AI46" s="9">
        <f t="shared" si="11"/>
        <v>0.38136986566477038</v>
      </c>
      <c r="AJ46" s="9">
        <f t="shared" si="12"/>
        <v>0.67396701072639842</v>
      </c>
      <c r="AK46" s="9">
        <f t="shared" si="13"/>
        <v>0.45423153154747725</v>
      </c>
      <c r="AL46" s="9">
        <f t="shared" si="14"/>
        <v>0.30345207221597853</v>
      </c>
      <c r="AM46" s="9">
        <f t="shared" si="15"/>
        <v>9.2083160132171452E-2</v>
      </c>
      <c r="AN46" s="8" t="s">
        <v>3951</v>
      </c>
    </row>
    <row r="47" spans="13:40" ht="23">
      <c r="M47" s="8" t="s">
        <v>3942</v>
      </c>
      <c r="N47" s="8"/>
      <c r="O47" s="8"/>
      <c r="P47" s="8"/>
      <c r="Q47" s="8"/>
      <c r="R47" s="8"/>
      <c r="S47" s="8"/>
      <c r="T47" s="8"/>
      <c r="U47" s="8"/>
      <c r="V47" s="8"/>
      <c r="W47" s="8" t="s">
        <v>3942</v>
      </c>
      <c r="X47" s="8">
        <v>33.71</v>
      </c>
      <c r="Y47" s="8">
        <v>4.1399999999999997</v>
      </c>
      <c r="Z47" s="9">
        <v>10.02</v>
      </c>
      <c r="AA47" s="8">
        <v>1259</v>
      </c>
      <c r="AB47" s="8">
        <v>591</v>
      </c>
      <c r="AC47" s="21" t="s">
        <v>3942</v>
      </c>
      <c r="AD47" s="8" t="s">
        <v>4288</v>
      </c>
      <c r="AE47" s="8" t="s">
        <v>3722</v>
      </c>
      <c r="AF47" s="9">
        <f t="shared" si="8"/>
        <v>5212.2599999999993</v>
      </c>
      <c r="AG47" s="9">
        <f t="shared" si="9"/>
        <v>12631.966666666667</v>
      </c>
      <c r="AH47" s="9">
        <f t="shared" si="10"/>
        <v>0.59251436459070139</v>
      </c>
      <c r="AI47" s="9">
        <f t="shared" si="11"/>
        <v>0.35107327224632262</v>
      </c>
      <c r="AJ47" s="9">
        <f t="shared" si="12"/>
        <v>0.94597191222810262</v>
      </c>
      <c r="AK47" s="9">
        <f t="shared" si="13"/>
        <v>0.89486285872449312</v>
      </c>
      <c r="AL47" s="9">
        <f t="shared" si="14"/>
        <v>1.8257489622214444</v>
      </c>
      <c r="AM47" s="9">
        <f t="shared" si="15"/>
        <v>3.3333592730526815</v>
      </c>
      <c r="AN47" s="8" t="s">
        <v>3942</v>
      </c>
    </row>
    <row r="48" spans="13:40" ht="25.5" customHeight="1">
      <c r="M48" s="8" t="s">
        <v>3914</v>
      </c>
      <c r="N48" s="8"/>
      <c r="O48" s="8"/>
      <c r="P48" s="8"/>
      <c r="Q48" s="8"/>
      <c r="R48" s="8"/>
      <c r="S48" s="8"/>
      <c r="T48" s="8"/>
      <c r="U48" s="8"/>
      <c r="V48" s="8"/>
      <c r="W48" s="8" t="s">
        <v>3914</v>
      </c>
      <c r="X48" s="8">
        <v>35.28</v>
      </c>
      <c r="Y48" s="8">
        <v>2.04</v>
      </c>
      <c r="Z48" s="9">
        <v>1.02</v>
      </c>
      <c r="AA48" s="8">
        <v>1238.7</v>
      </c>
      <c r="AB48" s="8">
        <v>229</v>
      </c>
      <c r="AC48" s="21" t="s">
        <v>3914</v>
      </c>
      <c r="AD48" s="8" t="s">
        <v>4288</v>
      </c>
      <c r="AE48" s="8" t="s">
        <v>3722</v>
      </c>
      <c r="AF48" s="9">
        <f t="shared" si="8"/>
        <v>2526.9480000000003</v>
      </c>
      <c r="AG48" s="9">
        <f t="shared" si="9"/>
        <v>1279.9900000000002</v>
      </c>
      <c r="AH48" s="9">
        <f t="shared" si="10"/>
        <v>0.58296071756830969</v>
      </c>
      <c r="AI48" s="9">
        <f t="shared" si="11"/>
        <v>0.33984319822775855</v>
      </c>
      <c r="AJ48" s="9">
        <f t="shared" si="12"/>
        <v>0.4586152324828347</v>
      </c>
      <c r="AK48" s="9">
        <f t="shared" si="13"/>
        <v>0.21032793146528453</v>
      </c>
      <c r="AL48" s="9">
        <f t="shared" si="14"/>
        <v>0.18500210425036698</v>
      </c>
      <c r="AM48" s="9">
        <f t="shared" si="15"/>
        <v>3.4225778577063652E-2</v>
      </c>
      <c r="AN48" s="8" t="s">
        <v>3914</v>
      </c>
    </row>
    <row r="49" spans="13:40" ht="23">
      <c r="M49" s="8" t="s">
        <v>3916</v>
      </c>
      <c r="N49" s="8"/>
      <c r="O49" s="8"/>
      <c r="P49" s="8"/>
      <c r="Q49" s="8"/>
      <c r="R49" s="8"/>
      <c r="S49" s="8"/>
      <c r="T49" s="8"/>
      <c r="U49" s="8"/>
      <c r="V49" s="8"/>
      <c r="W49" s="8" t="s">
        <v>3916</v>
      </c>
      <c r="X49" s="8">
        <v>75.44</v>
      </c>
      <c r="Y49" s="8">
        <v>1.32</v>
      </c>
      <c r="Z49" s="9">
        <v>0.22</v>
      </c>
      <c r="AA49" s="8">
        <v>1198.4000000000001</v>
      </c>
      <c r="AB49" s="8">
        <v>1117</v>
      </c>
      <c r="AC49" s="21" t="s">
        <v>3916</v>
      </c>
      <c r="AD49" s="8" t="s">
        <v>4288</v>
      </c>
      <c r="AE49" s="8" t="s">
        <v>3722</v>
      </c>
      <c r="AF49" s="9">
        <f t="shared" si="8"/>
        <v>1581.8880000000001</v>
      </c>
      <c r="AG49" s="9">
        <f t="shared" si="9"/>
        <v>439.41333333333336</v>
      </c>
      <c r="AH49" s="9">
        <f t="shared" si="10"/>
        <v>0.56399461042533494</v>
      </c>
      <c r="AI49" s="9">
        <f t="shared" si="11"/>
        <v>0.31808992058882535</v>
      </c>
      <c r="AJ49" s="9">
        <f t="shared" si="12"/>
        <v>0.28709650253262292</v>
      </c>
      <c r="AK49" s="9">
        <f t="shared" si="13"/>
        <v>8.2424401766464359E-2</v>
      </c>
      <c r="AL49" s="9">
        <f t="shared" si="14"/>
        <v>6.3510176878205746E-2</v>
      </c>
      <c r="AM49" s="9">
        <f t="shared" si="15"/>
        <v>4.0335425671009801E-3</v>
      </c>
      <c r="AN49" s="8" t="s">
        <v>3916</v>
      </c>
    </row>
    <row r="50" spans="13:40" ht="24" customHeight="1">
      <c r="M50" s="8" t="s">
        <v>3938</v>
      </c>
      <c r="N50" s="8"/>
      <c r="O50" s="8"/>
      <c r="P50" s="8"/>
      <c r="Q50" s="8"/>
      <c r="R50" s="8"/>
      <c r="S50" s="8"/>
      <c r="T50" s="8"/>
      <c r="U50" s="8"/>
      <c r="V50" s="8"/>
      <c r="W50" s="8" t="s">
        <v>3938</v>
      </c>
      <c r="X50" s="8">
        <v>21.45</v>
      </c>
      <c r="Y50" s="8">
        <v>2.83</v>
      </c>
      <c r="Z50" s="9">
        <v>1.23</v>
      </c>
      <c r="AA50" s="8">
        <v>1169.3</v>
      </c>
      <c r="AB50" s="8">
        <v>203</v>
      </c>
      <c r="AC50" s="21" t="s">
        <v>3938</v>
      </c>
      <c r="AD50" s="8" t="s">
        <v>4288</v>
      </c>
      <c r="AE50" s="8" t="s">
        <v>3722</v>
      </c>
      <c r="AF50" s="9">
        <f t="shared" si="8"/>
        <v>3309.1190000000001</v>
      </c>
      <c r="AG50" s="9">
        <f t="shared" si="9"/>
        <v>1617.5316666666665</v>
      </c>
      <c r="AH50" s="9">
        <f t="shared" si="10"/>
        <v>0.55029948094988657</v>
      </c>
      <c r="AI50" s="9">
        <f t="shared" si="11"/>
        <v>0.30282951873371455</v>
      </c>
      <c r="AJ50" s="9">
        <f t="shared" si="12"/>
        <v>0.60057127392347032</v>
      </c>
      <c r="AK50" s="9">
        <f t="shared" si="13"/>
        <v>0.36068585506206002</v>
      </c>
      <c r="AL50" s="9">
        <f t="shared" si="14"/>
        <v>0.23378835930353861</v>
      </c>
      <c r="AM50" s="9">
        <f t="shared" si="15"/>
        <v>5.4656996945840468E-2</v>
      </c>
      <c r="AN50" s="8" t="s">
        <v>3938</v>
      </c>
    </row>
    <row r="51" spans="13:40" ht="23">
      <c r="M51" s="8" t="s">
        <v>3953</v>
      </c>
      <c r="N51" s="8"/>
      <c r="O51" s="8"/>
      <c r="P51" s="8"/>
      <c r="Q51" s="8"/>
      <c r="R51" s="8"/>
      <c r="S51" s="8"/>
      <c r="T51" s="8"/>
      <c r="U51" s="8"/>
      <c r="V51" s="8"/>
      <c r="W51" s="8" t="s">
        <v>3953</v>
      </c>
      <c r="X51" s="8">
        <v>62.27</v>
      </c>
      <c r="Y51" s="8">
        <v>1.86</v>
      </c>
      <c r="Z51" s="9">
        <v>1.1000000000000001</v>
      </c>
      <c r="AA51" s="8">
        <v>1109.3</v>
      </c>
      <c r="AB51" s="8">
        <v>669</v>
      </c>
      <c r="AC51" s="21" t="s">
        <v>3953</v>
      </c>
      <c r="AD51" s="8" t="s">
        <v>4288</v>
      </c>
      <c r="AE51" s="8" t="s">
        <v>3722</v>
      </c>
      <c r="AF51" s="9">
        <f t="shared" si="8"/>
        <v>2063.2980000000002</v>
      </c>
      <c r="AG51" s="9">
        <f t="shared" si="9"/>
        <v>1111.1488333333334</v>
      </c>
      <c r="AH51" s="9">
        <f t="shared" si="10"/>
        <v>0.52206210058813751</v>
      </c>
      <c r="AI51" s="9">
        <f t="shared" si="11"/>
        <v>0.27254883687049863</v>
      </c>
      <c r="AJ51" s="9">
        <f t="shared" si="12"/>
        <v>0.37446749673969071</v>
      </c>
      <c r="AK51" s="9">
        <f t="shared" si="13"/>
        <v>0.14022590611449026</v>
      </c>
      <c r="AL51" s="9">
        <f t="shared" si="14"/>
        <v>0.16059881116415514</v>
      </c>
      <c r="AM51" s="9">
        <f t="shared" si="15"/>
        <v>2.5791978147339963E-2</v>
      </c>
      <c r="AN51" s="8" t="s">
        <v>3953</v>
      </c>
    </row>
    <row r="52" spans="13:40" ht="23">
      <c r="M52" s="8" t="s">
        <v>3956</v>
      </c>
      <c r="N52" s="8"/>
      <c r="O52" s="8"/>
      <c r="P52" s="8"/>
      <c r="Q52" s="8"/>
      <c r="R52" s="8"/>
      <c r="S52" s="8"/>
      <c r="T52" s="8"/>
      <c r="U52" s="8"/>
      <c r="V52" s="8"/>
      <c r="W52" s="8" t="s">
        <v>3956</v>
      </c>
      <c r="X52" s="8">
        <v>19.079999999999998</v>
      </c>
      <c r="Y52" s="8">
        <v>2.2599999999999998</v>
      </c>
      <c r="Z52" s="9">
        <v>0.57999999999999996</v>
      </c>
      <c r="AA52" s="8">
        <v>1088.5</v>
      </c>
      <c r="AB52" s="8">
        <v>258</v>
      </c>
      <c r="AC52" s="21" t="s">
        <v>3956</v>
      </c>
      <c r="AD52" s="8" t="s">
        <v>4288</v>
      </c>
      <c r="AE52" s="8" t="s">
        <v>3722</v>
      </c>
      <c r="AF52" s="9">
        <f t="shared" si="8"/>
        <v>2460.0099999999998</v>
      </c>
      <c r="AG52" s="9">
        <f t="shared" si="9"/>
        <v>1052.2166666666667</v>
      </c>
      <c r="AH52" s="9">
        <f t="shared" si="10"/>
        <v>0.51227314206273122</v>
      </c>
      <c r="AI52" s="9">
        <f t="shared" si="11"/>
        <v>0.26242377207882323</v>
      </c>
      <c r="AJ52" s="9">
        <f t="shared" si="12"/>
        <v>0.44646666969803017</v>
      </c>
      <c r="AK52" s="9">
        <f t="shared" si="13"/>
        <v>0.19933248715124996</v>
      </c>
      <c r="AL52" s="9">
        <f t="shared" si="14"/>
        <v>0.15208110802478167</v>
      </c>
      <c r="AM52" s="9">
        <f t="shared" si="15"/>
        <v>2.3128663418045311E-2</v>
      </c>
      <c r="AN52" s="8" t="s">
        <v>3956</v>
      </c>
    </row>
    <row r="53" spans="13:40" ht="23">
      <c r="M53" s="8" t="s">
        <v>3948</v>
      </c>
      <c r="N53" s="8"/>
      <c r="O53" s="8"/>
      <c r="P53" s="8"/>
      <c r="Q53" s="8"/>
      <c r="R53" s="8"/>
      <c r="S53" s="8"/>
      <c r="T53" s="8"/>
      <c r="U53" s="8"/>
      <c r="V53" s="8"/>
      <c r="W53" s="8" t="s">
        <v>3948</v>
      </c>
      <c r="X53" s="8">
        <v>70.94</v>
      </c>
      <c r="Y53" s="8">
        <v>1.31</v>
      </c>
      <c r="Z53" s="9">
        <v>1.22</v>
      </c>
      <c r="AA53" s="8">
        <v>1084</v>
      </c>
      <c r="AB53" s="8">
        <v>687</v>
      </c>
      <c r="AC53" s="21" t="s">
        <v>3948</v>
      </c>
      <c r="AD53" s="8" t="s">
        <v>4288</v>
      </c>
      <c r="AE53" s="8" t="s">
        <v>3722</v>
      </c>
      <c r="AF53" s="9">
        <f t="shared" si="8"/>
        <v>1420.04</v>
      </c>
      <c r="AG53" s="9">
        <f t="shared" si="9"/>
        <v>1481.4666666666667</v>
      </c>
      <c r="AH53" s="9">
        <f t="shared" si="10"/>
        <v>0.51015533853560002</v>
      </c>
      <c r="AI53" s="9">
        <f t="shared" si="11"/>
        <v>0.26025846943637265</v>
      </c>
      <c r="AJ53" s="9">
        <f t="shared" si="12"/>
        <v>0.25772274488233415</v>
      </c>
      <c r="AK53" s="9">
        <f t="shared" si="13"/>
        <v>6.6421013229684689E-2</v>
      </c>
      <c r="AL53" s="9">
        <f t="shared" si="14"/>
        <v>0.21412233744803497</v>
      </c>
      <c r="AM53" s="9">
        <f t="shared" si="15"/>
        <v>4.5848375394210154E-2</v>
      </c>
      <c r="AN53" s="8" t="s">
        <v>3948</v>
      </c>
    </row>
    <row r="54" spans="13:40" ht="23">
      <c r="M54" s="8" t="s">
        <v>3827</v>
      </c>
      <c r="N54" s="8"/>
      <c r="O54" s="8"/>
      <c r="P54" s="8"/>
      <c r="Q54" s="8"/>
      <c r="R54" s="8"/>
      <c r="S54" s="8"/>
      <c r="T54" s="8"/>
      <c r="U54" s="8"/>
      <c r="V54" s="8"/>
      <c r="W54" s="8" t="s">
        <v>3827</v>
      </c>
      <c r="X54" s="8">
        <v>58.38</v>
      </c>
      <c r="Y54" s="8">
        <v>1.9</v>
      </c>
      <c r="Z54" s="9">
        <v>1.38</v>
      </c>
      <c r="AA54" s="8">
        <v>1039.4000000000001</v>
      </c>
      <c r="AB54" s="8">
        <v>420</v>
      </c>
      <c r="AC54" s="21" t="s">
        <v>3827</v>
      </c>
      <c r="AD54" s="8" t="s">
        <v>4288</v>
      </c>
      <c r="AE54" s="8" t="s">
        <v>3722</v>
      </c>
      <c r="AF54" s="9">
        <f t="shared" si="8"/>
        <v>1974.8600000000001</v>
      </c>
      <c r="AG54" s="9">
        <f t="shared" si="9"/>
        <v>1697.6866666666667</v>
      </c>
      <c r="AH54" s="9">
        <f t="shared" si="10"/>
        <v>0.4891655524666999</v>
      </c>
      <c r="AI54" s="9">
        <f t="shared" si="11"/>
        <v>0.23928293772005174</v>
      </c>
      <c r="AJ54" s="9">
        <f t="shared" si="12"/>
        <v>0.35841690371984342</v>
      </c>
      <c r="AK54" s="9">
        <f t="shared" si="13"/>
        <v>0.12846267687211951</v>
      </c>
      <c r="AL54" s="9">
        <f t="shared" si="14"/>
        <v>0.2453734839265343</v>
      </c>
      <c r="AM54" s="9">
        <f t="shared" si="15"/>
        <v>6.0208146614245187E-2</v>
      </c>
      <c r="AN54" s="8" t="s">
        <v>3827</v>
      </c>
    </row>
    <row r="55" spans="13:40" ht="27" customHeight="1">
      <c r="M55" s="8" t="s">
        <v>3964</v>
      </c>
      <c r="N55" s="8"/>
      <c r="O55" s="8"/>
      <c r="P55" s="8"/>
      <c r="Q55" s="8"/>
      <c r="R55" s="8"/>
      <c r="S55" s="8"/>
      <c r="T55" s="8"/>
      <c r="U55" s="8"/>
      <c r="V55" s="8"/>
      <c r="W55" s="8" t="s">
        <v>3964</v>
      </c>
      <c r="X55" s="8">
        <v>11.13</v>
      </c>
      <c r="Y55" s="8">
        <v>2.4300000000000002</v>
      </c>
      <c r="Z55" s="9">
        <v>0.56000000000000005</v>
      </c>
      <c r="AA55" s="8">
        <v>1009</v>
      </c>
      <c r="AB55" s="8">
        <v>251</v>
      </c>
      <c r="AC55" s="21" t="s">
        <v>3964</v>
      </c>
      <c r="AD55" s="8" t="s">
        <v>4288</v>
      </c>
      <c r="AE55" s="8" t="s">
        <v>3722</v>
      </c>
      <c r="AF55" s="9">
        <f t="shared" si="8"/>
        <v>2451.8700000000003</v>
      </c>
      <c r="AG55" s="9">
        <f t="shared" si="9"/>
        <v>941.73333333333335</v>
      </c>
      <c r="AH55" s="9">
        <f t="shared" si="10"/>
        <v>0.47485861308341371</v>
      </c>
      <c r="AI55" s="9">
        <f t="shared" si="11"/>
        <v>0.2254907024195032</v>
      </c>
      <c r="AJ55" s="9">
        <f t="shared" si="12"/>
        <v>0.44498934290206521</v>
      </c>
      <c r="AK55" s="9">
        <f t="shared" si="13"/>
        <v>0.19801551529641179</v>
      </c>
      <c r="AL55" s="9">
        <f t="shared" si="14"/>
        <v>0.1361125073706661</v>
      </c>
      <c r="AM55" s="9">
        <f t="shared" si="15"/>
        <v>1.8526614662729635E-2</v>
      </c>
      <c r="AN55" s="8" t="s">
        <v>3964</v>
      </c>
    </row>
    <row r="56" spans="13:40" ht="23">
      <c r="M56" s="8" t="s">
        <v>3852</v>
      </c>
      <c r="N56" s="8"/>
      <c r="O56" s="8"/>
      <c r="P56" s="8"/>
      <c r="Q56" s="8"/>
      <c r="R56" s="8"/>
      <c r="S56" s="8"/>
      <c r="T56" s="8"/>
      <c r="U56" s="8"/>
      <c r="V56" s="8"/>
      <c r="W56" s="8" t="s">
        <v>3852</v>
      </c>
      <c r="X56" s="8">
        <v>58.98</v>
      </c>
      <c r="Y56" s="8">
        <v>1.71</v>
      </c>
      <c r="Z56" s="9">
        <v>1.08</v>
      </c>
      <c r="AA56" s="8">
        <v>982.3</v>
      </c>
      <c r="AB56" s="8">
        <v>727</v>
      </c>
      <c r="AC56" s="21" t="s">
        <v>3852</v>
      </c>
      <c r="AD56" s="8" t="s">
        <v>4288</v>
      </c>
      <c r="AE56" s="8" t="s">
        <v>3722</v>
      </c>
      <c r="AF56" s="9">
        <f t="shared" si="8"/>
        <v>1679.7329999999999</v>
      </c>
      <c r="AG56" s="9">
        <f t="shared" si="9"/>
        <v>1113.2733333333333</v>
      </c>
      <c r="AH56" s="9">
        <f t="shared" si="10"/>
        <v>0.46229297882243525</v>
      </c>
      <c r="AI56" s="9">
        <f t="shared" si="11"/>
        <v>0.21371479826852058</v>
      </c>
      <c r="AJ56" s="9">
        <f t="shared" si="12"/>
        <v>0.30485436989763509</v>
      </c>
      <c r="AK56" s="9">
        <f t="shared" si="13"/>
        <v>9.2936186845684124E-2</v>
      </c>
      <c r="AL56" s="9">
        <f t="shared" si="14"/>
        <v>0.16090587369626858</v>
      </c>
      <c r="AM56" s="9">
        <f t="shared" si="15"/>
        <v>2.5890700189959537E-2</v>
      </c>
      <c r="AN56" s="8" t="s">
        <v>3852</v>
      </c>
    </row>
    <row r="57" spans="13:40" ht="23">
      <c r="M57" s="8" t="s">
        <v>185</v>
      </c>
      <c r="N57" s="8" t="s">
        <v>150</v>
      </c>
      <c r="O57" s="8"/>
      <c r="P57" s="8"/>
      <c r="Q57" s="8"/>
      <c r="R57" s="8"/>
      <c r="S57" s="8"/>
      <c r="T57" s="8"/>
      <c r="U57" s="8"/>
      <c r="V57" s="8"/>
      <c r="W57" s="8" t="s">
        <v>185</v>
      </c>
      <c r="X57" s="8">
        <v>54.81</v>
      </c>
      <c r="Y57" s="8">
        <v>2.33</v>
      </c>
      <c r="Z57" s="9">
        <v>2.58</v>
      </c>
      <c r="AA57" s="8">
        <v>966.2</v>
      </c>
      <c r="AB57" s="8">
        <v>509</v>
      </c>
      <c r="AC57" s="21" t="s">
        <v>185</v>
      </c>
      <c r="AD57" s="8" t="s">
        <v>4288</v>
      </c>
      <c r="AE57" s="8" t="s">
        <v>3722</v>
      </c>
      <c r="AF57" s="9">
        <f t="shared" si="8"/>
        <v>2251.2460000000001</v>
      </c>
      <c r="AG57" s="9">
        <f t="shared" si="9"/>
        <v>2866.3933333333334</v>
      </c>
      <c r="AH57" s="9">
        <f t="shared" si="10"/>
        <v>0.454715948425366</v>
      </c>
      <c r="AI57" s="9">
        <f t="shared" si="11"/>
        <v>0.2067665937523801</v>
      </c>
      <c r="AJ57" s="9">
        <f t="shared" si="12"/>
        <v>0.40857813760554301</v>
      </c>
      <c r="AK57" s="9">
        <f t="shared" si="13"/>
        <v>0.16693609452921404</v>
      </c>
      <c r="AL57" s="9">
        <f t="shared" si="14"/>
        <v>0.41429136030429159</v>
      </c>
      <c r="AM57" s="9">
        <f t="shared" si="15"/>
        <v>0.17163733122278035</v>
      </c>
      <c r="AN57" s="8" t="s">
        <v>185</v>
      </c>
    </row>
    <row r="58" spans="13:40" ht="23">
      <c r="M58" s="8" t="s">
        <v>3788</v>
      </c>
      <c r="N58" s="8"/>
      <c r="O58" s="8"/>
      <c r="P58" s="8"/>
      <c r="Q58" s="8"/>
      <c r="R58" s="8"/>
      <c r="S58" s="8"/>
      <c r="T58" s="8"/>
      <c r="U58" s="8"/>
      <c r="V58" s="8"/>
      <c r="W58" s="8" t="s">
        <v>3788</v>
      </c>
      <c r="X58" s="8">
        <v>72.42</v>
      </c>
      <c r="Y58" s="8">
        <v>1.69</v>
      </c>
      <c r="Z58" s="9">
        <v>1.18</v>
      </c>
      <c r="AA58" s="8">
        <v>930.1</v>
      </c>
      <c r="AB58" s="8">
        <v>1049</v>
      </c>
      <c r="AC58" s="21" t="s">
        <v>3788</v>
      </c>
      <c r="AD58" s="8" t="s">
        <v>4288</v>
      </c>
      <c r="AE58" s="8" t="s">
        <v>3722</v>
      </c>
      <c r="AF58" s="9">
        <f t="shared" si="8"/>
        <v>1571.8689999999999</v>
      </c>
      <c r="AG58" s="9">
        <f t="shared" si="9"/>
        <v>1209.1300000000001</v>
      </c>
      <c r="AH58" s="9">
        <f t="shared" si="10"/>
        <v>0.43772645790771364</v>
      </c>
      <c r="AI58" s="9">
        <f t="shared" si="11"/>
        <v>0.19160445195243339</v>
      </c>
      <c r="AJ58" s="9">
        <f t="shared" si="12"/>
        <v>0.28527815644309296</v>
      </c>
      <c r="AK58" s="9">
        <f t="shared" si="13"/>
        <v>8.1383626543569815E-2</v>
      </c>
      <c r="AL58" s="9">
        <f t="shared" si="14"/>
        <v>0.17476042337224992</v>
      </c>
      <c r="AM58" s="9">
        <f t="shared" si="15"/>
        <v>3.0541205577248036E-2</v>
      </c>
      <c r="AN58" s="8" t="s">
        <v>3788</v>
      </c>
    </row>
    <row r="59" spans="13:40" ht="27" customHeight="1">
      <c r="M59" s="8" t="s">
        <v>3821</v>
      </c>
      <c r="N59" s="8"/>
      <c r="O59" s="8"/>
      <c r="P59" s="8"/>
      <c r="Q59" s="8"/>
      <c r="R59" s="8"/>
      <c r="S59" s="8"/>
      <c r="T59" s="8"/>
      <c r="U59" s="8"/>
      <c r="V59" s="8"/>
      <c r="W59" s="8" t="s">
        <v>3821</v>
      </c>
      <c r="X59" s="8">
        <v>68.180000000000007</v>
      </c>
      <c r="Y59" s="8">
        <v>1.8</v>
      </c>
      <c r="Z59" s="9">
        <v>1.06</v>
      </c>
      <c r="AA59" s="8">
        <v>928.3</v>
      </c>
      <c r="AB59" s="8">
        <v>935</v>
      </c>
      <c r="AC59" s="21" t="s">
        <v>3821</v>
      </c>
      <c r="AD59" s="8" t="s">
        <v>4288</v>
      </c>
      <c r="AE59" s="8" t="s">
        <v>3722</v>
      </c>
      <c r="AF59" s="9">
        <f t="shared" si="8"/>
        <v>1670.94</v>
      </c>
      <c r="AG59" s="9">
        <f t="shared" si="9"/>
        <v>1021.13</v>
      </c>
      <c r="AH59" s="9">
        <f t="shared" si="10"/>
        <v>0.43687933649686111</v>
      </c>
      <c r="AI59" s="9">
        <f t="shared" si="11"/>
        <v>0.19086355465793761</v>
      </c>
      <c r="AJ59" s="9">
        <f t="shared" si="12"/>
        <v>0.30325853027639182</v>
      </c>
      <c r="AK59" s="9">
        <f t="shared" si="13"/>
        <v>9.1965736185397259E-2</v>
      </c>
      <c r="AL59" s="9">
        <f t="shared" si="14"/>
        <v>0.1475880270261308</v>
      </c>
      <c r="AM59" s="9">
        <f t="shared" si="15"/>
        <v>2.1782225721465917E-2</v>
      </c>
      <c r="AN59" s="8" t="s">
        <v>3821</v>
      </c>
    </row>
    <row r="60" spans="13:40" ht="23">
      <c r="M60" s="8" t="s">
        <v>3855</v>
      </c>
      <c r="N60" s="8"/>
      <c r="O60" s="8"/>
      <c r="P60" s="8"/>
      <c r="Q60" s="8"/>
      <c r="R60" s="8"/>
      <c r="S60" s="8"/>
      <c r="T60" s="8"/>
      <c r="U60" s="8"/>
      <c r="V60" s="8"/>
      <c r="W60" s="8" t="s">
        <v>3855</v>
      </c>
      <c r="X60" s="8">
        <v>64.78</v>
      </c>
      <c r="Y60" s="8">
        <v>1.84</v>
      </c>
      <c r="Z60" s="9">
        <v>1.51</v>
      </c>
      <c r="AA60" s="8">
        <v>909.1</v>
      </c>
      <c r="AB60" s="8">
        <v>537</v>
      </c>
      <c r="AC60" s="21" t="s">
        <v>3855</v>
      </c>
      <c r="AD60" s="8" t="s">
        <v>4288</v>
      </c>
      <c r="AE60" s="8" t="s">
        <v>3722</v>
      </c>
      <c r="AF60" s="9">
        <f t="shared" si="8"/>
        <v>1672.7440000000001</v>
      </c>
      <c r="AG60" s="9">
        <f t="shared" si="9"/>
        <v>1681.835</v>
      </c>
      <c r="AH60" s="9">
        <f t="shared" si="10"/>
        <v>0.42784337478110146</v>
      </c>
      <c r="AI60" s="9">
        <f t="shared" si="11"/>
        <v>0.18304995334408206</v>
      </c>
      <c r="AJ60" s="9">
        <f t="shared" si="12"/>
        <v>0.30358593783657867</v>
      </c>
      <c r="AK60" s="9">
        <f t="shared" si="13"/>
        <v>9.2164421652115011E-2</v>
      </c>
      <c r="AL60" s="9">
        <f t="shared" si="14"/>
        <v>0.2430823787700809</v>
      </c>
      <c r="AM60" s="9">
        <f t="shared" si="15"/>
        <v>5.9089042868521076E-2</v>
      </c>
      <c r="AN60" s="8" t="s">
        <v>3855</v>
      </c>
    </row>
    <row r="61" spans="13:40" ht="23">
      <c r="M61" s="8" t="s">
        <v>4470</v>
      </c>
      <c r="N61" s="8"/>
      <c r="O61" s="8"/>
      <c r="P61" s="8"/>
      <c r="Q61" s="8"/>
      <c r="R61" s="8"/>
      <c r="S61" s="8"/>
      <c r="T61" s="8"/>
      <c r="U61" s="8"/>
      <c r="V61" s="8"/>
      <c r="W61" s="8" t="s">
        <v>4470</v>
      </c>
      <c r="X61" s="8">
        <v>63.86</v>
      </c>
      <c r="Y61" s="8">
        <v>2.02</v>
      </c>
      <c r="Z61" s="9">
        <v>2.59</v>
      </c>
      <c r="AA61" s="8">
        <v>831.8</v>
      </c>
      <c r="AB61" s="8">
        <v>1002</v>
      </c>
      <c r="AC61" s="21" t="s">
        <v>4470</v>
      </c>
      <c r="AD61" s="8" t="s">
        <v>4288</v>
      </c>
      <c r="AE61" s="8" t="s">
        <v>3722</v>
      </c>
      <c r="AF61" s="9">
        <f t="shared" si="8"/>
        <v>1680.2359999999999</v>
      </c>
      <c r="AG61" s="9">
        <f t="shared" si="9"/>
        <v>2481.5366666666664</v>
      </c>
      <c r="AH61" s="9">
        <f t="shared" si="10"/>
        <v>0.39146421641504797</v>
      </c>
      <c r="AI61" s="9">
        <f t="shared" si="11"/>
        <v>0.15324423273344751</v>
      </c>
      <c r="AJ61" s="9">
        <f t="shared" si="12"/>
        <v>0.30494565925615724</v>
      </c>
      <c r="AK61" s="9">
        <f t="shared" si="13"/>
        <v>9.2991855099172363E-2</v>
      </c>
      <c r="AL61" s="9">
        <f t="shared" si="14"/>
        <v>0.35866647794730794</v>
      </c>
      <c r="AM61" s="9">
        <f t="shared" si="15"/>
        <v>0.12864164240312673</v>
      </c>
      <c r="AN61" s="8" t="s">
        <v>4470</v>
      </c>
    </row>
    <row r="62" spans="13:40" ht="23">
      <c r="M62" s="8" t="s">
        <v>3989</v>
      </c>
      <c r="N62" s="8"/>
      <c r="O62" s="8"/>
      <c r="P62" s="8"/>
      <c r="Q62" s="8"/>
      <c r="R62" s="8"/>
      <c r="S62" s="8"/>
      <c r="T62" s="8"/>
      <c r="U62" s="8"/>
      <c r="V62" s="8"/>
      <c r="W62" s="8" t="s">
        <v>3989</v>
      </c>
      <c r="X62" s="8">
        <v>50.72</v>
      </c>
      <c r="Y62" s="8">
        <v>3.93</v>
      </c>
      <c r="Z62" s="9">
        <v>4.03</v>
      </c>
      <c r="AA62" s="8">
        <v>605</v>
      </c>
      <c r="AB62" s="8">
        <v>883</v>
      </c>
      <c r="AC62" s="21" t="s">
        <v>3989</v>
      </c>
      <c r="AD62" s="8" t="s">
        <v>4288</v>
      </c>
      <c r="AE62" s="8" t="s">
        <v>3722</v>
      </c>
      <c r="AF62" s="9">
        <f t="shared" si="8"/>
        <v>2377.65</v>
      </c>
      <c r="AG62" s="9">
        <f t="shared" si="9"/>
        <v>2450.25</v>
      </c>
      <c r="AH62" s="9">
        <f t="shared" si="10"/>
        <v>0.28472691864763655</v>
      </c>
      <c r="AI62" s="9">
        <f t="shared" si="11"/>
        <v>8.1069418202577848E-2</v>
      </c>
      <c r="AJ62" s="9">
        <f t="shared" si="12"/>
        <v>0.43151917155114067</v>
      </c>
      <c r="AK62" s="9">
        <f t="shared" si="13"/>
        <v>0.18620879541618277</v>
      </c>
      <c r="AL62" s="9">
        <f t="shared" si="14"/>
        <v>0.3541444901440336</v>
      </c>
      <c r="AM62" s="9">
        <f t="shared" si="15"/>
        <v>0.12541831989937752</v>
      </c>
      <c r="AN62" s="8" t="s">
        <v>3989</v>
      </c>
    </row>
    <row r="63" spans="13:40" ht="23">
      <c r="M63" s="8" t="s">
        <v>5316</v>
      </c>
      <c r="N63" s="8"/>
      <c r="O63" s="8"/>
      <c r="P63" s="8"/>
      <c r="Q63" s="8"/>
      <c r="R63" s="8"/>
      <c r="S63" s="8"/>
      <c r="T63" s="8"/>
      <c r="U63" s="8"/>
      <c r="V63" s="8"/>
      <c r="W63" s="8" t="s">
        <v>5316</v>
      </c>
      <c r="X63" s="8">
        <v>54.72</v>
      </c>
      <c r="Y63" s="8">
        <v>1.47</v>
      </c>
      <c r="Z63" s="9">
        <v>1.1000000000000001</v>
      </c>
      <c r="AA63" s="8">
        <v>359.6</v>
      </c>
      <c r="AB63" s="8">
        <v>1980</v>
      </c>
      <c r="AC63" s="21" t="s">
        <v>5316</v>
      </c>
      <c r="AD63" s="8" t="s">
        <v>4288</v>
      </c>
      <c r="AE63" s="8" t="s">
        <v>3722</v>
      </c>
      <c r="AF63" s="9">
        <f t="shared" si="8"/>
        <v>528.61200000000008</v>
      </c>
      <c r="AG63" s="9">
        <f t="shared" si="9"/>
        <v>360.19933333333336</v>
      </c>
      <c r="AH63" s="9">
        <f t="shared" si="10"/>
        <v>0.16923603296808282</v>
      </c>
      <c r="AI63" s="9">
        <f t="shared" si="11"/>
        <v>2.8640834854774012E-2</v>
      </c>
      <c r="AJ63" s="9">
        <f t="shared" si="12"/>
        <v>9.5937674725881272E-2</v>
      </c>
      <c r="AK63" s="9">
        <f t="shared" si="13"/>
        <v>9.2040374318089983E-3</v>
      </c>
      <c r="AL63" s="9">
        <f t="shared" si="14"/>
        <v>5.2061058770963849E-2</v>
      </c>
      <c r="AM63" s="9">
        <f t="shared" si="15"/>
        <v>2.7103538403537518E-3</v>
      </c>
      <c r="AN63" s="8" t="s">
        <v>5316</v>
      </c>
    </row>
    <row r="64" spans="13:40" ht="25" customHeight="1">
      <c r="M64" s="8" t="s">
        <v>3936</v>
      </c>
      <c r="N64" s="8"/>
      <c r="O64" s="8"/>
      <c r="P64" s="8"/>
      <c r="Q64" s="8"/>
      <c r="R64" s="8"/>
      <c r="S64" s="8"/>
      <c r="T64" s="8"/>
      <c r="U64" s="8"/>
      <c r="V64" s="8"/>
      <c r="W64" s="8" t="s">
        <v>3936</v>
      </c>
      <c r="X64" s="8">
        <v>36.64</v>
      </c>
      <c r="Y64" s="8">
        <v>1.35</v>
      </c>
      <c r="Z64" s="9">
        <v>0.06</v>
      </c>
      <c r="AA64" s="8">
        <v>348.8</v>
      </c>
      <c r="AB64" s="8">
        <v>11659</v>
      </c>
      <c r="AC64" s="21" t="s">
        <v>3936</v>
      </c>
      <c r="AD64" s="8" t="s">
        <v>4288</v>
      </c>
      <c r="AE64" s="8" t="s">
        <v>3722</v>
      </c>
      <c r="AF64" s="9">
        <f t="shared" si="8"/>
        <v>470.88000000000005</v>
      </c>
      <c r="AG64" s="9">
        <f t="shared" si="9"/>
        <v>34.880000000000003</v>
      </c>
      <c r="AH64" s="9">
        <f t="shared" si="10"/>
        <v>0.16415330450296797</v>
      </c>
      <c r="AI64" s="9">
        <f t="shared" si="11"/>
        <v>2.6946307379244125E-2</v>
      </c>
      <c r="AJ64" s="9">
        <f t="shared" si="12"/>
        <v>8.5459906840788649E-2</v>
      </c>
      <c r="AK64" s="9">
        <f t="shared" si="13"/>
        <v>7.3033956772362747E-3</v>
      </c>
      <c r="AL64" s="9">
        <f t="shared" si="14"/>
        <v>5.0413467263437988E-3</v>
      </c>
      <c r="AM64" s="9">
        <f t="shared" si="15"/>
        <v>2.5415176815217337E-5</v>
      </c>
      <c r="AN64" s="8" t="s">
        <v>3936</v>
      </c>
    </row>
    <row r="65" spans="13:40" ht="23">
      <c r="M65" s="9" t="s">
        <v>4747</v>
      </c>
      <c r="N65" s="8" t="s">
        <v>1902</v>
      </c>
      <c r="O65" s="8"/>
      <c r="P65" s="8"/>
      <c r="Q65" s="8"/>
      <c r="R65" s="8"/>
      <c r="S65" s="8"/>
      <c r="T65" s="8"/>
      <c r="U65" s="8"/>
      <c r="V65" s="8"/>
      <c r="W65" s="9" t="s">
        <v>4747</v>
      </c>
      <c r="X65" s="8">
        <v>43.79</v>
      </c>
      <c r="Y65" s="8">
        <v>1.24</v>
      </c>
      <c r="Z65" s="9">
        <v>0.08</v>
      </c>
      <c r="AA65" s="8">
        <v>268.8</v>
      </c>
      <c r="AB65" s="8">
        <v>5341</v>
      </c>
      <c r="AC65" s="22" t="s">
        <v>4747</v>
      </c>
      <c r="AD65" s="8" t="s">
        <v>4288</v>
      </c>
      <c r="AE65" s="8" t="s">
        <v>3722</v>
      </c>
      <c r="AF65" s="9">
        <f t="shared" si="8"/>
        <v>333.31200000000001</v>
      </c>
      <c r="AG65" s="9">
        <f t="shared" si="9"/>
        <v>35.840000000000003</v>
      </c>
      <c r="AH65" s="9">
        <f t="shared" si="10"/>
        <v>0.12650346402063589</v>
      </c>
      <c r="AI65" s="9">
        <f t="shared" si="11"/>
        <v>1.600312640922032E-2</v>
      </c>
      <c r="AJ65" s="9">
        <f t="shared" si="12"/>
        <v>6.0492721009422663E-2</v>
      </c>
      <c r="AK65" s="9">
        <f t="shared" si="13"/>
        <v>3.6593692951238459E-3</v>
      </c>
      <c r="AL65" s="9">
        <f t="shared" si="14"/>
        <v>5.1800993885367476E-3</v>
      </c>
      <c r="AM65" s="9">
        <f t="shared" si="15"/>
        <v>2.6833429675118787E-5</v>
      </c>
      <c r="AN65" s="9" t="s">
        <v>4747</v>
      </c>
    </row>
    <row r="66" spans="13:40" ht="23">
      <c r="M66" s="8" t="s">
        <v>557</v>
      </c>
      <c r="N66" s="8" t="s">
        <v>150</v>
      </c>
      <c r="O66" s="8"/>
      <c r="P66" s="8"/>
      <c r="Q66" s="8"/>
      <c r="R66" s="8"/>
      <c r="S66" s="8"/>
      <c r="T66" s="8"/>
      <c r="U66" s="8"/>
      <c r="V66" s="8"/>
      <c r="W66" s="8" t="s">
        <v>557</v>
      </c>
      <c r="X66" s="8">
        <v>39.159999999999997</v>
      </c>
      <c r="Y66" s="8">
        <v>1.86</v>
      </c>
      <c r="Z66" s="9">
        <v>0.52</v>
      </c>
      <c r="AA66" s="8">
        <v>150.1</v>
      </c>
      <c r="AB66" s="8">
        <v>4330</v>
      </c>
      <c r="AC66" s="21" t="s">
        <v>557</v>
      </c>
      <c r="AD66" s="8" t="s">
        <v>4288</v>
      </c>
      <c r="AE66" s="8" t="s">
        <v>3722</v>
      </c>
      <c r="AF66" s="9">
        <f t="shared" ref="AF66:AF72" si="16">(AA66*Y66)</f>
        <v>279.18599999999998</v>
      </c>
      <c r="AG66" s="9">
        <f t="shared" ref="AG66:AG72" si="17">((((RIGHT(Z66,2))/60)+(LEFT(Z66,2)))*AA66)</f>
        <v>130.08666666666667</v>
      </c>
      <c r="AH66" s="9">
        <f t="shared" ref="AH66:AH72" si="18">(AA66/$AA$73)*100</f>
        <v>7.0640513204975608E-2</v>
      </c>
      <c r="AI66" s="9">
        <f t="shared" ref="AI66:AI72" si="19">(AH66*AH66)</f>
        <v>4.9900821058623335E-3</v>
      </c>
      <c r="AJ66" s="9">
        <f t="shared" ref="AJ66:AJ72" si="20">(AF66/$AF$73)*100</f>
        <v>5.0669405265146988E-2</v>
      </c>
      <c r="AK66" s="9">
        <f t="shared" ref="AK66:AK72" si="21">(AJ66*AJ66)</f>
        <v>2.5673886299237055E-3</v>
      </c>
      <c r="AL66" s="9">
        <f t="shared" ref="AL66:AL72" si="22">(AG66/$AG$73)*100</f>
        <v>1.8801949287298652E-2</v>
      </c>
      <c r="AM66" s="9">
        <f t="shared" ref="AM66:AM72" si="23">(AL66*AL66)</f>
        <v>3.5351329700215026E-4</v>
      </c>
      <c r="AN66" s="8" t="s">
        <v>557</v>
      </c>
    </row>
    <row r="67" spans="13:40" ht="23">
      <c r="M67" s="9" t="s">
        <v>2573</v>
      </c>
      <c r="N67" s="8" t="s">
        <v>150</v>
      </c>
      <c r="O67" s="8"/>
      <c r="P67" s="8"/>
      <c r="Q67" s="8"/>
      <c r="R67" s="8"/>
      <c r="S67" s="8"/>
      <c r="T67" s="8"/>
      <c r="U67" s="8"/>
      <c r="V67" s="8"/>
      <c r="W67" s="9" t="s">
        <v>2573</v>
      </c>
      <c r="X67" s="8">
        <v>28.8</v>
      </c>
      <c r="Y67" s="8">
        <v>2.93</v>
      </c>
      <c r="Z67" s="9">
        <v>0.54</v>
      </c>
      <c r="AA67" s="8">
        <v>143.5</v>
      </c>
      <c r="AB67" s="8">
        <v>4470</v>
      </c>
      <c r="AC67" s="22" t="s">
        <v>2573</v>
      </c>
      <c r="AD67" s="8" t="s">
        <v>4288</v>
      </c>
      <c r="AE67" s="8" t="s">
        <v>3722</v>
      </c>
      <c r="AF67" s="9">
        <f t="shared" si="16"/>
        <v>420.45500000000004</v>
      </c>
      <c r="AG67" s="9">
        <f t="shared" si="17"/>
        <v>129.15</v>
      </c>
      <c r="AH67" s="9">
        <f t="shared" si="18"/>
        <v>6.7534401365183211E-2</v>
      </c>
      <c r="AI67" s="9">
        <f t="shared" si="19"/>
        <v>4.5608953677536597E-3</v>
      </c>
      <c r="AJ67" s="9">
        <f t="shared" si="20"/>
        <v>7.6308284766275464E-2</v>
      </c>
      <c r="AK67" s="9">
        <f t="shared" si="21"/>
        <v>5.822954323970988E-3</v>
      </c>
      <c r="AL67" s="9">
        <f t="shared" si="22"/>
        <v>1.8666569085645113E-2</v>
      </c>
      <c r="AM67" s="9">
        <f t="shared" si="23"/>
        <v>3.4844080142916185E-4</v>
      </c>
      <c r="AN67" s="9" t="s">
        <v>2573</v>
      </c>
    </row>
    <row r="68" spans="13:40" ht="23">
      <c r="M68" s="9" t="s">
        <v>2500</v>
      </c>
      <c r="N68" s="8" t="s">
        <v>150</v>
      </c>
      <c r="O68" s="8"/>
      <c r="P68" s="8" t="s">
        <v>4132</v>
      </c>
      <c r="Q68" s="8"/>
      <c r="R68" s="8"/>
      <c r="S68" s="8"/>
      <c r="T68" s="8"/>
      <c r="U68" s="8"/>
      <c r="V68" s="8"/>
      <c r="W68" s="9" t="s">
        <v>2500</v>
      </c>
      <c r="X68" s="8">
        <v>33.64</v>
      </c>
      <c r="Y68" s="8">
        <v>1.43</v>
      </c>
      <c r="Z68" s="9">
        <v>0.31</v>
      </c>
      <c r="AA68" s="8">
        <v>121.5</v>
      </c>
      <c r="AB68" s="8">
        <v>4054</v>
      </c>
      <c r="AC68" s="22" t="s">
        <v>2500</v>
      </c>
      <c r="AD68" s="8" t="s">
        <v>4288</v>
      </c>
      <c r="AE68" s="8" t="s">
        <v>3722</v>
      </c>
      <c r="AF68" s="9">
        <f t="shared" si="16"/>
        <v>173.745</v>
      </c>
      <c r="AG68" s="9">
        <f t="shared" si="17"/>
        <v>62.775000000000006</v>
      </c>
      <c r="AH68" s="9">
        <f t="shared" si="18"/>
        <v>5.7180695232541885E-2</v>
      </c>
      <c r="AI68" s="9">
        <f t="shared" si="19"/>
        <v>3.2696319072768381E-3</v>
      </c>
      <c r="AJ68" s="9">
        <f t="shared" si="20"/>
        <v>3.1532941543605211E-2</v>
      </c>
      <c r="AK68" s="9">
        <f t="shared" si="21"/>
        <v>9.9432640239242344E-4</v>
      </c>
      <c r="AL68" s="9">
        <f t="shared" si="22"/>
        <v>9.0731233012107792E-3</v>
      </c>
      <c r="AM68" s="9">
        <f t="shared" si="23"/>
        <v>8.2321566438973986E-5</v>
      </c>
      <c r="AN68" s="9" t="s">
        <v>2500</v>
      </c>
    </row>
    <row r="69" spans="13:40" ht="23">
      <c r="M69" s="9" t="s">
        <v>5137</v>
      </c>
      <c r="N69" s="8"/>
      <c r="O69" s="8"/>
      <c r="P69" s="8"/>
      <c r="Q69" s="8"/>
      <c r="R69" s="8"/>
      <c r="S69" s="8"/>
      <c r="T69" s="8"/>
      <c r="U69" s="8"/>
      <c r="V69" s="8"/>
      <c r="W69" s="9" t="s">
        <v>5137</v>
      </c>
      <c r="X69" s="8">
        <v>51.79</v>
      </c>
      <c r="Y69" s="8">
        <v>1.35</v>
      </c>
      <c r="Z69" s="9">
        <v>0.45</v>
      </c>
      <c r="AA69" s="8">
        <v>103.2</v>
      </c>
      <c r="AB69" s="8">
        <v>3347</v>
      </c>
      <c r="AC69" s="22" t="s">
        <v>5137</v>
      </c>
      <c r="AD69" s="8" t="s">
        <v>4288</v>
      </c>
      <c r="AE69" s="8" t="s">
        <v>3722</v>
      </c>
      <c r="AF69" s="9">
        <f t="shared" si="16"/>
        <v>139.32000000000002</v>
      </c>
      <c r="AG69" s="9">
        <f t="shared" si="17"/>
        <v>77.400000000000006</v>
      </c>
      <c r="AH69" s="9">
        <f t="shared" si="18"/>
        <v>4.8568294222208416E-2</v>
      </c>
      <c r="AI69" s="9">
        <f t="shared" si="19"/>
        <v>2.3588792036550034E-3</v>
      </c>
      <c r="AJ69" s="9">
        <f t="shared" si="20"/>
        <v>2.5285155923077379E-2</v>
      </c>
      <c r="AK69" s="9">
        <f t="shared" si="21"/>
        <v>6.3933911005433506E-4</v>
      </c>
      <c r="AL69" s="9">
        <f t="shared" si="22"/>
        <v>1.1186933389306481E-2</v>
      </c>
      <c r="AM69" s="9">
        <f t="shared" si="23"/>
        <v>1.2514747865678019E-4</v>
      </c>
      <c r="AN69" s="9" t="s">
        <v>5137</v>
      </c>
    </row>
    <row r="70" spans="13:40" ht="23">
      <c r="M70" s="8" t="s">
        <v>3891</v>
      </c>
      <c r="N70" s="8"/>
      <c r="O70" s="8"/>
      <c r="P70" s="8"/>
      <c r="Q70" s="8"/>
      <c r="R70" s="8"/>
      <c r="S70" s="8"/>
      <c r="T70" s="8"/>
      <c r="U70" s="8"/>
      <c r="V70" s="8"/>
      <c r="W70" s="8" t="s">
        <v>3891</v>
      </c>
      <c r="X70" s="8">
        <v>38.119999999999997</v>
      </c>
      <c r="Y70" s="8">
        <v>1.62</v>
      </c>
      <c r="Z70" s="9">
        <v>0.28999999999999998</v>
      </c>
      <c r="AA70" s="8">
        <v>87.4</v>
      </c>
      <c r="AB70" s="8">
        <v>10701</v>
      </c>
      <c r="AC70" s="21" t="s">
        <v>3891</v>
      </c>
      <c r="AD70" s="8" t="s">
        <v>4288</v>
      </c>
      <c r="AE70" s="8" t="s">
        <v>3722</v>
      </c>
      <c r="AF70" s="9">
        <f t="shared" si="16"/>
        <v>141.58800000000002</v>
      </c>
      <c r="AG70" s="9">
        <f t="shared" si="17"/>
        <v>42.243333333333339</v>
      </c>
      <c r="AH70" s="9">
        <f t="shared" si="18"/>
        <v>4.1132450726947822E-2</v>
      </c>
      <c r="AI70" s="9">
        <f t="shared" si="19"/>
        <v>1.6918785028047904E-3</v>
      </c>
      <c r="AJ70" s="9">
        <f t="shared" si="20"/>
        <v>2.5696774740429799E-2</v>
      </c>
      <c r="AK70" s="9">
        <f t="shared" si="21"/>
        <v>6.6032423206039098E-4</v>
      </c>
      <c r="AL70" s="9">
        <f t="shared" si="22"/>
        <v>6.1055989165667976E-3</v>
      </c>
      <c r="AM70" s="9">
        <f t="shared" si="23"/>
        <v>3.7278338129981653E-5</v>
      </c>
      <c r="AN70" s="8" t="s">
        <v>3891</v>
      </c>
    </row>
    <row r="71" spans="13:40" ht="23">
      <c r="M71" s="8" t="s">
        <v>378</v>
      </c>
      <c r="N71" s="8" t="s">
        <v>150</v>
      </c>
      <c r="O71" s="8"/>
      <c r="P71" s="8"/>
      <c r="Q71" s="8"/>
      <c r="R71" s="8"/>
      <c r="S71" s="8"/>
      <c r="T71" s="8"/>
      <c r="U71" s="8"/>
      <c r="V71" s="8"/>
      <c r="W71" s="8" t="s">
        <v>378</v>
      </c>
      <c r="X71" s="8">
        <v>41.16</v>
      </c>
      <c r="Y71" s="8">
        <v>1.79</v>
      </c>
      <c r="Z71" s="9">
        <v>0.54</v>
      </c>
      <c r="AA71" s="8">
        <v>16.3</v>
      </c>
      <c r="AB71" s="8">
        <v>18139</v>
      </c>
      <c r="AC71" s="21" t="s">
        <v>378</v>
      </c>
      <c r="AD71" s="8" t="s">
        <v>4288</v>
      </c>
      <c r="AE71" s="8" t="s">
        <v>3722</v>
      </c>
      <c r="AF71" s="9">
        <f t="shared" si="16"/>
        <v>29.177000000000003</v>
      </c>
      <c r="AG71" s="9">
        <f t="shared" si="17"/>
        <v>14.670000000000002</v>
      </c>
      <c r="AH71" s="9">
        <f t="shared" si="18"/>
        <v>7.671154998275166E-3</v>
      </c>
      <c r="AI71" s="9">
        <f t="shared" si="19"/>
        <v>5.8846619007562065E-5</v>
      </c>
      <c r="AJ71" s="9">
        <f t="shared" si="20"/>
        <v>5.2953272636206477E-3</v>
      </c>
      <c r="AK71" s="9">
        <f t="shared" si="21"/>
        <v>2.8040490828844137E-5</v>
      </c>
      <c r="AL71" s="9">
        <f t="shared" si="22"/>
        <v>2.1203141191359957E-3</v>
      </c>
      <c r="AM71" s="9">
        <f t="shared" si="23"/>
        <v>4.4957319638074528E-6</v>
      </c>
      <c r="AN71" s="8" t="s">
        <v>378</v>
      </c>
    </row>
    <row r="72" spans="13:40" ht="23">
      <c r="M72" s="8" t="s">
        <v>1169</v>
      </c>
      <c r="N72" s="8" t="s">
        <v>150</v>
      </c>
      <c r="O72" s="8"/>
      <c r="P72" s="8"/>
      <c r="Q72" s="8"/>
      <c r="R72" s="8"/>
      <c r="S72" s="8"/>
      <c r="T72" s="8"/>
      <c r="U72" s="8"/>
      <c r="V72" s="8"/>
      <c r="W72" s="8" t="s">
        <v>1169</v>
      </c>
      <c r="X72" s="8">
        <v>7.54</v>
      </c>
      <c r="Y72" s="8">
        <v>1.1499999999999999</v>
      </c>
      <c r="Z72" s="9">
        <v>0.06</v>
      </c>
      <c r="AA72" s="8">
        <v>14.1</v>
      </c>
      <c r="AB72" s="8">
        <v>38667</v>
      </c>
      <c r="AC72" s="21" t="s">
        <v>1169</v>
      </c>
      <c r="AD72" s="8" t="s">
        <v>4288</v>
      </c>
      <c r="AE72" s="8" t="s">
        <v>3722</v>
      </c>
      <c r="AF72" s="9">
        <f t="shared" si="16"/>
        <v>16.215</v>
      </c>
      <c r="AG72" s="9">
        <f t="shared" si="17"/>
        <v>1.4100000000000001</v>
      </c>
      <c r="AH72" s="9">
        <f t="shared" si="18"/>
        <v>6.6357843850110331E-3</v>
      </c>
      <c r="AI72" s="9">
        <f t="shared" si="19"/>
        <v>4.4033634404356254E-5</v>
      </c>
      <c r="AJ72" s="9">
        <f t="shared" si="20"/>
        <v>2.9428567563357711E-3</v>
      </c>
      <c r="AK72" s="9">
        <f t="shared" si="21"/>
        <v>8.6604058883110969E-6</v>
      </c>
      <c r="AL72" s="9">
        <f t="shared" si="22"/>
        <v>2.0379297259589326E-4</v>
      </c>
      <c r="AM72" s="9">
        <f t="shared" si="23"/>
        <v>4.1531575679470499E-8</v>
      </c>
      <c r="AN72" s="8" t="s">
        <v>1169</v>
      </c>
    </row>
    <row r="73" spans="13:40" ht="23"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5"/>
      <c r="AA73" s="24">
        <f>SUBTOTAL(109,Table13672[ترافیک کل])</f>
        <v>212484.30000000002</v>
      </c>
      <c r="AB73" s="24"/>
      <c r="AC73" s="21"/>
      <c r="AD73" s="24"/>
      <c r="AE73" s="24"/>
      <c r="AF73" s="25">
        <f>SUBTOTAL(109,Table13672[[مجموع صفحات  مشاهده شده   ]])</f>
        <v>550995.21799999964</v>
      </c>
      <c r="AG73" s="25">
        <f>SUBTOTAL(109,Table13672[[مجموع زمان حضور در سایت ]])</f>
        <v>691878.61683333328</v>
      </c>
      <c r="AH73" s="25">
        <f>SUBTOTAL(109,Table13672[سهم سایت از کل ترافیک طبقه بندی])</f>
        <v>99.999999999999957</v>
      </c>
      <c r="AI73" s="25">
        <f>SUBTOTAL(109,Table13672[شاخص هرفیندال هیرشمن (ترافیک)])</f>
        <v>343.69414349409652</v>
      </c>
      <c r="AJ73" s="25">
        <f>SUBTOTAL(109,Table13672[سهم سایت از کل صفحات مشاهده شده در طبقه بندی])</f>
        <v>100.00000000000001</v>
      </c>
      <c r="AK73" s="25">
        <f>SUBTOTAL(109,Table13672[شاخص هرفیندال -هیرشمن (صفحات مشاهده شده )])</f>
        <v>339.70014201165242</v>
      </c>
      <c r="AL73" s="25">
        <f>SUBTOTAL(109,Table13672[سهم سایت از کل زمان حضور در طبقه بندی])</f>
        <v>100</v>
      </c>
      <c r="AM73" s="25">
        <f>SUBTOTAL(109,Table13672[شاخص هرفیندال هیرشمن (زمان حضور)])</f>
        <v>457.84586051429903</v>
      </c>
      <c r="AN73" s="25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{B16644EE-6BA5-4E72-8FB7-4CD51EA5347E}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{D8256498-7506-41C0-82C3-8483B7D76618}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{59B9C5FD-A4FD-4364-8685-07947D34477C}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{A0EF0DEA-4E7D-4851-AC02-21C2BAEA23B1}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{FE6B92A7-A062-4951-B454-55CD2DFC75BD}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{70C66BD6-4D40-415D-9905-63B1CB4F87EB}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6644EE-6BA5-4E72-8FB7-4CD51EA5347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D8256498-7506-41C0-82C3-8483B7D7661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9B9C5FD-A4FD-4364-8685-07947D34477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0EF0DEA-4E7D-4851-AC02-21C2BAEA23B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E6B92A7-A062-4951-B454-55CD2DFC75B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70C66BD6-4D40-415D-9905-63B1CB4F87E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5"/>
  <sheetViews>
    <sheetView showGridLines="0" rightToLeft="1" topLeftCell="V1" zoomScale="70" zoomScaleNormal="70" workbookViewId="0">
      <selection activeCell="AD1" sqref="AD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1453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1453</v>
      </c>
      <c r="X2" s="8">
        <v>35.17</v>
      </c>
      <c r="Y2" s="8">
        <v>4.04</v>
      </c>
      <c r="Z2" s="9">
        <v>6.33</v>
      </c>
      <c r="AA2" s="8">
        <v>84104</v>
      </c>
      <c r="AB2" s="8">
        <v>6</v>
      </c>
      <c r="AC2" s="21" t="s">
        <v>1453</v>
      </c>
      <c r="AD2" s="8" t="s">
        <v>4141</v>
      </c>
      <c r="AE2" s="8" t="s">
        <v>3722</v>
      </c>
      <c r="AF2" s="9">
        <f t="shared" ref="AF2:AF14" si="0">(AA2*Y2)</f>
        <v>339780.16</v>
      </c>
      <c r="AG2" s="9">
        <f t="shared" ref="AG2:AG14" si="1">((((RIGHT(Z2,2))/60)+(LEFT(Z2,2)))*AA2)</f>
        <v>550881.19999999995</v>
      </c>
      <c r="AH2" s="9">
        <f t="shared" ref="AH2:AH14" si="2">(AA2/$AA$15)*100</f>
        <v>67.614456746492422</v>
      </c>
      <c r="AI2" s="9">
        <f t="shared" ref="AI2:AI14" si="3">(AH2*AH2)</f>
        <v>4571.7147611232949</v>
      </c>
      <c r="AJ2" s="9">
        <f t="shared" ref="AJ2:AJ14" si="4">(AF2/$AF$15)*100</f>
        <v>68.145018716697052</v>
      </c>
      <c r="AK2" s="9">
        <f t="shared" ref="AK2:AK14" si="5">(AJ2*AJ2)</f>
        <v>4643.7435758989914</v>
      </c>
      <c r="AL2" s="9">
        <f t="shared" ref="AL2:AL14" si="6">(AG2/$AG$15)*100</f>
        <v>75.195197505991331</v>
      </c>
      <c r="AM2" s="9">
        <f t="shared" ref="AM2:AM14" si="7">(AL2*AL2)</f>
        <v>5654.3177279650445</v>
      </c>
      <c r="AN2" s="8" t="s">
        <v>1453</v>
      </c>
    </row>
    <row r="3" spans="8:40" ht="23">
      <c r="M3" s="8" t="s">
        <v>3768</v>
      </c>
      <c r="N3" s="8"/>
      <c r="O3" s="8"/>
      <c r="P3" s="8"/>
      <c r="Q3" s="8"/>
      <c r="R3" s="8"/>
      <c r="S3" s="8"/>
      <c r="T3" s="8"/>
      <c r="U3" s="8"/>
      <c r="V3" s="8"/>
      <c r="W3" s="8" t="s">
        <v>3768</v>
      </c>
      <c r="X3" s="8">
        <v>40.049999999999997</v>
      </c>
      <c r="Y3" s="8">
        <v>4.13</v>
      </c>
      <c r="Z3" s="9">
        <v>4.49</v>
      </c>
      <c r="AA3" s="8">
        <v>18189.900000000001</v>
      </c>
      <c r="AB3" s="8">
        <v>31</v>
      </c>
      <c r="AC3" s="21" t="s">
        <v>3768</v>
      </c>
      <c r="AD3" s="8" t="s">
        <v>4141</v>
      </c>
      <c r="AE3" s="8" t="s">
        <v>3722</v>
      </c>
      <c r="AF3" s="9">
        <f t="shared" si="0"/>
        <v>75124.287000000011</v>
      </c>
      <c r="AG3" s="9">
        <f t="shared" si="1"/>
        <v>87614.684999999998</v>
      </c>
      <c r="AH3" s="9">
        <f t="shared" si="2"/>
        <v>14.623563763590585</v>
      </c>
      <c r="AI3" s="9">
        <f t="shared" si="3"/>
        <v>213.84861714779964</v>
      </c>
      <c r="AJ3" s="9">
        <f t="shared" si="4"/>
        <v>15.066641747692163</v>
      </c>
      <c r="AK3" s="9">
        <f t="shared" si="5"/>
        <v>227.00369355330037</v>
      </c>
      <c r="AL3" s="9">
        <f t="shared" si="6"/>
        <v>11.959390777903142</v>
      </c>
      <c r="AM3" s="9">
        <f t="shared" si="7"/>
        <v>143.02702777859471</v>
      </c>
      <c r="AN3" s="8" t="s">
        <v>3768</v>
      </c>
    </row>
    <row r="4" spans="8:40" ht="23">
      <c r="M4" s="8" t="s">
        <v>3787</v>
      </c>
      <c r="N4" s="8"/>
      <c r="O4" s="8"/>
      <c r="P4" s="8"/>
      <c r="Q4" s="8"/>
      <c r="R4" s="8"/>
      <c r="S4" s="8"/>
      <c r="T4" s="8"/>
      <c r="U4" s="8"/>
      <c r="V4" s="8"/>
      <c r="W4" s="8" t="s">
        <v>3787</v>
      </c>
      <c r="X4" s="8">
        <v>42.98</v>
      </c>
      <c r="Y4" s="8">
        <v>4.55</v>
      </c>
      <c r="Z4" s="9">
        <v>5.35</v>
      </c>
      <c r="AA4" s="8">
        <v>11991.7</v>
      </c>
      <c r="AB4" s="8">
        <v>36</v>
      </c>
      <c r="AC4" s="21" t="s">
        <v>3787</v>
      </c>
      <c r="AD4" s="8" t="s">
        <v>4141</v>
      </c>
      <c r="AE4" s="8" t="s">
        <v>3722</v>
      </c>
      <c r="AF4" s="9">
        <f t="shared" si="0"/>
        <v>54562.235000000001</v>
      </c>
      <c r="AG4" s="9">
        <f t="shared" si="1"/>
        <v>66953.65833333334</v>
      </c>
      <c r="AH4" s="9">
        <f t="shared" si="2"/>
        <v>9.6405911843302725</v>
      </c>
      <c r="AI4" s="9">
        <f t="shared" si="3"/>
        <v>92.940998383386571</v>
      </c>
      <c r="AJ4" s="9">
        <f t="shared" si="4"/>
        <v>10.942794674355982</v>
      </c>
      <c r="AK4" s="9">
        <f t="shared" si="5"/>
        <v>119.74475528511364</v>
      </c>
      <c r="AL4" s="9">
        <f t="shared" si="6"/>
        <v>9.1391638743955372</v>
      </c>
      <c r="AM4" s="9">
        <f t="shared" si="7"/>
        <v>83.524316323056453</v>
      </c>
      <c r="AN4" s="8" t="s">
        <v>3787</v>
      </c>
    </row>
    <row r="5" spans="8:40" ht="23">
      <c r="M5" s="8" t="s">
        <v>3849</v>
      </c>
      <c r="N5" s="8"/>
      <c r="O5" s="8"/>
      <c r="P5" s="8"/>
      <c r="Q5" s="8"/>
      <c r="R5" s="8"/>
      <c r="S5" s="8"/>
      <c r="T5" s="8"/>
      <c r="U5" s="8"/>
      <c r="V5" s="8"/>
      <c r="W5" s="8" t="s">
        <v>3849</v>
      </c>
      <c r="X5" s="8">
        <v>25.59</v>
      </c>
      <c r="Y5" s="8">
        <v>3.19</v>
      </c>
      <c r="Z5" s="9">
        <v>1.53</v>
      </c>
      <c r="AA5" s="8">
        <v>2909.2</v>
      </c>
      <c r="AB5" s="8">
        <v>90</v>
      </c>
      <c r="AC5" s="21" t="s">
        <v>3849</v>
      </c>
      <c r="AD5" s="8" t="s">
        <v>4141</v>
      </c>
      <c r="AE5" s="8" t="s">
        <v>3722</v>
      </c>
      <c r="AF5" s="9">
        <f t="shared" si="0"/>
        <v>9280.348</v>
      </c>
      <c r="AG5" s="9">
        <f t="shared" si="1"/>
        <v>5478.9933333333329</v>
      </c>
      <c r="AH5" s="9">
        <f t="shared" si="2"/>
        <v>2.338818338805476</v>
      </c>
      <c r="AI5" s="9">
        <f t="shared" si="3"/>
        <v>5.4700712219328063</v>
      </c>
      <c r="AJ5" s="9">
        <f t="shared" si="4"/>
        <v>1.8612313566438432</v>
      </c>
      <c r="AK5" s="9">
        <f t="shared" si="5"/>
        <v>3.4641821629542813</v>
      </c>
      <c r="AL5" s="9">
        <f t="shared" si="6"/>
        <v>0.74788173173092465</v>
      </c>
      <c r="AM5" s="9">
        <f t="shared" si="7"/>
        <v>0.55932708465684677</v>
      </c>
      <c r="AN5" s="8" t="s">
        <v>3849</v>
      </c>
    </row>
    <row r="6" spans="8:40" ht="23">
      <c r="M6" s="32" t="s">
        <v>3963</v>
      </c>
      <c r="N6" s="8"/>
      <c r="O6" s="8"/>
      <c r="P6" s="8"/>
      <c r="Q6" s="8"/>
      <c r="R6" s="8"/>
      <c r="S6" s="8"/>
      <c r="T6" s="8"/>
      <c r="U6" s="8"/>
      <c r="V6" s="8"/>
      <c r="W6" s="32" t="s">
        <v>3963</v>
      </c>
      <c r="X6" s="8">
        <v>29.81</v>
      </c>
      <c r="Y6" s="8">
        <v>2.79</v>
      </c>
      <c r="Z6" s="9">
        <v>3.11</v>
      </c>
      <c r="AA6" s="8">
        <v>2668</v>
      </c>
      <c r="AB6" s="8">
        <v>403</v>
      </c>
      <c r="AC6" s="42" t="s">
        <v>3963</v>
      </c>
      <c r="AD6" s="8" t="s">
        <v>4141</v>
      </c>
      <c r="AE6" s="8" t="s">
        <v>3722</v>
      </c>
      <c r="AF6" s="9">
        <f t="shared" si="0"/>
        <v>7443.72</v>
      </c>
      <c r="AG6" s="9">
        <f t="shared" si="1"/>
        <v>8493.1333333333332</v>
      </c>
      <c r="AH6" s="9">
        <f t="shared" si="2"/>
        <v>2.1449083349144127</v>
      </c>
      <c r="AI6" s="9">
        <f t="shared" si="3"/>
        <v>4.6006317651853186</v>
      </c>
      <c r="AJ6" s="9">
        <f t="shared" si="4"/>
        <v>1.4928842187897382</v>
      </c>
      <c r="AK6" s="9">
        <f t="shared" si="5"/>
        <v>2.2287032907114468</v>
      </c>
      <c r="AL6" s="9">
        <f t="shared" si="6"/>
        <v>1.1593113695742723</v>
      </c>
      <c r="AM6" s="9">
        <f t="shared" si="7"/>
        <v>1.3440028516241749</v>
      </c>
      <c r="AN6" s="32" t="s">
        <v>3963</v>
      </c>
    </row>
    <row r="7" spans="8:40" ht="23">
      <c r="M7" s="8" t="s">
        <v>3937</v>
      </c>
      <c r="N7" s="8"/>
      <c r="O7" s="8"/>
      <c r="P7" s="8"/>
      <c r="Q7" s="8"/>
      <c r="R7" s="8"/>
      <c r="S7" s="8"/>
      <c r="T7" s="8"/>
      <c r="U7" s="8"/>
      <c r="V7" s="8"/>
      <c r="W7" s="8" t="s">
        <v>3937</v>
      </c>
      <c r="X7" s="8">
        <v>42.56</v>
      </c>
      <c r="Y7" s="8">
        <v>3.23</v>
      </c>
      <c r="Z7" s="9">
        <v>3.37</v>
      </c>
      <c r="AA7" s="8">
        <v>1940.2</v>
      </c>
      <c r="AB7" s="8">
        <v>436</v>
      </c>
      <c r="AC7" s="21" t="s">
        <v>3937</v>
      </c>
      <c r="AD7" s="8" t="s">
        <v>4141</v>
      </c>
      <c r="AE7" s="8" t="s">
        <v>3722</v>
      </c>
      <c r="AF7" s="9">
        <f t="shared" si="0"/>
        <v>6266.8460000000005</v>
      </c>
      <c r="AG7" s="9">
        <f t="shared" si="1"/>
        <v>7017.0566666666673</v>
      </c>
      <c r="AH7" s="9">
        <f t="shared" si="2"/>
        <v>1.5598017808849114</v>
      </c>
      <c r="AI7" s="9">
        <f t="shared" si="3"/>
        <v>2.4329815956517411</v>
      </c>
      <c r="AJ7" s="9">
        <f t="shared" si="4"/>
        <v>1.2568548380360354</v>
      </c>
      <c r="AK7" s="9">
        <f t="shared" si="5"/>
        <v>1.5796840838945887</v>
      </c>
      <c r="AL7" s="9">
        <f t="shared" si="6"/>
        <v>0.95782713579757905</v>
      </c>
      <c r="AM7" s="9">
        <f t="shared" si="7"/>
        <v>0.91743282207019394</v>
      </c>
      <c r="AN7" s="8" t="s">
        <v>3937</v>
      </c>
    </row>
    <row r="8" spans="8:40" ht="23">
      <c r="M8" s="18" t="s">
        <v>3893</v>
      </c>
      <c r="N8" s="8"/>
      <c r="O8" s="8"/>
      <c r="P8" s="8"/>
      <c r="Q8" s="8"/>
      <c r="R8" s="8"/>
      <c r="S8" s="8"/>
      <c r="T8" s="8"/>
      <c r="U8" s="8"/>
      <c r="V8" s="8"/>
      <c r="W8" s="18" t="s">
        <v>3893</v>
      </c>
      <c r="X8" s="8">
        <v>64.430000000000007</v>
      </c>
      <c r="Y8" s="8">
        <v>1.94</v>
      </c>
      <c r="Z8" s="9">
        <v>2.0699999999999998</v>
      </c>
      <c r="AA8" s="8">
        <v>1317.1</v>
      </c>
      <c r="AB8" s="8">
        <v>892</v>
      </c>
      <c r="AC8" s="41" t="s">
        <v>3893</v>
      </c>
      <c r="AD8" s="8" t="s">
        <v>4141</v>
      </c>
      <c r="AE8" s="8" t="s">
        <v>3722</v>
      </c>
      <c r="AF8" s="9">
        <f t="shared" si="0"/>
        <v>2555.174</v>
      </c>
      <c r="AG8" s="9">
        <f t="shared" si="1"/>
        <v>2787.8616666666667</v>
      </c>
      <c r="AH8" s="9">
        <f t="shared" si="2"/>
        <v>1.0588676041663316</v>
      </c>
      <c r="AI8" s="9">
        <f t="shared" si="3"/>
        <v>1.1212006031529471</v>
      </c>
      <c r="AJ8" s="9">
        <f t="shared" si="4"/>
        <v>0.51245599523650154</v>
      </c>
      <c r="AK8" s="9">
        <f t="shared" si="5"/>
        <v>0.26261114705383326</v>
      </c>
      <c r="AL8" s="9">
        <f t="shared" si="6"/>
        <v>0.38054268078921955</v>
      </c>
      <c r="AM8" s="9">
        <f t="shared" si="7"/>
        <v>0.14481273190224583</v>
      </c>
      <c r="AN8" s="18" t="s">
        <v>3893</v>
      </c>
    </row>
    <row r="9" spans="8:40" ht="23">
      <c r="M9" s="8" t="s">
        <v>3759</v>
      </c>
      <c r="N9" s="8"/>
      <c r="O9" s="8"/>
      <c r="P9" s="8"/>
      <c r="Q9" s="8"/>
      <c r="R9" s="8"/>
      <c r="S9" s="8"/>
      <c r="T9" s="8"/>
      <c r="U9" s="8"/>
      <c r="V9" s="8"/>
      <c r="W9" s="8" t="s">
        <v>3759</v>
      </c>
      <c r="X9" s="8">
        <v>41.88</v>
      </c>
      <c r="Y9" s="8">
        <v>3.76</v>
      </c>
      <c r="Z9" s="9">
        <v>4.26</v>
      </c>
      <c r="AA9" s="8">
        <v>625.6</v>
      </c>
      <c r="AB9" s="8">
        <v>1004</v>
      </c>
      <c r="AC9" s="21" t="s">
        <v>3759</v>
      </c>
      <c r="AD9" s="8" t="s">
        <v>4141</v>
      </c>
      <c r="AE9" s="8" t="s">
        <v>3722</v>
      </c>
      <c r="AF9" s="9">
        <f t="shared" si="0"/>
        <v>2352.2559999999999</v>
      </c>
      <c r="AG9" s="9">
        <f t="shared" si="1"/>
        <v>2773.4933333333338</v>
      </c>
      <c r="AH9" s="9">
        <f t="shared" si="2"/>
        <v>0.50294402335924171</v>
      </c>
      <c r="AI9" s="9">
        <f t="shared" si="3"/>
        <v>0.25295269063278147</v>
      </c>
      <c r="AJ9" s="9">
        <f t="shared" si="4"/>
        <v>0.47175953165265139</v>
      </c>
      <c r="AK9" s="9">
        <f t="shared" si="5"/>
        <v>0.22255705570512899</v>
      </c>
      <c r="AL9" s="9">
        <f t="shared" si="6"/>
        <v>0.37858140553997904</v>
      </c>
      <c r="AM9" s="9">
        <f t="shared" si="7"/>
        <v>0.14332388062062607</v>
      </c>
      <c r="AN9" s="8" t="s">
        <v>3759</v>
      </c>
    </row>
    <row r="10" spans="8:40" ht="23">
      <c r="M10" s="8" t="s">
        <v>3955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3955</v>
      </c>
      <c r="X10" s="8">
        <v>37.32</v>
      </c>
      <c r="Y10" s="8">
        <v>1.08</v>
      </c>
      <c r="Z10" s="9">
        <v>0.04</v>
      </c>
      <c r="AA10" s="8">
        <v>178.3</v>
      </c>
      <c r="AB10" s="8">
        <v>9109</v>
      </c>
      <c r="AC10" s="21" t="s">
        <v>3955</v>
      </c>
      <c r="AD10" s="8" t="s">
        <v>4141</v>
      </c>
      <c r="AE10" s="8" t="s">
        <v>3722</v>
      </c>
      <c r="AF10" s="9">
        <f t="shared" si="0"/>
        <v>192.56400000000002</v>
      </c>
      <c r="AG10" s="9">
        <f t="shared" si="1"/>
        <v>11.886666666666667</v>
      </c>
      <c r="AH10" s="9">
        <f t="shared" si="2"/>
        <v>0.14334226241200893</v>
      </c>
      <c r="AI10" s="9">
        <f t="shared" si="3"/>
        <v>2.0547004193393226E-2</v>
      </c>
      <c r="AJ10" s="9">
        <f t="shared" si="4"/>
        <v>3.8619904658830154E-2</v>
      </c>
      <c r="AK10" s="9">
        <f t="shared" si="5"/>
        <v>1.4914970358571311E-3</v>
      </c>
      <c r="AL10" s="9">
        <f t="shared" si="6"/>
        <v>1.6225281379867087E-3</v>
      </c>
      <c r="AM10" s="9">
        <f t="shared" si="7"/>
        <v>2.6325975585586159E-6</v>
      </c>
      <c r="AN10" s="8" t="s">
        <v>3955</v>
      </c>
    </row>
    <row r="11" spans="8:40" ht="23">
      <c r="M11" s="8" t="s">
        <v>1813</v>
      </c>
      <c r="N11" s="8" t="s">
        <v>1717</v>
      </c>
      <c r="O11" s="8"/>
      <c r="P11" s="8"/>
      <c r="Q11" s="8"/>
      <c r="R11" s="8"/>
      <c r="S11" s="8"/>
      <c r="T11" s="8"/>
      <c r="U11" s="8"/>
      <c r="V11" s="8"/>
      <c r="W11" s="8" t="s">
        <v>1813</v>
      </c>
      <c r="X11" s="8">
        <v>39.6</v>
      </c>
      <c r="Y11" s="8">
        <v>2.2599999999999998</v>
      </c>
      <c r="Z11" s="9">
        <v>0.33</v>
      </c>
      <c r="AA11" s="8">
        <v>174.2</v>
      </c>
      <c r="AB11" s="8">
        <v>4276</v>
      </c>
      <c r="AC11" s="21" t="s">
        <v>1813</v>
      </c>
      <c r="AD11" s="8" t="s">
        <v>4141</v>
      </c>
      <c r="AE11" s="8" t="s">
        <v>3722</v>
      </c>
      <c r="AF11" s="9">
        <f t="shared" si="0"/>
        <v>393.69199999999995</v>
      </c>
      <c r="AG11" s="9">
        <f t="shared" si="1"/>
        <v>95.81</v>
      </c>
      <c r="AH11" s="9">
        <f t="shared" si="2"/>
        <v>0.14004611392132335</v>
      </c>
      <c r="AI11" s="9">
        <f t="shared" si="3"/>
        <v>1.9612914024464276E-2</v>
      </c>
      <c r="AJ11" s="9">
        <f t="shared" si="4"/>
        <v>7.895737263945575E-2</v>
      </c>
      <c r="AK11" s="9">
        <f t="shared" si="5"/>
        <v>6.2342666941258753E-3</v>
      </c>
      <c r="AL11" s="9">
        <f t="shared" si="6"/>
        <v>1.3078049991629828E-2</v>
      </c>
      <c r="AM11" s="9">
        <f t="shared" si="7"/>
        <v>1.7103539158356895E-4</v>
      </c>
      <c r="AN11" s="8" t="s">
        <v>1813</v>
      </c>
    </row>
    <row r="12" spans="8:40" ht="23">
      <c r="M12" s="9" t="s">
        <v>2413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9" t="s">
        <v>2413</v>
      </c>
      <c r="X12" s="8">
        <v>27.01</v>
      </c>
      <c r="Y12" s="8">
        <v>2.39</v>
      </c>
      <c r="Z12" s="9">
        <v>2.06</v>
      </c>
      <c r="AA12" s="8">
        <v>165.5</v>
      </c>
      <c r="AB12" s="8">
        <v>19731</v>
      </c>
      <c r="AC12" s="22" t="s">
        <v>2413</v>
      </c>
      <c r="AD12" s="8" t="s">
        <v>4141</v>
      </c>
      <c r="AE12" s="8" t="s">
        <v>3722</v>
      </c>
      <c r="AF12" s="9">
        <f t="shared" si="0"/>
        <v>395.54500000000002</v>
      </c>
      <c r="AG12" s="9">
        <f t="shared" si="1"/>
        <v>347.55</v>
      </c>
      <c r="AH12" s="9">
        <f t="shared" si="2"/>
        <v>0.13305184761181985</v>
      </c>
      <c r="AI12" s="9">
        <f t="shared" si="3"/>
        <v>1.7702794152918932E-2</v>
      </c>
      <c r="AJ12" s="9">
        <f t="shared" si="4"/>
        <v>7.9329003283464053E-2</v>
      </c>
      <c r="AK12" s="9">
        <f t="shared" si="5"/>
        <v>6.2930907619478506E-3</v>
      </c>
      <c r="AL12" s="9">
        <f t="shared" si="6"/>
        <v>4.7440520557258607E-2</v>
      </c>
      <c r="AM12" s="9">
        <f t="shared" si="7"/>
        <v>2.2506029907436763E-3</v>
      </c>
      <c r="AN12" s="9" t="s">
        <v>2413</v>
      </c>
    </row>
    <row r="13" spans="8:40" ht="23">
      <c r="M13" s="8" t="s">
        <v>1488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1488</v>
      </c>
      <c r="X13" s="8">
        <v>36.299999999999997</v>
      </c>
      <c r="Y13" s="8">
        <v>1.86</v>
      </c>
      <c r="Z13" s="9">
        <v>0.33</v>
      </c>
      <c r="AA13" s="8">
        <v>95.5</v>
      </c>
      <c r="AB13" s="8">
        <v>8295</v>
      </c>
      <c r="AC13" s="21" t="s">
        <v>1488</v>
      </c>
      <c r="AD13" s="8" t="s">
        <v>4141</v>
      </c>
      <c r="AE13" s="8" t="s">
        <v>3722</v>
      </c>
      <c r="AF13" s="9">
        <f t="shared" si="0"/>
        <v>177.63</v>
      </c>
      <c r="AG13" s="9">
        <f t="shared" si="1"/>
        <v>52.525000000000006</v>
      </c>
      <c r="AH13" s="9">
        <f t="shared" si="2"/>
        <v>7.6776141673285767E-2</v>
      </c>
      <c r="AI13" s="9">
        <f t="shared" si="3"/>
        <v>5.8945759302364478E-3</v>
      </c>
      <c r="AJ13" s="9">
        <f t="shared" si="4"/>
        <v>3.5624798324442777E-2</v>
      </c>
      <c r="AK13" s="9">
        <f t="shared" si="5"/>
        <v>1.2691262556572208E-3</v>
      </c>
      <c r="AL13" s="9">
        <f t="shared" si="6"/>
        <v>7.1696542721047573E-3</v>
      </c>
      <c r="AM13" s="9">
        <f t="shared" si="7"/>
        <v>5.1403942381509995E-5</v>
      </c>
      <c r="AN13" s="8" t="s">
        <v>1488</v>
      </c>
    </row>
    <row r="14" spans="8:40" ht="23">
      <c r="M14" s="8" t="s">
        <v>1581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8" t="s">
        <v>1581</v>
      </c>
      <c r="X14" s="8">
        <v>13.61</v>
      </c>
      <c r="Y14" s="8">
        <v>3.13</v>
      </c>
      <c r="Z14" s="9">
        <v>3.18</v>
      </c>
      <c r="AA14" s="8">
        <v>28.4</v>
      </c>
      <c r="AB14" s="8">
        <v>10099</v>
      </c>
      <c r="AC14" s="21" t="s">
        <v>1581</v>
      </c>
      <c r="AD14" s="8" t="s">
        <v>4141</v>
      </c>
      <c r="AE14" s="8" t="s">
        <v>3722</v>
      </c>
      <c r="AF14" s="9">
        <f t="shared" si="0"/>
        <v>88.891999999999996</v>
      </c>
      <c r="AG14" s="9">
        <f t="shared" si="1"/>
        <v>93.719999999999985</v>
      </c>
      <c r="AH14" s="9">
        <f t="shared" si="2"/>
        <v>2.2831857837919533E-2</v>
      </c>
      <c r="AI14" s="9">
        <f t="shared" si="3"/>
        <v>5.2129373233096761E-4</v>
      </c>
      <c r="AJ14" s="9">
        <f t="shared" si="4"/>
        <v>1.7827841989846126E-2</v>
      </c>
      <c r="AK14" s="9">
        <f t="shared" si="5"/>
        <v>3.1783195001492065E-4</v>
      </c>
      <c r="AL14" s="9">
        <f t="shared" si="6"/>
        <v>1.2792765319022518E-2</v>
      </c>
      <c r="AM14" s="9">
        <f t="shared" si="7"/>
        <v>1.6365484450758531E-4</v>
      </c>
      <c r="AN14" s="8" t="s">
        <v>1581</v>
      </c>
    </row>
    <row r="15" spans="8:40" ht="23"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9"/>
      <c r="AA15" s="8">
        <f>SUBTOTAL(109,Table13668[ترافیک کل])</f>
        <v>124387.59999999999</v>
      </c>
      <c r="AB15" s="8"/>
      <c r="AC15" s="8"/>
      <c r="AD15" s="8"/>
      <c r="AE15" s="8"/>
      <c r="AF15" s="9">
        <f>SUBTOTAL(109,Table13668[[مجموع صفحات  مشاهده شده   ]])</f>
        <v>498613.34899999993</v>
      </c>
      <c r="AG15" s="9">
        <f>SUBTOTAL(109,Table13668[[مجموع زمان حضور در سایت ]])</f>
        <v>732601.57333333336</v>
      </c>
      <c r="AH15" s="9">
        <f>SUBTOTAL(109,Table13668[سهم سایت از کل ترافیک طبقه بندی])</f>
        <v>100.00000000000004</v>
      </c>
      <c r="AI15" s="9">
        <f>SUBTOTAL(109,Table13668[شاخص هرفیندال هیرشمن (ترافیک)])</f>
        <v>4892.4464931130697</v>
      </c>
      <c r="AJ15" s="9">
        <f>SUBTOTAL(109,Table13668[سهم سایت از کل صفحات مشاهده شده در طبقه بندی])</f>
        <v>100</v>
      </c>
      <c r="AK15" s="9">
        <f>SUBTOTAL(109,Table13668[شاخص هرفیندال -هیرشمن (صفحات مشاهده شده )])</f>
        <v>4998.265368290422</v>
      </c>
      <c r="AL15" s="9">
        <f>SUBTOTAL(109,Table13668[سهم سایت از کل زمان حضور در طبقه بندی])</f>
        <v>99.999999999999972</v>
      </c>
      <c r="AM15" s="9">
        <f>SUBTOTAL(109,Table13668[شاخص هرفیندال هیرشمن (زمان حضور)])</f>
        <v>5883.9806107673367</v>
      </c>
      <c r="AN15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{0E79A586-45AD-45BF-9B7B-01E9BA850E1A}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{35A3201D-517E-45A0-BFF7-8835BE686C05}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{F0473CB9-1D2C-4D3C-B838-6C1B835FCCAD}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{677077C9-DBBC-4CD7-9883-0621710AB133}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{F0452DAE-6C35-455B-B158-8FC59DBA0144}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{0805D45A-1E50-4B65-BAAA-C39E9A1008E2}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E79A586-45AD-45BF-9B7B-01E9BA850E1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5A3201D-517E-45A0-BFF7-8835BE686C0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0473CB9-1D2C-4D3C-B838-6C1B835FCCA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77077C9-DBBC-4CD7-9883-0621710AB1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0452DAE-6C35-455B-B158-8FC59DBA01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0805D45A-1E50-4B65-BAAA-C39E9A1008E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40"/>
  <sheetViews>
    <sheetView showGridLines="0" rightToLeft="1" topLeftCell="Q1" zoomScale="70" zoomScaleNormal="70" workbookViewId="0">
      <selection activeCell="AB1" sqref="AB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5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3733</v>
      </c>
      <c r="N2" s="8"/>
      <c r="O2" s="8"/>
      <c r="P2" s="8"/>
      <c r="Q2" s="8"/>
      <c r="R2" s="8"/>
      <c r="S2" s="8"/>
      <c r="T2" s="8"/>
      <c r="U2" s="8"/>
      <c r="V2" s="8"/>
      <c r="W2" s="8" t="s">
        <v>3733</v>
      </c>
      <c r="X2" s="8">
        <v>65.89</v>
      </c>
      <c r="Y2" s="8">
        <v>2</v>
      </c>
      <c r="Z2" s="9">
        <v>2.0099999999999998</v>
      </c>
      <c r="AA2" s="8">
        <v>24768.9</v>
      </c>
      <c r="AB2" s="8">
        <v>80</v>
      </c>
      <c r="AC2" s="21" t="s">
        <v>3733</v>
      </c>
      <c r="AD2" s="8" t="s">
        <v>4443</v>
      </c>
      <c r="AE2" s="8" t="s">
        <v>3722</v>
      </c>
      <c r="AF2" s="9">
        <f t="shared" ref="AF2:AF39" si="0">(AA2*Y2)</f>
        <v>49537.8</v>
      </c>
      <c r="AG2" s="9">
        <f t="shared" ref="AG2:AG39" si="1">((((RIGHT(Z2,2))/60)+(LEFT(Z2,2)))*AA2)</f>
        <v>49950.614999999998</v>
      </c>
      <c r="AH2" s="9">
        <f t="shared" ref="AH2:AH39" si="2">(AA2/$AA$40)*100</f>
        <v>16.880700556331369</v>
      </c>
      <c r="AI2" s="9">
        <f t="shared" ref="AI2:AI39" si="3">(AH2*AH2)</f>
        <v>284.95805127252623</v>
      </c>
      <c r="AJ2" s="9">
        <f t="shared" ref="AJ2:AJ39" si="4">(AF2/$AF$40)*100</f>
        <v>16.171668876740558</v>
      </c>
      <c r="AK2" s="9">
        <f t="shared" ref="AK2:AK39" si="5">(AJ2*AJ2)</f>
        <v>261.52287425893923</v>
      </c>
      <c r="AL2" s="9">
        <f t="shared" ref="AL2:AL39" si="6">(AG2/$AG$40)*100</f>
        <v>16.678412708327013</v>
      </c>
      <c r="AM2" s="9">
        <f t="shared" ref="AM2:AM39" si="7">(AL2*AL2)</f>
        <v>278.16945046928402</v>
      </c>
      <c r="AN2" s="8" t="s">
        <v>3733</v>
      </c>
    </row>
    <row r="3" spans="8:40" ht="23">
      <c r="M3" s="8" t="s">
        <v>3774</v>
      </c>
      <c r="N3" s="8"/>
      <c r="O3" s="8"/>
      <c r="P3" s="8"/>
      <c r="Q3" s="8"/>
      <c r="R3" s="8"/>
      <c r="S3" s="8"/>
      <c r="T3" s="8"/>
      <c r="U3" s="8"/>
      <c r="V3" s="8"/>
      <c r="W3" s="8" t="s">
        <v>3774</v>
      </c>
      <c r="X3" s="8">
        <v>28.92</v>
      </c>
      <c r="Y3" s="8">
        <v>2.75</v>
      </c>
      <c r="Z3" s="9">
        <v>3.1</v>
      </c>
      <c r="AA3" s="8">
        <v>20431.3</v>
      </c>
      <c r="AB3" s="8">
        <v>96</v>
      </c>
      <c r="AC3" s="21" t="s">
        <v>3774</v>
      </c>
      <c r="AD3" s="8" t="s">
        <v>4443</v>
      </c>
      <c r="AE3" s="8" t="s">
        <v>3722</v>
      </c>
      <c r="AF3" s="9">
        <f t="shared" si="0"/>
        <v>56186.074999999997</v>
      </c>
      <c r="AG3" s="9">
        <f t="shared" si="1"/>
        <v>61327.952166666662</v>
      </c>
      <c r="AH3" s="9">
        <f t="shared" si="2"/>
        <v>13.924504409827367</v>
      </c>
      <c r="AI3" s="9">
        <f t="shared" si="3"/>
        <v>193.8918230593018</v>
      </c>
      <c r="AJ3" s="9">
        <f t="shared" si="4"/>
        <v>18.34200550657701</v>
      </c>
      <c r="AK3" s="9">
        <f t="shared" si="5"/>
        <v>336.42916600330136</v>
      </c>
      <c r="AL3" s="9">
        <f t="shared" si="6"/>
        <v>20.477283348607507</v>
      </c>
      <c r="AM3" s="9">
        <f t="shared" si="7"/>
        <v>419.31913333915827</v>
      </c>
      <c r="AN3" s="8" t="s">
        <v>3774</v>
      </c>
    </row>
    <row r="4" spans="8:40" ht="23">
      <c r="M4" s="8" t="s">
        <v>3732</v>
      </c>
      <c r="N4" s="8"/>
      <c r="O4" s="8"/>
      <c r="P4" s="8"/>
      <c r="Q4" s="8"/>
      <c r="R4" s="8"/>
      <c r="S4" s="8"/>
      <c r="T4" s="8"/>
      <c r="U4" s="8"/>
      <c r="V4" s="8"/>
      <c r="W4" s="8" t="s">
        <v>3732</v>
      </c>
      <c r="X4" s="8">
        <v>71.680000000000007</v>
      </c>
      <c r="Y4" s="8">
        <v>1.6</v>
      </c>
      <c r="Z4" s="9">
        <v>1.38</v>
      </c>
      <c r="AA4" s="8">
        <v>15868.2</v>
      </c>
      <c r="AB4" s="8">
        <v>61</v>
      </c>
      <c r="AC4" s="21" t="s">
        <v>3732</v>
      </c>
      <c r="AD4" s="8" t="s">
        <v>4443</v>
      </c>
      <c r="AE4" s="8" t="s">
        <v>3722</v>
      </c>
      <c r="AF4" s="9">
        <f t="shared" si="0"/>
        <v>25389.120000000003</v>
      </c>
      <c r="AG4" s="9">
        <f t="shared" si="1"/>
        <v>25918.06</v>
      </c>
      <c r="AH4" s="9">
        <f t="shared" si="2"/>
        <v>10.814623684054496</v>
      </c>
      <c r="AI4" s="9">
        <f t="shared" si="3"/>
        <v>116.95608542771244</v>
      </c>
      <c r="AJ4" s="9">
        <f t="shared" si="4"/>
        <v>8.2883059342932324</v>
      </c>
      <c r="AK4" s="9">
        <f t="shared" si="5"/>
        <v>68.696015260440419</v>
      </c>
      <c r="AL4" s="9">
        <f t="shared" si="6"/>
        <v>8.6539895710829988</v>
      </c>
      <c r="AM4" s="9">
        <f t="shared" si="7"/>
        <v>74.891535496413312</v>
      </c>
      <c r="AN4" s="8" t="s">
        <v>3732</v>
      </c>
    </row>
    <row r="5" spans="8:40" ht="23">
      <c r="M5" s="8" t="s">
        <v>763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8" t="s">
        <v>763</v>
      </c>
      <c r="X5" s="8">
        <v>57.8</v>
      </c>
      <c r="Y5" s="8">
        <v>2.6</v>
      </c>
      <c r="Z5" s="9">
        <v>2.2000000000000002</v>
      </c>
      <c r="AA5" s="8">
        <v>11101.1</v>
      </c>
      <c r="AB5" s="8">
        <v>100</v>
      </c>
      <c r="AC5" s="21" t="s">
        <v>763</v>
      </c>
      <c r="AD5" s="8" t="s">
        <v>4443</v>
      </c>
      <c r="AE5" s="8" t="s">
        <v>3722</v>
      </c>
      <c r="AF5" s="9">
        <f t="shared" si="0"/>
        <v>28862.86</v>
      </c>
      <c r="AG5" s="9">
        <f t="shared" si="1"/>
        <v>22239.203666666668</v>
      </c>
      <c r="AH5" s="9">
        <f t="shared" si="2"/>
        <v>7.565711232468546</v>
      </c>
      <c r="AI5" s="9">
        <f t="shared" si="3"/>
        <v>57.239986453100727</v>
      </c>
      <c r="AJ5" s="9">
        <f t="shared" si="4"/>
        <v>9.4223121486162071</v>
      </c>
      <c r="AK5" s="9">
        <f t="shared" si="5"/>
        <v>88.779966225960564</v>
      </c>
      <c r="AL5" s="9">
        <f t="shared" si="6"/>
        <v>7.4256266325691085</v>
      </c>
      <c r="AM5" s="9">
        <f t="shared" si="7"/>
        <v>55.13993088631964</v>
      </c>
      <c r="AN5" s="8" t="s">
        <v>763</v>
      </c>
    </row>
    <row r="6" spans="8:40" ht="23">
      <c r="M6" s="8" t="s">
        <v>3753</v>
      </c>
      <c r="N6" s="8"/>
      <c r="O6" s="8"/>
      <c r="P6" s="8"/>
      <c r="Q6" s="8"/>
      <c r="R6" s="8"/>
      <c r="S6" s="8"/>
      <c r="T6" s="8"/>
      <c r="U6" s="8"/>
      <c r="V6" s="8"/>
      <c r="W6" s="8" t="s">
        <v>3753</v>
      </c>
      <c r="X6" s="8">
        <v>72.47</v>
      </c>
      <c r="Y6" s="8">
        <v>1.73</v>
      </c>
      <c r="Z6" s="9">
        <v>2.06</v>
      </c>
      <c r="AA6" s="8">
        <v>10667.9</v>
      </c>
      <c r="AB6" s="8">
        <v>92</v>
      </c>
      <c r="AC6" s="21" t="s">
        <v>3753</v>
      </c>
      <c r="AD6" s="8" t="s">
        <v>4443</v>
      </c>
      <c r="AE6" s="8" t="s">
        <v>3722</v>
      </c>
      <c r="AF6" s="9">
        <f t="shared" si="0"/>
        <v>18455.467000000001</v>
      </c>
      <c r="AG6" s="9">
        <f t="shared" si="1"/>
        <v>22402.59</v>
      </c>
      <c r="AH6" s="9">
        <f t="shared" si="2"/>
        <v>7.2704732735360631</v>
      </c>
      <c r="AI6" s="9">
        <f t="shared" si="3"/>
        <v>52.859781621202195</v>
      </c>
      <c r="AJ6" s="9">
        <f t="shared" si="4"/>
        <v>6.024807344888397</v>
      </c>
      <c r="AK6" s="9">
        <f t="shared" si="5"/>
        <v>36.298303543021177</v>
      </c>
      <c r="AL6" s="9">
        <f t="shared" si="6"/>
        <v>7.480181009892263</v>
      </c>
      <c r="AM6" s="9">
        <f t="shared" si="7"/>
        <v>55.953107940752837</v>
      </c>
      <c r="AN6" s="8" t="s">
        <v>3753</v>
      </c>
    </row>
    <row r="7" spans="8:40" ht="23">
      <c r="M7" s="8" t="s">
        <v>3865</v>
      </c>
      <c r="N7" s="8"/>
      <c r="O7" s="8"/>
      <c r="P7" s="8"/>
      <c r="Q7" s="8"/>
      <c r="R7" s="8"/>
      <c r="S7" s="8"/>
      <c r="T7" s="8"/>
      <c r="U7" s="8"/>
      <c r="V7" s="8"/>
      <c r="W7" s="8" t="s">
        <v>3865</v>
      </c>
      <c r="X7" s="8">
        <v>73.2</v>
      </c>
      <c r="Y7" s="8">
        <v>1.64</v>
      </c>
      <c r="Z7" s="9">
        <v>1.32</v>
      </c>
      <c r="AA7" s="8">
        <v>5601.5</v>
      </c>
      <c r="AB7" s="8">
        <v>490</v>
      </c>
      <c r="AC7" s="21" t="s">
        <v>3865</v>
      </c>
      <c r="AD7" s="8" t="s">
        <v>4443</v>
      </c>
      <c r="AE7" s="8" t="s">
        <v>3722</v>
      </c>
      <c r="AF7" s="9">
        <f t="shared" si="0"/>
        <v>9186.4599999999991</v>
      </c>
      <c r="AG7" s="9">
        <f t="shared" si="1"/>
        <v>8588.9666666666653</v>
      </c>
      <c r="AH7" s="9">
        <f t="shared" si="2"/>
        <v>3.8175794712841569</v>
      </c>
      <c r="AI7" s="9">
        <f t="shared" si="3"/>
        <v>14.573913019570222</v>
      </c>
      <c r="AJ7" s="9">
        <f t="shared" si="4"/>
        <v>2.9989298933223121</v>
      </c>
      <c r="AK7" s="9">
        <f t="shared" si="5"/>
        <v>8.9935805050621749</v>
      </c>
      <c r="AL7" s="9">
        <f t="shared" si="6"/>
        <v>2.8678391808535371</v>
      </c>
      <c r="AM7" s="9">
        <f t="shared" si="7"/>
        <v>8.2245015672386863</v>
      </c>
      <c r="AN7" s="8" t="s">
        <v>3865</v>
      </c>
    </row>
    <row r="8" spans="8:40" ht="23">
      <c r="M8" s="8" t="s">
        <v>3834</v>
      </c>
      <c r="N8" s="8"/>
      <c r="O8" s="8"/>
      <c r="P8" s="8"/>
      <c r="Q8" s="8"/>
      <c r="R8" s="8"/>
      <c r="S8" s="8"/>
      <c r="T8" s="8"/>
      <c r="U8" s="8"/>
      <c r="V8" s="8"/>
      <c r="W8" s="8" t="s">
        <v>3834</v>
      </c>
      <c r="X8" s="8">
        <v>77.78</v>
      </c>
      <c r="Y8" s="8">
        <v>1.31</v>
      </c>
      <c r="Z8" s="9">
        <v>1.1000000000000001</v>
      </c>
      <c r="AA8" s="8">
        <v>5421.1</v>
      </c>
      <c r="AB8" s="8">
        <v>383</v>
      </c>
      <c r="AC8" s="21" t="s">
        <v>3834</v>
      </c>
      <c r="AD8" s="8" t="s">
        <v>4443</v>
      </c>
      <c r="AE8" s="8" t="s">
        <v>3722</v>
      </c>
      <c r="AF8" s="9">
        <f t="shared" si="0"/>
        <v>7101.6410000000005</v>
      </c>
      <c r="AG8" s="9">
        <f t="shared" si="1"/>
        <v>5430.1351666666669</v>
      </c>
      <c r="AH8" s="9">
        <f t="shared" si="2"/>
        <v>3.6946318078690608</v>
      </c>
      <c r="AI8" s="9">
        <f t="shared" si="3"/>
        <v>13.650304195717805</v>
      </c>
      <c r="AJ8" s="9">
        <f t="shared" si="4"/>
        <v>2.3183384553509581</v>
      </c>
      <c r="AK8" s="9">
        <f t="shared" si="5"/>
        <v>5.3746931935590663</v>
      </c>
      <c r="AL8" s="9">
        <f t="shared" si="6"/>
        <v>1.8131115176793469</v>
      </c>
      <c r="AM8" s="9">
        <f t="shared" si="7"/>
        <v>3.2873733755415047</v>
      </c>
      <c r="AN8" s="8" t="s">
        <v>3834</v>
      </c>
    </row>
    <row r="9" spans="8:40" ht="23">
      <c r="M9" s="8" t="s">
        <v>3797</v>
      </c>
      <c r="N9" s="8"/>
      <c r="O9" s="8"/>
      <c r="P9" s="8"/>
      <c r="Q9" s="8"/>
      <c r="R9" s="8"/>
      <c r="S9" s="8"/>
      <c r="T9" s="8"/>
      <c r="U9" s="8"/>
      <c r="V9" s="8"/>
      <c r="W9" s="8" t="s">
        <v>3797</v>
      </c>
      <c r="X9" s="8">
        <v>63.03</v>
      </c>
      <c r="Y9" s="8">
        <v>2.0499999999999998</v>
      </c>
      <c r="Z9" s="9">
        <v>2.1800000000000002</v>
      </c>
      <c r="AA9" s="8">
        <v>4738.2</v>
      </c>
      <c r="AB9" s="8">
        <v>184</v>
      </c>
      <c r="AC9" s="21" t="s">
        <v>3797</v>
      </c>
      <c r="AD9" s="8" t="s">
        <v>4443</v>
      </c>
      <c r="AE9" s="8" t="s">
        <v>3722</v>
      </c>
      <c r="AF9" s="9">
        <f t="shared" si="0"/>
        <v>9713.31</v>
      </c>
      <c r="AG9" s="9">
        <f t="shared" si="1"/>
        <v>10897.859999999999</v>
      </c>
      <c r="AH9" s="9">
        <f t="shared" si="2"/>
        <v>3.2292162904290982</v>
      </c>
      <c r="AI9" s="9">
        <f t="shared" si="3"/>
        <v>10.427837850372665</v>
      </c>
      <c r="AJ9" s="9">
        <f t="shared" si="4"/>
        <v>3.1709206508390118</v>
      </c>
      <c r="AK9" s="9">
        <f t="shared" si="5"/>
        <v>10.054737773917301</v>
      </c>
      <c r="AL9" s="9">
        <f t="shared" si="6"/>
        <v>3.6387741515808885</v>
      </c>
      <c r="AM9" s="9">
        <f t="shared" si="7"/>
        <v>13.240677326213214</v>
      </c>
      <c r="AN9" s="8" t="s">
        <v>3797</v>
      </c>
    </row>
    <row r="10" spans="8:40" ht="23">
      <c r="M10" s="8" t="s">
        <v>3800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3800</v>
      </c>
      <c r="X10" s="8">
        <v>43.63</v>
      </c>
      <c r="Y10" s="8">
        <v>4.5999999999999996</v>
      </c>
      <c r="Z10" s="9">
        <v>4.16</v>
      </c>
      <c r="AA10" s="8">
        <v>4516.3999999999996</v>
      </c>
      <c r="AB10" s="8">
        <v>550</v>
      </c>
      <c r="AC10" s="21" t="s">
        <v>3800</v>
      </c>
      <c r="AD10" s="8" t="s">
        <v>4443</v>
      </c>
      <c r="AE10" s="8" t="s">
        <v>3722</v>
      </c>
      <c r="AF10" s="9">
        <f t="shared" si="0"/>
        <v>20775.439999999995</v>
      </c>
      <c r="AG10" s="9">
        <f t="shared" si="1"/>
        <v>19269.973333333332</v>
      </c>
      <c r="AH10" s="9">
        <f t="shared" si="2"/>
        <v>3.0780533650107587</v>
      </c>
      <c r="AI10" s="9">
        <f t="shared" si="3"/>
        <v>9.4744125178540539</v>
      </c>
      <c r="AJ10" s="9">
        <f t="shared" si="4"/>
        <v>6.7821650628124539</v>
      </c>
      <c r="AK10" s="9">
        <f t="shared" si="5"/>
        <v>45.997762939233859</v>
      </c>
      <c r="AL10" s="9">
        <f t="shared" si="6"/>
        <v>6.4342064283250417</v>
      </c>
      <c r="AM10" s="9">
        <f t="shared" si="7"/>
        <v>41.399012362299288</v>
      </c>
      <c r="AN10" s="8" t="s">
        <v>3800</v>
      </c>
    </row>
    <row r="11" spans="8:40" ht="23">
      <c r="M11" s="8" t="s">
        <v>3769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3769</v>
      </c>
      <c r="X11" s="8">
        <v>67.72</v>
      </c>
      <c r="Y11" s="8">
        <v>1.81</v>
      </c>
      <c r="Z11" s="9">
        <v>2.0099999999999998</v>
      </c>
      <c r="AA11" s="8">
        <v>4437.1000000000004</v>
      </c>
      <c r="AB11" s="8">
        <v>297</v>
      </c>
      <c r="AC11" s="21" t="s">
        <v>3769</v>
      </c>
      <c r="AD11" s="8" t="s">
        <v>4443</v>
      </c>
      <c r="AE11" s="8" t="s">
        <v>3722</v>
      </c>
      <c r="AF11" s="9">
        <f t="shared" si="0"/>
        <v>8031.1510000000007</v>
      </c>
      <c r="AG11" s="9">
        <f t="shared" si="1"/>
        <v>8948.1516666666666</v>
      </c>
      <c r="AH11" s="9">
        <f t="shared" si="2"/>
        <v>3.0240081892412629</v>
      </c>
      <c r="AI11" s="9">
        <f t="shared" si="3"/>
        <v>9.1446255285982225</v>
      </c>
      <c r="AJ11" s="9">
        <f t="shared" si="4"/>
        <v>2.621778009340419</v>
      </c>
      <c r="AK11" s="9">
        <f t="shared" si="5"/>
        <v>6.8737199302610108</v>
      </c>
      <c r="AL11" s="9">
        <f t="shared" si="6"/>
        <v>2.9877703502423514</v>
      </c>
      <c r="AM11" s="9">
        <f t="shared" si="7"/>
        <v>8.9267716657873031</v>
      </c>
      <c r="AN11" s="8" t="s">
        <v>3769</v>
      </c>
    </row>
    <row r="12" spans="8:40" ht="23">
      <c r="M12" s="8" t="s">
        <v>3780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3780</v>
      </c>
      <c r="X12" s="8">
        <v>70.52</v>
      </c>
      <c r="Y12" s="8">
        <v>1.92</v>
      </c>
      <c r="Z12" s="9">
        <v>1.45</v>
      </c>
      <c r="AA12" s="8">
        <v>3977.3</v>
      </c>
      <c r="AB12" s="8">
        <v>224</v>
      </c>
      <c r="AC12" s="21" t="s">
        <v>3780</v>
      </c>
      <c r="AD12" s="8" t="s">
        <v>4443</v>
      </c>
      <c r="AE12" s="8" t="s">
        <v>3722</v>
      </c>
      <c r="AF12" s="9">
        <f t="shared" si="0"/>
        <v>7636.4160000000002</v>
      </c>
      <c r="AG12" s="9">
        <f t="shared" si="1"/>
        <v>6960.2750000000005</v>
      </c>
      <c r="AH12" s="9">
        <f t="shared" si="2"/>
        <v>2.7106415837076634</v>
      </c>
      <c r="AI12" s="9">
        <f t="shared" si="3"/>
        <v>7.34757779532519</v>
      </c>
      <c r="AJ12" s="9">
        <f t="shared" si="4"/>
        <v>2.4929163377671921</v>
      </c>
      <c r="AK12" s="9">
        <f t="shared" si="5"/>
        <v>6.214631867106589</v>
      </c>
      <c r="AL12" s="9">
        <f t="shared" si="6"/>
        <v>2.3240222170127596</v>
      </c>
      <c r="AM12" s="9">
        <f t="shared" si="7"/>
        <v>5.4010792651689021</v>
      </c>
      <c r="AN12" s="8" t="s">
        <v>3780</v>
      </c>
    </row>
    <row r="13" spans="8:40" ht="23">
      <c r="M13" s="8" t="s">
        <v>3886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3886</v>
      </c>
      <c r="X13" s="8">
        <v>67.25</v>
      </c>
      <c r="Y13" s="8">
        <v>1.78</v>
      </c>
      <c r="Z13" s="9">
        <v>1.1499999999999999</v>
      </c>
      <c r="AA13" s="8">
        <v>3890.8</v>
      </c>
      <c r="AB13" s="8">
        <v>352</v>
      </c>
      <c r="AC13" s="21" t="s">
        <v>3886</v>
      </c>
      <c r="AD13" s="8" t="s">
        <v>4443</v>
      </c>
      <c r="AE13" s="8" t="s">
        <v>3722</v>
      </c>
      <c r="AF13" s="9">
        <f t="shared" si="0"/>
        <v>6925.6240000000007</v>
      </c>
      <c r="AG13" s="9">
        <f t="shared" si="1"/>
        <v>4863.5</v>
      </c>
      <c r="AH13" s="9">
        <f t="shared" si="2"/>
        <v>2.6516894058506471</v>
      </c>
      <c r="AI13" s="9">
        <f t="shared" si="3"/>
        <v>7.0314567051005579</v>
      </c>
      <c r="AJ13" s="9">
        <f t="shared" si="4"/>
        <v>2.2608775135917916</v>
      </c>
      <c r="AK13" s="9">
        <f t="shared" si="5"/>
        <v>5.1115671314650015</v>
      </c>
      <c r="AL13" s="9">
        <f t="shared" si="6"/>
        <v>1.6239131431504583</v>
      </c>
      <c r="AM13" s="9">
        <f t="shared" si="7"/>
        <v>2.6370938964968009</v>
      </c>
      <c r="AN13" s="8" t="s">
        <v>3886</v>
      </c>
    </row>
    <row r="14" spans="8:40" ht="23">
      <c r="M14" s="8" t="s">
        <v>3876</v>
      </c>
      <c r="N14" s="8"/>
      <c r="O14" s="8"/>
      <c r="P14" s="8"/>
      <c r="Q14" s="8"/>
      <c r="R14" s="8"/>
      <c r="S14" s="8"/>
      <c r="T14" s="8"/>
      <c r="U14" s="8"/>
      <c r="V14" s="8"/>
      <c r="W14" s="8" t="s">
        <v>3876</v>
      </c>
      <c r="X14" s="8">
        <v>70.52</v>
      </c>
      <c r="Y14" s="8">
        <v>1.69</v>
      </c>
      <c r="Z14" s="9">
        <v>2.06</v>
      </c>
      <c r="AA14" s="8">
        <v>3299.4</v>
      </c>
      <c r="AB14" s="8">
        <v>655</v>
      </c>
      <c r="AC14" s="21" t="s">
        <v>3876</v>
      </c>
      <c r="AD14" s="8" t="s">
        <v>4443</v>
      </c>
      <c r="AE14" s="8" t="s">
        <v>3722</v>
      </c>
      <c r="AF14" s="9">
        <f t="shared" si="0"/>
        <v>5575.9859999999999</v>
      </c>
      <c r="AG14" s="9">
        <f t="shared" si="1"/>
        <v>6928.7400000000007</v>
      </c>
      <c r="AH14" s="9">
        <f t="shared" si="2"/>
        <v>2.2486337066062569</v>
      </c>
      <c r="AI14" s="9">
        <f t="shared" si="3"/>
        <v>5.056353546485794</v>
      </c>
      <c r="AJ14" s="9">
        <f t="shared" si="4"/>
        <v>1.8202867154645759</v>
      </c>
      <c r="AK14" s="9">
        <f t="shared" si="5"/>
        <v>3.3134437264968137</v>
      </c>
      <c r="AL14" s="9">
        <f t="shared" si="6"/>
        <v>2.3134927421553009</v>
      </c>
      <c r="AM14" s="9">
        <f t="shared" si="7"/>
        <v>5.3522486680052532</v>
      </c>
      <c r="AN14" s="8" t="s">
        <v>3876</v>
      </c>
    </row>
    <row r="15" spans="8:40" ht="23">
      <c r="M15" s="24" t="s">
        <v>3873</v>
      </c>
      <c r="N15" s="24"/>
      <c r="O15" s="24"/>
      <c r="P15" s="24"/>
      <c r="Q15" s="24"/>
      <c r="R15" s="24"/>
      <c r="S15" s="24"/>
      <c r="T15" s="24"/>
      <c r="U15" s="24"/>
      <c r="V15" s="24"/>
      <c r="W15" s="24" t="s">
        <v>3873</v>
      </c>
      <c r="X15" s="24">
        <v>69.23</v>
      </c>
      <c r="Y15" s="24">
        <v>1.58</v>
      </c>
      <c r="Z15" s="25">
        <v>1.41</v>
      </c>
      <c r="AA15" s="24">
        <v>3244</v>
      </c>
      <c r="AB15" s="24">
        <v>996</v>
      </c>
      <c r="AC15" s="21" t="s">
        <v>3873</v>
      </c>
      <c r="AD15" s="8" t="s">
        <v>4443</v>
      </c>
      <c r="AE15" s="8" t="s">
        <v>3722</v>
      </c>
      <c r="AF15" s="9">
        <f t="shared" si="0"/>
        <v>5125.5200000000004</v>
      </c>
      <c r="AG15" s="9">
        <f t="shared" si="1"/>
        <v>5460.7333333333336</v>
      </c>
      <c r="AH15" s="9">
        <f t="shared" si="2"/>
        <v>2.2108770516550575</v>
      </c>
      <c r="AI15" s="9">
        <f t="shared" si="3"/>
        <v>4.8879773375349602</v>
      </c>
      <c r="AJ15" s="9">
        <f t="shared" si="4"/>
        <v>1.6732315981152022</v>
      </c>
      <c r="AK15" s="9">
        <f t="shared" si="5"/>
        <v>2.7997039809311532</v>
      </c>
      <c r="AL15" s="9">
        <f t="shared" si="6"/>
        <v>1.8233281857180657</v>
      </c>
      <c r="AM15" s="9">
        <f t="shared" si="7"/>
        <v>3.324525672833933</v>
      </c>
      <c r="AN15" s="24" t="s">
        <v>3873</v>
      </c>
    </row>
    <row r="16" spans="8:40" ht="23">
      <c r="M16" s="8" t="s">
        <v>3990</v>
      </c>
      <c r="N16" s="8"/>
      <c r="O16" s="8"/>
      <c r="P16" s="8"/>
      <c r="Q16" s="8"/>
      <c r="R16" s="8"/>
      <c r="S16" s="8"/>
      <c r="T16" s="8"/>
      <c r="U16" s="8"/>
      <c r="V16" s="8"/>
      <c r="W16" s="8" t="s">
        <v>3990</v>
      </c>
      <c r="X16" s="8">
        <v>63.21</v>
      </c>
      <c r="Y16" s="8">
        <v>1.97</v>
      </c>
      <c r="Z16" s="9">
        <v>1.41</v>
      </c>
      <c r="AA16" s="8">
        <v>2964.7</v>
      </c>
      <c r="AB16" s="8">
        <v>945</v>
      </c>
      <c r="AC16" s="21" t="s">
        <v>3990</v>
      </c>
      <c r="AD16" s="8" t="s">
        <v>4443</v>
      </c>
      <c r="AE16" s="8" t="s">
        <v>3722</v>
      </c>
      <c r="AF16" s="9">
        <f t="shared" si="0"/>
        <v>5840.4589999999998</v>
      </c>
      <c r="AG16" s="9">
        <f t="shared" si="1"/>
        <v>4990.5783333333329</v>
      </c>
      <c r="AH16" s="9">
        <f t="shared" si="2"/>
        <v>2.020526262343326</v>
      </c>
      <c r="AI16" s="9">
        <f t="shared" si="3"/>
        <v>4.0825263768190911</v>
      </c>
      <c r="AJ16" s="9">
        <f t="shared" si="4"/>
        <v>1.9066242149667381</v>
      </c>
      <c r="AK16" s="9">
        <f t="shared" si="5"/>
        <v>3.6352158970975301</v>
      </c>
      <c r="AL16" s="9">
        <f t="shared" si="6"/>
        <v>1.6663443502460999</v>
      </c>
      <c r="AM16" s="9">
        <f t="shared" si="7"/>
        <v>2.7767034935970969</v>
      </c>
      <c r="AN16" s="8" t="s">
        <v>3990</v>
      </c>
    </row>
    <row r="17" spans="13:40" ht="23">
      <c r="M17" s="8" t="s">
        <v>3909</v>
      </c>
      <c r="N17" s="8"/>
      <c r="O17" s="8"/>
      <c r="P17" s="8"/>
      <c r="Q17" s="8"/>
      <c r="R17" s="8"/>
      <c r="S17" s="8"/>
      <c r="T17" s="8"/>
      <c r="U17" s="8"/>
      <c r="V17" s="8"/>
      <c r="W17" s="8" t="s">
        <v>3909</v>
      </c>
      <c r="X17" s="8">
        <v>62.22</v>
      </c>
      <c r="Y17" s="8">
        <v>1.61</v>
      </c>
      <c r="Z17" s="9">
        <v>0.56000000000000005</v>
      </c>
      <c r="AA17" s="8">
        <v>2876.1</v>
      </c>
      <c r="AB17" s="8">
        <v>1399</v>
      </c>
      <c r="AC17" s="21" t="s">
        <v>3909</v>
      </c>
      <c r="AD17" s="8" t="s">
        <v>4443</v>
      </c>
      <c r="AE17" s="8" t="s">
        <v>3722</v>
      </c>
      <c r="AF17" s="9">
        <f t="shared" si="0"/>
        <v>4630.5209999999997</v>
      </c>
      <c r="AG17" s="9">
        <f t="shared" si="1"/>
        <v>2684.36</v>
      </c>
      <c r="AH17" s="9">
        <f t="shared" si="2"/>
        <v>1.9601428755441155</v>
      </c>
      <c r="AI17" s="9">
        <f t="shared" si="3"/>
        <v>3.8421600925463539</v>
      </c>
      <c r="AJ17" s="9">
        <f t="shared" si="4"/>
        <v>1.5116386343114461</v>
      </c>
      <c r="AK17" s="9">
        <f t="shared" si="5"/>
        <v>2.2850513607429739</v>
      </c>
      <c r="AL17" s="9">
        <f t="shared" si="6"/>
        <v>0.89630255678983528</v>
      </c>
      <c r="AM17" s="9">
        <f t="shared" si="7"/>
        <v>0.80335827330799592</v>
      </c>
      <c r="AN17" s="8" t="s">
        <v>3909</v>
      </c>
    </row>
    <row r="18" spans="13:40" ht="23">
      <c r="M18" s="8" t="s">
        <v>3807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3807</v>
      </c>
      <c r="X18" s="8">
        <v>67.489999999999995</v>
      </c>
      <c r="Y18" s="8">
        <v>2.74</v>
      </c>
      <c r="Z18" s="9">
        <v>2.16</v>
      </c>
      <c r="AA18" s="8">
        <v>2750.7</v>
      </c>
      <c r="AB18" s="8">
        <v>446</v>
      </c>
      <c r="AC18" s="21" t="s">
        <v>3807</v>
      </c>
      <c r="AD18" s="8" t="s">
        <v>4443</v>
      </c>
      <c r="AE18" s="8" t="s">
        <v>3722</v>
      </c>
      <c r="AF18" s="9">
        <f t="shared" si="0"/>
        <v>7536.9179999999997</v>
      </c>
      <c r="AG18" s="9">
        <f t="shared" si="1"/>
        <v>6234.9199999999992</v>
      </c>
      <c r="AH18" s="9">
        <f t="shared" si="2"/>
        <v>1.874679255853134</v>
      </c>
      <c r="AI18" s="9">
        <f t="shared" si="3"/>
        <v>3.5144223123260603</v>
      </c>
      <c r="AJ18" s="9">
        <f t="shared" si="4"/>
        <v>2.4604351070726933</v>
      </c>
      <c r="AK18" s="9">
        <f t="shared" si="5"/>
        <v>6.0537409161158156</v>
      </c>
      <c r="AL18" s="9">
        <f t="shared" si="6"/>
        <v>2.0818276003889489</v>
      </c>
      <c r="AM18" s="9">
        <f t="shared" si="7"/>
        <v>4.334006157741209</v>
      </c>
      <c r="AN18" s="8" t="s">
        <v>3807</v>
      </c>
    </row>
    <row r="19" spans="13:40" ht="23">
      <c r="M19" s="8" t="s">
        <v>3794</v>
      </c>
      <c r="N19" s="8"/>
      <c r="O19" s="8"/>
      <c r="P19" s="8"/>
      <c r="Q19" s="8"/>
      <c r="R19" s="8"/>
      <c r="S19" s="8"/>
      <c r="T19" s="8"/>
      <c r="U19" s="8"/>
      <c r="V19" s="8"/>
      <c r="W19" s="8" t="s">
        <v>3794</v>
      </c>
      <c r="X19" s="8">
        <v>86.81</v>
      </c>
      <c r="Y19" s="8">
        <v>1.27</v>
      </c>
      <c r="Z19" s="9">
        <v>0.35</v>
      </c>
      <c r="AA19" s="8">
        <v>2385.1999999999998</v>
      </c>
      <c r="AB19" s="8">
        <v>410</v>
      </c>
      <c r="AC19" s="21" t="s">
        <v>3794</v>
      </c>
      <c r="AD19" s="8" t="s">
        <v>4443</v>
      </c>
      <c r="AE19" s="8" t="s">
        <v>3722</v>
      </c>
      <c r="AF19" s="9">
        <f t="shared" si="0"/>
        <v>3029.2039999999997</v>
      </c>
      <c r="AG19" s="9">
        <f t="shared" si="1"/>
        <v>1391.3666666666666</v>
      </c>
      <c r="AH19" s="9">
        <f t="shared" si="2"/>
        <v>1.6255807471046986</v>
      </c>
      <c r="AI19" s="9">
        <f t="shared" si="3"/>
        <v>2.6425127653574698</v>
      </c>
      <c r="AJ19" s="9">
        <f t="shared" si="4"/>
        <v>0.9888869519457465</v>
      </c>
      <c r="AK19" s="9">
        <f t="shared" si="5"/>
        <v>0.97789740372854916</v>
      </c>
      <c r="AL19" s="9">
        <f t="shared" si="6"/>
        <v>0.46457461024806046</v>
      </c>
      <c r="AM19" s="9">
        <f t="shared" si="7"/>
        <v>0.21582956848713727</v>
      </c>
      <c r="AN19" s="8" t="s">
        <v>3794</v>
      </c>
    </row>
    <row r="20" spans="13:40" ht="23">
      <c r="M20" s="8" t="s">
        <v>1907</v>
      </c>
      <c r="N20" s="8" t="s">
        <v>1902</v>
      </c>
      <c r="O20" s="8"/>
      <c r="P20" s="8" t="s">
        <v>3705</v>
      </c>
      <c r="Q20" s="8"/>
      <c r="R20" s="8"/>
      <c r="S20" s="8"/>
      <c r="T20" s="8"/>
      <c r="U20" s="8"/>
      <c r="V20" s="8"/>
      <c r="W20" s="8" t="s">
        <v>1907</v>
      </c>
      <c r="X20" s="8">
        <v>58.11</v>
      </c>
      <c r="Y20" s="8">
        <v>1.84</v>
      </c>
      <c r="Z20" s="9">
        <v>2.0699999999999998</v>
      </c>
      <c r="AA20" s="8">
        <v>2084.9</v>
      </c>
      <c r="AB20" s="8">
        <v>888</v>
      </c>
      <c r="AC20" s="21" t="s">
        <v>1907</v>
      </c>
      <c r="AD20" s="8" t="s">
        <v>4443</v>
      </c>
      <c r="AE20" s="8" t="s">
        <v>3722</v>
      </c>
      <c r="AF20" s="9">
        <f t="shared" si="0"/>
        <v>3836.2160000000003</v>
      </c>
      <c r="AG20" s="9">
        <f t="shared" si="1"/>
        <v>4413.0383333333339</v>
      </c>
      <c r="AH20" s="9">
        <f t="shared" si="2"/>
        <v>1.4209178683710326</v>
      </c>
      <c r="AI20" s="9">
        <f t="shared" si="3"/>
        <v>2.0190075886560792</v>
      </c>
      <c r="AJ20" s="9">
        <f t="shared" si="4"/>
        <v>1.2523369001379585</v>
      </c>
      <c r="AK20" s="9">
        <f t="shared" si="5"/>
        <v>1.5683477114471511</v>
      </c>
      <c r="AL20" s="9">
        <f t="shared" si="6"/>
        <v>1.4735048731832616</v>
      </c>
      <c r="AM20" s="9">
        <f t="shared" si="7"/>
        <v>2.1712166112948199</v>
      </c>
      <c r="AN20" s="8" t="s">
        <v>1907</v>
      </c>
    </row>
    <row r="21" spans="13:40" ht="23">
      <c r="M21" s="8" t="s">
        <v>3928</v>
      </c>
      <c r="N21" s="8"/>
      <c r="O21" s="8"/>
      <c r="P21" s="8"/>
      <c r="Q21" s="8"/>
      <c r="R21" s="8"/>
      <c r="S21" s="8"/>
      <c r="T21" s="8"/>
      <c r="U21" s="8"/>
      <c r="V21" s="8"/>
      <c r="W21" s="8" t="s">
        <v>3928</v>
      </c>
      <c r="X21" s="8">
        <v>69.17</v>
      </c>
      <c r="Y21" s="8">
        <v>1.48</v>
      </c>
      <c r="Z21" s="9">
        <v>1.0900000000000001</v>
      </c>
      <c r="AA21" s="8">
        <v>1694.6</v>
      </c>
      <c r="AB21" s="8">
        <v>1606</v>
      </c>
      <c r="AC21" s="21" t="s">
        <v>3928</v>
      </c>
      <c r="AD21" s="8" t="s">
        <v>4443</v>
      </c>
      <c r="AE21" s="8" t="s">
        <v>3722</v>
      </c>
      <c r="AF21" s="9">
        <f t="shared" si="0"/>
        <v>2508.0079999999998</v>
      </c>
      <c r="AG21" s="9">
        <f t="shared" si="1"/>
        <v>1948.7899999999997</v>
      </c>
      <c r="AH21" s="9">
        <f t="shared" si="2"/>
        <v>1.1549174635433601</v>
      </c>
      <c r="AI21" s="9">
        <f t="shared" si="3"/>
        <v>1.3338343475974286</v>
      </c>
      <c r="AJ21" s="9">
        <f t="shared" si="4"/>
        <v>0.81874194889995788</v>
      </c>
      <c r="AK21" s="9">
        <f t="shared" si="5"/>
        <v>0.67033837888850123</v>
      </c>
      <c r="AL21" s="9">
        <f t="shared" si="6"/>
        <v>0.65069717163363439</v>
      </c>
      <c r="AM21" s="9">
        <f t="shared" si="7"/>
        <v>0.42340680917201146</v>
      </c>
      <c r="AN21" s="8" t="s">
        <v>3928</v>
      </c>
    </row>
    <row r="22" spans="13:40" ht="23">
      <c r="M22" s="8" t="s">
        <v>4454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8" t="s">
        <v>4454</v>
      </c>
      <c r="X22" s="8">
        <v>73.03</v>
      </c>
      <c r="Y22" s="9">
        <v>1.59</v>
      </c>
      <c r="Z22" s="9">
        <v>1.3</v>
      </c>
      <c r="AA22" s="8">
        <v>1582.4</v>
      </c>
      <c r="AB22" s="8">
        <v>510</v>
      </c>
      <c r="AC22" s="21" t="s">
        <v>4454</v>
      </c>
      <c r="AD22" s="8" t="s">
        <v>4443</v>
      </c>
      <c r="AE22" s="8" t="s">
        <v>3722</v>
      </c>
      <c r="AF22" s="9">
        <f t="shared" si="0"/>
        <v>2516.0160000000001</v>
      </c>
      <c r="AG22" s="9">
        <f t="shared" si="1"/>
        <v>1590.3119999999999</v>
      </c>
      <c r="AH22" s="9">
        <f t="shared" si="2"/>
        <v>1.0784500143461664</v>
      </c>
      <c r="AI22" s="9">
        <f t="shared" si="3"/>
        <v>1.1630544334432464</v>
      </c>
      <c r="AJ22" s="9">
        <f t="shared" si="4"/>
        <v>0.82135616924008059</v>
      </c>
      <c r="AK22" s="9">
        <f t="shared" si="5"/>
        <v>0.67462595674873993</v>
      </c>
      <c r="AL22" s="9">
        <f t="shared" si="6"/>
        <v>0.53100206816282336</v>
      </c>
      <c r="AM22" s="9">
        <f t="shared" si="7"/>
        <v>0.28196319639319573</v>
      </c>
      <c r="AN22" s="8" t="s">
        <v>4454</v>
      </c>
    </row>
    <row r="23" spans="13:40" ht="23">
      <c r="M23" s="8" t="s">
        <v>3777</v>
      </c>
      <c r="N23" s="8"/>
      <c r="O23" s="8"/>
      <c r="P23" s="8"/>
      <c r="Q23" s="8"/>
      <c r="R23" s="8"/>
      <c r="S23" s="8"/>
      <c r="T23" s="8"/>
      <c r="U23" s="8"/>
      <c r="V23" s="8"/>
      <c r="W23" s="8" t="s">
        <v>3777</v>
      </c>
      <c r="X23" s="8">
        <v>70.069999999999993</v>
      </c>
      <c r="Y23" s="8">
        <v>1.56</v>
      </c>
      <c r="Z23" s="9">
        <v>0.39</v>
      </c>
      <c r="AA23" s="8">
        <v>1299.3</v>
      </c>
      <c r="AB23" s="8">
        <v>882</v>
      </c>
      <c r="AC23" s="21" t="s">
        <v>3777</v>
      </c>
      <c r="AD23" s="8" t="s">
        <v>4443</v>
      </c>
      <c r="AE23" s="8" t="s">
        <v>3722</v>
      </c>
      <c r="AF23" s="9">
        <f t="shared" si="0"/>
        <v>2026.9079999999999</v>
      </c>
      <c r="AG23" s="9">
        <f t="shared" si="1"/>
        <v>844.54499999999996</v>
      </c>
      <c r="AH23" s="9">
        <f t="shared" si="2"/>
        <v>0.88550941837713204</v>
      </c>
      <c r="AI23" s="9">
        <f t="shared" si="3"/>
        <v>0.78412693003460665</v>
      </c>
      <c r="AJ23" s="9">
        <f t="shared" si="4"/>
        <v>0.66168632881590306</v>
      </c>
      <c r="AK23" s="9">
        <f t="shared" si="5"/>
        <v>0.43782879774186739</v>
      </c>
      <c r="AL23" s="9">
        <f t="shared" si="6"/>
        <v>0.28199192463904665</v>
      </c>
      <c r="AM23" s="9">
        <f t="shared" si="7"/>
        <v>7.9519445561633761E-2</v>
      </c>
      <c r="AN23" s="8" t="s">
        <v>3777</v>
      </c>
    </row>
    <row r="24" spans="13:40" ht="21" customHeight="1">
      <c r="M24" s="8" t="s">
        <v>3869</v>
      </c>
      <c r="N24" s="8"/>
      <c r="O24" s="8"/>
      <c r="P24" s="8"/>
      <c r="Q24" s="8"/>
      <c r="R24" s="8"/>
      <c r="S24" s="8"/>
      <c r="T24" s="8"/>
      <c r="U24" s="8"/>
      <c r="V24" s="8"/>
      <c r="W24" s="8" t="s">
        <v>3869</v>
      </c>
      <c r="X24" s="8">
        <v>50.18</v>
      </c>
      <c r="Y24" s="8">
        <v>3.81</v>
      </c>
      <c r="Z24" s="9">
        <v>5.2</v>
      </c>
      <c r="AA24" s="8">
        <v>1227.3</v>
      </c>
      <c r="AB24" s="8">
        <v>325</v>
      </c>
      <c r="AC24" s="21" t="s">
        <v>3869</v>
      </c>
      <c r="AD24" s="8" t="s">
        <v>4443</v>
      </c>
      <c r="AE24" s="8" t="s">
        <v>3722</v>
      </c>
      <c r="AF24" s="9">
        <f t="shared" si="0"/>
        <v>4676.0129999999999</v>
      </c>
      <c r="AG24" s="9">
        <f t="shared" si="1"/>
        <v>6140.5909999999994</v>
      </c>
      <c r="AH24" s="9">
        <f t="shared" si="2"/>
        <v>0.83643939750192731</v>
      </c>
      <c r="AI24" s="9">
        <f t="shared" si="3"/>
        <v>0.69963086569338717</v>
      </c>
      <c r="AJ24" s="9">
        <f t="shared" si="4"/>
        <v>1.5264895473625038</v>
      </c>
      <c r="AK24" s="9">
        <f t="shared" si="5"/>
        <v>2.3301703382069814</v>
      </c>
      <c r="AL24" s="9">
        <f t="shared" si="6"/>
        <v>2.0503313316770666</v>
      </c>
      <c r="AM24" s="9">
        <f t="shared" si="7"/>
        <v>4.2038585696566537</v>
      </c>
      <c r="AN24" s="8" t="s">
        <v>3869</v>
      </c>
    </row>
    <row r="25" spans="13:40" ht="23">
      <c r="M25" s="8" t="s">
        <v>3822</v>
      </c>
      <c r="N25" s="8"/>
      <c r="O25" s="8"/>
      <c r="P25" s="8"/>
      <c r="Q25" s="8"/>
      <c r="R25" s="8"/>
      <c r="S25" s="8"/>
      <c r="T25" s="8"/>
      <c r="U25" s="8"/>
      <c r="V25" s="8"/>
      <c r="W25" s="8" t="s">
        <v>3822</v>
      </c>
      <c r="X25" s="8">
        <v>44.26</v>
      </c>
      <c r="Y25" s="8">
        <v>2.14</v>
      </c>
      <c r="Z25" s="9">
        <v>2.16</v>
      </c>
      <c r="AA25" s="8">
        <v>1186.2</v>
      </c>
      <c r="AB25" s="8">
        <v>468</v>
      </c>
      <c r="AC25" s="21" t="s">
        <v>3822</v>
      </c>
      <c r="AD25" s="8" t="s">
        <v>4443</v>
      </c>
      <c r="AE25" s="8" t="s">
        <v>3722</v>
      </c>
      <c r="AF25" s="9">
        <f t="shared" si="0"/>
        <v>2538.4680000000003</v>
      </c>
      <c r="AG25" s="9">
        <f t="shared" si="1"/>
        <v>2688.7200000000003</v>
      </c>
      <c r="AH25" s="9">
        <f t="shared" si="2"/>
        <v>0.80842859391899791</v>
      </c>
      <c r="AI25" s="9">
        <f t="shared" si="3"/>
        <v>0.653556791465848</v>
      </c>
      <c r="AJ25" s="9">
        <f t="shared" si="4"/>
        <v>0.82868564914473086</v>
      </c>
      <c r="AK25" s="9">
        <f t="shared" si="5"/>
        <v>0.68671990509842396</v>
      </c>
      <c r="AL25" s="9">
        <f t="shared" si="6"/>
        <v>0.89775835226719447</v>
      </c>
      <c r="AM25" s="9">
        <f t="shared" si="7"/>
        <v>0.805970059065508</v>
      </c>
      <c r="AN25" s="8" t="s">
        <v>3822</v>
      </c>
    </row>
    <row r="26" spans="13:40" ht="26" customHeight="1">
      <c r="M26" s="8" t="s">
        <v>3934</v>
      </c>
      <c r="N26" s="8"/>
      <c r="O26" s="8"/>
      <c r="P26" s="8"/>
      <c r="Q26" s="8"/>
      <c r="R26" s="8"/>
      <c r="S26" s="8"/>
      <c r="T26" s="8"/>
      <c r="U26" s="8"/>
      <c r="V26" s="8"/>
      <c r="W26" s="8" t="s">
        <v>3934</v>
      </c>
      <c r="X26" s="8">
        <v>67.11</v>
      </c>
      <c r="Y26" s="8">
        <v>1.75</v>
      </c>
      <c r="Z26" s="9">
        <v>1.44</v>
      </c>
      <c r="AA26" s="8">
        <v>944.8</v>
      </c>
      <c r="AB26" s="8">
        <v>2460</v>
      </c>
      <c r="AC26" s="21" t="s">
        <v>3934</v>
      </c>
      <c r="AD26" s="8" t="s">
        <v>4443</v>
      </c>
      <c r="AE26" s="8" t="s">
        <v>3722</v>
      </c>
      <c r="AF26" s="9">
        <f t="shared" si="0"/>
        <v>1653.3999999999999</v>
      </c>
      <c r="AG26" s="9">
        <f t="shared" si="1"/>
        <v>1637.6533333333334</v>
      </c>
      <c r="AH26" s="9">
        <f t="shared" si="2"/>
        <v>0.6439077183735199</v>
      </c>
      <c r="AI26" s="9">
        <f t="shared" si="3"/>
        <v>0.41461714978099223</v>
      </c>
      <c r="AJ26" s="9">
        <f t="shared" si="4"/>
        <v>0.53975423456033234</v>
      </c>
      <c r="AK26" s="9">
        <f t="shared" si="5"/>
        <v>0.29133463372581025</v>
      </c>
      <c r="AL26" s="9">
        <f t="shared" si="6"/>
        <v>0.54680924682310228</v>
      </c>
      <c r="AM26" s="9">
        <f t="shared" si="7"/>
        <v>0.29900035241124839</v>
      </c>
      <c r="AN26" s="8" t="s">
        <v>3934</v>
      </c>
    </row>
    <row r="27" spans="13:40" ht="23">
      <c r="M27" s="8" t="s">
        <v>3975</v>
      </c>
      <c r="N27" s="8"/>
      <c r="O27" s="8"/>
      <c r="P27" s="8"/>
      <c r="Q27" s="8"/>
      <c r="R27" s="8"/>
      <c r="S27" s="8"/>
      <c r="T27" s="8"/>
      <c r="U27" s="8"/>
      <c r="V27" s="8"/>
      <c r="W27" s="8" t="s">
        <v>3975</v>
      </c>
      <c r="X27" s="8">
        <v>57.79</v>
      </c>
      <c r="Y27" s="8">
        <v>2.65</v>
      </c>
      <c r="Z27" s="9">
        <v>2.5499999999999998</v>
      </c>
      <c r="AA27" s="8">
        <v>899.9</v>
      </c>
      <c r="AB27" s="8">
        <v>766</v>
      </c>
      <c r="AC27" s="21" t="s">
        <v>3975</v>
      </c>
      <c r="AD27" s="8" t="s">
        <v>4443</v>
      </c>
      <c r="AE27" s="8" t="s">
        <v>3722</v>
      </c>
      <c r="AF27" s="9">
        <f t="shared" si="0"/>
        <v>2384.7349999999997</v>
      </c>
      <c r="AG27" s="9">
        <f t="shared" si="1"/>
        <v>2624.708333333333</v>
      </c>
      <c r="AH27" s="9">
        <f t="shared" si="2"/>
        <v>0.61330710813328804</v>
      </c>
      <c r="AI27" s="9">
        <f t="shared" si="3"/>
        <v>0.37614560888681664</v>
      </c>
      <c r="AJ27" s="9">
        <f t="shared" si="4"/>
        <v>0.77849934350685512</v>
      </c>
      <c r="AK27" s="9">
        <f t="shared" si="5"/>
        <v>0.60606122784060446</v>
      </c>
      <c r="AL27" s="9">
        <f t="shared" si="6"/>
        <v>0.87638498189298519</v>
      </c>
      <c r="AM27" s="9">
        <f t="shared" si="7"/>
        <v>0.76805063648756799</v>
      </c>
      <c r="AN27" s="8" t="s">
        <v>3975</v>
      </c>
    </row>
    <row r="28" spans="13:40" ht="21.5" customHeight="1">
      <c r="M28" s="8" t="s">
        <v>459</v>
      </c>
      <c r="N28" s="8" t="s">
        <v>150</v>
      </c>
      <c r="O28" s="8"/>
      <c r="P28" s="8" t="s">
        <v>3691</v>
      </c>
      <c r="Q28" s="8"/>
      <c r="R28" s="8"/>
      <c r="S28" s="8"/>
      <c r="T28" s="8"/>
      <c r="U28" s="8"/>
      <c r="V28" s="8"/>
      <c r="W28" s="8" t="s">
        <v>459</v>
      </c>
      <c r="X28" s="8">
        <v>57.89</v>
      </c>
      <c r="Y28" s="8">
        <v>1.38</v>
      </c>
      <c r="Z28" s="9">
        <v>0.32</v>
      </c>
      <c r="AA28" s="8">
        <v>821.4</v>
      </c>
      <c r="AB28" s="8">
        <v>2834</v>
      </c>
      <c r="AC28" s="21" t="s">
        <v>459</v>
      </c>
      <c r="AD28" s="8" t="s">
        <v>4443</v>
      </c>
      <c r="AE28" s="8" t="s">
        <v>3722</v>
      </c>
      <c r="AF28" s="9">
        <f t="shared" si="0"/>
        <v>1133.5319999999999</v>
      </c>
      <c r="AG28" s="9">
        <f t="shared" si="1"/>
        <v>438.08</v>
      </c>
      <c r="AH28" s="9">
        <f t="shared" si="2"/>
        <v>0.55980715481796062</v>
      </c>
      <c r="AI28" s="9">
        <f t="shared" si="3"/>
        <v>0.3133840505853801</v>
      </c>
      <c r="AJ28" s="9">
        <f t="shared" si="4"/>
        <v>0.37004275856395469</v>
      </c>
      <c r="AK28" s="9">
        <f t="shared" si="5"/>
        <v>0.13693164316562126</v>
      </c>
      <c r="AL28" s="9">
        <f t="shared" si="6"/>
        <v>0.14627405567006327</v>
      </c>
      <c r="AM28" s="9">
        <f t="shared" si="7"/>
        <v>2.1396099362168769E-2</v>
      </c>
      <c r="AN28" s="8" t="s">
        <v>459</v>
      </c>
    </row>
    <row r="29" spans="13:40" ht="23">
      <c r="M29" s="24" t="s">
        <v>5205</v>
      </c>
      <c r="N29" s="24"/>
      <c r="O29" s="24"/>
      <c r="P29" s="24"/>
      <c r="Q29" s="24"/>
      <c r="R29" s="24"/>
      <c r="S29" s="24"/>
      <c r="T29" s="24"/>
      <c r="U29" s="24"/>
      <c r="V29" s="24"/>
      <c r="W29" s="24" t="s">
        <v>5205</v>
      </c>
      <c r="X29" s="24">
        <v>55.06</v>
      </c>
      <c r="Y29" s="24">
        <v>1.46</v>
      </c>
      <c r="Z29" s="25">
        <v>2.4</v>
      </c>
      <c r="AA29" s="24">
        <v>741.4</v>
      </c>
      <c r="AB29" s="24">
        <v>3240</v>
      </c>
      <c r="AC29" s="21" t="s">
        <v>5205</v>
      </c>
      <c r="AD29" s="8" t="s">
        <v>4443</v>
      </c>
      <c r="AE29" s="8" t="s">
        <v>3722</v>
      </c>
      <c r="AF29" s="9">
        <f t="shared" si="0"/>
        <v>1082.444</v>
      </c>
      <c r="AG29" s="9">
        <f t="shared" si="1"/>
        <v>1487.7426666666668</v>
      </c>
      <c r="AH29" s="9">
        <f t="shared" si="2"/>
        <v>0.50528490940106641</v>
      </c>
      <c r="AI29" s="9">
        <f t="shared" si="3"/>
        <v>0.25531283966844387</v>
      </c>
      <c r="AJ29" s="9">
        <f t="shared" si="4"/>
        <v>0.35336502520528879</v>
      </c>
      <c r="AK29" s="9">
        <f t="shared" si="5"/>
        <v>0.12486684103833438</v>
      </c>
      <c r="AL29" s="9">
        <f t="shared" si="6"/>
        <v>0.49675436825860203</v>
      </c>
      <c r="AM29" s="9">
        <f t="shared" si="7"/>
        <v>0.24676490238400281</v>
      </c>
      <c r="AN29" s="24" t="s">
        <v>5205</v>
      </c>
    </row>
    <row r="30" spans="13:40" ht="23">
      <c r="M30" s="8" t="s">
        <v>890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890</v>
      </c>
      <c r="X30" s="8">
        <v>61.15</v>
      </c>
      <c r="Y30" s="8">
        <v>1.28</v>
      </c>
      <c r="Z30" s="9">
        <v>0.19</v>
      </c>
      <c r="AA30" s="8">
        <v>643.9</v>
      </c>
      <c r="AB30" s="8">
        <v>8425</v>
      </c>
      <c r="AC30" s="21" t="s">
        <v>890</v>
      </c>
      <c r="AD30" s="8" t="s">
        <v>4443</v>
      </c>
      <c r="AE30" s="8" t="s">
        <v>3722</v>
      </c>
      <c r="AF30" s="9">
        <f t="shared" si="0"/>
        <v>824.19200000000001</v>
      </c>
      <c r="AG30" s="9">
        <f t="shared" si="1"/>
        <v>203.90166666666664</v>
      </c>
      <c r="AH30" s="9">
        <f t="shared" si="2"/>
        <v>0.43883592279922673</v>
      </c>
      <c r="AI30" s="9">
        <f t="shared" si="3"/>
        <v>0.19257696713904887</v>
      </c>
      <c r="AJ30" s="9">
        <f t="shared" si="4"/>
        <v>0.26905837794287502</v>
      </c>
      <c r="AK30" s="9">
        <f t="shared" si="5"/>
        <v>7.2392410741250968E-2</v>
      </c>
      <c r="AL30" s="9">
        <f t="shared" si="6"/>
        <v>6.808236792644877E-2</v>
      </c>
      <c r="AM30" s="9">
        <f t="shared" si="7"/>
        <v>4.6352088224723403E-3</v>
      </c>
      <c r="AN30" s="8" t="s">
        <v>890</v>
      </c>
    </row>
    <row r="31" spans="13:40" ht="25.5" customHeight="1">
      <c r="M31" s="9" t="s">
        <v>2513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9" t="s">
        <v>2513</v>
      </c>
      <c r="X31" s="8">
        <v>35.42</v>
      </c>
      <c r="Y31" s="8">
        <v>1.44</v>
      </c>
      <c r="Z31" s="9">
        <v>1.1000000000000001</v>
      </c>
      <c r="AA31" s="8">
        <v>233.7</v>
      </c>
      <c r="AB31" s="8">
        <v>5070</v>
      </c>
      <c r="AC31" s="22" t="s">
        <v>2513</v>
      </c>
      <c r="AD31" s="8" t="s">
        <v>4443</v>
      </c>
      <c r="AE31" s="8" t="s">
        <v>3722</v>
      </c>
      <c r="AF31" s="9">
        <f t="shared" si="0"/>
        <v>336.52799999999996</v>
      </c>
      <c r="AG31" s="9">
        <f t="shared" si="1"/>
        <v>234.08949999999999</v>
      </c>
      <c r="AH31" s="9">
        <f t="shared" si="2"/>
        <v>0.15927310942410203</v>
      </c>
      <c r="AI31" s="9">
        <f t="shared" si="3"/>
        <v>2.5367923385621979E-2</v>
      </c>
      <c r="AJ31" s="9">
        <f t="shared" si="4"/>
        <v>0.10985993289471364</v>
      </c>
      <c r="AK31" s="9">
        <f t="shared" si="5"/>
        <v>1.2069204855630985E-2</v>
      </c>
      <c r="AL31" s="9">
        <f t="shared" si="6"/>
        <v>7.8162026467260032E-2</v>
      </c>
      <c r="AM31" s="9">
        <f t="shared" si="7"/>
        <v>6.1093023814686575E-3</v>
      </c>
      <c r="AN31" s="9" t="s">
        <v>2513</v>
      </c>
    </row>
    <row r="32" spans="13:40" ht="23">
      <c r="M32" s="8" t="s">
        <v>1636</v>
      </c>
      <c r="N32" s="8" t="s">
        <v>1614</v>
      </c>
      <c r="O32" s="8"/>
      <c r="P32" s="8" t="s">
        <v>4207</v>
      </c>
      <c r="Q32" s="8"/>
      <c r="R32" s="8"/>
      <c r="S32" s="8"/>
      <c r="T32" s="8"/>
      <c r="U32" s="8"/>
      <c r="V32" s="8"/>
      <c r="W32" s="8" t="s">
        <v>1636</v>
      </c>
      <c r="X32" s="8">
        <v>32.67</v>
      </c>
      <c r="Y32" s="8">
        <v>1.47</v>
      </c>
      <c r="Z32" s="9">
        <v>0.2</v>
      </c>
      <c r="AA32" s="8">
        <v>152.30000000000001</v>
      </c>
      <c r="AB32" s="8">
        <v>9513</v>
      </c>
      <c r="AC32" s="21" t="s">
        <v>1636</v>
      </c>
      <c r="AD32" s="8" t="s">
        <v>4443</v>
      </c>
      <c r="AE32" s="8" t="s">
        <v>3722</v>
      </c>
      <c r="AF32" s="9">
        <f t="shared" si="0"/>
        <v>223.881</v>
      </c>
      <c r="AG32" s="9">
        <f t="shared" si="1"/>
        <v>0.50766666666666671</v>
      </c>
      <c r="AH32" s="9">
        <f t="shared" si="2"/>
        <v>0.10379672471241225</v>
      </c>
      <c r="AI32" s="9">
        <f t="shared" si="3"/>
        <v>1.0773760061024292E-2</v>
      </c>
      <c r="AJ32" s="9">
        <f t="shared" si="4"/>
        <v>7.3086196799081765E-2</v>
      </c>
      <c r="AK32" s="9">
        <f t="shared" si="5"/>
        <v>5.34159216255411E-3</v>
      </c>
      <c r="AL32" s="9">
        <f t="shared" si="6"/>
        <v>1.695089076466295E-4</v>
      </c>
      <c r="AM32" s="9">
        <f t="shared" si="7"/>
        <v>2.873326977155357E-8</v>
      </c>
      <c r="AN32" s="8" t="s">
        <v>1636</v>
      </c>
    </row>
    <row r="33" spans="13:40" ht="23">
      <c r="M33" s="25" t="s">
        <v>3112</v>
      </c>
      <c r="N33" s="24"/>
      <c r="O33" s="24"/>
      <c r="P33" s="24"/>
      <c r="Q33" s="24"/>
      <c r="R33" s="24"/>
      <c r="S33" s="24"/>
      <c r="T33" s="24"/>
      <c r="U33" s="24"/>
      <c r="V33" s="24"/>
      <c r="W33" s="25" t="s">
        <v>3112</v>
      </c>
      <c r="X33" s="24">
        <v>39.03</v>
      </c>
      <c r="Y33" s="24">
        <v>1.0900000000000001</v>
      </c>
      <c r="Z33" s="25">
        <v>0.01</v>
      </c>
      <c r="AA33" s="24">
        <v>96.6</v>
      </c>
      <c r="AB33" s="24">
        <v>63151</v>
      </c>
      <c r="AC33" s="22" t="s">
        <v>3112</v>
      </c>
      <c r="AD33" s="8" t="s">
        <v>4443</v>
      </c>
      <c r="AE33" s="8" t="s">
        <v>3722</v>
      </c>
      <c r="AF33" s="9">
        <f t="shared" si="0"/>
        <v>105.294</v>
      </c>
      <c r="AG33" s="9">
        <f t="shared" si="1"/>
        <v>1.6099999999999999</v>
      </c>
      <c r="AH33" s="9">
        <f t="shared" si="2"/>
        <v>6.5835611340899672E-2</v>
      </c>
      <c r="AI33" s="9">
        <f t="shared" si="3"/>
        <v>4.3343277206299973E-3</v>
      </c>
      <c r="AJ33" s="9">
        <f t="shared" si="4"/>
        <v>3.4373341220391707E-2</v>
      </c>
      <c r="AK33" s="9">
        <f t="shared" si="5"/>
        <v>1.1815265866534797E-3</v>
      </c>
      <c r="AL33" s="9">
        <f t="shared" si="6"/>
        <v>5.3757585287801733E-4</v>
      </c>
      <c r="AM33" s="9">
        <f t="shared" si="7"/>
        <v>2.8898779759752774E-7</v>
      </c>
      <c r="AN33" s="25" t="s">
        <v>3112</v>
      </c>
    </row>
    <row r="34" spans="13:40" ht="23">
      <c r="M34" s="8" t="s">
        <v>3875</v>
      </c>
      <c r="N34" s="8"/>
      <c r="O34" s="8"/>
      <c r="P34" s="8"/>
      <c r="Q34" s="8"/>
      <c r="R34" s="8"/>
      <c r="S34" s="8"/>
      <c r="T34" s="8"/>
      <c r="U34" s="8"/>
      <c r="V34" s="8"/>
      <c r="W34" s="8" t="s">
        <v>3875</v>
      </c>
      <c r="X34" s="8">
        <v>36.36</v>
      </c>
      <c r="Y34" s="8">
        <v>1.28</v>
      </c>
      <c r="Z34" s="9">
        <v>0.15</v>
      </c>
      <c r="AA34" s="8">
        <v>96.3</v>
      </c>
      <c r="AB34" s="8">
        <v>18484</v>
      </c>
      <c r="AC34" s="21" t="s">
        <v>3875</v>
      </c>
      <c r="AD34" s="8" t="s">
        <v>4443</v>
      </c>
      <c r="AE34" s="8" t="s">
        <v>3722</v>
      </c>
      <c r="AF34" s="9">
        <f t="shared" si="0"/>
        <v>123.264</v>
      </c>
      <c r="AG34" s="9">
        <f t="shared" si="1"/>
        <v>24.074999999999999</v>
      </c>
      <c r="AH34" s="9">
        <f t="shared" si="2"/>
        <v>6.5631152920586328E-2</v>
      </c>
      <c r="AI34" s="9">
        <f t="shared" si="3"/>
        <v>4.3074482336853872E-3</v>
      </c>
      <c r="AJ34" s="9">
        <f t="shared" si="4"/>
        <v>4.0239667333279792E-2</v>
      </c>
      <c r="AK34" s="9">
        <f t="shared" si="5"/>
        <v>1.6192308270930249E-3</v>
      </c>
      <c r="AL34" s="9">
        <f t="shared" si="6"/>
        <v>8.0385954397753229E-3</v>
      </c>
      <c r="AM34" s="9">
        <f t="shared" si="7"/>
        <v>6.4619016644376618E-5</v>
      </c>
      <c r="AN34" s="8" t="s">
        <v>3875</v>
      </c>
    </row>
    <row r="35" spans="13:40" ht="23">
      <c r="M35" s="8" t="s">
        <v>1806</v>
      </c>
      <c r="N35" s="8" t="s">
        <v>1717</v>
      </c>
      <c r="O35" s="8"/>
      <c r="P35" s="8" t="s">
        <v>3691</v>
      </c>
      <c r="Q35" s="8"/>
      <c r="R35" s="8"/>
      <c r="S35" s="8"/>
      <c r="T35" s="8"/>
      <c r="U35" s="8"/>
      <c r="V35" s="8"/>
      <c r="W35" s="8" t="s">
        <v>1806</v>
      </c>
      <c r="X35" s="8">
        <v>53.75</v>
      </c>
      <c r="Y35" s="8">
        <v>1.2</v>
      </c>
      <c r="Z35" s="9">
        <v>0.18</v>
      </c>
      <c r="AA35" s="8">
        <v>29.9</v>
      </c>
      <c r="AB35" s="8">
        <v>53491</v>
      </c>
      <c r="AC35" s="21" t="s">
        <v>1806</v>
      </c>
      <c r="AD35" s="8" t="s">
        <v>4443</v>
      </c>
      <c r="AE35" s="8" t="s">
        <v>3722</v>
      </c>
      <c r="AF35" s="9">
        <f t="shared" si="0"/>
        <v>35.879999999999995</v>
      </c>
      <c r="AG35" s="9">
        <f t="shared" si="1"/>
        <v>8.9699999999999989</v>
      </c>
      <c r="AH35" s="9">
        <f t="shared" si="2"/>
        <v>2.0377689224564188E-2</v>
      </c>
      <c r="AI35" s="9">
        <f t="shared" si="3"/>
        <v>4.1525021813291943E-4</v>
      </c>
      <c r="AJ35" s="9">
        <f t="shared" si="4"/>
        <v>1.1713065160290749E-2</v>
      </c>
      <c r="AK35" s="9">
        <f t="shared" si="5"/>
        <v>1.3719589544921695E-4</v>
      </c>
      <c r="AL35" s="9">
        <f t="shared" si="6"/>
        <v>2.9950654660346678E-3</v>
      </c>
      <c r="AM35" s="9">
        <f t="shared" si="7"/>
        <v>8.9704171458334622E-6</v>
      </c>
      <c r="AN35" s="8" t="s">
        <v>1806</v>
      </c>
    </row>
    <row r="36" spans="13:40" ht="23">
      <c r="M36" s="8" t="s">
        <v>3981</v>
      </c>
      <c r="N36" s="8"/>
      <c r="O36" s="8"/>
      <c r="P36" s="8"/>
      <c r="Q36" s="8"/>
      <c r="R36" s="8"/>
      <c r="S36" s="8"/>
      <c r="T36" s="8"/>
      <c r="U36" s="8"/>
      <c r="V36" s="8"/>
      <c r="W36" s="8" t="s">
        <v>3981</v>
      </c>
      <c r="X36" s="8">
        <v>33.81</v>
      </c>
      <c r="Y36" s="8">
        <v>37.049999999999997</v>
      </c>
      <c r="Z36" s="9">
        <v>33.32</v>
      </c>
      <c r="AA36" s="8">
        <v>18.100000000000001</v>
      </c>
      <c r="AB36" s="8">
        <v>2343</v>
      </c>
      <c r="AC36" s="21" t="s">
        <v>3981</v>
      </c>
      <c r="AD36" s="8" t="s">
        <v>4443</v>
      </c>
      <c r="AE36" s="8" t="s">
        <v>3722</v>
      </c>
      <c r="AF36" s="9">
        <f t="shared" si="0"/>
        <v>670.60500000000002</v>
      </c>
      <c r="AG36" s="9">
        <f t="shared" si="1"/>
        <v>606.95333333333338</v>
      </c>
      <c r="AH36" s="9">
        <f t="shared" si="2"/>
        <v>1.2335658025572301E-2</v>
      </c>
      <c r="AI36" s="9">
        <f t="shared" si="3"/>
        <v>1.521684589238663E-4</v>
      </c>
      <c r="AJ36" s="9">
        <f t="shared" si="4"/>
        <v>0.21891973416434726</v>
      </c>
      <c r="AK36" s="9">
        <f t="shared" si="5"/>
        <v>4.7925850006588472E-2</v>
      </c>
      <c r="AL36" s="9">
        <f t="shared" si="6"/>
        <v>0.20266053156759145</v>
      </c>
      <c r="AM36" s="9">
        <f t="shared" si="7"/>
        <v>4.1071291055258731E-2</v>
      </c>
      <c r="AN36" s="8" t="s">
        <v>3981</v>
      </c>
    </row>
    <row r="37" spans="13:40" ht="23">
      <c r="M37" s="8" t="s">
        <v>2000</v>
      </c>
      <c r="N37" s="8" t="s">
        <v>1990</v>
      </c>
      <c r="O37" s="8"/>
      <c r="P37" s="8"/>
      <c r="Q37" s="8"/>
      <c r="R37" s="8"/>
      <c r="S37" s="8"/>
      <c r="T37" s="8"/>
      <c r="U37" s="8"/>
      <c r="V37" s="8"/>
      <c r="W37" s="8" t="s">
        <v>2000</v>
      </c>
      <c r="X37" s="8">
        <v>13.17</v>
      </c>
      <c r="Y37" s="8">
        <v>4.3600000000000003</v>
      </c>
      <c r="Z37" s="9">
        <v>4.0599999999999996</v>
      </c>
      <c r="AA37" s="8">
        <v>17.8</v>
      </c>
      <c r="AB37" s="8">
        <v>8305</v>
      </c>
      <c r="AC37" s="21" t="s">
        <v>2000</v>
      </c>
      <c r="AD37" s="8" t="s">
        <v>4443</v>
      </c>
      <c r="AE37" s="8" t="s">
        <v>3722</v>
      </c>
      <c r="AF37" s="9">
        <f t="shared" si="0"/>
        <v>77.608000000000004</v>
      </c>
      <c r="AG37" s="9">
        <f t="shared" si="1"/>
        <v>72.97999999999999</v>
      </c>
      <c r="AH37" s="9">
        <f t="shared" si="2"/>
        <v>1.2131199605258948E-2</v>
      </c>
      <c r="AI37" s="9">
        <f t="shared" si="3"/>
        <v>1.4716600386263486E-4</v>
      </c>
      <c r="AJ37" s="9">
        <f t="shared" si="4"/>
        <v>2.5335216303228672E-2</v>
      </c>
      <c r="AK37" s="9">
        <f t="shared" si="5"/>
        <v>6.4187318513138391E-4</v>
      </c>
      <c r="AL37" s="9">
        <f t="shared" si="6"/>
        <v>2.4367879343501681E-2</v>
      </c>
      <c r="AM37" s="9">
        <f t="shared" si="7"/>
        <v>5.9379354369945591E-4</v>
      </c>
      <c r="AN37" s="8" t="s">
        <v>2000</v>
      </c>
    </row>
    <row r="38" spans="13:40" ht="23">
      <c r="M38" s="9" t="s">
        <v>2702</v>
      </c>
      <c r="N38" s="8" t="s">
        <v>1614</v>
      </c>
      <c r="O38" s="8"/>
      <c r="P38" s="8"/>
      <c r="Q38" s="8"/>
      <c r="R38" s="8"/>
      <c r="S38" s="8"/>
      <c r="T38" s="8"/>
      <c r="U38" s="8"/>
      <c r="V38" s="8"/>
      <c r="W38" s="9" t="s">
        <v>2702</v>
      </c>
      <c r="X38" s="8">
        <v>44.88</v>
      </c>
      <c r="Y38" s="8">
        <v>1.66</v>
      </c>
      <c r="Z38" s="9">
        <v>2.2400000000000002</v>
      </c>
      <c r="AA38" s="8">
        <v>14.2</v>
      </c>
      <c r="AB38" s="8">
        <v>25348</v>
      </c>
      <c r="AC38" s="22" t="s">
        <v>2702</v>
      </c>
      <c r="AD38" s="8" t="s">
        <v>4443</v>
      </c>
      <c r="AE38" s="8" t="s">
        <v>3722</v>
      </c>
      <c r="AF38" s="9">
        <f t="shared" si="0"/>
        <v>23.571999999999999</v>
      </c>
      <c r="AG38" s="9">
        <f t="shared" si="1"/>
        <v>34.08</v>
      </c>
      <c r="AH38" s="9">
        <f t="shared" si="2"/>
        <v>9.6776985614987106E-3</v>
      </c>
      <c r="AI38" s="9">
        <f t="shared" si="3"/>
        <v>9.3657849447234206E-5</v>
      </c>
      <c r="AJ38" s="9">
        <f t="shared" si="4"/>
        <v>7.6951051270449725E-3</v>
      </c>
      <c r="AK38" s="9">
        <f t="shared" si="5"/>
        <v>5.921464291627382E-5</v>
      </c>
      <c r="AL38" s="9">
        <f t="shared" si="6"/>
        <v>1.1379245382660143E-2</v>
      </c>
      <c r="AM38" s="9">
        <f t="shared" si="7"/>
        <v>1.2948722547879217E-4</v>
      </c>
      <c r="AN38" s="9" t="s">
        <v>2702</v>
      </c>
    </row>
    <row r="39" spans="13:40" ht="23">
      <c r="M39" s="8" t="s">
        <v>2021</v>
      </c>
      <c r="N39" s="8" t="s">
        <v>2017</v>
      </c>
      <c r="O39" s="8"/>
      <c r="P39" s="8"/>
      <c r="Q39" s="8"/>
      <c r="R39" s="8"/>
      <c r="S39" s="8"/>
      <c r="T39" s="8"/>
      <c r="U39" s="8"/>
      <c r="V39" s="8"/>
      <c r="W39" s="8" t="s">
        <v>2021</v>
      </c>
      <c r="X39" s="8">
        <v>36.270000000000003</v>
      </c>
      <c r="Y39" s="8">
        <v>1.92</v>
      </c>
      <c r="Z39" s="9">
        <v>0.47</v>
      </c>
      <c r="AA39" s="8">
        <v>4.2</v>
      </c>
      <c r="AB39" s="8">
        <v>32397</v>
      </c>
      <c r="AC39" s="21" t="s">
        <v>2021</v>
      </c>
      <c r="AD39" s="8" t="s">
        <v>4443</v>
      </c>
      <c r="AE39" s="8" t="s">
        <v>3722</v>
      </c>
      <c r="AF39" s="9">
        <f t="shared" si="0"/>
        <v>8.0640000000000001</v>
      </c>
      <c r="AG39" s="9">
        <f t="shared" si="1"/>
        <v>3.29</v>
      </c>
      <c r="AH39" s="9">
        <f t="shared" si="2"/>
        <v>2.8624178843869429E-3</v>
      </c>
      <c r="AI39" s="9">
        <f t="shared" si="3"/>
        <v>8.1934361448582214E-6</v>
      </c>
      <c r="AJ39" s="9">
        <f t="shared" si="4"/>
        <v>2.6325016012426036E-3</v>
      </c>
      <c r="AK39" s="9">
        <f t="shared" si="5"/>
        <v>6.9300646805448723E-6</v>
      </c>
      <c r="AL39" s="9">
        <f t="shared" si="6"/>
        <v>1.0985245689246442E-3</v>
      </c>
      <c r="AM39" s="9">
        <f t="shared" si="7"/>
        <v>1.2067562285310753E-6</v>
      </c>
      <c r="AN39" s="8" t="s">
        <v>2021</v>
      </c>
    </row>
    <row r="40" spans="13:40" ht="23"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9"/>
      <c r="AA40" s="8">
        <f>SUBTOTAL(109,Table13669[ترافیک کل])</f>
        <v>146729.09999999995</v>
      </c>
      <c r="AB40" s="8"/>
      <c r="AC40" s="21"/>
      <c r="AD40" s="8"/>
      <c r="AE40" s="8"/>
      <c r="AF40" s="9">
        <f>SUBTOTAL(109,Table13669[[مجموع صفحات  مشاهده شده   ]])</f>
        <v>306324.59999999998</v>
      </c>
      <c r="AG40" s="9">
        <f>SUBTOTAL(109,Table13669[[مجموع زمان حضور در سایت ]])</f>
        <v>299492.61883333308</v>
      </c>
      <c r="AH40" s="9">
        <f>SUBTOTAL(109,Table13669[سهم سایت از کل ترافیک طبقه بندی])</f>
        <v>100.00000000000006</v>
      </c>
      <c r="AI40" s="9">
        <f>SUBTOTAL(109,Table13669[شاخص هرفیندال هیرشمن (ترافیک)])</f>
        <v>809.83265534577049</v>
      </c>
      <c r="AJ40" s="9">
        <f>SUBTOTAL(109,Table13669[سهم سایت از کل صفحات مشاهده شده در طبقه بندی])</f>
        <v>100.00000000000001</v>
      </c>
      <c r="AK40" s="9">
        <f>SUBTOTAL(109,Table13669[شاخص هرفیندال -هیرشمن (صفحات مشاهده شده )])</f>
        <v>907.08067238025046</v>
      </c>
      <c r="AL40" s="9">
        <f>SUBTOTAL(109,Table13669[سهم سایت از کل زمان حضور در طبقه بندی])</f>
        <v>100.00000000000009</v>
      </c>
      <c r="AM40" s="9">
        <f>SUBTOTAL(109,Table13669[شاخص هرفیندال هیرشمن (زمان حضور)])</f>
        <v>992.75010030337489</v>
      </c>
      <c r="AN40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{F577D1D4-58F8-45C7-8D3C-9A2AFB944693}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{E7695799-8408-4032-B964-D7E9601772F6}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{E3770EA5-80DD-47AF-99CE-8B954BCC85BE}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{AE75D050-C414-4FC7-992E-EB459A5D1CA1}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{EE913192-3FFB-4B7E-8122-8E248A2AFC73}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{D45C5009-6F5B-4A31-ABCC-BCFD8B54CDB6}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77D1D4-58F8-45C7-8D3C-9A2AFB94469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7695799-8408-4032-B964-D7E9601772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3770EA5-80DD-47AF-99CE-8B954BCC85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E75D050-C414-4FC7-992E-EB459A5D1CA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E913192-3FFB-4B7E-8122-8E248A2AFC7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D45C5009-6F5B-4A31-ABCC-BCFD8B54CDB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7"/>
  <sheetViews>
    <sheetView showGridLines="0" rightToLeft="1" topLeftCell="X1" zoomScale="70" zoomScaleNormal="70" workbookViewId="0">
      <selection activeCell="AA2" sqref="AA2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3791</v>
      </c>
      <c r="N2" s="8"/>
      <c r="O2" s="8"/>
      <c r="P2" s="8"/>
      <c r="Q2" s="8"/>
      <c r="R2" s="8"/>
      <c r="S2" s="8"/>
      <c r="T2" s="8"/>
      <c r="U2" s="8"/>
      <c r="V2" s="8"/>
      <c r="W2" s="8" t="s">
        <v>3791</v>
      </c>
      <c r="X2" s="8">
        <v>54.02</v>
      </c>
      <c r="Y2" s="8">
        <v>2.23</v>
      </c>
      <c r="Z2" s="9">
        <v>2.59</v>
      </c>
      <c r="AA2" s="8">
        <v>6762.9</v>
      </c>
      <c r="AB2" s="8">
        <v>143</v>
      </c>
      <c r="AC2" s="21" t="s">
        <v>3791</v>
      </c>
      <c r="AD2" s="8" t="s">
        <v>4145</v>
      </c>
      <c r="AE2" s="8" t="s">
        <v>3722</v>
      </c>
      <c r="AF2" s="9">
        <f t="shared" ref="AF2:AF26" si="0">(AA2*Y2)</f>
        <v>15081.267</v>
      </c>
      <c r="AG2" s="9">
        <f t="shared" ref="AG2:AG26" si="1">((((RIGHT(Z2,2))/60)+(LEFT(Z2,2)))*AA2)</f>
        <v>20175.985000000001</v>
      </c>
      <c r="AH2" s="9">
        <f t="shared" ref="AH2:AH26" si="2">(AA2/$AA$27)*100</f>
        <v>13.580938610759684</v>
      </c>
      <c r="AI2" s="9">
        <f t="shared" ref="AI2:AI26" si="3">(AH2*AH2)</f>
        <v>184.44189354922318</v>
      </c>
      <c r="AJ2" s="9">
        <f t="shared" ref="AJ2:AJ26" si="4">(AF2/$AF$27)*100</f>
        <v>13.000408038870024</v>
      </c>
      <c r="AK2" s="9">
        <f t="shared" ref="AK2:AK26" si="5">(AJ2*AJ2)</f>
        <v>169.01060917711635</v>
      </c>
      <c r="AL2" s="9">
        <f t="shared" ref="AL2:AL26" si="6">(AG2/$AG$27)*100</f>
        <v>14.441463149302805</v>
      </c>
      <c r="AM2" s="9">
        <f t="shared" ref="AM2:AM26" si="7">(AL2*AL2)</f>
        <v>208.5558578926709</v>
      </c>
      <c r="AN2" s="8" t="s">
        <v>3791</v>
      </c>
    </row>
    <row r="3" spans="8:40" ht="23">
      <c r="M3" s="8" t="s">
        <v>3742</v>
      </c>
      <c r="N3" s="8"/>
      <c r="O3" s="8"/>
      <c r="P3" s="8"/>
      <c r="Q3" s="8"/>
      <c r="R3" s="8"/>
      <c r="S3" s="8"/>
      <c r="T3" s="8"/>
      <c r="U3" s="8"/>
      <c r="V3" s="8"/>
      <c r="W3" s="8" t="s">
        <v>3742</v>
      </c>
      <c r="X3" s="8">
        <v>53.76</v>
      </c>
      <c r="Y3" s="8">
        <v>2.76</v>
      </c>
      <c r="Z3" s="9">
        <v>3.28</v>
      </c>
      <c r="AA3" s="8">
        <v>6695.3</v>
      </c>
      <c r="AB3" s="8">
        <v>41</v>
      </c>
      <c r="AC3" s="21" t="s">
        <v>3742</v>
      </c>
      <c r="AD3" s="8" t="s">
        <v>4145</v>
      </c>
      <c r="AE3" s="8" t="s">
        <v>3722</v>
      </c>
      <c r="AF3" s="9">
        <f t="shared" si="0"/>
        <v>18479.027999999998</v>
      </c>
      <c r="AG3" s="9">
        <f t="shared" si="1"/>
        <v>23210.373333333333</v>
      </c>
      <c r="AH3" s="9">
        <f t="shared" si="2"/>
        <v>13.445187461092036</v>
      </c>
      <c r="AI3" s="9">
        <f t="shared" si="3"/>
        <v>180.77306586390651</v>
      </c>
      <c r="AJ3" s="9">
        <f t="shared" si="4"/>
        <v>15.929358200587803</v>
      </c>
      <c r="AK3" s="9">
        <f t="shared" si="5"/>
        <v>253.74445268263389</v>
      </c>
      <c r="AL3" s="9">
        <f t="shared" si="6"/>
        <v>16.613402080487958</v>
      </c>
      <c r="AM3" s="9">
        <f t="shared" si="7"/>
        <v>276.00512868796164</v>
      </c>
      <c r="AN3" s="8" t="s">
        <v>3742</v>
      </c>
    </row>
    <row r="4" spans="8:40" ht="23">
      <c r="M4" s="8" t="s">
        <v>3771</v>
      </c>
      <c r="N4" s="8"/>
      <c r="O4" s="8"/>
      <c r="P4" s="8"/>
      <c r="Q4" s="8"/>
      <c r="R4" s="8"/>
      <c r="S4" s="8"/>
      <c r="T4" s="8"/>
      <c r="U4" s="8"/>
      <c r="V4" s="8"/>
      <c r="W4" s="8" t="s">
        <v>3771</v>
      </c>
      <c r="X4" s="8">
        <v>43.7</v>
      </c>
      <c r="Y4" s="8">
        <v>4.1900000000000004</v>
      </c>
      <c r="Z4" s="9">
        <v>4.32</v>
      </c>
      <c r="AA4" s="8">
        <v>5838.2</v>
      </c>
      <c r="AB4" s="8">
        <v>113</v>
      </c>
      <c r="AC4" s="21" t="s">
        <v>3771</v>
      </c>
      <c r="AD4" s="8" t="s">
        <v>4145</v>
      </c>
      <c r="AE4" s="8" t="s">
        <v>3722</v>
      </c>
      <c r="AF4" s="9">
        <f t="shared" si="0"/>
        <v>24462.058000000001</v>
      </c>
      <c r="AG4" s="9">
        <f t="shared" si="1"/>
        <v>26466.506666666664</v>
      </c>
      <c r="AH4" s="9">
        <f t="shared" si="2"/>
        <v>11.723999437717133</v>
      </c>
      <c r="AI4" s="9">
        <f t="shared" si="3"/>
        <v>137.45216281559163</v>
      </c>
      <c r="AJ4" s="9">
        <f t="shared" si="4"/>
        <v>21.086871246991702</v>
      </c>
      <c r="AK4" s="9">
        <f t="shared" si="5"/>
        <v>444.6561389872054</v>
      </c>
      <c r="AL4" s="9">
        <f t="shared" si="6"/>
        <v>18.944060511417096</v>
      </c>
      <c r="AM4" s="9">
        <f t="shared" si="7"/>
        <v>358.87742866023257</v>
      </c>
      <c r="AN4" s="8" t="s">
        <v>3771</v>
      </c>
    </row>
    <row r="5" spans="8:40" ht="23">
      <c r="M5" s="8" t="s">
        <v>3782</v>
      </c>
      <c r="N5" s="8"/>
      <c r="O5" s="8"/>
      <c r="P5" s="8"/>
      <c r="Q5" s="8"/>
      <c r="R5" s="8"/>
      <c r="S5" s="8"/>
      <c r="T5" s="8"/>
      <c r="U5" s="8"/>
      <c r="V5" s="8"/>
      <c r="W5" s="8" t="s">
        <v>3782</v>
      </c>
      <c r="X5" s="8">
        <v>60.42</v>
      </c>
      <c r="Y5" s="8">
        <v>2.0099999999999998</v>
      </c>
      <c r="Z5" s="9">
        <v>2.2599999999999998</v>
      </c>
      <c r="AA5" s="8">
        <v>4000.7</v>
      </c>
      <c r="AB5" s="8">
        <v>117</v>
      </c>
      <c r="AC5" s="21" t="s">
        <v>3782</v>
      </c>
      <c r="AD5" s="8" t="s">
        <v>4145</v>
      </c>
      <c r="AE5" s="8" t="s">
        <v>3722</v>
      </c>
      <c r="AF5" s="9">
        <f t="shared" si="0"/>
        <v>8041.4069999999983</v>
      </c>
      <c r="AG5" s="9">
        <f t="shared" si="1"/>
        <v>9735.0366666666669</v>
      </c>
      <c r="AH5" s="9">
        <f t="shared" si="2"/>
        <v>8.0340181135409772</v>
      </c>
      <c r="AI5" s="9">
        <f t="shared" si="3"/>
        <v>64.545447048704517</v>
      </c>
      <c r="AJ5" s="9">
        <f t="shared" si="4"/>
        <v>6.9318825935928103</v>
      </c>
      <c r="AK5" s="9">
        <f t="shared" si="5"/>
        <v>48.050996291354984</v>
      </c>
      <c r="AL5" s="9">
        <f t="shared" si="6"/>
        <v>6.9680946570280593</v>
      </c>
      <c r="AM5" s="9">
        <f t="shared" si="7"/>
        <v>48.554343149302987</v>
      </c>
      <c r="AN5" s="8" t="s">
        <v>3782</v>
      </c>
    </row>
    <row r="6" spans="8:40" ht="23">
      <c r="M6" s="8" t="s">
        <v>3825</v>
      </c>
      <c r="N6" s="8"/>
      <c r="O6" s="8"/>
      <c r="P6" s="8"/>
      <c r="Q6" s="8"/>
      <c r="R6" s="8"/>
      <c r="S6" s="8"/>
      <c r="T6" s="8"/>
      <c r="U6" s="8"/>
      <c r="V6" s="8"/>
      <c r="W6" s="8" t="s">
        <v>3825</v>
      </c>
      <c r="X6" s="8">
        <v>51.35</v>
      </c>
      <c r="Y6" s="8">
        <v>2.44</v>
      </c>
      <c r="Z6" s="9">
        <v>3.16</v>
      </c>
      <c r="AA6" s="8">
        <v>3479.4</v>
      </c>
      <c r="AB6" s="8">
        <v>119</v>
      </c>
      <c r="AC6" s="21" t="s">
        <v>3825</v>
      </c>
      <c r="AD6" s="8" t="s">
        <v>4145</v>
      </c>
      <c r="AE6" s="8" t="s">
        <v>3722</v>
      </c>
      <c r="AF6" s="9">
        <f t="shared" si="0"/>
        <v>8489.7360000000008</v>
      </c>
      <c r="AG6" s="9">
        <f t="shared" si="1"/>
        <v>11366.04</v>
      </c>
      <c r="AH6" s="9">
        <f t="shared" si="2"/>
        <v>6.9871679016808255</v>
      </c>
      <c r="AI6" s="9">
        <f t="shared" si="3"/>
        <v>48.820515286278827</v>
      </c>
      <c r="AJ6" s="9">
        <f t="shared" si="4"/>
        <v>7.3183527711752765</v>
      </c>
      <c r="AK6" s="9">
        <f t="shared" si="5"/>
        <v>53.558287283368848</v>
      </c>
      <c r="AL6" s="9">
        <f t="shared" si="6"/>
        <v>8.1355258647100328</v>
      </c>
      <c r="AM6" s="9">
        <f t="shared" si="7"/>
        <v>66.18678109536593</v>
      </c>
      <c r="AN6" s="8" t="s">
        <v>3825</v>
      </c>
    </row>
    <row r="7" spans="8:40" ht="23">
      <c r="M7" s="8" t="s">
        <v>3842</v>
      </c>
      <c r="N7" s="8"/>
      <c r="O7" s="8"/>
      <c r="P7" s="8"/>
      <c r="Q7" s="8"/>
      <c r="R7" s="8"/>
      <c r="S7" s="8"/>
      <c r="T7" s="8"/>
      <c r="U7" s="8"/>
      <c r="V7" s="8"/>
      <c r="W7" s="8" t="s">
        <v>3842</v>
      </c>
      <c r="X7" s="8">
        <v>65.91</v>
      </c>
      <c r="Y7" s="8">
        <v>1.87</v>
      </c>
      <c r="Z7" s="9">
        <v>1.52</v>
      </c>
      <c r="AA7" s="8">
        <v>3327</v>
      </c>
      <c r="AB7" s="8">
        <v>345</v>
      </c>
      <c r="AC7" s="21" t="s">
        <v>3842</v>
      </c>
      <c r="AD7" s="8" t="s">
        <v>4145</v>
      </c>
      <c r="AE7" s="8" t="s">
        <v>3722</v>
      </c>
      <c r="AF7" s="9">
        <f t="shared" si="0"/>
        <v>6221.4900000000007</v>
      </c>
      <c r="AG7" s="9">
        <f t="shared" si="1"/>
        <v>6210.4000000000005</v>
      </c>
      <c r="AH7" s="9">
        <f t="shared" si="2"/>
        <v>6.681125368998134</v>
      </c>
      <c r="AI7" s="9">
        <f t="shared" si="3"/>
        <v>44.63743619627045</v>
      </c>
      <c r="AJ7" s="9">
        <f t="shared" si="4"/>
        <v>5.3630711935376167</v>
      </c>
      <c r="AK7" s="9">
        <f t="shared" si="5"/>
        <v>28.762532626952996</v>
      </c>
      <c r="AL7" s="9">
        <f t="shared" si="6"/>
        <v>4.4452482861396927</v>
      </c>
      <c r="AM7" s="9">
        <f t="shared" si="7"/>
        <v>19.760232325427875</v>
      </c>
      <c r="AN7" s="8" t="s">
        <v>3842</v>
      </c>
    </row>
    <row r="8" spans="8:40" ht="25.5" customHeight="1">
      <c r="M8" s="8" t="s">
        <v>3958</v>
      </c>
      <c r="N8" s="8"/>
      <c r="O8" s="8"/>
      <c r="P8" s="8"/>
      <c r="Q8" s="8"/>
      <c r="R8" s="8"/>
      <c r="S8" s="8"/>
      <c r="T8" s="8"/>
      <c r="U8" s="8"/>
      <c r="V8" s="8"/>
      <c r="W8" s="8" t="s">
        <v>3958</v>
      </c>
      <c r="X8" s="8">
        <v>75.44</v>
      </c>
      <c r="Y8" s="8">
        <v>1.57</v>
      </c>
      <c r="Z8" s="9">
        <v>2.44</v>
      </c>
      <c r="AA8" s="8">
        <v>2836.2</v>
      </c>
      <c r="AB8" s="8">
        <v>914</v>
      </c>
      <c r="AC8" s="21" t="s">
        <v>3958</v>
      </c>
      <c r="AD8" s="8" t="s">
        <v>4145</v>
      </c>
      <c r="AE8" s="8" t="s">
        <v>3722</v>
      </c>
      <c r="AF8" s="9">
        <f t="shared" si="0"/>
        <v>4452.8339999999998</v>
      </c>
      <c r="AG8" s="9">
        <f t="shared" si="1"/>
        <v>7752.28</v>
      </c>
      <c r="AH8" s="9">
        <f t="shared" si="2"/>
        <v>5.6955238267365509</v>
      </c>
      <c r="AI8" s="9">
        <f t="shared" si="3"/>
        <v>32.438991660923762</v>
      </c>
      <c r="AJ8" s="9">
        <f t="shared" si="4"/>
        <v>3.8384479851297484</v>
      </c>
      <c r="AK8" s="9">
        <f t="shared" si="5"/>
        <v>14.733682934546625</v>
      </c>
      <c r="AL8" s="9">
        <f t="shared" si="6"/>
        <v>5.5488872510104041</v>
      </c>
      <c r="AM8" s="9">
        <f t="shared" si="7"/>
        <v>30.790149724425799</v>
      </c>
      <c r="AN8" s="8" t="s">
        <v>3958</v>
      </c>
    </row>
    <row r="9" spans="8:40" ht="25.5" customHeight="1">
      <c r="M9" s="8" t="s">
        <v>3910</v>
      </c>
      <c r="N9" s="8"/>
      <c r="O9" s="8"/>
      <c r="P9" s="8"/>
      <c r="Q9" s="8"/>
      <c r="R9" s="8"/>
      <c r="S9" s="8"/>
      <c r="T9" s="8"/>
      <c r="U9" s="8"/>
      <c r="V9" s="8"/>
      <c r="W9" s="8" t="s">
        <v>3910</v>
      </c>
      <c r="X9" s="8">
        <v>69.95</v>
      </c>
      <c r="Y9" s="8">
        <v>1.59</v>
      </c>
      <c r="Z9" s="9">
        <v>1.43</v>
      </c>
      <c r="AA9" s="8">
        <v>2280.1</v>
      </c>
      <c r="AB9" s="8">
        <v>463</v>
      </c>
      <c r="AC9" s="21" t="s">
        <v>3910</v>
      </c>
      <c r="AD9" s="8" t="s">
        <v>4145</v>
      </c>
      <c r="AE9" s="8" t="s">
        <v>3722</v>
      </c>
      <c r="AF9" s="9">
        <f t="shared" si="0"/>
        <v>3625.3589999999999</v>
      </c>
      <c r="AG9" s="9">
        <f t="shared" si="1"/>
        <v>3914.1716666666666</v>
      </c>
      <c r="AH9" s="9">
        <f t="shared" si="2"/>
        <v>4.5787898869409807</v>
      </c>
      <c r="AI9" s="9">
        <f t="shared" si="3"/>
        <v>20.965316828753</v>
      </c>
      <c r="AJ9" s="9">
        <f t="shared" si="4"/>
        <v>3.125145008532094</v>
      </c>
      <c r="AK9" s="9">
        <f t="shared" si="5"/>
        <v>9.7665313243530623</v>
      </c>
      <c r="AL9" s="9">
        <f t="shared" si="6"/>
        <v>2.8016657369745177</v>
      </c>
      <c r="AM9" s="9">
        <f t="shared" si="7"/>
        <v>7.849330901736967</v>
      </c>
      <c r="AN9" s="8" t="s">
        <v>3910</v>
      </c>
    </row>
    <row r="10" spans="8:40" ht="23">
      <c r="M10" s="8" t="s">
        <v>3896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3896</v>
      </c>
      <c r="X10" s="8">
        <v>42.19</v>
      </c>
      <c r="Y10" s="8">
        <v>2.83</v>
      </c>
      <c r="Z10" s="9">
        <v>6.14</v>
      </c>
      <c r="AA10" s="8">
        <v>2161.6</v>
      </c>
      <c r="AB10" s="8">
        <v>266</v>
      </c>
      <c r="AC10" s="21" t="s">
        <v>3896</v>
      </c>
      <c r="AD10" s="8" t="s">
        <v>4145</v>
      </c>
      <c r="AE10" s="8" t="s">
        <v>3722</v>
      </c>
      <c r="AF10" s="9">
        <f t="shared" si="0"/>
        <v>6117.3279999999995</v>
      </c>
      <c r="AG10" s="9">
        <f t="shared" si="1"/>
        <v>13473.973333333333</v>
      </c>
      <c r="AH10" s="9">
        <f t="shared" si="2"/>
        <v>4.3408237444022735</v>
      </c>
      <c r="AI10" s="9">
        <f t="shared" si="3"/>
        <v>18.842750779966575</v>
      </c>
      <c r="AJ10" s="9">
        <f t="shared" si="4"/>
        <v>5.2732810915425521</v>
      </c>
      <c r="AK10" s="9">
        <f t="shared" si="5"/>
        <v>27.807493470420209</v>
      </c>
      <c r="AL10" s="9">
        <f t="shared" si="6"/>
        <v>9.6443315837131127</v>
      </c>
      <c r="AM10" s="9">
        <f t="shared" si="7"/>
        <v>93.01313169660628</v>
      </c>
      <c r="AN10" s="8" t="s">
        <v>3896</v>
      </c>
    </row>
    <row r="11" spans="8:40" ht="23">
      <c r="M11" s="8" t="s">
        <v>1432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1432</v>
      </c>
      <c r="X11" s="8">
        <v>61.4</v>
      </c>
      <c r="Y11" s="8">
        <v>1.95</v>
      </c>
      <c r="Z11" s="9">
        <v>2.15</v>
      </c>
      <c r="AA11" s="8">
        <v>1902.3</v>
      </c>
      <c r="AB11" s="8">
        <v>338</v>
      </c>
      <c r="AC11" s="21" t="s">
        <v>1432</v>
      </c>
      <c r="AD11" s="8" t="s">
        <v>4145</v>
      </c>
      <c r="AE11" s="8" t="s">
        <v>3722</v>
      </c>
      <c r="AF11" s="9">
        <f t="shared" si="0"/>
        <v>3709.4849999999997</v>
      </c>
      <c r="AG11" s="9">
        <f t="shared" si="1"/>
        <v>4280.1750000000002</v>
      </c>
      <c r="AH11" s="9">
        <f t="shared" si="2"/>
        <v>3.8201096451593477</v>
      </c>
      <c r="AI11" s="9">
        <f t="shared" si="3"/>
        <v>14.593237701039477</v>
      </c>
      <c r="AJ11" s="9">
        <f t="shared" si="4"/>
        <v>3.1976636057214405</v>
      </c>
      <c r="AK11" s="9">
        <f t="shared" si="5"/>
        <v>10.225052535355443</v>
      </c>
      <c r="AL11" s="9">
        <f t="shared" si="6"/>
        <v>3.0636417272845482</v>
      </c>
      <c r="AM11" s="9">
        <f t="shared" si="7"/>
        <v>9.38590063315905</v>
      </c>
      <c r="AN11" s="8" t="s">
        <v>1432</v>
      </c>
    </row>
    <row r="12" spans="8:40" ht="29.5" customHeight="1">
      <c r="M12" s="8" t="s">
        <v>3960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3960</v>
      </c>
      <c r="X12" s="8">
        <v>64.66</v>
      </c>
      <c r="Y12" s="8">
        <v>1.71</v>
      </c>
      <c r="Z12" s="9">
        <v>1.31</v>
      </c>
      <c r="AA12" s="8">
        <v>1873.5</v>
      </c>
      <c r="AB12" s="8">
        <v>485</v>
      </c>
      <c r="AC12" s="21" t="s">
        <v>3960</v>
      </c>
      <c r="AD12" s="8" t="s">
        <v>4145</v>
      </c>
      <c r="AE12" s="8" t="s">
        <v>3722</v>
      </c>
      <c r="AF12" s="9">
        <f t="shared" si="0"/>
        <v>3203.6849999999999</v>
      </c>
      <c r="AG12" s="9">
        <f t="shared" si="1"/>
        <v>2841.4749999999999</v>
      </c>
      <c r="AH12" s="9">
        <f t="shared" si="2"/>
        <v>3.7622748358334848</v>
      </c>
      <c r="AI12" s="9">
        <f t="shared" si="3"/>
        <v>14.154711940345875</v>
      </c>
      <c r="AJ12" s="9">
        <f t="shared" si="4"/>
        <v>2.7616520699492497</v>
      </c>
      <c r="AK12" s="9">
        <f t="shared" si="5"/>
        <v>7.626722155454976</v>
      </c>
      <c r="AL12" s="9">
        <f t="shared" si="6"/>
        <v>2.0338564140568693</v>
      </c>
      <c r="AM12" s="9">
        <f t="shared" si="7"/>
        <v>4.1365719130002674</v>
      </c>
      <c r="AN12" s="8" t="s">
        <v>3960</v>
      </c>
    </row>
    <row r="13" spans="8:40" ht="24.5" customHeight="1">
      <c r="M13" s="8" t="s">
        <v>3961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3961</v>
      </c>
      <c r="X13" s="8">
        <v>66.88</v>
      </c>
      <c r="Y13" s="8">
        <v>1.6</v>
      </c>
      <c r="Z13" s="9">
        <v>1.25</v>
      </c>
      <c r="AA13" s="8">
        <v>1789.6</v>
      </c>
      <c r="AB13" s="8">
        <v>575</v>
      </c>
      <c r="AC13" s="21" t="s">
        <v>3961</v>
      </c>
      <c r="AD13" s="8" t="s">
        <v>4145</v>
      </c>
      <c r="AE13" s="8" t="s">
        <v>3722</v>
      </c>
      <c r="AF13" s="9">
        <f t="shared" si="0"/>
        <v>2863.36</v>
      </c>
      <c r="AG13" s="9">
        <f t="shared" si="1"/>
        <v>2535.2666666666669</v>
      </c>
      <c r="AH13" s="9">
        <f t="shared" si="2"/>
        <v>3.5937907906098765</v>
      </c>
      <c r="AI13" s="9">
        <f t="shared" si="3"/>
        <v>12.915332246672362</v>
      </c>
      <c r="AJ13" s="9">
        <f t="shared" si="4"/>
        <v>2.4682838890246339</v>
      </c>
      <c r="AK13" s="9">
        <f t="shared" si="5"/>
        <v>6.0924253568185716</v>
      </c>
      <c r="AL13" s="9">
        <f t="shared" si="6"/>
        <v>1.8146801824209537</v>
      </c>
      <c r="AM13" s="9">
        <f t="shared" si="7"/>
        <v>3.2930641644713461</v>
      </c>
      <c r="AN13" s="8" t="s">
        <v>3961</v>
      </c>
    </row>
    <row r="14" spans="8:40" ht="23">
      <c r="M14" s="8" t="s">
        <v>3918</v>
      </c>
      <c r="N14" s="8"/>
      <c r="O14" s="8"/>
      <c r="P14" s="8"/>
      <c r="Q14" s="8"/>
      <c r="R14" s="8"/>
      <c r="S14" s="8"/>
      <c r="T14" s="8"/>
      <c r="U14" s="8"/>
      <c r="V14" s="8"/>
      <c r="W14" s="8" t="s">
        <v>3918</v>
      </c>
      <c r="X14" s="8">
        <v>66.31</v>
      </c>
      <c r="Y14" s="8">
        <v>1.5</v>
      </c>
      <c r="Z14" s="9">
        <v>0.56000000000000005</v>
      </c>
      <c r="AA14" s="8">
        <v>1370.6</v>
      </c>
      <c r="AB14" s="8">
        <v>572</v>
      </c>
      <c r="AC14" s="21" t="s">
        <v>3918</v>
      </c>
      <c r="AD14" s="8" t="s">
        <v>4145</v>
      </c>
      <c r="AE14" s="8" t="s">
        <v>3722</v>
      </c>
      <c r="AF14" s="9">
        <f t="shared" si="0"/>
        <v>2055.8999999999996</v>
      </c>
      <c r="AG14" s="9">
        <f t="shared" si="1"/>
        <v>1279.2266666666667</v>
      </c>
      <c r="AH14" s="9">
        <f t="shared" si="2"/>
        <v>2.7523746410426333</v>
      </c>
      <c r="AI14" s="9">
        <f t="shared" si="3"/>
        <v>7.5755661646545649</v>
      </c>
      <c r="AJ14" s="9">
        <f t="shared" si="4"/>
        <v>1.7722343147371422</v>
      </c>
      <c r="AK14" s="9">
        <f t="shared" si="5"/>
        <v>3.140814466331828</v>
      </c>
      <c r="AL14" s="9">
        <f t="shared" si="6"/>
        <v>0.9156383079325312</v>
      </c>
      <c r="AM14" s="9">
        <f t="shared" si="7"/>
        <v>0.83839351095354886</v>
      </c>
      <c r="AN14" s="8" t="s">
        <v>3918</v>
      </c>
    </row>
    <row r="15" spans="8:40" ht="23">
      <c r="M15" s="8" t="s">
        <v>3888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3888</v>
      </c>
      <c r="X15" s="8">
        <v>70.2</v>
      </c>
      <c r="Y15" s="8">
        <v>1.48</v>
      </c>
      <c r="Z15" s="9">
        <v>0.33</v>
      </c>
      <c r="AA15" s="8">
        <v>1217.7</v>
      </c>
      <c r="AB15" s="8">
        <v>767</v>
      </c>
      <c r="AC15" s="21" t="s">
        <v>3888</v>
      </c>
      <c r="AD15" s="8" t="s">
        <v>4145</v>
      </c>
      <c r="AE15" s="8" t="s">
        <v>3722</v>
      </c>
      <c r="AF15" s="9">
        <f t="shared" si="0"/>
        <v>1802.1960000000001</v>
      </c>
      <c r="AG15" s="9">
        <f t="shared" si="1"/>
        <v>669.73500000000013</v>
      </c>
      <c r="AH15" s="9">
        <f t="shared" si="2"/>
        <v>2.4453280318091455</v>
      </c>
      <c r="AI15" s="9">
        <f t="shared" si="3"/>
        <v>5.9796291831515891</v>
      </c>
      <c r="AJ15" s="9">
        <f t="shared" si="4"/>
        <v>1.5535354798784085</v>
      </c>
      <c r="AK15" s="9">
        <f t="shared" si="5"/>
        <v>2.4134724872410369</v>
      </c>
      <c r="AL15" s="9">
        <f t="shared" si="6"/>
        <v>0.47937948617122367</v>
      </c>
      <c r="AM15" s="9">
        <f t="shared" si="7"/>
        <v>0.22980469176178642</v>
      </c>
      <c r="AN15" s="8" t="s">
        <v>3888</v>
      </c>
    </row>
    <row r="16" spans="8:40" ht="23">
      <c r="M16" s="8" t="s">
        <v>3968</v>
      </c>
      <c r="N16" s="8"/>
      <c r="O16" s="8"/>
      <c r="P16" s="8"/>
      <c r="Q16" s="8"/>
      <c r="R16" s="8"/>
      <c r="S16" s="8"/>
      <c r="T16" s="8"/>
      <c r="U16" s="8"/>
      <c r="V16" s="8"/>
      <c r="W16" s="8" t="s">
        <v>3968</v>
      </c>
      <c r="X16" s="8">
        <v>43.45</v>
      </c>
      <c r="Y16" s="8">
        <v>2.2400000000000002</v>
      </c>
      <c r="Z16" s="9">
        <v>2.12</v>
      </c>
      <c r="AA16" s="8">
        <v>1168.5999999999999</v>
      </c>
      <c r="AB16" s="8">
        <v>456</v>
      </c>
      <c r="AC16" s="21" t="s">
        <v>3968</v>
      </c>
      <c r="AD16" s="8" t="s">
        <v>4145</v>
      </c>
      <c r="AE16" s="8" t="s">
        <v>3722</v>
      </c>
      <c r="AF16" s="9">
        <f t="shared" si="0"/>
        <v>2617.6640000000002</v>
      </c>
      <c r="AG16" s="9">
        <f t="shared" si="1"/>
        <v>2570.92</v>
      </c>
      <c r="AH16" s="9">
        <f t="shared" si="2"/>
        <v>2.3467277145209553</v>
      </c>
      <c r="AI16" s="9">
        <f t="shared" si="3"/>
        <v>5.5071309661007462</v>
      </c>
      <c r="AJ16" s="9">
        <f t="shared" si="4"/>
        <v>2.2564881391371605</v>
      </c>
      <c r="AK16" s="9">
        <f t="shared" si="5"/>
        <v>5.0917387220666859</v>
      </c>
      <c r="AL16" s="9">
        <f t="shared" si="6"/>
        <v>1.8401999426449596</v>
      </c>
      <c r="AM16" s="9">
        <f t="shared" si="7"/>
        <v>3.3863358289105125</v>
      </c>
      <c r="AN16" s="8" t="s">
        <v>3968</v>
      </c>
    </row>
    <row r="17" spans="13:40" ht="23">
      <c r="M17" s="46" t="s">
        <v>5335</v>
      </c>
      <c r="N17" s="44"/>
      <c r="O17" s="44"/>
      <c r="P17" s="44"/>
      <c r="Q17" s="44"/>
      <c r="R17" s="44"/>
      <c r="S17" s="44"/>
      <c r="T17" s="44"/>
      <c r="U17" s="44"/>
      <c r="V17" s="44"/>
      <c r="W17" s="46" t="s">
        <v>5335</v>
      </c>
      <c r="X17" s="44">
        <v>63.81</v>
      </c>
      <c r="Y17" s="44">
        <v>1.52</v>
      </c>
      <c r="Z17" s="45">
        <v>0.33</v>
      </c>
      <c r="AA17" s="44">
        <v>893.6</v>
      </c>
      <c r="AB17" s="44">
        <v>852</v>
      </c>
      <c r="AC17" s="46" t="s">
        <v>5335</v>
      </c>
      <c r="AD17" s="8" t="s">
        <v>4145</v>
      </c>
      <c r="AE17" s="8" t="s">
        <v>3722</v>
      </c>
      <c r="AF17" s="45">
        <f t="shared" si="0"/>
        <v>1358.2720000000002</v>
      </c>
      <c r="AG17" s="45">
        <f t="shared" si="1"/>
        <v>491.48000000000008</v>
      </c>
      <c r="AH17" s="45">
        <f t="shared" si="2"/>
        <v>1.7944856115830274</v>
      </c>
      <c r="AI17" s="45">
        <f t="shared" si="3"/>
        <v>3.2201786101785119</v>
      </c>
      <c r="AJ17" s="45">
        <f t="shared" si="4"/>
        <v>1.170862516244296</v>
      </c>
      <c r="AK17" s="45">
        <f t="shared" si="5"/>
        <v>1.3709190319459243</v>
      </c>
      <c r="AL17" s="45">
        <f t="shared" si="6"/>
        <v>0.35178903575807297</v>
      </c>
      <c r="AM17" s="45">
        <f t="shared" si="7"/>
        <v>0.12375552567959473</v>
      </c>
      <c r="AN17" s="46" t="s">
        <v>5335</v>
      </c>
    </row>
    <row r="18" spans="13:40" ht="23">
      <c r="M18" s="8" t="s">
        <v>917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917</v>
      </c>
      <c r="X18" s="8">
        <v>63.9</v>
      </c>
      <c r="Y18" s="8">
        <v>1.5</v>
      </c>
      <c r="Z18" s="9">
        <v>1.54</v>
      </c>
      <c r="AA18" s="8">
        <v>868.5</v>
      </c>
      <c r="AB18" s="8">
        <v>1260</v>
      </c>
      <c r="AC18" s="21" t="s">
        <v>917</v>
      </c>
      <c r="AD18" s="8" t="s">
        <v>4145</v>
      </c>
      <c r="AE18" s="8" t="s">
        <v>3722</v>
      </c>
      <c r="AF18" s="9">
        <f t="shared" si="0"/>
        <v>1302.75</v>
      </c>
      <c r="AG18" s="9">
        <f t="shared" si="1"/>
        <v>1650.1499999999999</v>
      </c>
      <c r="AH18" s="9">
        <f t="shared" si="2"/>
        <v>1.7440809687330565</v>
      </c>
      <c r="AI18" s="9">
        <f t="shared" si="3"/>
        <v>3.041818425496837</v>
      </c>
      <c r="AJ18" s="9">
        <f t="shared" si="4"/>
        <v>1.123001242046701</v>
      </c>
      <c r="AK18" s="9">
        <f t="shared" si="5"/>
        <v>1.2611317896384333</v>
      </c>
      <c r="AL18" s="9">
        <f t="shared" si="6"/>
        <v>1.1811359106294945</v>
      </c>
      <c r="AM18" s="9">
        <f t="shared" si="7"/>
        <v>1.3950820393785652</v>
      </c>
      <c r="AN18" s="8" t="s">
        <v>917</v>
      </c>
    </row>
    <row r="19" spans="13:40" ht="23">
      <c r="M19" s="46" t="s">
        <v>5334</v>
      </c>
      <c r="N19" s="44"/>
      <c r="O19" s="44"/>
      <c r="P19" s="44"/>
      <c r="Q19" s="44"/>
      <c r="R19" s="44"/>
      <c r="S19" s="44"/>
      <c r="T19" s="44"/>
      <c r="U19" s="44"/>
      <c r="V19" s="44"/>
      <c r="W19" s="46" t="s">
        <v>5334</v>
      </c>
      <c r="X19" s="44">
        <v>37.14</v>
      </c>
      <c r="Y19" s="44">
        <v>1.81</v>
      </c>
      <c r="Z19" s="45">
        <v>1.02</v>
      </c>
      <c r="AA19" s="44">
        <v>394.6</v>
      </c>
      <c r="AB19" s="44">
        <v>1500</v>
      </c>
      <c r="AC19" s="46" t="s">
        <v>5334</v>
      </c>
      <c r="AD19" s="8" t="s">
        <v>4145</v>
      </c>
      <c r="AE19" s="8" t="s">
        <v>3722</v>
      </c>
      <c r="AF19" s="45">
        <f t="shared" si="0"/>
        <v>714.22600000000011</v>
      </c>
      <c r="AG19" s="45">
        <f t="shared" si="1"/>
        <v>407.75333333333339</v>
      </c>
      <c r="AH19" s="45">
        <f t="shared" si="2"/>
        <v>0.79241721388838693</v>
      </c>
      <c r="AI19" s="45">
        <f t="shared" si="3"/>
        <v>0.62792504086663359</v>
      </c>
      <c r="AJ19" s="45">
        <f t="shared" si="4"/>
        <v>0.61567966616929359</v>
      </c>
      <c r="AK19" s="45">
        <f t="shared" si="5"/>
        <v>0.37906145133433278</v>
      </c>
      <c r="AL19" s="45">
        <f t="shared" si="6"/>
        <v>0.2918595913576818</v>
      </c>
      <c r="AM19" s="45">
        <f t="shared" si="7"/>
        <v>8.518202106747301E-2</v>
      </c>
      <c r="AN19" s="46" t="s">
        <v>5334</v>
      </c>
    </row>
    <row r="20" spans="13:40" ht="23">
      <c r="M20" s="8" t="s">
        <v>1290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1290</v>
      </c>
      <c r="X20" s="8">
        <v>36.22</v>
      </c>
      <c r="Y20" s="8">
        <v>1.41</v>
      </c>
      <c r="Z20" s="9">
        <v>0.47</v>
      </c>
      <c r="AA20" s="8">
        <v>310.2</v>
      </c>
      <c r="AB20" s="8">
        <v>8302</v>
      </c>
      <c r="AC20" s="21" t="s">
        <v>1290</v>
      </c>
      <c r="AD20" s="8" t="s">
        <v>4145</v>
      </c>
      <c r="AE20" s="8" t="s">
        <v>3722</v>
      </c>
      <c r="AF20" s="9">
        <f t="shared" si="0"/>
        <v>437.38199999999995</v>
      </c>
      <c r="AG20" s="9">
        <f t="shared" si="1"/>
        <v>242.98999999999998</v>
      </c>
      <c r="AH20" s="9">
        <f t="shared" si="2"/>
        <v>0.62292909211398284</v>
      </c>
      <c r="AI20" s="9">
        <f t="shared" si="3"/>
        <v>0.38804065380195091</v>
      </c>
      <c r="AJ20" s="9">
        <f t="shared" si="4"/>
        <v>0.3770336052572405</v>
      </c>
      <c r="AK20" s="9">
        <f t="shared" si="5"/>
        <v>0.14215433949327266</v>
      </c>
      <c r="AL20" s="9">
        <f t="shared" si="6"/>
        <v>0.17392613697170614</v>
      </c>
      <c r="AM20" s="9">
        <f t="shared" si="7"/>
        <v>3.0250301121900684E-2</v>
      </c>
      <c r="AN20" s="8" t="s">
        <v>1290</v>
      </c>
    </row>
    <row r="21" spans="13:40" ht="23">
      <c r="M21" s="46" t="s">
        <v>5336</v>
      </c>
      <c r="N21" s="44"/>
      <c r="O21" s="44"/>
      <c r="P21" s="44"/>
      <c r="Q21" s="44"/>
      <c r="R21" s="44"/>
      <c r="S21" s="44"/>
      <c r="T21" s="44"/>
      <c r="U21" s="44"/>
      <c r="V21" s="44"/>
      <c r="W21" s="46" t="s">
        <v>5336</v>
      </c>
      <c r="X21" s="44">
        <v>34.6</v>
      </c>
      <c r="Y21" s="44">
        <v>1.77</v>
      </c>
      <c r="Z21" s="45">
        <v>0.32</v>
      </c>
      <c r="AA21" s="44">
        <v>182.6</v>
      </c>
      <c r="AB21" s="44">
        <v>2234</v>
      </c>
      <c r="AC21" s="46" t="s">
        <v>5336</v>
      </c>
      <c r="AD21" s="8" t="s">
        <v>4145</v>
      </c>
      <c r="AE21" s="8" t="s">
        <v>3722</v>
      </c>
      <c r="AF21" s="45">
        <f t="shared" si="0"/>
        <v>323.202</v>
      </c>
      <c r="AG21" s="45">
        <f t="shared" si="1"/>
        <v>97.386666666666656</v>
      </c>
      <c r="AH21" s="45">
        <f t="shared" si="2"/>
        <v>0.36668875635078424</v>
      </c>
      <c r="AI21" s="45">
        <f t="shared" si="3"/>
        <v>0.13446064403408481</v>
      </c>
      <c r="AJ21" s="45">
        <f t="shared" si="4"/>
        <v>0.27860775085931905</v>
      </c>
      <c r="AK21" s="45">
        <f t="shared" si="5"/>
        <v>7.7622278838888392E-2</v>
      </c>
      <c r="AL21" s="45">
        <f t="shared" si="6"/>
        <v>6.9706929198257356E-2</v>
      </c>
      <c r="AM21" s="45">
        <f t="shared" si="7"/>
        <v>4.8590559782508641E-3</v>
      </c>
      <c r="AN21" s="46" t="s">
        <v>5336</v>
      </c>
    </row>
    <row r="22" spans="13:40" ht="23">
      <c r="M22" s="9" t="s">
        <v>3553</v>
      </c>
      <c r="N22" s="8" t="s">
        <v>2066</v>
      </c>
      <c r="O22" s="8"/>
      <c r="P22" s="8"/>
      <c r="Q22" s="8"/>
      <c r="R22" s="8"/>
      <c r="S22" s="8"/>
      <c r="T22" s="8"/>
      <c r="U22" s="8"/>
      <c r="V22" s="8"/>
      <c r="W22" s="9" t="s">
        <v>3553</v>
      </c>
      <c r="X22" s="8">
        <v>37.56</v>
      </c>
      <c r="Y22" s="8">
        <v>1.22</v>
      </c>
      <c r="Z22" s="9">
        <v>0.19</v>
      </c>
      <c r="AA22" s="8">
        <v>181.4</v>
      </c>
      <c r="AB22" s="8">
        <v>5896</v>
      </c>
      <c r="AC22" s="22" t="s">
        <v>3553</v>
      </c>
      <c r="AD22" s="8" t="s">
        <v>4145</v>
      </c>
      <c r="AE22" s="8" t="s">
        <v>3722</v>
      </c>
      <c r="AF22" s="9">
        <f t="shared" si="0"/>
        <v>221.30799999999999</v>
      </c>
      <c r="AG22" s="9">
        <f t="shared" si="1"/>
        <v>57.443333333333335</v>
      </c>
      <c r="AH22" s="9">
        <f t="shared" si="2"/>
        <v>0.36427897262887327</v>
      </c>
      <c r="AI22" s="9">
        <f t="shared" si="3"/>
        <v>0.13269916989954739</v>
      </c>
      <c r="AJ22" s="9">
        <f t="shared" si="4"/>
        <v>0.19077271838408849</v>
      </c>
      <c r="AK22" s="9">
        <f t="shared" si="5"/>
        <v>3.6394230079654734E-2</v>
      </c>
      <c r="AL22" s="9">
        <f t="shared" si="6"/>
        <v>4.1116494758816027E-2</v>
      </c>
      <c r="AM22" s="9">
        <f t="shared" si="7"/>
        <v>1.6905661412517459E-3</v>
      </c>
      <c r="AN22" s="9" t="s">
        <v>3553</v>
      </c>
    </row>
    <row r="23" spans="13:40" ht="23">
      <c r="M23" s="8" t="s">
        <v>1757</v>
      </c>
      <c r="N23" s="8" t="s">
        <v>1717</v>
      </c>
      <c r="O23" s="8"/>
      <c r="P23" s="8"/>
      <c r="Q23" s="8"/>
      <c r="R23" s="8"/>
      <c r="S23" s="8"/>
      <c r="T23" s="8"/>
      <c r="U23" s="8"/>
      <c r="V23" s="8"/>
      <c r="W23" s="8" t="s">
        <v>1757</v>
      </c>
      <c r="X23" s="8">
        <v>19.54</v>
      </c>
      <c r="Y23" s="8">
        <v>1.75</v>
      </c>
      <c r="Z23" s="9">
        <v>0.51</v>
      </c>
      <c r="AA23" s="8">
        <v>120.2</v>
      </c>
      <c r="AB23" s="8">
        <v>6459</v>
      </c>
      <c r="AC23" s="21" t="s">
        <v>1757</v>
      </c>
      <c r="AD23" s="8" t="s">
        <v>4145</v>
      </c>
      <c r="AE23" s="8" t="s">
        <v>3722</v>
      </c>
      <c r="AF23" s="9">
        <f t="shared" si="0"/>
        <v>210.35</v>
      </c>
      <c r="AG23" s="9">
        <f t="shared" si="1"/>
        <v>102.17</v>
      </c>
      <c r="AH23" s="9">
        <f t="shared" si="2"/>
        <v>0.24138000281141436</v>
      </c>
      <c r="AI23" s="9">
        <f t="shared" si="3"/>
        <v>5.8264305757238406E-2</v>
      </c>
      <c r="AJ23" s="9">
        <f t="shared" si="4"/>
        <v>0.18132666379928883</v>
      </c>
      <c r="AK23" s="9">
        <f t="shared" si="5"/>
        <v>3.2879359004580319E-2</v>
      </c>
      <c r="AL23" s="9">
        <f t="shared" si="6"/>
        <v>7.3130719018886445E-2</v>
      </c>
      <c r="AM23" s="9">
        <f t="shared" si="7"/>
        <v>5.3481020642193195E-3</v>
      </c>
      <c r="AN23" s="8" t="s">
        <v>1757</v>
      </c>
    </row>
    <row r="24" spans="13:40" ht="23">
      <c r="M24" s="8" t="s">
        <v>765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765</v>
      </c>
      <c r="X24" s="8">
        <v>40.380000000000003</v>
      </c>
      <c r="Y24" s="8">
        <v>1.29</v>
      </c>
      <c r="Z24" s="9">
        <v>0.32</v>
      </c>
      <c r="AA24" s="8">
        <v>73.8</v>
      </c>
      <c r="AB24" s="8">
        <v>6293</v>
      </c>
      <c r="AC24" s="21" t="s">
        <v>765</v>
      </c>
      <c r="AD24" s="8" t="s">
        <v>4145</v>
      </c>
      <c r="AE24" s="8" t="s">
        <v>3722</v>
      </c>
      <c r="AF24" s="9">
        <f t="shared" si="0"/>
        <v>95.201999999999998</v>
      </c>
      <c r="AG24" s="9">
        <f t="shared" si="1"/>
        <v>39.36</v>
      </c>
      <c r="AH24" s="9">
        <f t="shared" si="2"/>
        <v>0.14820169889752396</v>
      </c>
      <c r="AI24" s="9">
        <f t="shared" si="3"/>
        <v>2.1963743556112355E-2</v>
      </c>
      <c r="AJ24" s="9">
        <f t="shared" si="4"/>
        <v>8.2066370558687415E-2</v>
      </c>
      <c r="AK24" s="9">
        <f t="shared" si="5"/>
        <v>6.7348891766757964E-3</v>
      </c>
      <c r="AL24" s="9">
        <f t="shared" si="6"/>
        <v>2.8172899095462178E-2</v>
      </c>
      <c r="AM24" s="9">
        <f t="shared" si="7"/>
        <v>7.9371224344309361E-4</v>
      </c>
      <c r="AN24" s="8" t="s">
        <v>765</v>
      </c>
    </row>
    <row r="25" spans="13:40" ht="23">
      <c r="M25" s="9" t="s">
        <v>2844</v>
      </c>
      <c r="N25" s="8" t="s">
        <v>1614</v>
      </c>
      <c r="O25" s="8"/>
      <c r="P25" s="8"/>
      <c r="Q25" s="8"/>
      <c r="R25" s="8"/>
      <c r="S25" s="8"/>
      <c r="T25" s="8"/>
      <c r="U25" s="8"/>
      <c r="V25" s="8"/>
      <c r="W25" s="9" t="s">
        <v>2844</v>
      </c>
      <c r="X25" s="8">
        <v>33.61</v>
      </c>
      <c r="Y25" s="8">
        <v>1.37</v>
      </c>
      <c r="Z25" s="9">
        <v>0.52</v>
      </c>
      <c r="AA25" s="8">
        <v>56</v>
      </c>
      <c r="AB25" s="8">
        <v>8266</v>
      </c>
      <c r="AC25" s="22" t="s">
        <v>2844</v>
      </c>
      <c r="AD25" s="8" t="s">
        <v>4145</v>
      </c>
      <c r="AE25" s="8" t="s">
        <v>3722</v>
      </c>
      <c r="AF25" s="9">
        <f t="shared" si="0"/>
        <v>76.72</v>
      </c>
      <c r="AG25" s="9">
        <f t="shared" si="1"/>
        <v>48.533333333333331</v>
      </c>
      <c r="AH25" s="9">
        <f t="shared" si="2"/>
        <v>0.11245657368917808</v>
      </c>
      <c r="AI25" s="9">
        <f t="shared" si="3"/>
        <v>1.264648096590954E-2</v>
      </c>
      <c r="AJ25" s="9">
        <f t="shared" si="4"/>
        <v>6.6134450423966915E-2</v>
      </c>
      <c r="AK25" s="9">
        <f t="shared" si="5"/>
        <v>4.3737655328801375E-3</v>
      </c>
      <c r="AL25" s="9">
        <f t="shared" si="6"/>
        <v>3.4738940619065822E-2</v>
      </c>
      <c r="AM25" s="9">
        <f t="shared" si="7"/>
        <v>1.2067939953349814E-3</v>
      </c>
      <c r="AN25" s="9" t="s">
        <v>2844</v>
      </c>
    </row>
    <row r="26" spans="13:40" ht="23">
      <c r="M26" s="8" t="s">
        <v>1471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8" t="s">
        <v>1471</v>
      </c>
      <c r="X26" s="8">
        <v>35.1</v>
      </c>
      <c r="Y26" s="8">
        <v>3.54</v>
      </c>
      <c r="Z26" s="9">
        <v>7.15</v>
      </c>
      <c r="AA26" s="8">
        <v>12.4</v>
      </c>
      <c r="AB26" s="8">
        <v>9696</v>
      </c>
      <c r="AC26" s="21" t="s">
        <v>1471</v>
      </c>
      <c r="AD26" s="8" t="s">
        <v>4145</v>
      </c>
      <c r="AE26" s="8" t="s">
        <v>3722</v>
      </c>
      <c r="AF26" s="9">
        <f t="shared" si="0"/>
        <v>43.896000000000001</v>
      </c>
      <c r="AG26" s="9">
        <f t="shared" si="1"/>
        <v>89.9</v>
      </c>
      <c r="AH26" s="9">
        <f t="shared" si="2"/>
        <v>2.4901098459746578E-2</v>
      </c>
      <c r="AI26" s="9">
        <f t="shared" si="3"/>
        <v>6.2006470450199334E-4</v>
      </c>
      <c r="AJ26" s="9">
        <f t="shared" si="4"/>
        <v>3.7839387849458443E-2</v>
      </c>
      <c r="AK26" s="9">
        <f t="shared" si="5"/>
        <v>1.4318192728217433E-3</v>
      </c>
      <c r="AL26" s="9">
        <f t="shared" si="6"/>
        <v>6.43481612978163E-2</v>
      </c>
      <c r="AM26" s="9">
        <f t="shared" si="7"/>
        <v>4.1406858624097832E-3</v>
      </c>
      <c r="AN26" s="8" t="s">
        <v>1471</v>
      </c>
    </row>
    <row r="27" spans="13:40" ht="23"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5"/>
      <c r="AA27" s="44">
        <f>SUBTOTAL(109,Table1367071[ترافیک کل])</f>
        <v>49796.999999999993</v>
      </c>
      <c r="AB27" s="44"/>
      <c r="AC27" s="46"/>
      <c r="AD27" s="44"/>
      <c r="AE27" s="44"/>
      <c r="AF27" s="45">
        <f>SUBTOTAL(109,Table1367071[[مجموع صفحات  مشاهده شده   ]])</f>
        <v>116006.105</v>
      </c>
      <c r="AG27" s="45">
        <f>SUBTOTAL(109,Table1367071[[مجموع زمان حضور در سایت ]])</f>
        <v>139708.73166666663</v>
      </c>
      <c r="AH27" s="45">
        <f>SUBTOTAL(109,Table1367071[سهم سایت از کل ترافیک طبقه بندی])</f>
        <v>99.999999999999972</v>
      </c>
      <c r="AI27" s="45">
        <f>SUBTOTAL(109,Table1367071[شاخص هرفیندال هیرشمن (ترافیک)])</f>
        <v>801.28180537084427</v>
      </c>
      <c r="AJ27" s="45">
        <f>SUBTOTAL(109,Table1367071[سهم سایت از کل صفحات مشاهده شده در طبقه بندی])</f>
        <v>100.00000000000003</v>
      </c>
      <c r="AK27" s="45">
        <f>SUBTOTAL(109,Table1367071[شاخص هرفیندال -هیرشمن (صفحات مشاهده شده )])</f>
        <v>1087.9936534555382</v>
      </c>
      <c r="AL27" s="45">
        <f>SUBTOTAL(109,Table1367071[سهم سایت از کل زمان حضور در طبقه بندی])</f>
        <v>100</v>
      </c>
      <c r="AM27" s="45">
        <f>SUBTOTAL(109,Table1367071[شاخص هرفیندال هیرشمن (زمان حضور)])</f>
        <v>1132.51476367952</v>
      </c>
      <c r="AN27" s="45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{39DF46F7-3FEA-44A6-9283-EC33C6B4792E}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{9A490492-69D2-4D35-9FA6-CC340955F458}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{86ECF85D-6845-476A-9BAD-4D13D49B7D62}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{E980C4C6-D694-4405-A3FA-AA50609D1692}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{A44789C0-CE18-4644-8D50-A6C1D23C5BEA}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{A1655D05-0613-4384-8DFB-7AABD7FD42B0}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DF46F7-3FEA-44A6-9283-EC33C6B4792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A490492-69D2-4D35-9FA6-CC340955F45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6ECF85D-6845-476A-9BAD-4D13D49B7D6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980C4C6-D694-4405-A3FA-AA50609D16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44789C0-CE18-4644-8D50-A6C1D23C5BE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A1655D05-0613-4384-8DFB-7AABD7FD42B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1"/>
  <sheetViews>
    <sheetView showGridLines="0" rightToLeft="1" topLeftCell="U1" zoomScale="70" zoomScaleNormal="70" workbookViewId="0">
      <selection activeCell="AB1" sqref="AB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31.58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3.0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1" customHeight="1">
      <c r="M2" s="8" t="s">
        <v>3802</v>
      </c>
      <c r="N2" s="8"/>
      <c r="O2" s="8"/>
      <c r="P2" s="8"/>
      <c r="Q2" s="8"/>
      <c r="R2" s="8"/>
      <c r="S2" s="8"/>
      <c r="T2" s="8"/>
      <c r="U2" s="8"/>
      <c r="V2" s="8"/>
      <c r="W2" s="8" t="s">
        <v>3802</v>
      </c>
      <c r="X2" s="8">
        <v>57.99</v>
      </c>
      <c r="Y2" s="8">
        <v>2.92</v>
      </c>
      <c r="Z2" s="9">
        <v>5.0599999999999996</v>
      </c>
      <c r="AA2" s="8">
        <v>9343</v>
      </c>
      <c r="AB2" s="8">
        <v>173</v>
      </c>
      <c r="AC2" s="21" t="s">
        <v>3802</v>
      </c>
      <c r="AD2" s="8" t="s">
        <v>4447</v>
      </c>
      <c r="AE2" s="8" t="s">
        <v>3722</v>
      </c>
      <c r="AF2" s="9">
        <f t="shared" ref="AF2:AF30" si="0">(AA2*Y2)</f>
        <v>27281.559999999998</v>
      </c>
      <c r="AG2" s="9">
        <f t="shared" ref="AG2:AG30" si="1">((((RIGHT(Z2,2))/60)+(LEFT(Z2,2)))*AA2)</f>
        <v>47649.299999999996</v>
      </c>
      <c r="AH2" s="9">
        <f t="shared" ref="AH2:AH30" si="2">(AA2/$AA$31)*100</f>
        <v>23.341686007729763</v>
      </c>
      <c r="AI2" s="9">
        <f t="shared" ref="AI2:AI30" si="3">(AH2*AH2)</f>
        <v>544.83430568344738</v>
      </c>
      <c r="AJ2" s="9">
        <f t="shared" ref="AJ2:AJ30" si="4">(AF2/$AF$31)*100</f>
        <v>35.50199837624082</v>
      </c>
      <c r="AK2" s="9">
        <f t="shared" ref="AK2:AK30" si="5">(AJ2*AJ2)</f>
        <v>1260.3918887066059</v>
      </c>
      <c r="AL2" s="9">
        <f t="shared" ref="AL2:AL30" si="6">(AG2/$AG$31)*100</f>
        <v>53.111354556281043</v>
      </c>
      <c r="AM2" s="9">
        <f t="shared" ref="AM2:AM30" si="7">(AL2*AL2)</f>
        <v>2820.8159828029952</v>
      </c>
      <c r="AN2" s="8" t="s">
        <v>3802</v>
      </c>
    </row>
    <row r="3" spans="8:40" ht="22" customHeight="1">
      <c r="M3" s="8" t="s">
        <v>3837</v>
      </c>
      <c r="N3" s="8"/>
      <c r="O3" s="8"/>
      <c r="P3" s="8"/>
      <c r="Q3" s="8"/>
      <c r="R3" s="8"/>
      <c r="S3" s="8"/>
      <c r="T3" s="8"/>
      <c r="U3" s="8"/>
      <c r="V3" s="8"/>
      <c r="W3" s="8" t="s">
        <v>3837</v>
      </c>
      <c r="X3" s="8">
        <v>76</v>
      </c>
      <c r="Y3" s="8">
        <v>1.39</v>
      </c>
      <c r="Z3" s="9">
        <v>0.52</v>
      </c>
      <c r="AA3" s="8">
        <v>5783.9</v>
      </c>
      <c r="AB3" s="8">
        <v>298</v>
      </c>
      <c r="AC3" s="21" t="s">
        <v>3837</v>
      </c>
      <c r="AD3" s="8" t="s">
        <v>4368</v>
      </c>
      <c r="AE3" s="8" t="s">
        <v>3722</v>
      </c>
      <c r="AF3" s="9">
        <f t="shared" si="0"/>
        <v>8039.6209999999992</v>
      </c>
      <c r="AG3" s="9">
        <f t="shared" si="1"/>
        <v>5012.7133333333331</v>
      </c>
      <c r="AH3" s="9">
        <f t="shared" si="2"/>
        <v>14.449960151997022</v>
      </c>
      <c r="AI3" s="9">
        <f t="shared" si="3"/>
        <v>208.80134839430181</v>
      </c>
      <c r="AJ3" s="9">
        <f t="shared" si="4"/>
        <v>10.462107434017394</v>
      </c>
      <c r="AK3" s="9">
        <f t="shared" si="5"/>
        <v>109.45569196092202</v>
      </c>
      <c r="AL3" s="9">
        <f t="shared" si="6"/>
        <v>5.5873222720095388</v>
      </c>
      <c r="AM3" s="9">
        <f t="shared" si="7"/>
        <v>31.218170171293835</v>
      </c>
      <c r="AN3" s="8" t="s">
        <v>3837</v>
      </c>
    </row>
    <row r="4" spans="8:40" ht="22" customHeight="1">
      <c r="M4" s="8" t="s">
        <v>3798</v>
      </c>
      <c r="N4" s="8"/>
      <c r="O4" s="8"/>
      <c r="P4" s="8"/>
      <c r="Q4" s="8"/>
      <c r="R4" s="8"/>
      <c r="S4" s="8"/>
      <c r="T4" s="8"/>
      <c r="U4" s="8"/>
      <c r="V4" s="8"/>
      <c r="W4" s="8" t="s">
        <v>3798</v>
      </c>
      <c r="X4" s="8">
        <v>63.19</v>
      </c>
      <c r="Y4" s="8">
        <v>1.88</v>
      </c>
      <c r="Z4" s="9">
        <v>2.1800000000000002</v>
      </c>
      <c r="AA4" s="8">
        <v>4485.3</v>
      </c>
      <c r="AB4" s="8">
        <v>836</v>
      </c>
      <c r="AC4" s="21" t="s">
        <v>3798</v>
      </c>
      <c r="AD4" s="8" t="s">
        <v>4368</v>
      </c>
      <c r="AE4" s="8" t="s">
        <v>3722</v>
      </c>
      <c r="AF4" s="9">
        <f t="shared" si="0"/>
        <v>8432.3639999999996</v>
      </c>
      <c r="AG4" s="9">
        <f t="shared" si="1"/>
        <v>10316.19</v>
      </c>
      <c r="AH4" s="9">
        <f t="shared" si="2"/>
        <v>11.205658166592135</v>
      </c>
      <c r="AI4" s="9">
        <f t="shared" si="3"/>
        <v>125.56677494651302</v>
      </c>
      <c r="AJ4" s="9">
        <f t="shared" si="4"/>
        <v>10.973191160471451</v>
      </c>
      <c r="AK4" s="9">
        <f t="shared" si="5"/>
        <v>120.41092424424879</v>
      </c>
      <c r="AL4" s="9">
        <f t="shared" si="6"/>
        <v>11.498738171598767</v>
      </c>
      <c r="AM4" s="9">
        <f t="shared" si="7"/>
        <v>132.22097953898253</v>
      </c>
      <c r="AN4" s="8" t="s">
        <v>3798</v>
      </c>
    </row>
    <row r="5" spans="8:40" ht="24" customHeight="1">
      <c r="M5" s="8" t="s">
        <v>3908</v>
      </c>
      <c r="N5" s="8"/>
      <c r="O5" s="8"/>
      <c r="P5" s="8"/>
      <c r="Q5" s="8"/>
      <c r="R5" s="8"/>
      <c r="S5" s="8"/>
      <c r="T5" s="8"/>
      <c r="U5" s="8"/>
      <c r="V5" s="8"/>
      <c r="W5" s="8" t="s">
        <v>3908</v>
      </c>
      <c r="X5" s="8">
        <v>76.78</v>
      </c>
      <c r="Y5" s="8">
        <v>1.35</v>
      </c>
      <c r="Z5" s="9">
        <v>0.49</v>
      </c>
      <c r="AA5" s="8">
        <v>2433.1</v>
      </c>
      <c r="AB5" s="8">
        <v>760</v>
      </c>
      <c r="AC5" s="21" t="s">
        <v>3908</v>
      </c>
      <c r="AD5" s="8" t="s">
        <v>4368</v>
      </c>
      <c r="AE5" s="8" t="s">
        <v>3722</v>
      </c>
      <c r="AF5" s="9">
        <f t="shared" si="0"/>
        <v>3284.6849999999999</v>
      </c>
      <c r="AG5" s="9">
        <f t="shared" si="1"/>
        <v>1987.0316666666665</v>
      </c>
      <c r="AH5" s="9">
        <f t="shared" si="2"/>
        <v>6.0786317270049546</v>
      </c>
      <c r="AI5" s="9">
        <f t="shared" si="3"/>
        <v>36.949763672551235</v>
      </c>
      <c r="AJ5" s="9">
        <f t="shared" si="4"/>
        <v>4.2744213137541465</v>
      </c>
      <c r="AK5" s="9">
        <f t="shared" si="5"/>
        <v>18.270677567475722</v>
      </c>
      <c r="AL5" s="9">
        <f t="shared" si="6"/>
        <v>2.2148057445312186</v>
      </c>
      <c r="AM5" s="9">
        <f t="shared" si="7"/>
        <v>4.9053644860084855</v>
      </c>
      <c r="AN5" s="8" t="s">
        <v>3908</v>
      </c>
    </row>
    <row r="6" spans="8:40" ht="22.5" customHeight="1">
      <c r="M6" s="9" t="s">
        <v>4748</v>
      </c>
      <c r="N6" s="8" t="s">
        <v>1814</v>
      </c>
      <c r="O6" s="8"/>
      <c r="P6" s="8"/>
      <c r="Q6" s="8"/>
      <c r="R6" s="8"/>
      <c r="S6" s="8"/>
      <c r="T6" s="8"/>
      <c r="U6" s="8"/>
      <c r="V6" s="8"/>
      <c r="W6" s="9" t="s">
        <v>4748</v>
      </c>
      <c r="X6" s="8">
        <v>71.27</v>
      </c>
      <c r="Y6" s="8">
        <v>1.39</v>
      </c>
      <c r="Z6" s="9">
        <v>1.17</v>
      </c>
      <c r="AA6" s="8">
        <v>2197.4</v>
      </c>
      <c r="AB6" s="8">
        <v>1128</v>
      </c>
      <c r="AC6" s="22" t="s">
        <v>4748</v>
      </c>
      <c r="AD6" s="8" t="s">
        <v>4368</v>
      </c>
      <c r="AE6" s="8" t="s">
        <v>3722</v>
      </c>
      <c r="AF6" s="9">
        <f t="shared" si="0"/>
        <v>3054.386</v>
      </c>
      <c r="AG6" s="9">
        <f t="shared" si="1"/>
        <v>2819.9966666666664</v>
      </c>
      <c r="AH6" s="9">
        <f t="shared" si="2"/>
        <v>5.489780673593641</v>
      </c>
      <c r="AI6" s="9">
        <f t="shared" si="3"/>
        <v>30.137691844162251</v>
      </c>
      <c r="AJ6" s="9">
        <f t="shared" si="4"/>
        <v>3.9747289675668358</v>
      </c>
      <c r="AK6" s="9">
        <f t="shared" si="5"/>
        <v>15.798470365614925</v>
      </c>
      <c r="AL6" s="9">
        <f t="shared" si="6"/>
        <v>3.1432537898954243</v>
      </c>
      <c r="AM6" s="9">
        <f t="shared" si="7"/>
        <v>9.8800443876919477</v>
      </c>
      <c r="AN6" s="9" t="s">
        <v>4748</v>
      </c>
    </row>
    <row r="7" spans="8:40" ht="21.5" customHeight="1">
      <c r="M7" s="24" t="s">
        <v>4935</v>
      </c>
      <c r="N7" s="24"/>
      <c r="O7" s="24"/>
      <c r="P7" s="24"/>
      <c r="Q7" s="24"/>
      <c r="R7" s="24"/>
      <c r="S7" s="24"/>
      <c r="T7" s="24"/>
      <c r="U7" s="24"/>
      <c r="V7" s="24"/>
      <c r="W7" s="24" t="s">
        <v>4935</v>
      </c>
      <c r="X7" s="24">
        <v>21.68</v>
      </c>
      <c r="Y7" s="24">
        <v>2.0699999999999998</v>
      </c>
      <c r="Z7" s="25">
        <v>0.31</v>
      </c>
      <c r="AA7" s="24">
        <v>2092.4</v>
      </c>
      <c r="AB7" s="24">
        <v>381</v>
      </c>
      <c r="AC7" s="21" t="s">
        <v>4935</v>
      </c>
      <c r="AD7" s="8" t="s">
        <v>4447</v>
      </c>
      <c r="AE7" s="8" t="s">
        <v>3722</v>
      </c>
      <c r="AF7" s="25">
        <f t="shared" si="0"/>
        <v>4331.268</v>
      </c>
      <c r="AG7" s="9">
        <f t="shared" si="1"/>
        <v>1081.0733333333335</v>
      </c>
      <c r="AH7" s="9">
        <f t="shared" si="2"/>
        <v>5.2274583969360764</v>
      </c>
      <c r="AI7" s="25">
        <f t="shared" si="3"/>
        <v>27.326321291697493</v>
      </c>
      <c r="AJ7" s="9">
        <f t="shared" si="4"/>
        <v>5.6363591196054701</v>
      </c>
      <c r="AK7" s="25">
        <f t="shared" si="5"/>
        <v>31.76854412515975</v>
      </c>
      <c r="AL7" s="9">
        <f t="shared" si="6"/>
        <v>1.2049971165999771</v>
      </c>
      <c r="AM7" s="25">
        <f t="shared" si="7"/>
        <v>1.4520180510142588</v>
      </c>
      <c r="AN7" s="24" t="s">
        <v>4935</v>
      </c>
    </row>
    <row r="8" spans="8:40" ht="21.5" customHeight="1">
      <c r="M8" s="8" t="s">
        <v>4557</v>
      </c>
      <c r="N8" s="8"/>
      <c r="O8" s="8"/>
      <c r="P8" s="8"/>
      <c r="Q8" s="8"/>
      <c r="R8" s="8"/>
      <c r="S8" s="8"/>
      <c r="T8" s="8"/>
      <c r="U8" s="8"/>
      <c r="V8" s="8"/>
      <c r="W8" s="8" t="s">
        <v>4557</v>
      </c>
      <c r="X8" s="8">
        <v>79.31</v>
      </c>
      <c r="Y8" s="8">
        <v>1.27</v>
      </c>
      <c r="Z8" s="9">
        <v>1.34</v>
      </c>
      <c r="AA8" s="8">
        <v>1950.8</v>
      </c>
      <c r="AB8" s="8">
        <v>1023</v>
      </c>
      <c r="AC8" s="21" t="s">
        <v>4557</v>
      </c>
      <c r="AD8" s="8" t="s">
        <v>4447</v>
      </c>
      <c r="AE8" s="8" t="s">
        <v>3722</v>
      </c>
      <c r="AF8" s="9">
        <f t="shared" si="0"/>
        <v>2477.5160000000001</v>
      </c>
      <c r="AG8" s="9">
        <f t="shared" si="1"/>
        <v>3056.2533333333331</v>
      </c>
      <c r="AH8" s="9">
        <f t="shared" si="2"/>
        <v>4.8736980695578751</v>
      </c>
      <c r="AI8" s="9">
        <f t="shared" si="3"/>
        <v>23.75293287321216</v>
      </c>
      <c r="AJ8" s="9">
        <f t="shared" si="4"/>
        <v>3.2240373720971474</v>
      </c>
      <c r="AK8" s="9">
        <f t="shared" si="5"/>
        <v>10.39441697667908</v>
      </c>
      <c r="AL8" s="9">
        <f t="shared" si="6"/>
        <v>3.4065926341096819</v>
      </c>
      <c r="AM8" s="9">
        <f t="shared" si="7"/>
        <v>11.604873374770341</v>
      </c>
      <c r="AN8" s="8" t="s">
        <v>4557</v>
      </c>
    </row>
    <row r="9" spans="8:40" ht="21.5" customHeight="1">
      <c r="M9" s="8" t="s">
        <v>3870</v>
      </c>
      <c r="N9" s="8"/>
      <c r="O9" s="8"/>
      <c r="P9" s="8"/>
      <c r="Q9" s="8"/>
      <c r="R9" s="8"/>
      <c r="S9" s="8"/>
      <c r="T9" s="8"/>
      <c r="U9" s="8"/>
      <c r="V9" s="8"/>
      <c r="W9" s="8" t="s">
        <v>3870</v>
      </c>
      <c r="X9" s="8">
        <v>69.3</v>
      </c>
      <c r="Y9" s="8">
        <v>1.56</v>
      </c>
      <c r="Z9" s="9">
        <v>2.2000000000000002</v>
      </c>
      <c r="AA9" s="8">
        <v>1905.6</v>
      </c>
      <c r="AB9" s="8">
        <v>1730</v>
      </c>
      <c r="AC9" s="21" t="s">
        <v>3870</v>
      </c>
      <c r="AD9" s="8" t="s">
        <v>4368</v>
      </c>
      <c r="AE9" s="8" t="s">
        <v>3722</v>
      </c>
      <c r="AF9" s="9">
        <f t="shared" si="0"/>
        <v>2972.7359999999999</v>
      </c>
      <c r="AG9" s="9">
        <f t="shared" si="1"/>
        <v>3817.5520000000001</v>
      </c>
      <c r="AH9" s="9">
        <f t="shared" si="2"/>
        <v>4.7607745752252848</v>
      </c>
      <c r="AI9" s="9">
        <f t="shared" si="3"/>
        <v>22.664974556111492</v>
      </c>
      <c r="AJ9" s="9">
        <f t="shared" si="4"/>
        <v>3.8684763131211199</v>
      </c>
      <c r="AK9" s="9">
        <f t="shared" si="5"/>
        <v>14.965108985179173</v>
      </c>
      <c r="AL9" s="9">
        <f t="shared" si="6"/>
        <v>4.2551592113428711</v>
      </c>
      <c r="AM9" s="9">
        <f t="shared" si="7"/>
        <v>18.106379913876086</v>
      </c>
      <c r="AN9" s="8" t="s">
        <v>3870</v>
      </c>
    </row>
    <row r="10" spans="8:40" ht="24" customHeight="1">
      <c r="M10" s="8" t="s">
        <v>1668</v>
      </c>
      <c r="N10" s="8" t="s">
        <v>1614</v>
      </c>
      <c r="O10" s="8"/>
      <c r="P10" s="8"/>
      <c r="Q10" s="8"/>
      <c r="R10" s="8"/>
      <c r="S10" s="8"/>
      <c r="T10" s="8"/>
      <c r="U10" s="8"/>
      <c r="V10" s="8"/>
      <c r="W10" s="8" t="s">
        <v>1668</v>
      </c>
      <c r="X10" s="8">
        <v>56.51</v>
      </c>
      <c r="Y10" s="8">
        <v>2.04</v>
      </c>
      <c r="Z10" s="9">
        <v>2.31</v>
      </c>
      <c r="AA10" s="8">
        <v>1652.2</v>
      </c>
      <c r="AB10" s="8">
        <v>2213</v>
      </c>
      <c r="AC10" s="21" t="s">
        <v>1668</v>
      </c>
      <c r="AD10" s="8" t="s">
        <v>4368</v>
      </c>
      <c r="AE10" s="8" t="s">
        <v>3722</v>
      </c>
      <c r="AF10" s="9">
        <f t="shared" si="0"/>
        <v>3370.4880000000003</v>
      </c>
      <c r="AG10" s="9">
        <f t="shared" si="1"/>
        <v>4158.0366666666669</v>
      </c>
      <c r="AH10" s="9">
        <f t="shared" si="2"/>
        <v>4.1277034808916957</v>
      </c>
      <c r="AI10" s="9">
        <f t="shared" si="3"/>
        <v>17.037936026165422</v>
      </c>
      <c r="AJ10" s="9">
        <f t="shared" si="4"/>
        <v>4.3860783438754662</v>
      </c>
      <c r="AK10" s="9">
        <f t="shared" si="5"/>
        <v>19.237683238613354</v>
      </c>
      <c r="AL10" s="9">
        <f t="shared" si="6"/>
        <v>4.6346737446583761</v>
      </c>
      <c r="AM10" s="9">
        <f t="shared" si="7"/>
        <v>21.480200719425696</v>
      </c>
      <c r="AN10" s="8" t="s">
        <v>1668</v>
      </c>
    </row>
    <row r="11" spans="8:40" ht="26.5" customHeight="1">
      <c r="M11" s="8" t="s">
        <v>4560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4560</v>
      </c>
      <c r="X11" s="8">
        <v>71.930000000000007</v>
      </c>
      <c r="Y11" s="8">
        <v>2.5</v>
      </c>
      <c r="Z11" s="9">
        <v>2.2400000000000002</v>
      </c>
      <c r="AA11" s="8">
        <v>1599.5</v>
      </c>
      <c r="AB11" s="8">
        <v>1242</v>
      </c>
      <c r="AC11" s="21" t="s">
        <v>4560</v>
      </c>
      <c r="AD11" s="8" t="s">
        <v>4447</v>
      </c>
      <c r="AE11" s="8" t="s">
        <v>3722</v>
      </c>
      <c r="AF11" s="9">
        <f t="shared" si="0"/>
        <v>3998.75</v>
      </c>
      <c r="AG11" s="9">
        <f t="shared" si="1"/>
        <v>3838.7999999999997</v>
      </c>
      <c r="AH11" s="9">
        <f t="shared" si="2"/>
        <v>3.9960426810835661</v>
      </c>
      <c r="AI11" s="9">
        <f t="shared" si="3"/>
        <v>15.968357109041534</v>
      </c>
      <c r="AJ11" s="9">
        <f t="shared" si="4"/>
        <v>5.2036472990178346</v>
      </c>
      <c r="AK11" s="9">
        <f t="shared" si="5"/>
        <v>27.077945212575607</v>
      </c>
      <c r="AL11" s="9">
        <f t="shared" si="6"/>
        <v>4.2788428764043065</v>
      </c>
      <c r="AM11" s="9">
        <f t="shared" si="7"/>
        <v>18.308496360955878</v>
      </c>
      <c r="AN11" s="8" t="s">
        <v>4560</v>
      </c>
    </row>
    <row r="12" spans="8:40" ht="22" customHeight="1">
      <c r="M12" s="8" t="s">
        <v>4556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4556</v>
      </c>
      <c r="X12" s="8">
        <v>78.2</v>
      </c>
      <c r="Y12" s="8">
        <v>1.25</v>
      </c>
      <c r="Z12" s="9">
        <v>0.28000000000000003</v>
      </c>
      <c r="AA12" s="8">
        <v>1351.5</v>
      </c>
      <c r="AB12" s="8">
        <v>2437</v>
      </c>
      <c r="AC12" s="21" t="s">
        <v>4556</v>
      </c>
      <c r="AD12" s="8" t="s">
        <v>4447</v>
      </c>
      <c r="AE12" s="8" t="s">
        <v>3722</v>
      </c>
      <c r="AF12" s="9">
        <f t="shared" si="0"/>
        <v>1689.375</v>
      </c>
      <c r="AG12" s="9">
        <f t="shared" si="1"/>
        <v>630.70000000000005</v>
      </c>
      <c r="AH12" s="9">
        <f t="shared" si="2"/>
        <v>3.3764624466923658</v>
      </c>
      <c r="AI12" s="9">
        <f t="shared" si="3"/>
        <v>11.400498653923798</v>
      </c>
      <c r="AJ12" s="9">
        <f t="shared" si="4"/>
        <v>2.1984149186066277</v>
      </c>
      <c r="AK12" s="9">
        <f t="shared" si="5"/>
        <v>4.8330281543521858</v>
      </c>
      <c r="AL12" s="9">
        <f t="shared" si="6"/>
        <v>0.70299734347926335</v>
      </c>
      <c r="AM12" s="9">
        <f t="shared" si="7"/>
        <v>0.49420526493890138</v>
      </c>
      <c r="AN12" s="8" t="s">
        <v>4556</v>
      </c>
    </row>
    <row r="13" spans="8:40" ht="22.5" customHeight="1">
      <c r="M13" s="8" t="s">
        <v>4558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4558</v>
      </c>
      <c r="X13" s="8">
        <v>78.59</v>
      </c>
      <c r="Y13" s="8">
        <v>1.25</v>
      </c>
      <c r="Z13" s="9">
        <v>1.1100000000000001</v>
      </c>
      <c r="AA13" s="8">
        <v>1173.5</v>
      </c>
      <c r="AB13" s="8">
        <v>2898</v>
      </c>
      <c r="AC13" s="21" t="s">
        <v>4558</v>
      </c>
      <c r="AD13" s="8" t="s">
        <v>4447</v>
      </c>
      <c r="AE13" s="8" t="s">
        <v>3722</v>
      </c>
      <c r="AF13" s="9">
        <f t="shared" si="0"/>
        <v>1466.875</v>
      </c>
      <c r="AG13" s="9">
        <f t="shared" si="1"/>
        <v>1388.6416666666667</v>
      </c>
      <c r="AH13" s="9">
        <f t="shared" si="2"/>
        <v>2.9317637300728761</v>
      </c>
      <c r="AI13" s="9">
        <f t="shared" si="3"/>
        <v>8.5952385689708244</v>
      </c>
      <c r="AJ13" s="9">
        <f t="shared" si="4"/>
        <v>1.9088715552977267</v>
      </c>
      <c r="AK13" s="9">
        <f t="shared" si="5"/>
        <v>3.6437906146247618</v>
      </c>
      <c r="AL13" s="9">
        <f t="shared" si="6"/>
        <v>1.5478221067247238</v>
      </c>
      <c r="AM13" s="9">
        <f t="shared" si="7"/>
        <v>2.3957532740657621</v>
      </c>
      <c r="AN13" s="8" t="s">
        <v>4558</v>
      </c>
    </row>
    <row r="14" spans="8:40" ht="21" customHeight="1">
      <c r="M14" s="8" t="s">
        <v>1626</v>
      </c>
      <c r="N14" s="8" t="s">
        <v>1614</v>
      </c>
      <c r="O14" s="8"/>
      <c r="P14" s="8" t="s">
        <v>3691</v>
      </c>
      <c r="Q14" s="8"/>
      <c r="R14" s="8"/>
      <c r="S14" s="8"/>
      <c r="T14" s="8"/>
      <c r="U14" s="8"/>
      <c r="V14" s="8"/>
      <c r="W14" s="8" t="s">
        <v>1626</v>
      </c>
      <c r="X14" s="8">
        <v>70.67</v>
      </c>
      <c r="Y14" s="8">
        <v>1.38</v>
      </c>
      <c r="Z14" s="9">
        <v>1.01</v>
      </c>
      <c r="AA14" s="8">
        <v>888.9</v>
      </c>
      <c r="AB14" s="8">
        <v>2723</v>
      </c>
      <c r="AC14" s="21" t="s">
        <v>1626</v>
      </c>
      <c r="AD14" s="8" t="s">
        <v>4368</v>
      </c>
      <c r="AE14" s="8" t="s">
        <v>3722</v>
      </c>
      <c r="AF14" s="9">
        <f t="shared" si="0"/>
        <v>1226.6819999999998</v>
      </c>
      <c r="AG14" s="9">
        <f t="shared" si="1"/>
        <v>903.71499999999992</v>
      </c>
      <c r="AH14" s="9">
        <f t="shared" si="2"/>
        <v>2.2207454449610387</v>
      </c>
      <c r="AI14" s="9">
        <f t="shared" si="3"/>
        <v>4.9317103313152018</v>
      </c>
      <c r="AJ14" s="9">
        <f t="shared" si="4"/>
        <v>1.5963039640021992</v>
      </c>
      <c r="AK14" s="9">
        <f t="shared" si="5"/>
        <v>2.5481863454891345</v>
      </c>
      <c r="AL14" s="9">
        <f t="shared" si="6"/>
        <v>1.0073081405777111</v>
      </c>
      <c r="AM14" s="9">
        <f t="shared" si="7"/>
        <v>1.0146696900741259</v>
      </c>
      <c r="AN14" s="8" t="s">
        <v>1626</v>
      </c>
    </row>
    <row r="15" spans="8:40" ht="23">
      <c r="M15" s="8" t="s">
        <v>984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984</v>
      </c>
      <c r="X15" s="8">
        <v>52.13</v>
      </c>
      <c r="Y15" s="8">
        <v>2.57</v>
      </c>
      <c r="Z15" s="9">
        <v>2.02</v>
      </c>
      <c r="AA15" s="8">
        <v>610.20000000000005</v>
      </c>
      <c r="AB15" s="8">
        <v>2689</v>
      </c>
      <c r="AC15" s="21" t="s">
        <v>984</v>
      </c>
      <c r="AD15" s="8" t="s">
        <v>4447</v>
      </c>
      <c r="AE15" s="8" t="s">
        <v>3722</v>
      </c>
      <c r="AF15" s="9">
        <f t="shared" si="0"/>
        <v>1568.2139999999999</v>
      </c>
      <c r="AG15" s="9">
        <f t="shared" si="1"/>
        <v>1240.74</v>
      </c>
      <c r="AH15" s="9">
        <f t="shared" si="2"/>
        <v>1.5244671734899609</v>
      </c>
      <c r="AI15" s="9">
        <f t="shared" si="3"/>
        <v>2.3240001630484706</v>
      </c>
      <c r="AJ15" s="9">
        <f t="shared" si="4"/>
        <v>2.0407458694296854</v>
      </c>
      <c r="AK15" s="9">
        <f t="shared" si="5"/>
        <v>4.1646437035943222</v>
      </c>
      <c r="AL15" s="9">
        <f t="shared" si="6"/>
        <v>1.3829664245258619</v>
      </c>
      <c r="AM15" s="9">
        <f t="shared" si="7"/>
        <v>1.9125961313658466</v>
      </c>
      <c r="AN15" s="8" t="s">
        <v>984</v>
      </c>
    </row>
    <row r="16" spans="8:40" ht="23">
      <c r="M16" s="8" t="s">
        <v>4559</v>
      </c>
      <c r="N16" s="8"/>
      <c r="O16" s="8"/>
      <c r="P16" s="8"/>
      <c r="Q16" s="8"/>
      <c r="R16" s="8"/>
      <c r="S16" s="8"/>
      <c r="T16" s="8"/>
      <c r="U16" s="8"/>
      <c r="V16" s="8"/>
      <c r="W16" s="8" t="s">
        <v>4559</v>
      </c>
      <c r="X16" s="8">
        <v>62.76</v>
      </c>
      <c r="Y16" s="8">
        <v>1.32</v>
      </c>
      <c r="Z16" s="9">
        <v>0.2</v>
      </c>
      <c r="AA16" s="8">
        <v>487.6</v>
      </c>
      <c r="AB16" s="8">
        <v>3252</v>
      </c>
      <c r="AC16" s="21" t="s">
        <v>4559</v>
      </c>
      <c r="AD16" s="8" t="s">
        <v>4447</v>
      </c>
      <c r="AE16" s="8" t="s">
        <v>3722</v>
      </c>
      <c r="AF16" s="9">
        <f t="shared" si="0"/>
        <v>643.63200000000006</v>
      </c>
      <c r="AG16" s="9">
        <f t="shared" si="1"/>
        <v>1.6253333333333335</v>
      </c>
      <c r="AH16" s="9">
        <f t="shared" si="2"/>
        <v>1.2181746866497949</v>
      </c>
      <c r="AI16" s="9">
        <f t="shared" si="3"/>
        <v>1.4839495671943259</v>
      </c>
      <c r="AJ16" s="9">
        <f t="shared" si="4"/>
        <v>0.83757022028420058</v>
      </c>
      <c r="AK16" s="9">
        <f t="shared" si="5"/>
        <v>0.70152387390692428</v>
      </c>
      <c r="AL16" s="9">
        <f t="shared" si="6"/>
        <v>1.8116458151286338E-3</v>
      </c>
      <c r="AM16" s="9">
        <f t="shared" si="7"/>
        <v>3.2820605594730921E-6</v>
      </c>
      <c r="AN16" s="8" t="s">
        <v>4559</v>
      </c>
    </row>
    <row r="17" spans="13:40" ht="20.5" customHeight="1">
      <c r="M17" s="8" t="s">
        <v>573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573</v>
      </c>
      <c r="X17" s="8">
        <v>42.19</v>
      </c>
      <c r="Y17" s="8">
        <v>1.65</v>
      </c>
      <c r="Z17" s="9">
        <v>0.49</v>
      </c>
      <c r="AA17" s="8">
        <v>437.8</v>
      </c>
      <c r="AB17" s="8">
        <v>5882</v>
      </c>
      <c r="AC17" s="21" t="s">
        <v>573</v>
      </c>
      <c r="AD17" s="8" t="s">
        <v>4368</v>
      </c>
      <c r="AE17" s="8" t="s">
        <v>3722</v>
      </c>
      <c r="AF17" s="9">
        <f t="shared" si="0"/>
        <v>722.37</v>
      </c>
      <c r="AG17" s="9">
        <f t="shared" si="1"/>
        <v>357.53666666666669</v>
      </c>
      <c r="AH17" s="9">
        <f t="shared" si="2"/>
        <v>1.093758978292207</v>
      </c>
      <c r="AI17" s="9">
        <f t="shared" si="3"/>
        <v>1.1963087025948127</v>
      </c>
      <c r="AJ17" s="9">
        <f t="shared" si="4"/>
        <v>0.94003343529640826</v>
      </c>
      <c r="AK17" s="9">
        <f t="shared" si="5"/>
        <v>0.88366285947516654</v>
      </c>
      <c r="AL17" s="9">
        <f t="shared" si="6"/>
        <v>0.39852120954986137</v>
      </c>
      <c r="AM17" s="9">
        <f t="shared" si="7"/>
        <v>0.15881915446108452</v>
      </c>
      <c r="AN17" s="8" t="s">
        <v>573</v>
      </c>
    </row>
    <row r="18" spans="13:40" ht="22" customHeight="1">
      <c r="M18" s="24" t="s">
        <v>4936</v>
      </c>
      <c r="N18" s="24"/>
      <c r="O18" s="24"/>
      <c r="P18" s="24"/>
      <c r="Q18" s="24"/>
      <c r="R18" s="24"/>
      <c r="S18" s="24"/>
      <c r="T18" s="24"/>
      <c r="U18" s="24"/>
      <c r="V18" s="24"/>
      <c r="W18" s="24" t="s">
        <v>4936</v>
      </c>
      <c r="X18" s="24">
        <v>64.03</v>
      </c>
      <c r="Y18" s="24">
        <v>1.36</v>
      </c>
      <c r="Z18" s="25">
        <v>0.15</v>
      </c>
      <c r="AA18" s="24">
        <v>421</v>
      </c>
      <c r="AB18" s="24">
        <v>3148</v>
      </c>
      <c r="AC18" s="21" t="s">
        <v>4936</v>
      </c>
      <c r="AD18" s="8" t="s">
        <v>4447</v>
      </c>
      <c r="AE18" s="8" t="s">
        <v>3722</v>
      </c>
      <c r="AF18" s="25">
        <f t="shared" si="0"/>
        <v>572.56000000000006</v>
      </c>
      <c r="AG18" s="9">
        <f t="shared" si="1"/>
        <v>105.25</v>
      </c>
      <c r="AH18" s="9">
        <f t="shared" si="2"/>
        <v>1.0517874140269967</v>
      </c>
      <c r="AI18" s="25">
        <f t="shared" si="3"/>
        <v>1.1062567643055969</v>
      </c>
      <c r="AJ18" s="9">
        <f t="shared" si="4"/>
        <v>0.74508291279166028</v>
      </c>
      <c r="AK18" s="25">
        <f t="shared" si="5"/>
        <v>0.55514854693410487</v>
      </c>
      <c r="AL18" s="9">
        <f t="shared" si="6"/>
        <v>0.11731484128934908</v>
      </c>
      <c r="AM18" s="25">
        <f t="shared" si="7"/>
        <v>1.3762771986745163E-2</v>
      </c>
      <c r="AN18" s="24" t="s">
        <v>4936</v>
      </c>
    </row>
    <row r="19" spans="13:40" ht="20.5" customHeight="1">
      <c r="M19" s="8" t="s">
        <v>1462</v>
      </c>
      <c r="N19" s="8" t="s">
        <v>150</v>
      </c>
      <c r="O19" s="8"/>
      <c r="P19" s="8" t="s">
        <v>3691</v>
      </c>
      <c r="Q19" s="8"/>
      <c r="R19" s="8"/>
      <c r="S19" s="8"/>
      <c r="T19" s="8"/>
      <c r="U19" s="8"/>
      <c r="V19" s="8"/>
      <c r="W19" s="8" t="s">
        <v>1462</v>
      </c>
      <c r="X19" s="8">
        <v>46.22</v>
      </c>
      <c r="Y19" s="8">
        <v>1.76</v>
      </c>
      <c r="Z19" s="9">
        <v>3.44</v>
      </c>
      <c r="AA19" s="8">
        <v>316.5</v>
      </c>
      <c r="AB19" s="8">
        <v>6223</v>
      </c>
      <c r="AC19" s="21" t="s">
        <v>1462</v>
      </c>
      <c r="AD19" s="8" t="s">
        <v>4368</v>
      </c>
      <c r="AE19" s="8" t="s">
        <v>3722</v>
      </c>
      <c r="AF19" s="9">
        <f t="shared" si="0"/>
        <v>557.04</v>
      </c>
      <c r="AG19" s="9">
        <f t="shared" si="1"/>
        <v>1181.5999999999999</v>
      </c>
      <c r="AH19" s="9">
        <f t="shared" si="2"/>
        <v>0.79071429106780167</v>
      </c>
      <c r="AI19" s="9">
        <f t="shared" si="3"/>
        <v>0.62522909009885619</v>
      </c>
      <c r="AJ19" s="9">
        <f t="shared" si="4"/>
        <v>0.72488644987681006</v>
      </c>
      <c r="AK19" s="9">
        <f t="shared" si="5"/>
        <v>0.52546036521500505</v>
      </c>
      <c r="AL19" s="9">
        <f t="shared" si="6"/>
        <v>1.3170471873396186</v>
      </c>
      <c r="AM19" s="9">
        <f t="shared" si="7"/>
        <v>1.7346132936792003</v>
      </c>
      <c r="AN19" s="8" t="s">
        <v>1462</v>
      </c>
    </row>
    <row r="20" spans="13:40" ht="23">
      <c r="M20" s="8" t="s">
        <v>1744</v>
      </c>
      <c r="N20" s="8" t="s">
        <v>1717</v>
      </c>
      <c r="O20" s="8"/>
      <c r="P20" s="8"/>
      <c r="Q20" s="8"/>
      <c r="R20" s="8"/>
      <c r="S20" s="8"/>
      <c r="T20" s="8"/>
      <c r="U20" s="8"/>
      <c r="V20" s="8"/>
      <c r="W20" s="8" t="s">
        <v>1744</v>
      </c>
      <c r="X20" s="8">
        <v>44.64</v>
      </c>
      <c r="Y20" s="8">
        <v>1.31</v>
      </c>
      <c r="Z20" s="9">
        <v>0.05</v>
      </c>
      <c r="AA20" s="8">
        <v>297.3</v>
      </c>
      <c r="AB20" s="8">
        <v>12911</v>
      </c>
      <c r="AC20" s="21" t="s">
        <v>1744</v>
      </c>
      <c r="AD20" s="8" t="s">
        <v>4368</v>
      </c>
      <c r="AE20" s="8" t="s">
        <v>3722</v>
      </c>
      <c r="AF20" s="9">
        <f t="shared" si="0"/>
        <v>389.46300000000002</v>
      </c>
      <c r="AG20" s="9">
        <f t="shared" si="1"/>
        <v>24.774999999999999</v>
      </c>
      <c r="AH20" s="9">
        <f t="shared" si="2"/>
        <v>0.74274678905041847</v>
      </c>
      <c r="AI20" s="9">
        <f t="shared" si="3"/>
        <v>0.55167279264470681</v>
      </c>
      <c r="AJ20" s="9">
        <f t="shared" si="4"/>
        <v>0.50681540181741369</v>
      </c>
      <c r="AK20" s="9">
        <f t="shared" si="5"/>
        <v>0.25686185151934648</v>
      </c>
      <c r="AL20" s="9">
        <f t="shared" si="6"/>
        <v>2.7614966203739887E-2</v>
      </c>
      <c r="AM20" s="9">
        <f t="shared" si="7"/>
        <v>7.6258635843369613E-4</v>
      </c>
      <c r="AN20" s="8" t="s">
        <v>1744</v>
      </c>
    </row>
    <row r="21" spans="13:40" ht="19.5" customHeight="1">
      <c r="M21" s="8" t="s">
        <v>1018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1018</v>
      </c>
      <c r="X21" s="8">
        <v>57.34</v>
      </c>
      <c r="Y21" s="8">
        <v>1.1100000000000001</v>
      </c>
      <c r="Z21" s="9">
        <v>0.06</v>
      </c>
      <c r="AA21" s="8">
        <v>221.3</v>
      </c>
      <c r="AB21" s="8">
        <v>9993</v>
      </c>
      <c r="AC21" s="21" t="s">
        <v>1018</v>
      </c>
      <c r="AD21" s="8" t="s">
        <v>4368</v>
      </c>
      <c r="AE21" s="8" t="s">
        <v>3722</v>
      </c>
      <c r="AF21" s="9">
        <f t="shared" si="0"/>
        <v>245.64300000000003</v>
      </c>
      <c r="AG21" s="9">
        <f t="shared" si="1"/>
        <v>22.130000000000003</v>
      </c>
      <c r="AH21" s="9">
        <f t="shared" si="2"/>
        <v>0.5528754268982764</v>
      </c>
      <c r="AI21" s="9">
        <f t="shared" si="3"/>
        <v>0.30567123766795135</v>
      </c>
      <c r="AJ21" s="9">
        <f t="shared" si="4"/>
        <v>0.31965977704848714</v>
      </c>
      <c r="AK21" s="9">
        <f t="shared" si="5"/>
        <v>0.1021823730626885</v>
      </c>
      <c r="AL21" s="9">
        <f t="shared" si="6"/>
        <v>2.4666769004591881E-2</v>
      </c>
      <c r="AM21" s="9">
        <f t="shared" si="7"/>
        <v>6.0844949312589467E-4</v>
      </c>
      <c r="AN21" s="8" t="s">
        <v>1018</v>
      </c>
    </row>
    <row r="22" spans="13:40" ht="20" customHeight="1">
      <c r="M22" s="9" t="s">
        <v>2400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9" t="s">
        <v>2400</v>
      </c>
      <c r="X22" s="8">
        <v>42.74</v>
      </c>
      <c r="Y22" s="8">
        <v>1.04</v>
      </c>
      <c r="Z22" s="9">
        <v>0.01</v>
      </c>
      <c r="AA22" s="8">
        <v>137.80000000000001</v>
      </c>
      <c r="AB22" s="8">
        <v>20993</v>
      </c>
      <c r="AC22" s="22" t="s">
        <v>2400</v>
      </c>
      <c r="AD22" s="8" t="s">
        <v>4368</v>
      </c>
      <c r="AE22" s="8" t="s">
        <v>3722</v>
      </c>
      <c r="AF22" s="9">
        <f t="shared" si="0"/>
        <v>143.31200000000001</v>
      </c>
      <c r="AG22" s="9">
        <f t="shared" si="1"/>
        <v>2.2966666666666669</v>
      </c>
      <c r="AH22" s="9">
        <f t="shared" si="2"/>
        <v>0.34426675927059419</v>
      </c>
      <c r="AI22" s="9">
        <f t="shared" si="3"/>
        <v>0.11851960153867726</v>
      </c>
      <c r="AJ22" s="9">
        <f t="shared" si="4"/>
        <v>0.1864945549776415</v>
      </c>
      <c r="AK22" s="9">
        <f t="shared" si="5"/>
        <v>3.4780219036308548E-2</v>
      </c>
      <c r="AL22" s="9">
        <f t="shared" si="6"/>
        <v>2.559934303986113E-3</v>
      </c>
      <c r="AM22" s="9">
        <f t="shared" si="7"/>
        <v>6.5532636407248652E-6</v>
      </c>
      <c r="AN22" s="9" t="s">
        <v>2400</v>
      </c>
    </row>
    <row r="23" spans="13:40" ht="20.5" customHeight="1">
      <c r="M23" s="9" t="s">
        <v>2819</v>
      </c>
      <c r="N23" s="8" t="s">
        <v>1614</v>
      </c>
      <c r="O23" s="8"/>
      <c r="P23" s="8"/>
      <c r="Q23" s="8"/>
      <c r="R23" s="8"/>
      <c r="S23" s="8"/>
      <c r="T23" s="8"/>
      <c r="U23" s="8"/>
      <c r="V23" s="8"/>
      <c r="W23" s="9" t="s">
        <v>2819</v>
      </c>
      <c r="X23" s="8">
        <v>31.22</v>
      </c>
      <c r="Y23" s="8">
        <v>1.8</v>
      </c>
      <c r="Z23" s="9">
        <v>0.22</v>
      </c>
      <c r="AA23" s="8">
        <v>92.2</v>
      </c>
      <c r="AB23" s="8">
        <v>15799</v>
      </c>
      <c r="AC23" s="22" t="s">
        <v>2819</v>
      </c>
      <c r="AD23" s="8" t="s">
        <v>4368</v>
      </c>
      <c r="AE23" s="8" t="s">
        <v>3722</v>
      </c>
      <c r="AF23" s="9">
        <f t="shared" si="0"/>
        <v>165.96</v>
      </c>
      <c r="AG23" s="9">
        <f t="shared" si="1"/>
        <v>33.806666666666665</v>
      </c>
      <c r="AH23" s="9">
        <f t="shared" si="2"/>
        <v>0.23034394197930905</v>
      </c>
      <c r="AI23" s="9">
        <f t="shared" si="3"/>
        <v>5.305833160656729E-2</v>
      </c>
      <c r="AJ23" s="9">
        <f t="shared" si="4"/>
        <v>0.21596681606627066</v>
      </c>
      <c r="AK23" s="9">
        <f t="shared" si="5"/>
        <v>4.6641665641802381E-2</v>
      </c>
      <c r="AL23" s="9">
        <f t="shared" si="6"/>
        <v>3.7681935719923301E-2</v>
      </c>
      <c r="AM23" s="9">
        <f t="shared" si="7"/>
        <v>1.4199282796004316E-3</v>
      </c>
      <c r="AN23" s="9" t="s">
        <v>2819</v>
      </c>
    </row>
    <row r="24" spans="13:40" ht="23" customHeight="1">
      <c r="M24" s="9" t="s">
        <v>3206</v>
      </c>
      <c r="N24" s="8" t="s">
        <v>1902</v>
      </c>
      <c r="O24" s="8"/>
      <c r="P24" s="8"/>
      <c r="Q24" s="8"/>
      <c r="R24" s="8"/>
      <c r="S24" s="8"/>
      <c r="T24" s="8"/>
      <c r="U24" s="8"/>
      <c r="V24" s="8"/>
      <c r="W24" s="9" t="s">
        <v>3206</v>
      </c>
      <c r="X24" s="8">
        <v>34.36</v>
      </c>
      <c r="Y24" s="8">
        <v>1.0900000000000001</v>
      </c>
      <c r="Z24" s="9">
        <v>0.04</v>
      </c>
      <c r="AA24" s="8">
        <v>42.1</v>
      </c>
      <c r="AB24" s="8">
        <v>23922</v>
      </c>
      <c r="AC24" s="22" t="s">
        <v>3206</v>
      </c>
      <c r="AD24" s="8" t="s">
        <v>4368</v>
      </c>
      <c r="AE24" s="8" t="s">
        <v>3722</v>
      </c>
      <c r="AF24" s="9">
        <f t="shared" si="0"/>
        <v>45.889000000000003</v>
      </c>
      <c r="AG24" s="9">
        <f t="shared" si="1"/>
        <v>2.8066666666666666</v>
      </c>
      <c r="AH24" s="9">
        <f t="shared" si="2"/>
        <v>0.10517874140269967</v>
      </c>
      <c r="AI24" s="9">
        <f t="shared" si="3"/>
        <v>1.106256764305597E-2</v>
      </c>
      <c r="AJ24" s="9">
        <f t="shared" si="4"/>
        <v>5.9716204039919826E-2</v>
      </c>
      <c r="AK24" s="9">
        <f t="shared" si="5"/>
        <v>3.5660250249373369E-3</v>
      </c>
      <c r="AL24" s="9">
        <f t="shared" si="6"/>
        <v>3.1283957677159754E-3</v>
      </c>
      <c r="AM24" s="9">
        <f t="shared" si="7"/>
        <v>9.7868600794632271E-6</v>
      </c>
      <c r="AN24" s="9" t="s">
        <v>3206</v>
      </c>
    </row>
    <row r="25" spans="13:40" ht="23.5" customHeight="1">
      <c r="M25" s="8" t="s">
        <v>3862</v>
      </c>
      <c r="N25" s="8"/>
      <c r="O25" s="8"/>
      <c r="P25" s="8"/>
      <c r="Q25" s="8"/>
      <c r="R25" s="8"/>
      <c r="S25" s="8"/>
      <c r="T25" s="8"/>
      <c r="U25" s="8"/>
      <c r="V25" s="8"/>
      <c r="W25" s="8" t="s">
        <v>3862</v>
      </c>
      <c r="X25" s="8">
        <v>29.56</v>
      </c>
      <c r="Y25" s="8">
        <v>1.04</v>
      </c>
      <c r="Z25" s="9">
        <v>0.02</v>
      </c>
      <c r="AA25" s="8">
        <v>41.1</v>
      </c>
      <c r="AB25" s="8">
        <v>35836</v>
      </c>
      <c r="AC25" s="21" t="s">
        <v>3862</v>
      </c>
      <c r="AD25" s="8" t="s">
        <v>4368</v>
      </c>
      <c r="AE25" s="8" t="s">
        <v>3722</v>
      </c>
      <c r="AF25" s="9">
        <f t="shared" si="0"/>
        <v>42.744</v>
      </c>
      <c r="AG25" s="9">
        <f t="shared" si="1"/>
        <v>1.37</v>
      </c>
      <c r="AH25" s="9">
        <f t="shared" si="2"/>
        <v>0.10268043400596097</v>
      </c>
      <c r="AI25" s="9">
        <f t="shared" si="3"/>
        <v>1.0543271527652505E-2</v>
      </c>
      <c r="AJ25" s="9">
        <f t="shared" si="4"/>
        <v>5.562355739899176E-2</v>
      </c>
      <c r="AK25" s="9">
        <f t="shared" si="5"/>
        <v>3.093980137718931E-3</v>
      </c>
      <c r="AL25" s="9">
        <f t="shared" si="6"/>
        <v>1.5270435398233562E-3</v>
      </c>
      <c r="AM25" s="9">
        <f t="shared" si="7"/>
        <v>2.331861972516246E-6</v>
      </c>
      <c r="AN25" s="8" t="s">
        <v>3862</v>
      </c>
    </row>
    <row r="26" spans="13:40" ht="23.5" customHeight="1">
      <c r="M26" s="8" t="s">
        <v>273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8" t="s">
        <v>273</v>
      </c>
      <c r="X26" s="8">
        <v>31.16</v>
      </c>
      <c r="Y26" s="8">
        <v>1.1599999999999999</v>
      </c>
      <c r="Z26" s="9">
        <v>0.06</v>
      </c>
      <c r="AA26" s="8">
        <v>39.799999999999997</v>
      </c>
      <c r="AB26" s="8">
        <v>22509</v>
      </c>
      <c r="AC26" s="21" t="s">
        <v>273</v>
      </c>
      <c r="AD26" s="8" t="s">
        <v>4447</v>
      </c>
      <c r="AE26" s="8" t="s">
        <v>3722</v>
      </c>
      <c r="AF26" s="9">
        <f t="shared" si="0"/>
        <v>46.167999999999992</v>
      </c>
      <c r="AG26" s="9">
        <f t="shared" si="1"/>
        <v>3.98</v>
      </c>
      <c r="AH26" s="9">
        <f t="shared" si="2"/>
        <v>9.9432634390200628E-2</v>
      </c>
      <c r="AI26" s="9">
        <f t="shared" si="3"/>
        <v>9.8868487817753078E-3</v>
      </c>
      <c r="AJ26" s="9">
        <f t="shared" si="4"/>
        <v>6.0079271897731872E-2</v>
      </c>
      <c r="AK26" s="9">
        <f t="shared" si="5"/>
        <v>3.6095189117615945E-3</v>
      </c>
      <c r="AL26" s="9">
        <f t="shared" si="6"/>
        <v>4.4362286777350057E-3</v>
      </c>
      <c r="AM26" s="9">
        <f t="shared" si="7"/>
        <v>1.9680124881158475E-5</v>
      </c>
      <c r="AN26" s="8" t="s">
        <v>273</v>
      </c>
    </row>
    <row r="27" spans="13:40" ht="18.5" customHeight="1">
      <c r="M27" s="8" t="s">
        <v>791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791</v>
      </c>
      <c r="X27" s="8">
        <v>5.65</v>
      </c>
      <c r="Y27" s="8">
        <v>4.1399999999999997</v>
      </c>
      <c r="Z27" s="9">
        <v>4.42</v>
      </c>
      <c r="AA27" s="8">
        <v>11.6</v>
      </c>
      <c r="AB27" s="8">
        <v>14707</v>
      </c>
      <c r="AC27" s="21" t="s">
        <v>791</v>
      </c>
      <c r="AD27" s="8" t="s">
        <v>4368</v>
      </c>
      <c r="AE27" s="8" t="s">
        <v>3722</v>
      </c>
      <c r="AF27" s="9">
        <f t="shared" si="0"/>
        <v>48.023999999999994</v>
      </c>
      <c r="AG27" s="9">
        <f t="shared" si="1"/>
        <v>54.52</v>
      </c>
      <c r="AH27" s="9">
        <f t="shared" si="2"/>
        <v>2.898036580216903E-2</v>
      </c>
      <c r="AI27" s="9">
        <f t="shared" si="3"/>
        <v>8.3986160202752821E-4</v>
      </c>
      <c r="AJ27" s="9">
        <f t="shared" si="4"/>
        <v>6.2494519009198481E-2</v>
      </c>
      <c r="AK27" s="9">
        <f t="shared" si="5"/>
        <v>3.9055649061910704E-3</v>
      </c>
      <c r="AL27" s="9">
        <f t="shared" si="6"/>
        <v>6.0769645103043342E-2</v>
      </c>
      <c r="AM27" s="9">
        <f t="shared" si="7"/>
        <v>3.6929497659498396E-3</v>
      </c>
      <c r="AN27" s="8" t="s">
        <v>791</v>
      </c>
    </row>
    <row r="28" spans="13:40" ht="21" customHeight="1">
      <c r="M28" s="9" t="s">
        <v>3367</v>
      </c>
      <c r="N28" s="8" t="s">
        <v>1964</v>
      </c>
      <c r="O28" s="8"/>
      <c r="P28" s="8"/>
      <c r="Q28" s="8"/>
      <c r="R28" s="8"/>
      <c r="S28" s="8"/>
      <c r="T28" s="8"/>
      <c r="U28" s="8"/>
      <c r="V28" s="8"/>
      <c r="W28" s="9" t="s">
        <v>3367</v>
      </c>
      <c r="X28" s="8">
        <v>4.79</v>
      </c>
      <c r="Y28" s="8">
        <v>2.02</v>
      </c>
      <c r="Z28" s="9">
        <v>1.58</v>
      </c>
      <c r="AA28" s="8">
        <v>10.9</v>
      </c>
      <c r="AB28" s="8">
        <v>64123</v>
      </c>
      <c r="AC28" s="22" t="s">
        <v>3367</v>
      </c>
      <c r="AD28" s="8" t="s">
        <v>4368</v>
      </c>
      <c r="AE28" s="8" t="s">
        <v>3722</v>
      </c>
      <c r="AF28" s="9">
        <f t="shared" si="0"/>
        <v>22.018000000000001</v>
      </c>
      <c r="AG28" s="9">
        <f t="shared" si="1"/>
        <v>21.436666666666667</v>
      </c>
      <c r="AH28" s="9">
        <f t="shared" si="2"/>
        <v>2.7231550624451935E-2</v>
      </c>
      <c r="AI28" s="9">
        <f t="shared" si="3"/>
        <v>7.4155734941208857E-4</v>
      </c>
      <c r="AJ28" s="9">
        <f t="shared" si="4"/>
        <v>2.865243044195678E-2</v>
      </c>
      <c r="AK28" s="9">
        <f t="shared" si="5"/>
        <v>8.2096177023117164E-4</v>
      </c>
      <c r="AL28" s="9">
        <f t="shared" si="6"/>
        <v>2.3893958648671543E-2</v>
      </c>
      <c r="AM28" s="9">
        <f t="shared" si="7"/>
        <v>5.7092125990442562E-4</v>
      </c>
      <c r="AN28" s="9" t="s">
        <v>3367</v>
      </c>
    </row>
    <row r="29" spans="13:40" ht="23">
      <c r="M29" s="8" t="s">
        <v>1288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1288</v>
      </c>
      <c r="X29" s="8">
        <v>20.59</v>
      </c>
      <c r="Y29" s="8">
        <v>1.53</v>
      </c>
      <c r="Z29" s="9">
        <v>0.25</v>
      </c>
      <c r="AA29" s="8">
        <v>1.6</v>
      </c>
      <c r="AB29" s="8">
        <v>93321</v>
      </c>
      <c r="AC29" s="21" t="s">
        <v>1288</v>
      </c>
      <c r="AD29" s="8" t="s">
        <v>4447</v>
      </c>
      <c r="AE29" s="8" t="s">
        <v>3722</v>
      </c>
      <c r="AF29" s="9">
        <f t="shared" si="0"/>
        <v>2.4480000000000004</v>
      </c>
      <c r="AG29" s="9">
        <f t="shared" si="1"/>
        <v>0.66666666666666674</v>
      </c>
      <c r="AH29" s="9">
        <f t="shared" si="2"/>
        <v>3.9972918347819355E-3</v>
      </c>
      <c r="AI29" s="9">
        <f t="shared" si="3"/>
        <v>1.5978342012414332E-5</v>
      </c>
      <c r="AJ29" s="9">
        <f t="shared" si="4"/>
        <v>3.1856276556413024E-3</v>
      </c>
      <c r="AK29" s="9">
        <f t="shared" si="5"/>
        <v>1.01482235603867E-5</v>
      </c>
      <c r="AL29" s="9">
        <f t="shared" si="6"/>
        <v>7.4308688069263081E-4</v>
      </c>
      <c r="AM29" s="9">
        <f t="shared" si="7"/>
        <v>5.5217811225750415E-7</v>
      </c>
      <c r="AN29" s="8" t="s">
        <v>1288</v>
      </c>
    </row>
    <row r="30" spans="13:40" ht="23">
      <c r="M30" s="9" t="s">
        <v>2543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9" t="s">
        <v>2543</v>
      </c>
      <c r="X30" s="8">
        <v>37.799999999999997</v>
      </c>
      <c r="Y30" s="8">
        <v>2.79</v>
      </c>
      <c r="Z30" s="9">
        <v>1.05</v>
      </c>
      <c r="AA30" s="8">
        <v>1.2</v>
      </c>
      <c r="AB30" s="8">
        <v>61073</v>
      </c>
      <c r="AC30" s="22" t="s">
        <v>2543</v>
      </c>
      <c r="AD30" s="8" t="s">
        <v>4447</v>
      </c>
      <c r="AE30" s="8" t="s">
        <v>3722</v>
      </c>
      <c r="AF30" s="9">
        <f t="shared" si="0"/>
        <v>3.3479999999999999</v>
      </c>
      <c r="AG30" s="9">
        <f t="shared" si="1"/>
        <v>1.2999999999999998</v>
      </c>
      <c r="AH30" s="9">
        <f t="shared" si="2"/>
        <v>2.9979688760864514E-3</v>
      </c>
      <c r="AI30" s="9">
        <f t="shared" si="3"/>
        <v>8.9878173819830605E-6</v>
      </c>
      <c r="AJ30" s="9">
        <f t="shared" si="4"/>
        <v>4.3568142937447226E-3</v>
      </c>
      <c r="AK30" s="9">
        <f t="shared" si="5"/>
        <v>1.8981830790178328E-5</v>
      </c>
      <c r="AL30" s="9">
        <f t="shared" si="6"/>
        <v>1.4490194173506297E-3</v>
      </c>
      <c r="AM30" s="9">
        <f t="shared" si="7"/>
        <v>2.0996572718591583E-6</v>
      </c>
      <c r="AN30" s="9" t="s">
        <v>2543</v>
      </c>
    </row>
    <row r="31" spans="13:40" ht="23">
      <c r="M31" s="9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9"/>
      <c r="AA31" s="8">
        <f>SUBTOTAL(109,Table13682[ترافیک کل])</f>
        <v>40027.1</v>
      </c>
      <c r="AB31" s="8"/>
      <c r="AC31" s="21"/>
      <c r="AD31" s="8"/>
      <c r="AE31" s="8"/>
      <c r="AF31" s="9">
        <f>SUBTOTAL(109,Table13682[[مجموع صفحات  مشاهده شده   ]])</f>
        <v>76845.138999999996</v>
      </c>
      <c r="AG31" s="9">
        <f>SUBTOTAL(109,Table13682[[مجموع زمان حضور در سایت ]])</f>
        <v>89715.843999999997</v>
      </c>
      <c r="AH31" s="9">
        <f>SUBTOTAL(109,Table13682[سهم سایت از کل ترافیک طبقه بندی])</f>
        <v>99.999999999999986</v>
      </c>
      <c r="AI31" s="9">
        <f>SUBTOTAL(109,Table13682[شاخص هرفیندال هیرشمن (ترافیک)])</f>
        <v>1085.7656192751763</v>
      </c>
      <c r="AJ31" s="9">
        <f>SUBTOTAL(109,Table13682[سهم سایت از کل صفحات مشاهده شده در طبقه بندی])</f>
        <v>100</v>
      </c>
      <c r="AK31" s="9">
        <f>SUBTOTAL(109,Table13682[شاخص هرفیندال -هیرشمن (صفحات مشاهده شده )])</f>
        <v>1646.0822871367309</v>
      </c>
      <c r="AL31" s="9">
        <f>SUBTOTAL(109,Table13682[سهم سایت از کل زمان حضور در طبقه بندی])</f>
        <v>99.999999999999986</v>
      </c>
      <c r="AM31" s="9">
        <f>SUBTOTAL(109,Table13682[شاخص هرفیندال هیرشمن (زمان حضور)])</f>
        <v>3077.7240285087501</v>
      </c>
      <c r="AN31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{9581A523-8869-4FD2-8C7D-E3AA85BAC47F}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{67A2CED8-9EC7-42C4-9A58-F019F4AEBF95}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{186DD425-3614-4CC7-9C45-288DE92D20ED}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{334A541A-9664-4EB3-BBD3-5378F0042F4F}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{1C8E1BCF-8874-4C30-B1C0-F8EC4ACD640B}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{03BF4E9F-7A47-43F7-A227-EA67261ED593}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581A523-8869-4FD2-8C7D-E3AA85BAC47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7A2CED8-9EC7-42C4-9A58-F019F4AEBF9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86DD425-3614-4CC7-9C45-288DE92D20E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34A541A-9664-4EB3-BBD3-5378F0042F4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C8E1BCF-8874-4C30-B1C0-F8EC4ACD640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03BF4E9F-7A47-43F7-A227-EA67261ED59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7"/>
  <sheetViews>
    <sheetView showGridLines="0" rightToLeft="1" topLeftCell="Q1" zoomScale="70" zoomScaleNormal="70" workbookViewId="0">
      <selection activeCell="AA1" sqref="AA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7.6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4279</v>
      </c>
      <c r="N2" s="8"/>
      <c r="O2" s="8"/>
      <c r="P2" s="8"/>
      <c r="Q2" s="8"/>
      <c r="R2" s="8"/>
      <c r="S2" s="8"/>
      <c r="T2" s="8"/>
      <c r="U2" s="8"/>
      <c r="V2" s="8"/>
      <c r="W2" s="9" t="s">
        <v>4279</v>
      </c>
      <c r="X2" s="8">
        <v>62.27</v>
      </c>
      <c r="Y2" s="8">
        <v>2.04</v>
      </c>
      <c r="Z2" s="9">
        <v>2.58</v>
      </c>
      <c r="AA2" s="8">
        <v>47063.6</v>
      </c>
      <c r="AB2" s="8">
        <v>14</v>
      </c>
      <c r="AC2" s="22" t="s">
        <v>4279</v>
      </c>
      <c r="AD2" s="8" t="s">
        <v>4157</v>
      </c>
      <c r="AE2" s="8" t="s">
        <v>3722</v>
      </c>
      <c r="AF2" s="9">
        <f t="shared" ref="AF2:AF26" si="0">(AA2*Y2)</f>
        <v>96009.743999999992</v>
      </c>
      <c r="AG2" s="9">
        <f t="shared" ref="AG2:AG26" si="1">((((RIGHT(Z2,2))/60)+(LEFT(Z2,2)))*AA2)</f>
        <v>139622.01333333334</v>
      </c>
      <c r="AH2" s="9">
        <f t="shared" ref="AH2:AH26" si="2">(AA2/$AA$27)*100</f>
        <v>34.666611667891864</v>
      </c>
      <c r="AI2" s="9">
        <f t="shared" ref="AI2:AI26" si="3">(AH2*AH2)</f>
        <v>1201.7739645324164</v>
      </c>
      <c r="AJ2" s="9">
        <f t="shared" ref="AJ2:AJ26" si="4">(AF2/$AF$27)*100</f>
        <v>34.33033907448668</v>
      </c>
      <c r="AK2" s="9">
        <f t="shared" ref="AK2:AK26" si="5">(AJ2*AJ2)</f>
        <v>1178.572180969227</v>
      </c>
      <c r="AL2" s="9">
        <f t="shared" ref="AL2:AL26" si="6">(AG2/$AG$27)*100</f>
        <v>47.204479062787129</v>
      </c>
      <c r="AM2" s="9">
        <f t="shared" ref="AM2:AM26" si="7">(AL2*AL2)</f>
        <v>2228.2628435891083</v>
      </c>
      <c r="AN2" s="9" t="s">
        <v>4279</v>
      </c>
    </row>
    <row r="3" spans="8:40" ht="23">
      <c r="M3" s="8" t="s">
        <v>4280</v>
      </c>
      <c r="N3" s="8"/>
      <c r="O3" s="8"/>
      <c r="P3" s="8"/>
      <c r="Q3" s="8"/>
      <c r="R3" s="8"/>
      <c r="S3" s="8"/>
      <c r="T3" s="8"/>
      <c r="U3" s="8"/>
      <c r="V3" s="8"/>
      <c r="W3" s="8" t="s">
        <v>4280</v>
      </c>
      <c r="X3" s="8">
        <v>64.3</v>
      </c>
      <c r="Y3" s="8">
        <v>2.06</v>
      </c>
      <c r="Z3" s="9">
        <v>2.3199999999999998</v>
      </c>
      <c r="AA3" s="8">
        <v>17788.3</v>
      </c>
      <c r="AB3" s="8">
        <v>40</v>
      </c>
      <c r="AC3" s="21" t="s">
        <v>4280</v>
      </c>
      <c r="AD3" s="8" t="s">
        <v>4157</v>
      </c>
      <c r="AE3" s="8" t="s">
        <v>3722</v>
      </c>
      <c r="AF3" s="9">
        <f t="shared" si="0"/>
        <v>36643.898000000001</v>
      </c>
      <c r="AG3" s="9">
        <f t="shared" si="1"/>
        <v>45063.693333333329</v>
      </c>
      <c r="AH3" s="9">
        <f t="shared" si="2"/>
        <v>13.102696953313409</v>
      </c>
      <c r="AI3" s="9">
        <f t="shared" si="3"/>
        <v>171.68066745036847</v>
      </c>
      <c r="AJ3" s="9">
        <f t="shared" si="4"/>
        <v>13.102810099680138</v>
      </c>
      <c r="AK3" s="9">
        <f t="shared" si="5"/>
        <v>171.68363250827983</v>
      </c>
      <c r="AL3" s="9">
        <f t="shared" si="6"/>
        <v>15.235478401007585</v>
      </c>
      <c r="AM3" s="9">
        <f t="shared" si="7"/>
        <v>232.11980210756863</v>
      </c>
      <c r="AN3" s="8" t="s">
        <v>4280</v>
      </c>
    </row>
    <row r="4" spans="8:40" ht="23">
      <c r="M4" s="8" t="s">
        <v>4281</v>
      </c>
      <c r="N4" s="8"/>
      <c r="O4" s="8"/>
      <c r="P4" s="8"/>
      <c r="Q4" s="8"/>
      <c r="R4" s="8"/>
      <c r="S4" s="8"/>
      <c r="T4" s="8"/>
      <c r="U4" s="8"/>
      <c r="V4" s="8"/>
      <c r="W4" s="8" t="s">
        <v>4281</v>
      </c>
      <c r="X4" s="8">
        <v>68.45</v>
      </c>
      <c r="Y4" s="8">
        <v>2.2599999999999998</v>
      </c>
      <c r="Z4" s="9">
        <v>2.16</v>
      </c>
      <c r="AA4" s="8">
        <v>17699.400000000001</v>
      </c>
      <c r="AB4" s="8">
        <v>52</v>
      </c>
      <c r="AC4" s="21" t="s">
        <v>4281</v>
      </c>
      <c r="AD4" s="8" t="s">
        <v>4157</v>
      </c>
      <c r="AE4" s="8" t="s">
        <v>3722</v>
      </c>
      <c r="AF4" s="9">
        <f t="shared" si="0"/>
        <v>40000.644</v>
      </c>
      <c r="AG4" s="9">
        <f t="shared" si="1"/>
        <v>40118.639999999999</v>
      </c>
      <c r="AH4" s="9">
        <f t="shared" si="2"/>
        <v>13.037214037062302</v>
      </c>
      <c r="AI4" s="9">
        <f t="shared" si="3"/>
        <v>169.96894984817433</v>
      </c>
      <c r="AJ4" s="9">
        <f t="shared" si="4"/>
        <v>14.303086483782639</v>
      </c>
      <c r="AK4" s="9">
        <f t="shared" si="5"/>
        <v>204.57828296256562</v>
      </c>
      <c r="AL4" s="9">
        <f t="shared" si="6"/>
        <v>13.563616916096811</v>
      </c>
      <c r="AM4" s="9">
        <f t="shared" si="7"/>
        <v>183.97170384662755</v>
      </c>
      <c r="AN4" s="8" t="s">
        <v>4281</v>
      </c>
    </row>
    <row r="5" spans="8:40" ht="23">
      <c r="M5" s="8" t="s">
        <v>4284</v>
      </c>
      <c r="N5" s="8"/>
      <c r="O5" s="8"/>
      <c r="P5" s="8"/>
      <c r="Q5" s="8"/>
      <c r="R5" s="8"/>
      <c r="S5" s="8"/>
      <c r="T5" s="8"/>
      <c r="U5" s="8"/>
      <c r="V5" s="8"/>
      <c r="W5" s="8" t="s">
        <v>4284</v>
      </c>
      <c r="X5" s="8">
        <v>72.27</v>
      </c>
      <c r="Y5" s="8">
        <v>1.65</v>
      </c>
      <c r="Z5" s="9">
        <v>1.25</v>
      </c>
      <c r="AA5" s="8">
        <v>13756.7</v>
      </c>
      <c r="AB5" s="8">
        <v>86</v>
      </c>
      <c r="AC5" s="21" t="s">
        <v>4284</v>
      </c>
      <c r="AD5" s="8" t="s">
        <v>4157</v>
      </c>
      <c r="AE5" s="8" t="s">
        <v>3722</v>
      </c>
      <c r="AF5" s="9">
        <f t="shared" si="0"/>
        <v>22698.555</v>
      </c>
      <c r="AG5" s="9">
        <f t="shared" si="1"/>
        <v>19488.658333333336</v>
      </c>
      <c r="AH5" s="9">
        <f t="shared" si="2"/>
        <v>10.133057750186728</v>
      </c>
      <c r="AI5" s="9">
        <f t="shared" si="3"/>
        <v>102.67885936861931</v>
      </c>
      <c r="AJ5" s="9">
        <f t="shared" si="4"/>
        <v>8.1163542072446848</v>
      </c>
      <c r="AK5" s="9">
        <f t="shared" si="5"/>
        <v>65.875205617458491</v>
      </c>
      <c r="AL5" s="9">
        <f t="shared" si="6"/>
        <v>6.5888747934135132</v>
      </c>
      <c r="AM5" s="9">
        <f t="shared" si="7"/>
        <v>43.41327104327997</v>
      </c>
      <c r="AN5" s="8" t="s">
        <v>4284</v>
      </c>
    </row>
    <row r="6" spans="8:40" ht="23">
      <c r="M6" s="9" t="s">
        <v>4282</v>
      </c>
      <c r="N6" s="8"/>
      <c r="O6" s="8"/>
      <c r="P6" s="8"/>
      <c r="Q6" s="8"/>
      <c r="R6" s="8"/>
      <c r="S6" s="8"/>
      <c r="T6" s="8"/>
      <c r="U6" s="8"/>
      <c r="V6" s="8"/>
      <c r="W6" s="9" t="s">
        <v>4282</v>
      </c>
      <c r="X6" s="8">
        <v>53.94</v>
      </c>
      <c r="Y6" s="8">
        <v>2.34</v>
      </c>
      <c r="Z6" s="9">
        <v>1.4</v>
      </c>
      <c r="AA6" s="8">
        <v>12671.7</v>
      </c>
      <c r="AB6" s="8">
        <v>89</v>
      </c>
      <c r="AC6" s="22" t="s">
        <v>4282</v>
      </c>
      <c r="AD6" s="8" t="s">
        <v>4157</v>
      </c>
      <c r="AE6" s="8" t="s">
        <v>3722</v>
      </c>
      <c r="AF6" s="9">
        <f t="shared" si="0"/>
        <v>29651.777999999998</v>
      </c>
      <c r="AG6" s="9">
        <f t="shared" si="1"/>
        <v>12756.178</v>
      </c>
      <c r="AH6" s="9">
        <f t="shared" si="2"/>
        <v>9.3338568038149514</v>
      </c>
      <c r="AI6" s="9">
        <f t="shared" si="3"/>
        <v>87.120882834122654</v>
      </c>
      <c r="AJ6" s="9">
        <f t="shared" si="4"/>
        <v>10.602627925988477</v>
      </c>
      <c r="AK6" s="9">
        <f t="shared" si="5"/>
        <v>112.41571893695071</v>
      </c>
      <c r="AL6" s="9">
        <f t="shared" si="6"/>
        <v>4.3127063057357367</v>
      </c>
      <c r="AM6" s="9">
        <f t="shared" si="7"/>
        <v>18.599435679532785</v>
      </c>
      <c r="AN6" s="9" t="s">
        <v>4282</v>
      </c>
    </row>
    <row r="7" spans="8:40" ht="23">
      <c r="M7" s="9" t="s">
        <v>4283</v>
      </c>
      <c r="N7" s="8"/>
      <c r="O7" s="8"/>
      <c r="P7" s="8"/>
      <c r="Q7" s="8"/>
      <c r="R7" s="8"/>
      <c r="S7" s="8"/>
      <c r="T7" s="8"/>
      <c r="U7" s="8"/>
      <c r="V7" s="8"/>
      <c r="W7" s="9" t="s">
        <v>4283</v>
      </c>
      <c r="X7" s="8">
        <v>65.52</v>
      </c>
      <c r="Y7" s="8">
        <v>1.81</v>
      </c>
      <c r="Z7" s="9">
        <v>1.4</v>
      </c>
      <c r="AA7" s="8">
        <v>10795</v>
      </c>
      <c r="AB7" s="8">
        <v>139</v>
      </c>
      <c r="AC7" s="22" t="s">
        <v>4283</v>
      </c>
      <c r="AD7" s="8" t="s">
        <v>4157</v>
      </c>
      <c r="AE7" s="8" t="s">
        <v>3722</v>
      </c>
      <c r="AF7" s="9">
        <f t="shared" si="0"/>
        <v>19538.95</v>
      </c>
      <c r="AG7" s="9">
        <f t="shared" si="1"/>
        <v>10866.966666666665</v>
      </c>
      <c r="AH7" s="9">
        <f t="shared" si="2"/>
        <v>7.9514969733486751</v>
      </c>
      <c r="AI7" s="9">
        <f t="shared" si="3"/>
        <v>63.226304117173143</v>
      </c>
      <c r="AJ7" s="9">
        <f t="shared" si="4"/>
        <v>6.9865698075337201</v>
      </c>
      <c r="AK7" s="9">
        <f t="shared" si="5"/>
        <v>48.812157675541762</v>
      </c>
      <c r="AL7" s="9">
        <f t="shared" si="6"/>
        <v>3.6739872764046875</v>
      </c>
      <c r="AM7" s="9">
        <f t="shared" si="7"/>
        <v>13.498182507183534</v>
      </c>
      <c r="AN7" s="9" t="s">
        <v>4283</v>
      </c>
    </row>
    <row r="8" spans="8:40" ht="23">
      <c r="M8" s="8" t="s">
        <v>1691</v>
      </c>
      <c r="N8" s="8" t="s">
        <v>1614</v>
      </c>
      <c r="O8" s="8"/>
      <c r="P8" s="8"/>
      <c r="Q8" s="8"/>
      <c r="R8" s="8"/>
      <c r="S8" s="8"/>
      <c r="T8" s="8"/>
      <c r="U8" s="8"/>
      <c r="V8" s="8"/>
      <c r="W8" s="8" t="s">
        <v>1691</v>
      </c>
      <c r="X8" s="8">
        <v>61.33</v>
      </c>
      <c r="Y8" s="8">
        <v>2.5</v>
      </c>
      <c r="Z8" s="9">
        <v>1.48</v>
      </c>
      <c r="AA8" s="8">
        <v>4910.2</v>
      </c>
      <c r="AB8" s="8">
        <v>313</v>
      </c>
      <c r="AC8" s="21" t="s">
        <v>1691</v>
      </c>
      <c r="AD8" s="8" t="s">
        <v>4157</v>
      </c>
      <c r="AE8" s="8" t="s">
        <v>3722</v>
      </c>
      <c r="AF8" s="9">
        <f t="shared" si="0"/>
        <v>12275.5</v>
      </c>
      <c r="AG8" s="9">
        <f t="shared" si="1"/>
        <v>8838.36</v>
      </c>
      <c r="AH8" s="9">
        <f t="shared" si="2"/>
        <v>3.6168078220043225</v>
      </c>
      <c r="AI8" s="9">
        <f t="shared" si="3"/>
        <v>13.08129882131165</v>
      </c>
      <c r="AJ8" s="9">
        <f t="shared" si="4"/>
        <v>4.3893677844705152</v>
      </c>
      <c r="AK8" s="9">
        <f t="shared" si="5"/>
        <v>19.266549547347598</v>
      </c>
      <c r="AL8" s="9">
        <f t="shared" si="6"/>
        <v>2.9881404057204684</v>
      </c>
      <c r="AM8" s="9">
        <f t="shared" si="7"/>
        <v>8.9289830842992846</v>
      </c>
      <c r="AN8" s="8" t="s">
        <v>1691</v>
      </c>
    </row>
    <row r="9" spans="8:40" ht="23">
      <c r="M9" s="8" t="s">
        <v>4285</v>
      </c>
      <c r="N9" s="8"/>
      <c r="O9" s="8"/>
      <c r="P9" s="8"/>
      <c r="Q9" s="8"/>
      <c r="R9" s="8"/>
      <c r="S9" s="8"/>
      <c r="T9" s="8"/>
      <c r="U9" s="8"/>
      <c r="V9" s="8"/>
      <c r="W9" s="8" t="s">
        <v>4285</v>
      </c>
      <c r="X9" s="8">
        <v>74.930000000000007</v>
      </c>
      <c r="Y9" s="8">
        <v>1.47</v>
      </c>
      <c r="Z9" s="9">
        <v>0.38</v>
      </c>
      <c r="AA9" s="8">
        <v>2814.1</v>
      </c>
      <c r="AB9" s="8">
        <v>438</v>
      </c>
      <c r="AC9" s="21" t="s">
        <v>4285</v>
      </c>
      <c r="AD9" s="8" t="s">
        <v>4157</v>
      </c>
      <c r="AE9" s="8" t="s">
        <v>3722</v>
      </c>
      <c r="AF9" s="9">
        <f t="shared" si="0"/>
        <v>4136.7269999999999</v>
      </c>
      <c r="AG9" s="9">
        <f t="shared" si="1"/>
        <v>1782.2633333333331</v>
      </c>
      <c r="AH9" s="9">
        <f t="shared" si="2"/>
        <v>2.072839984502131</v>
      </c>
      <c r="AI9" s="9">
        <f t="shared" si="3"/>
        <v>4.2966656013507949</v>
      </c>
      <c r="AJ9" s="9">
        <f t="shared" si="4"/>
        <v>1.4791752862978582</v>
      </c>
      <c r="AK9" s="9">
        <f t="shared" si="5"/>
        <v>2.1879595275943506</v>
      </c>
      <c r="AL9" s="9">
        <f t="shared" si="6"/>
        <v>0.60256123081288604</v>
      </c>
      <c r="AM9" s="9">
        <f t="shared" si="7"/>
        <v>0.36308003687874013</v>
      </c>
      <c r="AN9" s="8" t="s">
        <v>4285</v>
      </c>
    </row>
    <row r="10" spans="8:40" ht="23">
      <c r="M10" s="8" t="s">
        <v>3973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3973</v>
      </c>
      <c r="X10" s="8">
        <v>58.15</v>
      </c>
      <c r="Y10" s="8">
        <v>2.6</v>
      </c>
      <c r="Z10" s="9">
        <v>3.2</v>
      </c>
      <c r="AA10" s="8">
        <v>1747.2</v>
      </c>
      <c r="AB10" s="8">
        <v>407</v>
      </c>
      <c r="AC10" s="21" t="s">
        <v>3973</v>
      </c>
      <c r="AD10" s="8" t="s">
        <v>4185</v>
      </c>
      <c r="AE10" s="8" t="s">
        <v>3722</v>
      </c>
      <c r="AF10" s="9">
        <f t="shared" si="0"/>
        <v>4542.72</v>
      </c>
      <c r="AG10" s="9">
        <f t="shared" si="1"/>
        <v>5247.424</v>
      </c>
      <c r="AH10" s="9">
        <f t="shared" si="2"/>
        <v>1.2869713304154522</v>
      </c>
      <c r="AI10" s="9">
        <f t="shared" si="3"/>
        <v>1.6562952053113191</v>
      </c>
      <c r="AJ10" s="9">
        <f t="shared" si="4"/>
        <v>1.6243467738071689</v>
      </c>
      <c r="AK10" s="9">
        <f t="shared" si="5"/>
        <v>2.6385024415777578</v>
      </c>
      <c r="AL10" s="9">
        <f t="shared" si="6"/>
        <v>1.7740892745200829</v>
      </c>
      <c r="AM10" s="9">
        <f t="shared" si="7"/>
        <v>3.147392753967194</v>
      </c>
      <c r="AN10" s="8" t="s">
        <v>3973</v>
      </c>
    </row>
    <row r="11" spans="8:40" ht="23">
      <c r="M11" s="8" t="s">
        <v>3966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3966</v>
      </c>
      <c r="X11" s="8">
        <v>65.150000000000006</v>
      </c>
      <c r="Y11" s="8">
        <v>1.49</v>
      </c>
      <c r="Z11" s="9">
        <v>0.54</v>
      </c>
      <c r="AA11" s="8">
        <v>1035.3</v>
      </c>
      <c r="AB11" s="8">
        <v>2059</v>
      </c>
      <c r="AC11" s="21" t="s">
        <v>3966</v>
      </c>
      <c r="AD11" s="8" t="s">
        <v>4157</v>
      </c>
      <c r="AE11" s="8" t="s">
        <v>3722</v>
      </c>
      <c r="AF11" s="9">
        <f t="shared" si="0"/>
        <v>1542.597</v>
      </c>
      <c r="AG11" s="9">
        <f t="shared" si="1"/>
        <v>931.77</v>
      </c>
      <c r="AH11" s="9">
        <f t="shared" si="2"/>
        <v>0.76259238689280995</v>
      </c>
      <c r="AI11" s="9">
        <f t="shared" si="3"/>
        <v>0.58154714854687317</v>
      </c>
      <c r="AJ11" s="9">
        <f t="shared" si="4"/>
        <v>0.55158857693950247</v>
      </c>
      <c r="AK11" s="9">
        <f t="shared" si="5"/>
        <v>0.30424995821014544</v>
      </c>
      <c r="AL11" s="9">
        <f t="shared" si="6"/>
        <v>0.31501993422288299</v>
      </c>
      <c r="AM11" s="9">
        <f t="shared" si="7"/>
        <v>9.9237558957789532E-2</v>
      </c>
      <c r="AN11" s="8" t="s">
        <v>3966</v>
      </c>
    </row>
    <row r="12" spans="8:40" ht="23">
      <c r="M12" s="8" t="s">
        <v>3883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3883</v>
      </c>
      <c r="X12" s="8">
        <v>68.400000000000006</v>
      </c>
      <c r="Y12" s="8">
        <v>1.53</v>
      </c>
      <c r="Z12" s="9">
        <v>1.05</v>
      </c>
      <c r="AA12" s="8">
        <v>905.3</v>
      </c>
      <c r="AB12" s="8">
        <v>1888</v>
      </c>
      <c r="AC12" s="21" t="s">
        <v>3883</v>
      </c>
      <c r="AD12" s="8" t="s">
        <v>4157</v>
      </c>
      <c r="AE12" s="8" t="s">
        <v>3722</v>
      </c>
      <c r="AF12" s="9">
        <f t="shared" si="0"/>
        <v>1385.1089999999999</v>
      </c>
      <c r="AG12" s="9">
        <f t="shared" si="1"/>
        <v>980.74166666666656</v>
      </c>
      <c r="AH12" s="9">
        <f t="shared" si="2"/>
        <v>0.66683559147499349</v>
      </c>
      <c r="AI12" s="9">
        <f t="shared" si="3"/>
        <v>0.44466970605780443</v>
      </c>
      <c r="AJ12" s="9">
        <f t="shared" si="4"/>
        <v>0.49527537147816142</v>
      </c>
      <c r="AK12" s="9">
        <f t="shared" si="5"/>
        <v>0.2452976935928308</v>
      </c>
      <c r="AL12" s="9">
        <f t="shared" si="6"/>
        <v>0.33157665016363908</v>
      </c>
      <c r="AM12" s="9">
        <f t="shared" si="7"/>
        <v>0.1099430749337403</v>
      </c>
      <c r="AN12" s="8" t="s">
        <v>3883</v>
      </c>
    </row>
    <row r="13" spans="8:40" ht="26.5" customHeight="1">
      <c r="M13" s="8" t="s">
        <v>3944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3944</v>
      </c>
      <c r="X13" s="8">
        <v>43.59</v>
      </c>
      <c r="Y13" s="8">
        <v>2.93</v>
      </c>
      <c r="Z13" s="9">
        <v>3.26</v>
      </c>
      <c r="AA13" s="8">
        <v>878.8</v>
      </c>
      <c r="AB13" s="8">
        <v>619</v>
      </c>
      <c r="AC13" s="21" t="s">
        <v>3944</v>
      </c>
      <c r="AD13" s="8" t="s">
        <v>4185</v>
      </c>
      <c r="AE13" s="8" t="s">
        <v>3722</v>
      </c>
      <c r="AF13" s="9">
        <f t="shared" si="0"/>
        <v>2574.884</v>
      </c>
      <c r="AG13" s="9">
        <f t="shared" si="1"/>
        <v>3017.2133333333336</v>
      </c>
      <c r="AH13" s="9">
        <f t="shared" si="2"/>
        <v>0.64731593702443868</v>
      </c>
      <c r="AI13" s="9">
        <f t="shared" si="3"/>
        <v>0.41901792232582707</v>
      </c>
      <c r="AJ13" s="9">
        <f t="shared" si="4"/>
        <v>0.92070489009397405</v>
      </c>
      <c r="AK13" s="9">
        <f t="shared" si="5"/>
        <v>0.84769749464295685</v>
      </c>
      <c r="AL13" s="9">
        <f t="shared" si="6"/>
        <v>1.0200825802537883</v>
      </c>
      <c r="AM13" s="9">
        <f t="shared" si="7"/>
        <v>1.0405684705372265</v>
      </c>
      <c r="AN13" s="8" t="s">
        <v>3944</v>
      </c>
    </row>
    <row r="14" spans="8:40" ht="25.5" customHeight="1">
      <c r="M14" s="8" t="s">
        <v>3917</v>
      </c>
      <c r="N14" s="8"/>
      <c r="O14" s="8"/>
      <c r="P14" s="8"/>
      <c r="Q14" s="8"/>
      <c r="R14" s="8"/>
      <c r="S14" s="8"/>
      <c r="T14" s="8"/>
      <c r="U14" s="8"/>
      <c r="V14" s="8"/>
      <c r="W14" s="8" t="s">
        <v>3917</v>
      </c>
      <c r="X14" s="8">
        <v>48.66</v>
      </c>
      <c r="Y14" s="8">
        <v>1.94</v>
      </c>
      <c r="Z14" s="9">
        <v>1.08</v>
      </c>
      <c r="AA14" s="8">
        <v>525.1</v>
      </c>
      <c r="AB14" s="8">
        <v>2253</v>
      </c>
      <c r="AC14" s="21" t="s">
        <v>3917</v>
      </c>
      <c r="AD14" s="8" t="s">
        <v>4157</v>
      </c>
      <c r="AE14" s="8" t="s">
        <v>3722</v>
      </c>
      <c r="AF14" s="9">
        <f t="shared" si="0"/>
        <v>1018.694</v>
      </c>
      <c r="AG14" s="9">
        <f t="shared" si="1"/>
        <v>595.11333333333334</v>
      </c>
      <c r="AH14" s="9">
        <f t="shared" si="2"/>
        <v>0.38678379441457988</v>
      </c>
      <c r="AI14" s="9">
        <f t="shared" si="3"/>
        <v>0.14960170362174</v>
      </c>
      <c r="AJ14" s="9">
        <f t="shared" si="4"/>
        <v>0.3642558450436566</v>
      </c>
      <c r="AK14" s="9">
        <f t="shared" si="5"/>
        <v>0.13268232064846838</v>
      </c>
      <c r="AL14" s="9">
        <f t="shared" si="6"/>
        <v>0.2012004712770612</v>
      </c>
      <c r="AM14" s="9">
        <f t="shared" si="7"/>
        <v>4.0481629642111529E-2</v>
      </c>
      <c r="AN14" s="8" t="s">
        <v>3917</v>
      </c>
    </row>
    <row r="15" spans="8:40" ht="23">
      <c r="M15" s="8" t="s">
        <v>3841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3841</v>
      </c>
      <c r="X15" s="8">
        <v>36.99</v>
      </c>
      <c r="Y15" s="8">
        <v>2.23</v>
      </c>
      <c r="Z15" s="9">
        <v>1.26</v>
      </c>
      <c r="AA15" s="8">
        <v>521.4</v>
      </c>
      <c r="AB15" s="8">
        <v>579</v>
      </c>
      <c r="AC15" s="21" t="s">
        <v>3841</v>
      </c>
      <c r="AD15" s="8" t="s">
        <v>4185</v>
      </c>
      <c r="AE15" s="8" t="s">
        <v>3722</v>
      </c>
      <c r="AF15" s="9">
        <f t="shared" si="0"/>
        <v>1162.722</v>
      </c>
      <c r="AG15" s="9">
        <f t="shared" si="1"/>
        <v>747.34</v>
      </c>
      <c r="AH15" s="9">
        <f t="shared" si="2"/>
        <v>0.38405840869884195</v>
      </c>
      <c r="AI15" s="9">
        <f t="shared" si="3"/>
        <v>0.14750086129228671</v>
      </c>
      <c r="AJ15" s="9">
        <f t="shared" si="4"/>
        <v>0.41575613939107381</v>
      </c>
      <c r="AK15" s="9">
        <f t="shared" si="5"/>
        <v>0.17285316744137</v>
      </c>
      <c r="AL15" s="9">
        <f t="shared" si="6"/>
        <v>0.25266642802636857</v>
      </c>
      <c r="AM15" s="9">
        <f t="shared" si="7"/>
        <v>6.3840323851604083E-2</v>
      </c>
      <c r="AN15" s="8" t="s">
        <v>3841</v>
      </c>
    </row>
    <row r="16" spans="8:40" ht="23">
      <c r="M16" s="9" t="s">
        <v>3647</v>
      </c>
      <c r="N16" s="8" t="s">
        <v>2100</v>
      </c>
      <c r="O16" s="8"/>
      <c r="P16" s="8"/>
      <c r="Q16" s="8"/>
      <c r="R16" s="8"/>
      <c r="S16" s="8"/>
      <c r="T16" s="8"/>
      <c r="U16" s="8"/>
      <c r="V16" s="8"/>
      <c r="W16" s="9" t="s">
        <v>3647</v>
      </c>
      <c r="X16" s="8">
        <v>60.23</v>
      </c>
      <c r="Y16" s="8">
        <v>1.25</v>
      </c>
      <c r="Z16" s="9">
        <v>0.43</v>
      </c>
      <c r="AA16" s="8">
        <v>515.5</v>
      </c>
      <c r="AB16" s="8">
        <v>1659</v>
      </c>
      <c r="AC16" s="22" t="s">
        <v>3647</v>
      </c>
      <c r="AD16" s="8" t="s">
        <v>4493</v>
      </c>
      <c r="AE16" s="8" t="s">
        <v>3722</v>
      </c>
      <c r="AF16" s="9">
        <f t="shared" si="0"/>
        <v>644.375</v>
      </c>
      <c r="AG16" s="9">
        <f t="shared" si="1"/>
        <v>369.44166666666666</v>
      </c>
      <c r="AH16" s="9">
        <f t="shared" si="2"/>
        <v>0.3797125233683411</v>
      </c>
      <c r="AI16" s="9">
        <f t="shared" si="3"/>
        <v>0.14418160040275299</v>
      </c>
      <c r="AJ16" s="9">
        <f t="shared" si="4"/>
        <v>0.23041007422249099</v>
      </c>
      <c r="AK16" s="9">
        <f t="shared" si="5"/>
        <v>5.3088802303213806E-2</v>
      </c>
      <c r="AL16" s="9">
        <f t="shared" si="6"/>
        <v>0.12490366671230628</v>
      </c>
      <c r="AM16" s="9">
        <f t="shared" si="7"/>
        <v>1.5600925958178889E-2</v>
      </c>
      <c r="AN16" s="9" t="s">
        <v>3647</v>
      </c>
    </row>
    <row r="17" spans="13:40" ht="23">
      <c r="M17" s="8" t="s">
        <v>3871</v>
      </c>
      <c r="N17" s="8"/>
      <c r="O17" s="8"/>
      <c r="P17" s="8"/>
      <c r="Q17" s="8"/>
      <c r="R17" s="8"/>
      <c r="S17" s="8"/>
      <c r="T17" s="8"/>
      <c r="U17" s="8"/>
      <c r="V17" s="8"/>
      <c r="W17" s="8" t="s">
        <v>3871</v>
      </c>
      <c r="X17" s="8">
        <v>48.7</v>
      </c>
      <c r="Y17" s="8">
        <v>1.87</v>
      </c>
      <c r="Z17" s="9">
        <v>1.38</v>
      </c>
      <c r="AA17" s="8">
        <v>481.3</v>
      </c>
      <c r="AB17" s="8">
        <v>1167</v>
      </c>
      <c r="AC17" s="21" t="s">
        <v>3871</v>
      </c>
      <c r="AD17" s="8" t="s">
        <v>4185</v>
      </c>
      <c r="AE17" s="8" t="s">
        <v>3722</v>
      </c>
      <c r="AF17" s="9">
        <f t="shared" si="0"/>
        <v>900.03100000000006</v>
      </c>
      <c r="AG17" s="9">
        <f t="shared" si="1"/>
        <v>786.12333333333333</v>
      </c>
      <c r="AH17" s="9">
        <f t="shared" si="2"/>
        <v>0.35452112026611554</v>
      </c>
      <c r="AI17" s="9">
        <f t="shared" si="3"/>
        <v>0.12568522471474156</v>
      </c>
      <c r="AJ17" s="9">
        <f t="shared" si="4"/>
        <v>0.3218253493890092</v>
      </c>
      <c r="AK17" s="9">
        <f t="shared" si="5"/>
        <v>0.10357155550935784</v>
      </c>
      <c r="AL17" s="9">
        <f t="shared" si="6"/>
        <v>0.26577859424293576</v>
      </c>
      <c r="AM17" s="9">
        <f t="shared" si="7"/>
        <v>7.0638261157751084E-2</v>
      </c>
      <c r="AN17" s="8" t="s">
        <v>3871</v>
      </c>
    </row>
    <row r="18" spans="13:40" ht="23">
      <c r="M18" s="9" t="s">
        <v>3231</v>
      </c>
      <c r="N18" s="8" t="s">
        <v>1902</v>
      </c>
      <c r="O18" s="8"/>
      <c r="P18" s="8"/>
      <c r="Q18" s="8"/>
      <c r="R18" s="8"/>
      <c r="S18" s="8"/>
      <c r="T18" s="8"/>
      <c r="U18" s="8"/>
      <c r="V18" s="8"/>
      <c r="W18" s="9" t="s">
        <v>3231</v>
      </c>
      <c r="X18" s="8">
        <v>32.21</v>
      </c>
      <c r="Y18" s="8">
        <v>3.61</v>
      </c>
      <c r="Z18" s="9">
        <v>2.29</v>
      </c>
      <c r="AA18" s="8">
        <v>426.3</v>
      </c>
      <c r="AB18" s="8">
        <v>1465</v>
      </c>
      <c r="AC18" s="22" t="s">
        <v>3231</v>
      </c>
      <c r="AD18" s="8" t="s">
        <v>4185</v>
      </c>
      <c r="AE18" s="8" t="s">
        <v>3722</v>
      </c>
      <c r="AF18" s="9">
        <f t="shared" si="0"/>
        <v>1538.943</v>
      </c>
      <c r="AG18" s="9">
        <f t="shared" si="1"/>
        <v>1058.645</v>
      </c>
      <c r="AH18" s="9">
        <f t="shared" si="2"/>
        <v>0.31400862989703943</v>
      </c>
      <c r="AI18" s="9">
        <f t="shared" si="3"/>
        <v>9.8601419649815877E-2</v>
      </c>
      <c r="AJ18" s="9">
        <f t="shared" si="4"/>
        <v>0.55028201102492014</v>
      </c>
      <c r="AK18" s="9">
        <f t="shared" si="5"/>
        <v>0.30281029165763035</v>
      </c>
      <c r="AL18" s="9">
        <f t="shared" si="6"/>
        <v>0.35791480544059584</v>
      </c>
      <c r="AM18" s="9">
        <f t="shared" si="7"/>
        <v>0.12810300795357957</v>
      </c>
      <c r="AN18" s="9" t="s">
        <v>3231</v>
      </c>
    </row>
    <row r="19" spans="13:40" ht="23">
      <c r="M19" s="8" t="s">
        <v>1226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1226</v>
      </c>
      <c r="X19" s="9">
        <v>27.87</v>
      </c>
      <c r="Y19" s="8">
        <v>2.77</v>
      </c>
      <c r="Z19" s="9">
        <v>2.39</v>
      </c>
      <c r="AA19" s="8">
        <v>379</v>
      </c>
      <c r="AB19" s="8">
        <v>1209</v>
      </c>
      <c r="AC19" s="21" t="s">
        <v>1226</v>
      </c>
      <c r="AD19" s="8" t="s">
        <v>4157</v>
      </c>
      <c r="AE19" s="8" t="s">
        <v>3722</v>
      </c>
      <c r="AF19" s="9">
        <f t="shared" si="0"/>
        <v>1049.83</v>
      </c>
      <c r="AG19" s="9">
        <f t="shared" si="1"/>
        <v>1004.35</v>
      </c>
      <c r="AH19" s="9">
        <f t="shared" si="2"/>
        <v>0.27916788817963389</v>
      </c>
      <c r="AI19" s="9">
        <f t="shared" si="3"/>
        <v>7.7934709790676571E-2</v>
      </c>
      <c r="AJ19" s="9">
        <f t="shared" si="4"/>
        <v>0.37538918831580631</v>
      </c>
      <c r="AK19" s="9">
        <f t="shared" si="5"/>
        <v>0.14091704270439989</v>
      </c>
      <c r="AL19" s="9">
        <f t="shared" si="6"/>
        <v>0.33955833621682663</v>
      </c>
      <c r="AM19" s="9">
        <f t="shared" si="7"/>
        <v>0.11529986369433948</v>
      </c>
      <c r="AN19" s="8" t="s">
        <v>1226</v>
      </c>
    </row>
    <row r="20" spans="13:40" ht="28.5" customHeight="1">
      <c r="M20" s="8" t="s">
        <v>3817</v>
      </c>
      <c r="N20" s="8"/>
      <c r="O20" s="8"/>
      <c r="P20" s="8"/>
      <c r="Q20" s="8"/>
      <c r="R20" s="8"/>
      <c r="S20" s="8"/>
      <c r="T20" s="8"/>
      <c r="U20" s="8"/>
      <c r="V20" s="8"/>
      <c r="W20" s="8" t="s">
        <v>3817</v>
      </c>
      <c r="X20" s="8">
        <v>25.38</v>
      </c>
      <c r="Y20" s="8">
        <v>3.36</v>
      </c>
      <c r="Z20" s="9">
        <v>4.09</v>
      </c>
      <c r="AA20" s="8">
        <v>345.9</v>
      </c>
      <c r="AB20" s="8">
        <v>652</v>
      </c>
      <c r="AC20" s="21" t="s">
        <v>3817</v>
      </c>
      <c r="AD20" s="8" t="s">
        <v>4185</v>
      </c>
      <c r="AE20" s="8" t="s">
        <v>3722</v>
      </c>
      <c r="AF20" s="9">
        <f t="shared" si="0"/>
        <v>1162.2239999999999</v>
      </c>
      <c r="AG20" s="9">
        <f t="shared" si="1"/>
        <v>1435.4850000000001</v>
      </c>
      <c r="AH20" s="9">
        <f t="shared" si="2"/>
        <v>0.25478673488478987</v>
      </c>
      <c r="AI20" s="9">
        <f t="shared" si="3"/>
        <v>6.4916280273252192E-2</v>
      </c>
      <c r="AJ20" s="9">
        <f t="shared" si="4"/>
        <v>0.41557806883128662</v>
      </c>
      <c r="AK20" s="9">
        <f t="shared" si="5"/>
        <v>0.17270513129354159</v>
      </c>
      <c r="AL20" s="9">
        <f t="shared" si="6"/>
        <v>0.48531975731987004</v>
      </c>
      <c r="AM20" s="9">
        <f t="shared" si="7"/>
        <v>0.23553526684501755</v>
      </c>
      <c r="AN20" s="8" t="s">
        <v>3817</v>
      </c>
    </row>
    <row r="21" spans="13:40" ht="23">
      <c r="M21" s="8" t="s">
        <v>1751</v>
      </c>
      <c r="N21" s="8" t="s">
        <v>1717</v>
      </c>
      <c r="O21" s="8"/>
      <c r="P21" s="8"/>
      <c r="Q21" s="8"/>
      <c r="R21" s="8"/>
      <c r="S21" s="8"/>
      <c r="T21" s="8"/>
      <c r="U21" s="8"/>
      <c r="V21" s="8"/>
      <c r="W21" s="8" t="s">
        <v>1751</v>
      </c>
      <c r="X21" s="8">
        <v>30.35</v>
      </c>
      <c r="Y21" s="8">
        <v>2.44</v>
      </c>
      <c r="Z21" s="9">
        <v>2</v>
      </c>
      <c r="AA21" s="8">
        <v>166.3</v>
      </c>
      <c r="AB21" s="8">
        <v>2479</v>
      </c>
      <c r="AC21" s="21" t="s">
        <v>1751</v>
      </c>
      <c r="AD21" s="8" t="s">
        <v>4185</v>
      </c>
      <c r="AE21" s="8" t="s">
        <v>3722</v>
      </c>
      <c r="AF21" s="9">
        <f t="shared" si="0"/>
        <v>405.77199999999999</v>
      </c>
      <c r="AG21" s="9">
        <f t="shared" si="1"/>
        <v>338.14333333333332</v>
      </c>
      <c r="AH21" s="9">
        <f t="shared" si="2"/>
        <v>0.12249503906140666</v>
      </c>
      <c r="AI21" s="9">
        <f t="shared" si="3"/>
        <v>1.5005034594655542E-2</v>
      </c>
      <c r="AJ21" s="9">
        <f t="shared" si="4"/>
        <v>0.14509246422876215</v>
      </c>
      <c r="AK21" s="9">
        <f t="shared" si="5"/>
        <v>2.1051823175974625E-2</v>
      </c>
      <c r="AL21" s="9">
        <f t="shared" si="6"/>
        <v>0.1143220865927998</v>
      </c>
      <c r="AM21" s="9">
        <f t="shared" si="7"/>
        <v>1.3069539482931615E-2</v>
      </c>
      <c r="AN21" s="8" t="s">
        <v>1751</v>
      </c>
    </row>
    <row r="22" spans="13:40" ht="23">
      <c r="M22" s="8" t="s">
        <v>1859</v>
      </c>
      <c r="N22" s="8" t="s">
        <v>1814</v>
      </c>
      <c r="O22" s="8"/>
      <c r="P22" s="8"/>
      <c r="Q22" s="8"/>
      <c r="R22" s="8"/>
      <c r="S22" s="8"/>
      <c r="T22" s="8"/>
      <c r="U22" s="8"/>
      <c r="V22" s="8"/>
      <c r="W22" s="8" t="s">
        <v>1859</v>
      </c>
      <c r="X22" s="8">
        <v>11.14</v>
      </c>
      <c r="Y22" s="8">
        <v>2.85</v>
      </c>
      <c r="Z22" s="9">
        <v>3.31</v>
      </c>
      <c r="AA22" s="8">
        <v>122.7</v>
      </c>
      <c r="AB22" s="8">
        <v>3309</v>
      </c>
      <c r="AC22" s="21" t="s">
        <v>1859</v>
      </c>
      <c r="AD22" s="8" t="s">
        <v>4185</v>
      </c>
      <c r="AE22" s="8" t="s">
        <v>3722</v>
      </c>
      <c r="AF22" s="9">
        <f t="shared" si="0"/>
        <v>349.69499999999999</v>
      </c>
      <c r="AG22" s="9">
        <f t="shared" si="1"/>
        <v>431.495</v>
      </c>
      <c r="AH22" s="9">
        <f t="shared" si="2"/>
        <v>9.0379683059739008E-2</v>
      </c>
      <c r="AI22" s="9">
        <f t="shared" si="3"/>
        <v>8.1684871099788735E-3</v>
      </c>
      <c r="AJ22" s="9">
        <f t="shared" si="4"/>
        <v>0.12504093253964535</v>
      </c>
      <c r="AK22" s="9">
        <f t="shared" si="5"/>
        <v>1.563523481038414E-2</v>
      </c>
      <c r="AL22" s="9">
        <f t="shared" si="6"/>
        <v>0.14588313265881378</v>
      </c>
      <c r="AM22" s="9">
        <f t="shared" si="7"/>
        <v>2.1281888394349059E-2</v>
      </c>
      <c r="AN22" s="8" t="s">
        <v>1859</v>
      </c>
    </row>
    <row r="23" spans="13:40" ht="23">
      <c r="M23" s="9" t="s">
        <v>2241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9" t="s">
        <v>2241</v>
      </c>
      <c r="X23" s="8">
        <v>23.5</v>
      </c>
      <c r="Y23" s="8">
        <v>1.84</v>
      </c>
      <c r="Z23" s="9">
        <v>1.43</v>
      </c>
      <c r="AA23" s="8">
        <v>107.2</v>
      </c>
      <c r="AB23" s="8">
        <v>3286</v>
      </c>
      <c r="AC23" s="22" t="s">
        <v>2241</v>
      </c>
      <c r="AD23" s="8" t="s">
        <v>4185</v>
      </c>
      <c r="AE23" s="8" t="s">
        <v>3722</v>
      </c>
      <c r="AF23" s="9">
        <f t="shared" si="0"/>
        <v>197.24800000000002</v>
      </c>
      <c r="AG23" s="9">
        <f t="shared" si="1"/>
        <v>184.02666666666667</v>
      </c>
      <c r="AH23" s="9">
        <f t="shared" si="2"/>
        <v>7.8962526682999357E-2</v>
      </c>
      <c r="AI23" s="9">
        <f t="shared" si="3"/>
        <v>6.2350806201633855E-3</v>
      </c>
      <c r="AJ23" s="9">
        <f t="shared" si="4"/>
        <v>7.0530244531891995E-2</v>
      </c>
      <c r="AK23" s="9">
        <f t="shared" si="5"/>
        <v>4.9745153937284809E-3</v>
      </c>
      <c r="AL23" s="9">
        <f t="shared" si="6"/>
        <v>6.2217144175697611E-2</v>
      </c>
      <c r="AM23" s="9">
        <f t="shared" si="7"/>
        <v>3.8709730293795433E-3</v>
      </c>
      <c r="AN23" s="9" t="s">
        <v>2241</v>
      </c>
    </row>
    <row r="24" spans="13:40" ht="23">
      <c r="M24" s="9" t="s">
        <v>3383</v>
      </c>
      <c r="N24" s="8" t="s">
        <v>1990</v>
      </c>
      <c r="O24" s="8"/>
      <c r="P24" s="8"/>
      <c r="Q24" s="8"/>
      <c r="R24" s="8"/>
      <c r="S24" s="8"/>
      <c r="T24" s="8"/>
      <c r="U24" s="8"/>
      <c r="V24" s="8"/>
      <c r="W24" s="9" t="s">
        <v>3383</v>
      </c>
      <c r="X24" s="8">
        <v>36.9</v>
      </c>
      <c r="Y24" s="8">
        <v>2.19</v>
      </c>
      <c r="Z24" s="9">
        <v>1.06</v>
      </c>
      <c r="AA24" s="8">
        <v>87.1</v>
      </c>
      <c r="AB24" s="8">
        <v>10046</v>
      </c>
      <c r="AC24" s="22" t="s">
        <v>3383</v>
      </c>
      <c r="AD24" s="8" t="s">
        <v>4157</v>
      </c>
      <c r="AE24" s="8" t="s">
        <v>3722</v>
      </c>
      <c r="AF24" s="9">
        <f t="shared" si="0"/>
        <v>190.749</v>
      </c>
      <c r="AG24" s="9">
        <f t="shared" si="1"/>
        <v>95.81</v>
      </c>
      <c r="AH24" s="9">
        <f t="shared" si="2"/>
        <v>6.4157052929936967E-2</v>
      </c>
      <c r="AI24" s="9">
        <f t="shared" si="3"/>
        <v>4.1161274406547339E-3</v>
      </c>
      <c r="AJ24" s="9">
        <f t="shared" si="4"/>
        <v>6.8206387969530061E-2</v>
      </c>
      <c r="AK24" s="9">
        <f t="shared" si="5"/>
        <v>4.6521113598500547E-3</v>
      </c>
      <c r="AL24" s="9">
        <f t="shared" si="6"/>
        <v>3.2392178217687223E-2</v>
      </c>
      <c r="AM24" s="9">
        <f t="shared" si="7"/>
        <v>1.0492532096864106E-3</v>
      </c>
      <c r="AN24" s="9" t="s">
        <v>3383</v>
      </c>
    </row>
    <row r="25" spans="13:40" ht="23">
      <c r="M25" s="8" t="s">
        <v>1833</v>
      </c>
      <c r="N25" s="8" t="s">
        <v>1814</v>
      </c>
      <c r="O25" s="8"/>
      <c r="P25" s="8"/>
      <c r="Q25" s="8"/>
      <c r="R25" s="8"/>
      <c r="S25" s="8"/>
      <c r="T25" s="8"/>
      <c r="U25" s="8"/>
      <c r="V25" s="8"/>
      <c r="W25" s="8" t="s">
        <v>1833</v>
      </c>
      <c r="X25" s="8">
        <v>3.07</v>
      </c>
      <c r="Y25" s="8">
        <v>2.16</v>
      </c>
      <c r="Z25" s="9">
        <v>0.56000000000000005</v>
      </c>
      <c r="AA25" s="8">
        <v>13.2</v>
      </c>
      <c r="AB25" s="8">
        <v>36892</v>
      </c>
      <c r="AC25" s="21" t="s">
        <v>1833</v>
      </c>
      <c r="AD25" s="8" t="s">
        <v>4185</v>
      </c>
      <c r="AE25" s="8" t="s">
        <v>3722</v>
      </c>
      <c r="AF25" s="9">
        <f t="shared" si="0"/>
        <v>28.512</v>
      </c>
      <c r="AG25" s="9">
        <f t="shared" si="1"/>
        <v>12.32</v>
      </c>
      <c r="AH25" s="9">
        <f t="shared" si="2"/>
        <v>9.7229976885782783E-3</v>
      </c>
      <c r="AI25" s="9">
        <f t="shared" si="3"/>
        <v>9.4536684052098539E-5</v>
      </c>
      <c r="AJ25" s="9">
        <f t="shared" si="4"/>
        <v>1.0195075904918197E-2</v>
      </c>
      <c r="AK25" s="9">
        <f t="shared" si="5"/>
        <v>1.039395727070436E-4</v>
      </c>
      <c r="AL25" s="9">
        <f t="shared" si="6"/>
        <v>4.1652399085889422E-3</v>
      </c>
      <c r="AM25" s="9">
        <f t="shared" si="7"/>
        <v>1.734922349610202E-5</v>
      </c>
      <c r="AN25" s="8" t="s">
        <v>1833</v>
      </c>
    </row>
    <row r="26" spans="13:40" ht="23">
      <c r="M26" s="9" t="s">
        <v>3371</v>
      </c>
      <c r="N26" s="8" t="s">
        <v>1964</v>
      </c>
      <c r="O26" s="8"/>
      <c r="P26" s="8"/>
      <c r="Q26" s="8"/>
      <c r="R26" s="8"/>
      <c r="S26" s="8"/>
      <c r="T26" s="8"/>
      <c r="U26" s="8"/>
      <c r="V26" s="8"/>
      <c r="W26" s="9" t="s">
        <v>3371</v>
      </c>
      <c r="X26" s="8">
        <v>29.63</v>
      </c>
      <c r="Y26" s="8">
        <v>3.63</v>
      </c>
      <c r="Z26" s="9">
        <v>2.16</v>
      </c>
      <c r="AA26" s="8">
        <v>4</v>
      </c>
      <c r="AB26" s="8">
        <v>22567</v>
      </c>
      <c r="AC26" s="22" t="s">
        <v>3371</v>
      </c>
      <c r="AD26" s="8" t="s">
        <v>4185</v>
      </c>
      <c r="AE26" s="8" t="s">
        <v>3722</v>
      </c>
      <c r="AF26" s="9">
        <f t="shared" si="0"/>
        <v>14.52</v>
      </c>
      <c r="AG26" s="9">
        <f t="shared" si="1"/>
        <v>9.0666666666666664</v>
      </c>
      <c r="AH26" s="9">
        <f t="shared" si="2"/>
        <v>2.9463629359328118E-3</v>
      </c>
      <c r="AI26" s="9">
        <f t="shared" si="3"/>
        <v>8.6810545502386179E-6</v>
      </c>
      <c r="AJ26" s="9">
        <f t="shared" si="4"/>
        <v>5.1919368034305628E-3</v>
      </c>
      <c r="AK26" s="9">
        <f t="shared" si="5"/>
        <v>2.6956207770816771E-5</v>
      </c>
      <c r="AL26" s="9">
        <f t="shared" si="6"/>
        <v>3.0653280712559317E-3</v>
      </c>
      <c r="AM26" s="9">
        <f t="shared" si="7"/>
        <v>9.3962361844296099E-6</v>
      </c>
      <c r="AN26" s="9" t="s">
        <v>3371</v>
      </c>
    </row>
    <row r="27" spans="13:40" ht="26.5" customHeight="1"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9"/>
      <c r="AA27" s="8">
        <f>SUBTOTAL(109,Table13670[ترافیک کل])</f>
        <v>135760.59999999998</v>
      </c>
      <c r="AB27" s="8"/>
      <c r="AC27" s="21"/>
      <c r="AD27" s="8"/>
      <c r="AE27" s="8"/>
      <c r="AF27" s="9">
        <f>SUBTOTAL(109,Table13670[[مجموع صفحات  مشاهده شده   ]])</f>
        <v>279664.42100000015</v>
      </c>
      <c r="AG27" s="9">
        <f>SUBTOTAL(109,Table13670[[مجموع زمان حضور در سایت ]])</f>
        <v>295781.28199999995</v>
      </c>
      <c r="AH27" s="9">
        <f>SUBTOTAL(109,Table13670[سهم سایت از کل ترافیک طبقه بندی])</f>
        <v>100</v>
      </c>
      <c r="AI27" s="9">
        <f>SUBTOTAL(109,Table13670[شاخص هرفیندال هیرشمن (ترافیک)])</f>
        <v>1817.7711723030279</v>
      </c>
      <c r="AJ27" s="9">
        <f>SUBTOTAL(109,Table13670[سهم سایت از کل صفحات مشاهده شده در طبقه بندی])</f>
        <v>99.999999999999957</v>
      </c>
      <c r="AK27" s="9">
        <f>SUBTOTAL(109,Table13670[شاخص هرفیندال -هیرشمن (صفحات مشاهده شده )])</f>
        <v>1808.5525082250672</v>
      </c>
      <c r="AL27" s="9">
        <f>SUBTOTAL(109,Table13670[سهم سایت از کل زمان حضور در طبقه بندی])</f>
        <v>100</v>
      </c>
      <c r="AM27" s="9">
        <f>SUBTOTAL(109,Table13670[شاخص هرفیندال هیرشمن (زمان حضور)])</f>
        <v>2734.263241431554</v>
      </c>
      <c r="AN27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{88A114DD-00E2-4CF0-A82C-FF98E4889179}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{EC69B5AF-B6AE-445A-8F68-C20F49080B6A}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{5DB1143E-D871-458F-86B5-17996CC506AC}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{EB6AD9E8-9A4B-4268-AE17-0279C0BAD0BC}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{A1ED2F4B-3FBE-4B04-96AC-C8895ED58824}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{145AB69F-E25C-4B8C-A21B-F35B3A983B8D}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A114DD-00E2-4CF0-A82C-FF98E488917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C69B5AF-B6AE-445A-8F68-C20F49080B6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DB1143E-D871-458F-86B5-17996CC506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B6AD9E8-9A4B-4268-AE17-0279C0BAD0B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1ED2F4B-3FBE-4B04-96AC-C8895ED5882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145AB69F-E25C-4B8C-A21B-F35B3A983B8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5"/>
  <sheetViews>
    <sheetView showGridLines="0" rightToLeft="1" topLeftCell="S1" zoomScale="85" zoomScaleNormal="85" workbookViewId="0">
      <selection activeCell="AB1" sqref="AB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4.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8" t="s">
        <v>5231</v>
      </c>
      <c r="N2" s="8"/>
      <c r="O2" s="8"/>
      <c r="P2" s="8" t="s">
        <v>4662</v>
      </c>
      <c r="Q2" s="8"/>
      <c r="R2" s="8"/>
      <c r="S2" s="8"/>
      <c r="T2" s="8"/>
      <c r="U2" s="8"/>
      <c r="V2" s="8"/>
      <c r="W2" s="8" t="s">
        <v>5231</v>
      </c>
      <c r="X2" s="8">
        <v>44.15</v>
      </c>
      <c r="Y2" s="8">
        <v>6.26</v>
      </c>
      <c r="Z2" s="9">
        <v>4.09</v>
      </c>
      <c r="AA2" s="8">
        <v>2052.6999999999998</v>
      </c>
      <c r="AB2" s="8">
        <v>1003</v>
      </c>
      <c r="AC2" s="21" t="s">
        <v>5231</v>
      </c>
      <c r="AD2" s="8" t="s">
        <v>5305</v>
      </c>
      <c r="AE2" s="8"/>
      <c r="AF2" s="9">
        <f t="shared" ref="AF2:AF14" si="0">(AA2*Y2)</f>
        <v>12849.901999999998</v>
      </c>
      <c r="AG2" s="9">
        <f t="shared" ref="AG2:AG14" si="1">((((RIGHT(Z2,2))/60)+(LEFT(Z2,2)))*AA2)</f>
        <v>8518.7049999999999</v>
      </c>
      <c r="AH2" s="9">
        <f t="shared" ref="AH2:AH14" si="2">(AA2/$AA$15)*100</f>
        <v>17.146413177854257</v>
      </c>
      <c r="AI2" s="9">
        <f t="shared" ref="AI2:AI14" si="3">(AH2*AH2)</f>
        <v>293.99948486569411</v>
      </c>
      <c r="AJ2" s="9">
        <f t="shared" ref="AJ2:AJ14" si="4">(AF2/$AF$15)*100</f>
        <v>36.133015727795346</v>
      </c>
      <c r="AK2" s="9">
        <f t="shared" ref="AK2:AK14" si="5">(AJ2*AJ2)</f>
        <v>1305.5948255851058</v>
      </c>
      <c r="AL2" s="9">
        <f t="shared" ref="AL2:AL14" si="6">(AG2/$AG$15)*100</f>
        <v>26.592489466092832</v>
      </c>
      <c r="AM2" s="9">
        <f t="shared" ref="AM2:AM14" si="7">(AL2*AL2)</f>
        <v>707.16049600425822</v>
      </c>
      <c r="AN2" s="8" t="s">
        <v>5231</v>
      </c>
    </row>
    <row r="3" spans="8:40" ht="23">
      <c r="H3" s="8"/>
      <c r="I3" s="8"/>
      <c r="J3" s="8"/>
      <c r="K3" s="8"/>
      <c r="L3" s="8"/>
      <c r="M3" s="8" t="s">
        <v>5230</v>
      </c>
      <c r="N3" s="8"/>
      <c r="O3" s="8"/>
      <c r="P3" s="8"/>
      <c r="Q3" s="8"/>
      <c r="R3" s="8"/>
      <c r="S3" s="8"/>
      <c r="T3" s="8"/>
      <c r="U3" s="8"/>
      <c r="V3" s="8"/>
      <c r="W3" s="8" t="s">
        <v>5230</v>
      </c>
      <c r="X3" s="8">
        <v>49.71</v>
      </c>
      <c r="Y3" s="8">
        <v>2.42</v>
      </c>
      <c r="Z3" s="9">
        <v>2.54</v>
      </c>
      <c r="AA3" s="8">
        <v>1753.7</v>
      </c>
      <c r="AB3" s="8">
        <v>1825</v>
      </c>
      <c r="AC3" s="21" t="s">
        <v>5230</v>
      </c>
      <c r="AD3" s="8" t="s">
        <v>5305</v>
      </c>
      <c r="AE3" s="8"/>
      <c r="AF3" s="9">
        <f t="shared" si="0"/>
        <v>4243.9539999999997</v>
      </c>
      <c r="AG3" s="9">
        <f t="shared" si="1"/>
        <v>5085.7299999999996</v>
      </c>
      <c r="AH3" s="9">
        <f t="shared" si="2"/>
        <v>14.648835577533498</v>
      </c>
      <c r="AI3" s="9">
        <f t="shared" si="3"/>
        <v>214.58838377761117</v>
      </c>
      <c r="AJ3" s="9">
        <f t="shared" si="4"/>
        <v>11.933698531711757</v>
      </c>
      <c r="AK3" s="9">
        <f t="shared" si="5"/>
        <v>142.41316064577936</v>
      </c>
      <c r="AL3" s="9">
        <f t="shared" si="6"/>
        <v>15.875913234745456</v>
      </c>
      <c r="AM3" s="9">
        <f t="shared" si="7"/>
        <v>252.04462103716591</v>
      </c>
      <c r="AN3" s="8" t="s">
        <v>5230</v>
      </c>
    </row>
    <row r="4" spans="8:40" ht="23">
      <c r="H4" s="8"/>
      <c r="I4" s="8"/>
      <c r="J4" s="8"/>
      <c r="K4" s="8"/>
      <c r="L4" s="8"/>
      <c r="M4" s="9" t="s">
        <v>5234</v>
      </c>
      <c r="N4" s="8"/>
      <c r="O4" s="8"/>
      <c r="P4" s="8"/>
      <c r="Q4" s="8"/>
      <c r="R4" s="8"/>
      <c r="S4" s="8"/>
      <c r="T4" s="8"/>
      <c r="U4" s="8"/>
      <c r="V4" s="8"/>
      <c r="W4" s="9" t="s">
        <v>5234</v>
      </c>
      <c r="X4" s="8">
        <v>61.05</v>
      </c>
      <c r="Y4" s="8">
        <v>1.7</v>
      </c>
      <c r="Z4" s="9">
        <v>1.18</v>
      </c>
      <c r="AA4" s="8">
        <v>1516.7</v>
      </c>
      <c r="AB4" s="8">
        <v>2655</v>
      </c>
      <c r="AC4" s="22" t="s">
        <v>5234</v>
      </c>
      <c r="AD4" s="8" t="s">
        <v>5305</v>
      </c>
      <c r="AE4" s="8"/>
      <c r="AF4" s="9">
        <f t="shared" si="0"/>
        <v>2578.39</v>
      </c>
      <c r="AG4" s="9">
        <f t="shared" si="1"/>
        <v>1971.71</v>
      </c>
      <c r="AH4" s="9">
        <f t="shared" si="2"/>
        <v>12.669150322429754</v>
      </c>
      <c r="AI4" s="9">
        <f t="shared" si="3"/>
        <v>160.50736989232195</v>
      </c>
      <c r="AJ4" s="9">
        <f t="shared" si="4"/>
        <v>7.2502503460641368</v>
      </c>
      <c r="AK4" s="9">
        <f t="shared" si="5"/>
        <v>52.566130080603138</v>
      </c>
      <c r="AL4" s="9">
        <f t="shared" si="6"/>
        <v>6.1550056499420869</v>
      </c>
      <c r="AM4" s="9">
        <f t="shared" si="7"/>
        <v>37.884094550819015</v>
      </c>
      <c r="AN4" s="9" t="s">
        <v>5234</v>
      </c>
    </row>
    <row r="5" spans="8:40" ht="23">
      <c r="H5" s="24"/>
      <c r="I5" s="24"/>
      <c r="J5" s="24"/>
      <c r="K5" s="24"/>
      <c r="L5" s="24"/>
      <c r="M5" s="25" t="s">
        <v>2675</v>
      </c>
      <c r="N5" s="24"/>
      <c r="O5" s="24"/>
      <c r="P5" s="24"/>
      <c r="Q5" s="24"/>
      <c r="R5" s="24"/>
      <c r="S5" s="24"/>
      <c r="T5" s="24"/>
      <c r="U5" s="24"/>
      <c r="V5" s="24"/>
      <c r="W5" s="25" t="s">
        <v>2675</v>
      </c>
      <c r="X5" s="8">
        <v>46.63</v>
      </c>
      <c r="Y5" s="8">
        <v>3.05</v>
      </c>
      <c r="Z5" s="9">
        <v>3.17</v>
      </c>
      <c r="AA5" s="8">
        <v>1390.5</v>
      </c>
      <c r="AB5" s="8">
        <v>2706</v>
      </c>
      <c r="AC5" s="22" t="s">
        <v>2675</v>
      </c>
      <c r="AD5" s="8" t="s">
        <v>5305</v>
      </c>
      <c r="AE5" s="24"/>
      <c r="AF5" s="9">
        <f t="shared" si="0"/>
        <v>4241.0249999999996</v>
      </c>
      <c r="AG5" s="9">
        <f t="shared" si="1"/>
        <v>4565.4749999999995</v>
      </c>
      <c r="AH5" s="9">
        <f t="shared" si="2"/>
        <v>11.614988806842863</v>
      </c>
      <c r="AI5" s="9">
        <f t="shared" si="3"/>
        <v>134.90796498308501</v>
      </c>
      <c r="AJ5" s="9">
        <f t="shared" si="4"/>
        <v>11.925462390839499</v>
      </c>
      <c r="AK5" s="9">
        <f t="shared" si="5"/>
        <v>142.21665323532733</v>
      </c>
      <c r="AL5" s="9">
        <f t="shared" si="6"/>
        <v>14.251854694488205</v>
      </c>
      <c r="AM5" s="9">
        <f t="shared" si="7"/>
        <v>203.1153622328055</v>
      </c>
      <c r="AN5" s="25" t="s">
        <v>2675</v>
      </c>
    </row>
    <row r="6" spans="8:40" ht="23">
      <c r="H6" s="24"/>
      <c r="I6" s="24"/>
      <c r="J6" s="24"/>
      <c r="K6" s="24"/>
      <c r="L6" s="24"/>
      <c r="M6" s="25" t="s">
        <v>5237</v>
      </c>
      <c r="N6" s="24"/>
      <c r="O6" s="24"/>
      <c r="P6" s="24" t="s">
        <v>3700</v>
      </c>
      <c r="Q6" s="24"/>
      <c r="R6" s="24"/>
      <c r="S6" s="24"/>
      <c r="T6" s="24"/>
      <c r="U6" s="24"/>
      <c r="V6" s="24"/>
      <c r="W6" s="25" t="s">
        <v>5237</v>
      </c>
      <c r="X6" s="8">
        <v>56.29</v>
      </c>
      <c r="Y6" s="8">
        <v>2.08</v>
      </c>
      <c r="Z6" s="9">
        <v>2.23</v>
      </c>
      <c r="AA6" s="8">
        <v>1353.6</v>
      </c>
      <c r="AB6" s="8">
        <v>4022</v>
      </c>
      <c r="AC6" s="22" t="s">
        <v>5237</v>
      </c>
      <c r="AD6" s="8" t="s">
        <v>5305</v>
      </c>
      <c r="AE6" s="24"/>
      <c r="AF6" s="9">
        <f t="shared" si="0"/>
        <v>2815.4879999999998</v>
      </c>
      <c r="AG6" s="9">
        <f t="shared" si="1"/>
        <v>3226.08</v>
      </c>
      <c r="AH6" s="9">
        <f t="shared" si="2"/>
        <v>11.306759330415318</v>
      </c>
      <c r="AI6" s="9">
        <f t="shared" si="3"/>
        <v>127.84280655593385</v>
      </c>
      <c r="AJ6" s="9">
        <f t="shared" si="4"/>
        <v>7.9169531553951984</v>
      </c>
      <c r="AK6" s="9">
        <f t="shared" si="5"/>
        <v>62.678147264721986</v>
      </c>
      <c r="AL6" s="9">
        <f t="shared" si="6"/>
        <v>10.070720657279805</v>
      </c>
      <c r="AM6" s="9">
        <f t="shared" si="7"/>
        <v>101.4194145569622</v>
      </c>
      <c r="AN6" s="25" t="s">
        <v>5237</v>
      </c>
    </row>
    <row r="7" spans="8:40" ht="23">
      <c r="H7" s="8"/>
      <c r="I7" s="8"/>
      <c r="J7" s="8"/>
      <c r="K7" s="8"/>
      <c r="L7" s="8"/>
      <c r="M7" s="8" t="s">
        <v>5232</v>
      </c>
      <c r="N7" s="8"/>
      <c r="O7" s="8"/>
      <c r="P7" s="8"/>
      <c r="Q7" s="8"/>
      <c r="R7" s="8"/>
      <c r="S7" s="8"/>
      <c r="T7" s="8"/>
      <c r="U7" s="8"/>
      <c r="V7" s="8"/>
      <c r="W7" s="8" t="s">
        <v>5232</v>
      </c>
      <c r="X7" s="8">
        <v>43.83</v>
      </c>
      <c r="Y7" s="8">
        <v>2.11</v>
      </c>
      <c r="Z7" s="9">
        <v>2.27</v>
      </c>
      <c r="AA7" s="8">
        <v>1287.8</v>
      </c>
      <c r="AB7" s="8">
        <v>2345</v>
      </c>
      <c r="AC7" s="21" t="s">
        <v>5232</v>
      </c>
      <c r="AD7" s="8" t="s">
        <v>5305</v>
      </c>
      <c r="AE7" s="8"/>
      <c r="AF7" s="9">
        <f t="shared" si="0"/>
        <v>2717.2579999999998</v>
      </c>
      <c r="AG7" s="9">
        <f t="shared" si="1"/>
        <v>3155.11</v>
      </c>
      <c r="AH7" s="9">
        <f t="shared" si="2"/>
        <v>10.757125196297906</v>
      </c>
      <c r="AI7" s="9">
        <f t="shared" si="3"/>
        <v>115.71574248882726</v>
      </c>
      <c r="AJ7" s="9">
        <f t="shared" si="4"/>
        <v>7.6407373418472551</v>
      </c>
      <c r="AK7" s="9">
        <f t="shared" si="5"/>
        <v>58.380867127099059</v>
      </c>
      <c r="AL7" s="9">
        <f t="shared" si="6"/>
        <v>9.8491765402563125</v>
      </c>
      <c r="AM7" s="9">
        <f t="shared" si="7"/>
        <v>97.0062785211353</v>
      </c>
      <c r="AN7" s="8" t="s">
        <v>5232</v>
      </c>
    </row>
    <row r="8" spans="8:40" ht="23">
      <c r="H8" s="24"/>
      <c r="I8" s="24"/>
      <c r="J8" s="24"/>
      <c r="K8" s="24"/>
      <c r="L8" s="24"/>
      <c r="M8" s="25" t="s">
        <v>5240</v>
      </c>
      <c r="N8" s="24"/>
      <c r="O8" s="24"/>
      <c r="P8" s="24" t="s">
        <v>4657</v>
      </c>
      <c r="Q8" s="24"/>
      <c r="R8" s="24"/>
      <c r="S8" s="24"/>
      <c r="T8" s="24"/>
      <c r="U8" s="24"/>
      <c r="V8" s="24"/>
      <c r="W8" s="25" t="s">
        <v>5240</v>
      </c>
      <c r="X8" s="8">
        <v>68.77</v>
      </c>
      <c r="Y8" s="8">
        <v>3.04</v>
      </c>
      <c r="Z8" s="9">
        <v>2.2599999999999998</v>
      </c>
      <c r="AA8" s="8">
        <v>1015.4</v>
      </c>
      <c r="AB8" s="8">
        <v>3886</v>
      </c>
      <c r="AC8" s="22" t="s">
        <v>5240</v>
      </c>
      <c r="AD8" s="8" t="s">
        <v>5305</v>
      </c>
      <c r="AE8" s="24"/>
      <c r="AF8" s="9">
        <f t="shared" si="0"/>
        <v>3086.8159999999998</v>
      </c>
      <c r="AG8" s="9">
        <f t="shared" si="1"/>
        <v>2470.8066666666668</v>
      </c>
      <c r="AH8" s="9">
        <f t="shared" si="2"/>
        <v>8.4817401182799301</v>
      </c>
      <c r="AI8" s="9">
        <f t="shared" si="3"/>
        <v>71.93991543403925</v>
      </c>
      <c r="AJ8" s="9">
        <f t="shared" si="4"/>
        <v>8.6799083041108265</v>
      </c>
      <c r="AK8" s="9">
        <f t="shared" si="5"/>
        <v>75.340808167772082</v>
      </c>
      <c r="AL8" s="9">
        <f t="shared" si="6"/>
        <v>7.713015095144776</v>
      </c>
      <c r="AM8" s="9">
        <f t="shared" si="7"/>
        <v>59.490601857931175</v>
      </c>
      <c r="AN8" s="25" t="s">
        <v>5240</v>
      </c>
    </row>
    <row r="9" spans="8:40" ht="23">
      <c r="H9" s="24"/>
      <c r="I9" s="24"/>
      <c r="J9" s="24"/>
      <c r="K9" s="24"/>
      <c r="L9" s="24"/>
      <c r="M9" s="25" t="s">
        <v>5238</v>
      </c>
      <c r="N9" s="24"/>
      <c r="O9" s="24"/>
      <c r="P9" s="24" t="s">
        <v>3691</v>
      </c>
      <c r="Q9" s="24"/>
      <c r="R9" s="24"/>
      <c r="S9" s="24"/>
      <c r="T9" s="24"/>
      <c r="U9" s="24"/>
      <c r="V9" s="24"/>
      <c r="W9" s="25" t="s">
        <v>5238</v>
      </c>
      <c r="X9" s="8">
        <v>70.150000000000006</v>
      </c>
      <c r="Y9" s="8">
        <v>1.71</v>
      </c>
      <c r="Z9" s="9">
        <v>2.52</v>
      </c>
      <c r="AA9" s="8">
        <v>740</v>
      </c>
      <c r="AB9" s="8">
        <v>4055</v>
      </c>
      <c r="AC9" s="22" t="s">
        <v>5238</v>
      </c>
      <c r="AD9" s="8" t="s">
        <v>5305</v>
      </c>
      <c r="AE9" s="24"/>
      <c r="AF9" s="9">
        <f t="shared" si="0"/>
        <v>1265.3999999999999</v>
      </c>
      <c r="AG9" s="9">
        <f t="shared" si="1"/>
        <v>2121.3333333333335</v>
      </c>
      <c r="AH9" s="9">
        <f t="shared" si="2"/>
        <v>6.1812957332353244</v>
      </c>
      <c r="AI9" s="9">
        <f t="shared" si="3"/>
        <v>38.208416941713224</v>
      </c>
      <c r="AJ9" s="9">
        <f t="shared" si="4"/>
        <v>3.5582153157239822</v>
      </c>
      <c r="AK9" s="9">
        <f t="shared" si="5"/>
        <v>12.660896233052718</v>
      </c>
      <c r="AL9" s="9">
        <f t="shared" si="6"/>
        <v>6.6220786282349566</v>
      </c>
      <c r="AM9" s="9">
        <f t="shared" si="7"/>
        <v>43.851925358526167</v>
      </c>
      <c r="AN9" s="25" t="s">
        <v>5238</v>
      </c>
    </row>
    <row r="10" spans="8:40" ht="23">
      <c r="H10" s="24"/>
      <c r="I10" s="24"/>
      <c r="J10" s="24"/>
      <c r="K10" s="24"/>
      <c r="L10" s="24"/>
      <c r="M10" s="25" t="s">
        <v>5235</v>
      </c>
      <c r="N10" s="24"/>
      <c r="O10" s="24"/>
      <c r="P10" s="24"/>
      <c r="Q10" s="24"/>
      <c r="R10" s="24"/>
      <c r="S10" s="24"/>
      <c r="T10" s="24"/>
      <c r="U10" s="24"/>
      <c r="V10" s="24"/>
      <c r="W10" s="25" t="s">
        <v>5235</v>
      </c>
      <c r="X10" s="8">
        <v>56.65</v>
      </c>
      <c r="Y10" s="8">
        <v>1.4</v>
      </c>
      <c r="Z10" s="9">
        <v>1.23</v>
      </c>
      <c r="AA10" s="8">
        <v>521.70000000000005</v>
      </c>
      <c r="AB10" s="8">
        <v>5043</v>
      </c>
      <c r="AC10" s="22" t="s">
        <v>5235</v>
      </c>
      <c r="AD10" s="8" t="s">
        <v>5305</v>
      </c>
      <c r="AE10" s="24"/>
      <c r="AF10" s="9">
        <f t="shared" si="0"/>
        <v>730.38</v>
      </c>
      <c r="AG10" s="9">
        <f t="shared" si="1"/>
        <v>721.68500000000006</v>
      </c>
      <c r="AH10" s="9">
        <f t="shared" si="2"/>
        <v>4.3578134919309042</v>
      </c>
      <c r="AI10" s="9">
        <f t="shared" si="3"/>
        <v>18.990538430455022</v>
      </c>
      <c r="AJ10" s="9">
        <f t="shared" si="4"/>
        <v>2.0537769103038426</v>
      </c>
      <c r="AK10" s="9">
        <f t="shared" si="5"/>
        <v>4.2179995972971982</v>
      </c>
      <c r="AL10" s="9">
        <f t="shared" si="6"/>
        <v>2.2528542495998169</v>
      </c>
      <c r="AM10" s="9">
        <f t="shared" si="7"/>
        <v>5.0753522699399545</v>
      </c>
      <c r="AN10" s="25" t="s">
        <v>5235</v>
      </c>
    </row>
    <row r="11" spans="8:40" ht="23">
      <c r="H11" s="24"/>
      <c r="I11" s="24"/>
      <c r="J11" s="24"/>
      <c r="K11" s="24"/>
      <c r="L11" s="24"/>
      <c r="M11" s="25" t="s">
        <v>5239</v>
      </c>
      <c r="N11" s="24"/>
      <c r="O11" s="24"/>
      <c r="P11" s="24"/>
      <c r="Q11" s="24"/>
      <c r="R11" s="24"/>
      <c r="S11" s="24"/>
      <c r="T11" s="24"/>
      <c r="U11" s="24"/>
      <c r="V11" s="24"/>
      <c r="W11" s="25" t="s">
        <v>5239</v>
      </c>
      <c r="X11" s="8">
        <v>1.52</v>
      </c>
      <c r="Y11" s="8">
        <v>3.83</v>
      </c>
      <c r="Z11" s="9">
        <v>0.15</v>
      </c>
      <c r="AA11" s="8">
        <v>123.9</v>
      </c>
      <c r="AB11" s="8">
        <v>35160</v>
      </c>
      <c r="AC11" s="22" t="s">
        <v>5239</v>
      </c>
      <c r="AD11" s="8" t="s">
        <v>5305</v>
      </c>
      <c r="AE11" s="24"/>
      <c r="AF11" s="9">
        <f t="shared" si="0"/>
        <v>474.53700000000003</v>
      </c>
      <c r="AG11" s="9">
        <f t="shared" si="1"/>
        <v>30.975000000000001</v>
      </c>
      <c r="AH11" s="9">
        <f t="shared" si="2"/>
        <v>1.0349493801998062</v>
      </c>
      <c r="AI11" s="9">
        <f t="shared" si="3"/>
        <v>1.071120219575963</v>
      </c>
      <c r="AJ11" s="9">
        <f t="shared" si="4"/>
        <v>1.3343644865478992</v>
      </c>
      <c r="AK11" s="9">
        <f t="shared" si="5"/>
        <v>1.7805285829602386</v>
      </c>
      <c r="AL11" s="9">
        <f t="shared" si="6"/>
        <v>9.6693377832924782E-2</v>
      </c>
      <c r="AM11" s="9">
        <f t="shared" si="7"/>
        <v>9.34960931674075E-3</v>
      </c>
      <c r="AN11" s="25" t="s">
        <v>5239</v>
      </c>
    </row>
    <row r="12" spans="8:40" ht="23">
      <c r="H12" s="24"/>
      <c r="I12" s="24"/>
      <c r="J12" s="24"/>
      <c r="K12" s="24"/>
      <c r="L12" s="24"/>
      <c r="M12" s="25" t="s">
        <v>5241</v>
      </c>
      <c r="N12" s="24"/>
      <c r="O12" s="24"/>
      <c r="P12" s="24"/>
      <c r="Q12" s="24"/>
      <c r="R12" s="24"/>
      <c r="S12" s="24"/>
      <c r="T12" s="24"/>
      <c r="U12" s="24"/>
      <c r="V12" s="24"/>
      <c r="W12" s="25" t="s">
        <v>5241</v>
      </c>
      <c r="X12" s="8">
        <v>8.91</v>
      </c>
      <c r="Y12" s="8">
        <v>2.67</v>
      </c>
      <c r="Z12" s="9">
        <v>0.56000000000000005</v>
      </c>
      <c r="AA12" s="8">
        <v>107.7</v>
      </c>
      <c r="AB12" s="8">
        <v>5903</v>
      </c>
      <c r="AC12" s="22" t="s">
        <v>5241</v>
      </c>
      <c r="AD12" s="8" t="s">
        <v>5305</v>
      </c>
      <c r="AE12" s="24"/>
      <c r="AF12" s="9">
        <f t="shared" si="0"/>
        <v>287.55900000000003</v>
      </c>
      <c r="AG12" s="9">
        <f t="shared" si="1"/>
        <v>100.52000000000001</v>
      </c>
      <c r="AH12" s="9">
        <f t="shared" si="2"/>
        <v>0.89962912225600611</v>
      </c>
      <c r="AI12" s="9">
        <f t="shared" si="3"/>
        <v>0.809332557611112</v>
      </c>
      <c r="AJ12" s="9">
        <f t="shared" si="4"/>
        <v>0.80859557292103112</v>
      </c>
      <c r="AK12" s="9">
        <f t="shared" si="5"/>
        <v>0.65382680054749054</v>
      </c>
      <c r="AL12" s="9">
        <f t="shared" si="6"/>
        <v>0.3137891312272994</v>
      </c>
      <c r="AM12" s="9">
        <f t="shared" si="7"/>
        <v>9.846361887638333E-2</v>
      </c>
      <c r="AN12" s="25" t="s">
        <v>5241</v>
      </c>
    </row>
    <row r="13" spans="8:40" ht="23">
      <c r="H13" s="24"/>
      <c r="I13" s="24"/>
      <c r="J13" s="24"/>
      <c r="K13" s="24"/>
      <c r="L13" s="24"/>
      <c r="M13" s="25" t="s">
        <v>5236</v>
      </c>
      <c r="N13" s="24"/>
      <c r="O13" s="24"/>
      <c r="P13" s="24" t="s">
        <v>4653</v>
      </c>
      <c r="Q13" s="24"/>
      <c r="R13" s="24"/>
      <c r="S13" s="24"/>
      <c r="T13" s="24"/>
      <c r="U13" s="24"/>
      <c r="V13" s="24"/>
      <c r="W13" s="25" t="s">
        <v>5236</v>
      </c>
      <c r="X13" s="8">
        <v>15.58</v>
      </c>
      <c r="Y13" s="8">
        <v>2.17</v>
      </c>
      <c r="Z13" s="9">
        <v>0.47</v>
      </c>
      <c r="AA13" s="8">
        <v>59.9</v>
      </c>
      <c r="AB13" s="8">
        <v>7854</v>
      </c>
      <c r="AC13" s="22" t="s">
        <v>5236</v>
      </c>
      <c r="AD13" s="8" t="s">
        <v>5305</v>
      </c>
      <c r="AE13" s="24"/>
      <c r="AF13" s="9">
        <f t="shared" si="0"/>
        <v>129.983</v>
      </c>
      <c r="AG13" s="9">
        <f t="shared" si="1"/>
        <v>46.921666666666667</v>
      </c>
      <c r="AH13" s="9">
        <f t="shared" si="2"/>
        <v>0.50035083029837291</v>
      </c>
      <c r="AI13" s="9">
        <f t="shared" si="3"/>
        <v>0.25035095338027114</v>
      </c>
      <c r="AJ13" s="9">
        <f t="shared" si="4"/>
        <v>0.36550300409653114</v>
      </c>
      <c r="AK13" s="9">
        <f t="shared" si="5"/>
        <v>0.13359244600358886</v>
      </c>
      <c r="AL13" s="9">
        <f t="shared" si="6"/>
        <v>0.14647342836321395</v>
      </c>
      <c r="AM13" s="9">
        <f t="shared" si="7"/>
        <v>2.1454465216473567E-2</v>
      </c>
      <c r="AN13" s="25" t="s">
        <v>5236</v>
      </c>
    </row>
    <row r="14" spans="8:40" ht="23">
      <c r="H14" s="8"/>
      <c r="I14" s="8"/>
      <c r="J14" s="8"/>
      <c r="K14" s="8"/>
      <c r="L14" s="8"/>
      <c r="M14" s="9" t="s">
        <v>5233</v>
      </c>
      <c r="N14" s="8"/>
      <c r="O14" s="8"/>
      <c r="P14" s="8"/>
      <c r="Q14" s="8"/>
      <c r="R14" s="8"/>
      <c r="S14" s="8"/>
      <c r="T14" s="8"/>
      <c r="U14" s="8"/>
      <c r="V14" s="8"/>
      <c r="W14" s="9" t="s">
        <v>5233</v>
      </c>
      <c r="X14" s="8">
        <v>0.88</v>
      </c>
      <c r="Y14" s="8">
        <v>2.96</v>
      </c>
      <c r="Z14" s="9">
        <v>0.24</v>
      </c>
      <c r="AA14" s="8">
        <v>48</v>
      </c>
      <c r="AB14" s="8">
        <v>46545</v>
      </c>
      <c r="AC14" s="22" t="s">
        <v>5233</v>
      </c>
      <c r="AD14" s="8" t="s">
        <v>5305</v>
      </c>
      <c r="AE14" s="8"/>
      <c r="AF14" s="9">
        <f t="shared" si="0"/>
        <v>142.07999999999998</v>
      </c>
      <c r="AG14" s="9">
        <f t="shared" si="1"/>
        <v>19.200000000000003</v>
      </c>
      <c r="AH14" s="9">
        <f t="shared" si="2"/>
        <v>0.40094891242607505</v>
      </c>
      <c r="AI14" s="9">
        <f t="shared" si="3"/>
        <v>0.1607600303756524</v>
      </c>
      <c r="AJ14" s="9">
        <f t="shared" si="4"/>
        <v>0.39951891264269279</v>
      </c>
      <c r="AK14" s="9">
        <f t="shared" si="5"/>
        <v>0.15961536155919959</v>
      </c>
      <c r="AL14" s="9">
        <f t="shared" si="6"/>
        <v>5.9935846792321418E-2</v>
      </c>
      <c r="AM14" s="9">
        <f t="shared" si="7"/>
        <v>3.5923057307126255E-3</v>
      </c>
      <c r="AN14" s="9" t="s">
        <v>5233</v>
      </c>
    </row>
    <row r="15" spans="8:40" ht="23">
      <c r="H15" s="24"/>
      <c r="I15" s="24"/>
      <c r="J15" s="24"/>
      <c r="K15" s="24"/>
      <c r="L15" s="24"/>
      <c r="M15" s="25"/>
      <c r="N15" s="24"/>
      <c r="O15" s="24"/>
      <c r="P15" s="24"/>
      <c r="Q15" s="24"/>
      <c r="R15" s="24"/>
      <c r="S15" s="24"/>
      <c r="T15" s="24"/>
      <c r="U15" s="24"/>
      <c r="V15" s="24"/>
      <c r="W15" s="25"/>
      <c r="X15" s="24"/>
      <c r="Y15" s="24"/>
      <c r="Z15" s="25"/>
      <c r="AA15" s="24">
        <f>SUBTOTAL(109,Table1361042111112[ترافیک کل])</f>
        <v>11971.599999999999</v>
      </c>
      <c r="AB15" s="24"/>
      <c r="AC15" s="25"/>
      <c r="AD15" s="24"/>
      <c r="AE15" s="24"/>
      <c r="AF15" s="9">
        <f>SUBTOTAL(109,Table1361042111112[[مجموع صفحات  مشاهده شده   ]])</f>
        <v>35562.771999999997</v>
      </c>
      <c r="AG15" s="9">
        <f>SUBTOTAL(109,Table1361042111112[[مجموع زمان حضور در سایت ]])</f>
        <v>32034.251666666663</v>
      </c>
      <c r="AH15" s="9">
        <f>SUBTOTAL(109,Table1361042111112[سهم سایت از کل ترافیک طبقه بندی])</f>
        <v>100</v>
      </c>
      <c r="AI15" s="9">
        <f>SUBTOTAL(109,Table1361042111112[شاخص هرفیندال هیرشمن (ترافیک)])</f>
        <v>1178.992187130624</v>
      </c>
      <c r="AJ15" s="9">
        <f>SUBTOTAL(109,Table1361042111112[سهم سایت از کل صفحات مشاهده شده در طبقه بندی])</f>
        <v>99.999999999999972</v>
      </c>
      <c r="AK15" s="9">
        <f>SUBTOTAL(109,Table1361042111112[شاخص هرفیندال -هیرشمن (صفحات مشاهده شده )])</f>
        <v>1858.797051127829</v>
      </c>
      <c r="AL15" s="9">
        <f>SUBTOTAL(109,Table1361042111112[سهم سایت از کل زمان حضور در طبقه بندی])</f>
        <v>100</v>
      </c>
      <c r="AM15" s="9">
        <f>SUBTOTAL(109,Table1361042111112[شاخص هرفیندال هیرشمن (زمان حضور)])</f>
        <v>1507.1810063886837</v>
      </c>
      <c r="AN15" s="25"/>
    </row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{4051A8DF-D7E9-4FF6-B724-683862E57952}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{C02545E5-9F7B-43BC-8481-AFB5B646FE86}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{C5BECB9B-19D6-4340-8762-DD1AB4B0246A}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{2AB4C28D-F863-4BC5-B4B1-AF5CE3D69400}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{860FDD65-8FB8-4A33-8114-BBA26724AD91}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{1937803F-BC3D-43BD-80C4-A43958269A54}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051A8DF-D7E9-4FF6-B724-683862E5795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C02545E5-9F7B-43BC-8481-AFB5B646FE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5BECB9B-19D6-4340-8762-DD1AB4B0246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AB4C28D-F863-4BC5-B4B1-AF5CE3D6940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60FDD65-8FB8-4A33-8114-BBA26724AD9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1937803F-BC3D-43BD-80C4-A43958269A5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00"/>
  <sheetViews>
    <sheetView showGridLines="0" rightToLeft="1" topLeftCell="Q1" zoomScale="70" zoomScaleNormal="70" workbookViewId="0">
      <selection activeCell="AB8" sqref="AB8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3751</v>
      </c>
      <c r="N2" s="8"/>
      <c r="O2" s="8"/>
      <c r="P2" s="8"/>
      <c r="Q2" s="8"/>
      <c r="R2" s="8"/>
      <c r="S2" s="8"/>
      <c r="T2" s="8"/>
      <c r="U2" s="8"/>
      <c r="V2" s="8"/>
      <c r="W2" s="8" t="s">
        <v>3751</v>
      </c>
      <c r="X2" s="8">
        <v>85.06</v>
      </c>
      <c r="Y2" s="8">
        <v>1.31</v>
      </c>
      <c r="Z2" s="9">
        <v>1.34</v>
      </c>
      <c r="AA2" s="8">
        <v>28072.799999999999</v>
      </c>
      <c r="AB2" s="8">
        <v>35</v>
      </c>
      <c r="AC2" s="21" t="s">
        <v>3751</v>
      </c>
      <c r="AD2" s="8" t="s">
        <v>4158</v>
      </c>
      <c r="AE2" s="8" t="s">
        <v>3722</v>
      </c>
      <c r="AF2" s="8">
        <f t="shared" ref="AF2:AF33" si="0">(AA2*Y2)</f>
        <v>36775.368000000002</v>
      </c>
      <c r="AG2" s="9">
        <f t="shared" ref="AG2:AG33" si="1">((((RIGHT(Z2,2))/60)+(LEFT(Z2,2)))*AA2)</f>
        <v>43980.72</v>
      </c>
      <c r="AN2" s="1"/>
    </row>
    <row r="3" spans="8:40" ht="23.5" customHeight="1">
      <c r="M3" s="8" t="s">
        <v>3816</v>
      </c>
      <c r="N3" s="8"/>
      <c r="O3" s="8"/>
      <c r="P3" s="8"/>
      <c r="Q3" s="8"/>
      <c r="R3" s="8"/>
      <c r="S3" s="8"/>
      <c r="T3" s="8"/>
      <c r="U3" s="8"/>
      <c r="V3" s="8"/>
      <c r="W3" s="8" t="s">
        <v>3816</v>
      </c>
      <c r="X3" s="8">
        <v>56.02</v>
      </c>
      <c r="Y3" s="8">
        <v>5.53</v>
      </c>
      <c r="Z3" s="9">
        <v>4.07</v>
      </c>
      <c r="AA3" s="8">
        <v>6903.5</v>
      </c>
      <c r="AB3" s="8">
        <v>51</v>
      </c>
      <c r="AC3" s="21" t="s">
        <v>3816</v>
      </c>
      <c r="AD3" s="8" t="s">
        <v>4633</v>
      </c>
      <c r="AE3" s="8" t="s">
        <v>3722</v>
      </c>
      <c r="AF3" s="8">
        <f t="shared" si="0"/>
        <v>38176.355000000003</v>
      </c>
      <c r="AG3" s="9">
        <f t="shared" si="1"/>
        <v>28419.408333333329</v>
      </c>
      <c r="AN3" s="1"/>
    </row>
    <row r="4" spans="8:40" ht="21.5" customHeight="1">
      <c r="M4" s="8" t="s">
        <v>3962</v>
      </c>
      <c r="N4" s="8"/>
      <c r="O4" s="8"/>
      <c r="P4" s="8"/>
      <c r="Q4" s="8"/>
      <c r="R4" s="8"/>
      <c r="S4" s="8"/>
      <c r="T4" s="8"/>
      <c r="U4" s="8"/>
      <c r="V4" s="8"/>
      <c r="W4" s="8" t="s">
        <v>3962</v>
      </c>
      <c r="X4" s="8">
        <v>60.75</v>
      </c>
      <c r="Y4" s="8">
        <v>2.2799999999999998</v>
      </c>
      <c r="Z4" s="9">
        <v>3.11</v>
      </c>
      <c r="AA4" s="8">
        <v>6603.5</v>
      </c>
      <c r="AB4" s="8">
        <v>531</v>
      </c>
      <c r="AC4" s="21" t="s">
        <v>3962</v>
      </c>
      <c r="AD4" s="8" t="s">
        <v>4471</v>
      </c>
      <c r="AE4" s="8" t="s">
        <v>3722</v>
      </c>
      <c r="AF4" s="8">
        <f t="shared" si="0"/>
        <v>15055.98</v>
      </c>
      <c r="AG4" s="9">
        <f t="shared" si="1"/>
        <v>21021.141666666666</v>
      </c>
      <c r="AN4" s="1"/>
    </row>
    <row r="5" spans="8:40" ht="23">
      <c r="M5" s="8" t="s">
        <v>3766</v>
      </c>
      <c r="N5" s="8"/>
      <c r="O5" s="8"/>
      <c r="P5" s="8"/>
      <c r="Q5" s="8"/>
      <c r="R5" s="8"/>
      <c r="S5" s="8"/>
      <c r="T5" s="8"/>
      <c r="U5" s="8"/>
      <c r="V5" s="8"/>
      <c r="W5" s="8" t="s">
        <v>3766</v>
      </c>
      <c r="X5" s="8">
        <v>90.45</v>
      </c>
      <c r="Y5" s="8">
        <v>1.1399999999999999</v>
      </c>
      <c r="Z5" s="9">
        <v>0.49</v>
      </c>
      <c r="AA5" s="8">
        <v>5558.2</v>
      </c>
      <c r="AB5" s="8">
        <v>131</v>
      </c>
      <c r="AC5" s="21" t="s">
        <v>3766</v>
      </c>
      <c r="AD5" s="8" t="s">
        <v>4291</v>
      </c>
      <c r="AE5" s="8" t="s">
        <v>3722</v>
      </c>
      <c r="AF5" s="14">
        <f t="shared" si="0"/>
        <v>6336.347999999999</v>
      </c>
      <c r="AG5" s="9">
        <f t="shared" si="1"/>
        <v>4539.1966666666667</v>
      </c>
      <c r="AN5" s="1"/>
    </row>
    <row r="6" spans="8:40" ht="23" customHeight="1">
      <c r="M6" s="8" t="s">
        <v>596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596</v>
      </c>
      <c r="X6" s="8">
        <v>60.6</v>
      </c>
      <c r="Y6" s="8">
        <v>2.16</v>
      </c>
      <c r="Z6" s="9">
        <v>2.04</v>
      </c>
      <c r="AA6" s="8">
        <v>5014.2</v>
      </c>
      <c r="AB6" s="8">
        <v>205</v>
      </c>
      <c r="AC6" s="21" t="s">
        <v>596</v>
      </c>
      <c r="AD6" s="8" t="s">
        <v>4633</v>
      </c>
      <c r="AE6" s="8" t="s">
        <v>3722</v>
      </c>
      <c r="AF6" s="8">
        <f t="shared" si="0"/>
        <v>10830.672</v>
      </c>
      <c r="AG6" s="9">
        <f t="shared" si="1"/>
        <v>10362.68</v>
      </c>
      <c r="AN6" s="1"/>
    </row>
    <row r="7" spans="8:40" ht="23.5" customHeight="1">
      <c r="M7" s="8" t="s">
        <v>3772</v>
      </c>
      <c r="N7" s="8"/>
      <c r="O7" s="8"/>
      <c r="P7" s="8"/>
      <c r="Q7" s="8"/>
      <c r="R7" s="8"/>
      <c r="S7" s="8"/>
      <c r="T7" s="8"/>
      <c r="U7" s="8"/>
      <c r="V7" s="8"/>
      <c r="W7" s="8" t="s">
        <v>3772</v>
      </c>
      <c r="X7" s="8">
        <v>59.12</v>
      </c>
      <c r="Y7" s="8">
        <v>3.5</v>
      </c>
      <c r="Z7" s="9">
        <v>6</v>
      </c>
      <c r="AA7" s="8">
        <v>4014.4</v>
      </c>
      <c r="AB7" s="8">
        <v>106</v>
      </c>
      <c r="AC7" s="21" t="s">
        <v>3772</v>
      </c>
      <c r="AD7" s="8" t="s">
        <v>3699</v>
      </c>
      <c r="AE7" s="8" t="s">
        <v>3722</v>
      </c>
      <c r="AF7" s="8">
        <f t="shared" si="0"/>
        <v>14050.4</v>
      </c>
      <c r="AG7" s="9">
        <f t="shared" si="1"/>
        <v>24487.84</v>
      </c>
      <c r="AN7" s="1"/>
    </row>
    <row r="8" spans="8:40" ht="22" customHeight="1">
      <c r="M8" s="8" t="s">
        <v>3926</v>
      </c>
      <c r="N8" s="8"/>
      <c r="O8" s="8"/>
      <c r="P8" s="8"/>
      <c r="Q8" s="8"/>
      <c r="R8" s="8"/>
      <c r="S8" s="8"/>
      <c r="T8" s="8"/>
      <c r="U8" s="8"/>
      <c r="V8" s="8"/>
      <c r="W8" s="8" t="s">
        <v>3926</v>
      </c>
      <c r="X8" s="8">
        <v>68.349999999999994</v>
      </c>
      <c r="Y8" s="8">
        <v>2.44</v>
      </c>
      <c r="Z8" s="9">
        <v>2.1800000000000002</v>
      </c>
      <c r="AA8" s="8">
        <v>3524.9</v>
      </c>
      <c r="AB8" s="8">
        <v>360</v>
      </c>
      <c r="AC8" s="21" t="s">
        <v>3926</v>
      </c>
      <c r="AD8" s="8" t="s">
        <v>4444</v>
      </c>
      <c r="AE8" s="8" t="s">
        <v>3722</v>
      </c>
      <c r="AF8" s="8">
        <f t="shared" si="0"/>
        <v>8600.7559999999994</v>
      </c>
      <c r="AG8" s="9">
        <f t="shared" si="1"/>
        <v>8107.2699999999995</v>
      </c>
    </row>
    <row r="9" spans="8:40" ht="23" customHeight="1">
      <c r="M9" s="8" t="s">
        <v>3838</v>
      </c>
      <c r="N9" s="8"/>
      <c r="O9" s="8"/>
      <c r="P9" s="8"/>
      <c r="Q9" s="8"/>
      <c r="R9" s="8"/>
      <c r="S9" s="8"/>
      <c r="T9" s="8"/>
      <c r="U9" s="8"/>
      <c r="V9" s="8"/>
      <c r="W9" s="8" t="s">
        <v>3838</v>
      </c>
      <c r="X9" s="8">
        <v>76.16</v>
      </c>
      <c r="Y9" s="8">
        <v>1.39</v>
      </c>
      <c r="Z9" s="9">
        <v>0.49</v>
      </c>
      <c r="AA9" s="8">
        <v>2865.5</v>
      </c>
      <c r="AB9" s="8">
        <v>631</v>
      </c>
      <c r="AC9" s="21" t="s">
        <v>3838</v>
      </c>
      <c r="AD9" s="8" t="s">
        <v>4046</v>
      </c>
      <c r="AE9" s="8" t="s">
        <v>3722</v>
      </c>
      <c r="AF9" s="8">
        <f t="shared" si="0"/>
        <v>3983.0449999999996</v>
      </c>
      <c r="AG9" s="9">
        <f t="shared" si="1"/>
        <v>2340.1583333333333</v>
      </c>
      <c r="AN9" s="1"/>
    </row>
    <row r="10" spans="8:40" ht="26" customHeight="1">
      <c r="M10" s="9" t="s">
        <v>2220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9" t="s">
        <v>2220</v>
      </c>
      <c r="X10" s="8">
        <v>68.12</v>
      </c>
      <c r="Y10" s="8">
        <v>1.86</v>
      </c>
      <c r="Z10" s="9">
        <v>1.37</v>
      </c>
      <c r="AA10" s="8">
        <v>2841.9</v>
      </c>
      <c r="AB10" s="8">
        <v>333</v>
      </c>
      <c r="AC10" s="22" t="s">
        <v>2220</v>
      </c>
      <c r="AD10" s="8" t="s">
        <v>4046</v>
      </c>
      <c r="AE10" s="8" t="s">
        <v>3722</v>
      </c>
      <c r="AF10" s="8">
        <f t="shared" si="0"/>
        <v>5285.9340000000002</v>
      </c>
      <c r="AG10" s="9">
        <f t="shared" si="1"/>
        <v>4594.4050000000007</v>
      </c>
    </row>
    <row r="11" spans="8:40" ht="22.5" customHeight="1">
      <c r="M11" s="8" t="s">
        <v>3848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3848</v>
      </c>
      <c r="X11" s="8">
        <v>31.2</v>
      </c>
      <c r="Y11" s="8">
        <v>1.95</v>
      </c>
      <c r="Z11" s="9">
        <v>0.36</v>
      </c>
      <c r="AA11" s="8">
        <v>2594.1</v>
      </c>
      <c r="AB11" s="8">
        <v>568</v>
      </c>
      <c r="AC11" s="21" t="s">
        <v>3848</v>
      </c>
      <c r="AD11" s="8" t="s">
        <v>4442</v>
      </c>
      <c r="AE11" s="8" t="s">
        <v>3722</v>
      </c>
      <c r="AF11" s="8">
        <f t="shared" si="0"/>
        <v>5058.4949999999999</v>
      </c>
      <c r="AG11" s="9">
        <f t="shared" si="1"/>
        <v>1556.4599999999998</v>
      </c>
      <c r="AN11" s="1"/>
    </row>
    <row r="12" spans="8:40" ht="28.5" customHeight="1">
      <c r="M12" s="8" t="s">
        <v>3830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3830</v>
      </c>
      <c r="X12" s="8">
        <v>41.55</v>
      </c>
      <c r="Y12" s="8">
        <v>3.25</v>
      </c>
      <c r="Z12" s="9">
        <v>2.59</v>
      </c>
      <c r="AA12" s="8">
        <v>2553.3000000000002</v>
      </c>
      <c r="AB12" s="8">
        <v>350</v>
      </c>
      <c r="AC12" s="21" t="s">
        <v>3830</v>
      </c>
      <c r="AD12" s="8" t="s">
        <v>4046</v>
      </c>
      <c r="AE12" s="8" t="s">
        <v>3722</v>
      </c>
      <c r="AF12" s="8">
        <f t="shared" si="0"/>
        <v>8298.2250000000004</v>
      </c>
      <c r="AG12" s="9">
        <f t="shared" si="1"/>
        <v>7617.3450000000003</v>
      </c>
      <c r="AN12" s="1"/>
    </row>
    <row r="13" spans="8:40" ht="24" customHeight="1">
      <c r="M13" s="8" t="s">
        <v>3971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3971</v>
      </c>
      <c r="X13" s="8">
        <v>60.21</v>
      </c>
      <c r="Y13" s="8">
        <v>2.2999999999999998</v>
      </c>
      <c r="Z13" s="9">
        <v>3.09</v>
      </c>
      <c r="AA13" s="8">
        <v>2317.5</v>
      </c>
      <c r="AB13" s="8">
        <v>551</v>
      </c>
      <c r="AC13" s="21" t="s">
        <v>3971</v>
      </c>
      <c r="AD13" s="8" t="s">
        <v>3722</v>
      </c>
      <c r="AE13" s="8" t="s">
        <v>3722</v>
      </c>
      <c r="AF13" s="8">
        <f t="shared" si="0"/>
        <v>5330.25</v>
      </c>
      <c r="AG13" s="9">
        <f t="shared" si="1"/>
        <v>7300.125</v>
      </c>
      <c r="AN13" s="1"/>
    </row>
    <row r="14" spans="8:40" ht="24" customHeight="1">
      <c r="M14" s="9" t="s">
        <v>2554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9" t="s">
        <v>2554</v>
      </c>
      <c r="X14" s="8">
        <v>80.7</v>
      </c>
      <c r="Y14" s="8">
        <v>1.42</v>
      </c>
      <c r="Z14" s="9">
        <v>0.56000000000000005</v>
      </c>
      <c r="AA14" s="8">
        <v>2308.3000000000002</v>
      </c>
      <c r="AB14" s="8">
        <v>1224</v>
      </c>
      <c r="AC14" s="22" t="s">
        <v>2554</v>
      </c>
      <c r="AD14" s="8" t="s">
        <v>4030</v>
      </c>
      <c r="AE14" s="8" t="s">
        <v>3722</v>
      </c>
      <c r="AF14" s="8">
        <f t="shared" si="0"/>
        <v>3277.7860000000001</v>
      </c>
      <c r="AG14" s="9">
        <f t="shared" si="1"/>
        <v>2154.4133333333334</v>
      </c>
      <c r="AN14" s="1"/>
    </row>
    <row r="15" spans="8:40" ht="25.5" customHeight="1">
      <c r="M15" s="8" t="s">
        <v>3858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3858</v>
      </c>
      <c r="X15" s="8">
        <v>36.049999999999997</v>
      </c>
      <c r="Y15" s="8">
        <v>2.68</v>
      </c>
      <c r="Z15" s="9">
        <v>1.1499999999999999</v>
      </c>
      <c r="AA15" s="8">
        <v>2253.9</v>
      </c>
      <c r="AB15" s="8">
        <v>221</v>
      </c>
      <c r="AC15" s="21" t="s">
        <v>3858</v>
      </c>
      <c r="AD15" s="8" t="s">
        <v>4442</v>
      </c>
      <c r="AE15" s="8" t="s">
        <v>3722</v>
      </c>
      <c r="AF15" s="8">
        <f t="shared" si="0"/>
        <v>6040.4520000000002</v>
      </c>
      <c r="AG15" s="9">
        <f t="shared" si="1"/>
        <v>2817.375</v>
      </c>
      <c r="AN15" s="1"/>
    </row>
    <row r="16" spans="8:40" ht="23">
      <c r="M16" s="9" t="s">
        <v>2183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9" t="s">
        <v>2183</v>
      </c>
      <c r="X16" s="8">
        <v>72.739999999999995</v>
      </c>
      <c r="Y16" s="8">
        <v>1.47</v>
      </c>
      <c r="Z16" s="9">
        <v>1.45</v>
      </c>
      <c r="AA16" s="8">
        <v>1610.9</v>
      </c>
      <c r="AB16" s="8">
        <v>1355</v>
      </c>
      <c r="AC16" s="22" t="s">
        <v>2183</v>
      </c>
      <c r="AD16" s="8" t="s">
        <v>4043</v>
      </c>
      <c r="AE16" s="8" t="s">
        <v>3722</v>
      </c>
      <c r="AF16" s="8">
        <f t="shared" si="0"/>
        <v>2368.0230000000001</v>
      </c>
      <c r="AG16" s="9">
        <f t="shared" si="1"/>
        <v>2819.0750000000003</v>
      </c>
      <c r="AN16" s="1"/>
    </row>
    <row r="17" spans="13:40" ht="23">
      <c r="M17" s="8" t="s">
        <v>5320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5320</v>
      </c>
      <c r="X17" s="8">
        <v>75.7</v>
      </c>
      <c r="Y17" s="8">
        <v>1.38</v>
      </c>
      <c r="Z17" s="9">
        <v>0.5</v>
      </c>
      <c r="AA17" s="8">
        <v>1261.2</v>
      </c>
      <c r="AB17" s="8">
        <v>1314</v>
      </c>
      <c r="AC17" s="21" t="s">
        <v>5320</v>
      </c>
      <c r="AD17" s="8" t="s">
        <v>5321</v>
      </c>
      <c r="AE17" s="8" t="s">
        <v>3722</v>
      </c>
      <c r="AF17" s="14">
        <f t="shared" si="0"/>
        <v>1740.4559999999999</v>
      </c>
      <c r="AG17" s="9">
        <f t="shared" si="1"/>
        <v>10.51</v>
      </c>
      <c r="AN17" s="1"/>
    </row>
    <row r="18" spans="13:40" ht="22" customHeight="1">
      <c r="M18" s="8" t="s">
        <v>3889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3889</v>
      </c>
      <c r="X18" s="8">
        <v>35.549999999999997</v>
      </c>
      <c r="Y18" s="8">
        <v>4.9000000000000004</v>
      </c>
      <c r="Z18" s="9">
        <v>4.43</v>
      </c>
      <c r="AA18" s="8">
        <v>1159.0999999999999</v>
      </c>
      <c r="AB18" s="8">
        <v>210</v>
      </c>
      <c r="AC18" s="21" t="s">
        <v>3889</v>
      </c>
      <c r="AD18" s="8" t="s">
        <v>4301</v>
      </c>
      <c r="AE18" s="8" t="s">
        <v>3722</v>
      </c>
      <c r="AF18" s="14">
        <f t="shared" si="0"/>
        <v>5679.59</v>
      </c>
      <c r="AG18" s="9">
        <f t="shared" si="1"/>
        <v>5467.0883333333331</v>
      </c>
      <c r="AN18" s="1"/>
    </row>
    <row r="19" spans="13:40" ht="23">
      <c r="M19" s="8" t="s">
        <v>587</v>
      </c>
      <c r="N19" s="8" t="s">
        <v>150</v>
      </c>
      <c r="O19" s="8"/>
      <c r="P19" s="8"/>
      <c r="Q19" s="8"/>
      <c r="R19" s="8"/>
      <c r="S19" s="8"/>
      <c r="T19" s="8"/>
      <c r="U19" s="8"/>
      <c r="V19" s="8"/>
      <c r="W19" s="8" t="s">
        <v>587</v>
      </c>
      <c r="X19" s="8">
        <v>47.23</v>
      </c>
      <c r="Y19" s="8">
        <v>3.39</v>
      </c>
      <c r="Z19" s="9">
        <v>4.01</v>
      </c>
      <c r="AA19" s="8">
        <v>1069.8</v>
      </c>
      <c r="AB19" s="8">
        <v>860</v>
      </c>
      <c r="AC19" s="21" t="s">
        <v>587</v>
      </c>
      <c r="AD19" s="8" t="s">
        <v>4139</v>
      </c>
      <c r="AE19" s="8" t="s">
        <v>3722</v>
      </c>
      <c r="AF19" s="8">
        <f t="shared" si="0"/>
        <v>3626.6219999999998</v>
      </c>
      <c r="AG19" s="9">
        <f t="shared" si="1"/>
        <v>4297.03</v>
      </c>
      <c r="AN19" s="1"/>
    </row>
    <row r="20" spans="13:40" ht="23" customHeight="1">
      <c r="M20" s="8" t="s">
        <v>430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430</v>
      </c>
      <c r="X20" s="8">
        <v>49.22</v>
      </c>
      <c r="Y20" s="8">
        <v>1.9</v>
      </c>
      <c r="Z20" s="9">
        <v>0.39</v>
      </c>
      <c r="AA20" s="8">
        <v>1026.9000000000001</v>
      </c>
      <c r="AB20" s="8">
        <v>857</v>
      </c>
      <c r="AC20" s="21" t="s">
        <v>430</v>
      </c>
      <c r="AD20" s="8" t="s">
        <v>4139</v>
      </c>
      <c r="AE20" s="8" t="s">
        <v>3722</v>
      </c>
      <c r="AF20" s="8">
        <f t="shared" si="0"/>
        <v>1951.1100000000001</v>
      </c>
      <c r="AG20" s="9">
        <f t="shared" si="1"/>
        <v>667.48500000000013</v>
      </c>
      <c r="AN20" s="28"/>
    </row>
    <row r="21" spans="13:40" ht="23">
      <c r="M21" s="8" t="s">
        <v>1584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1584</v>
      </c>
      <c r="X21" s="8">
        <v>53.26</v>
      </c>
      <c r="Y21" s="8">
        <v>1.23</v>
      </c>
      <c r="Z21" s="9">
        <v>0.04</v>
      </c>
      <c r="AA21" s="8">
        <v>610.20000000000005</v>
      </c>
      <c r="AB21" s="8">
        <v>10320</v>
      </c>
      <c r="AC21" s="21" t="s">
        <v>1584</v>
      </c>
      <c r="AD21" s="8" t="s">
        <v>4146</v>
      </c>
      <c r="AE21" s="8" t="s">
        <v>3722</v>
      </c>
      <c r="AF21" s="8">
        <f t="shared" si="0"/>
        <v>750.54600000000005</v>
      </c>
      <c r="AG21" s="9">
        <f t="shared" si="1"/>
        <v>40.68</v>
      </c>
      <c r="AN21" s="28"/>
    </row>
    <row r="22" spans="13:40" ht="23">
      <c r="M22" s="8" t="s">
        <v>613</v>
      </c>
      <c r="N22" s="8" t="s">
        <v>150</v>
      </c>
      <c r="O22" s="8"/>
      <c r="P22" s="8" t="s">
        <v>3691</v>
      </c>
      <c r="Q22" s="8"/>
      <c r="R22" s="8"/>
      <c r="S22" s="8"/>
      <c r="T22" s="8"/>
      <c r="U22" s="8"/>
      <c r="V22" s="8"/>
      <c r="W22" s="8" t="s">
        <v>613</v>
      </c>
      <c r="X22" s="8">
        <v>50.75</v>
      </c>
      <c r="Y22" s="8">
        <v>1.82</v>
      </c>
      <c r="Z22" s="9">
        <v>1.08</v>
      </c>
      <c r="AA22" s="8">
        <v>564.9</v>
      </c>
      <c r="AB22" s="8">
        <v>1896</v>
      </c>
      <c r="AC22" s="21" t="s">
        <v>613</v>
      </c>
      <c r="AD22" s="8" t="s">
        <v>4367</v>
      </c>
      <c r="AE22" s="8" t="s">
        <v>3722</v>
      </c>
      <c r="AF22" s="8">
        <f t="shared" si="0"/>
        <v>1028.1179999999999</v>
      </c>
      <c r="AG22" s="9">
        <f t="shared" si="1"/>
        <v>640.21999999999991</v>
      </c>
      <c r="AN22" s="1"/>
    </row>
    <row r="23" spans="13:40" ht="23">
      <c r="M23" s="8" t="s">
        <v>1954</v>
      </c>
      <c r="N23" s="8" t="s">
        <v>1939</v>
      </c>
      <c r="O23" s="8"/>
      <c r="P23" s="8"/>
      <c r="Q23" s="8"/>
      <c r="R23" s="8"/>
      <c r="S23" s="8"/>
      <c r="T23" s="8"/>
      <c r="U23" s="8"/>
      <c r="V23" s="8"/>
      <c r="W23" s="8" t="s">
        <v>1954</v>
      </c>
      <c r="X23" s="8">
        <v>47.25</v>
      </c>
      <c r="Y23" s="8">
        <v>1.98</v>
      </c>
      <c r="Z23" s="9">
        <v>0.54</v>
      </c>
      <c r="AA23" s="8">
        <v>489.4</v>
      </c>
      <c r="AB23" s="8">
        <v>2432</v>
      </c>
      <c r="AC23" s="21" t="s">
        <v>1954</v>
      </c>
      <c r="AD23" s="8" t="s">
        <v>3722</v>
      </c>
      <c r="AE23" s="8" t="s">
        <v>3722</v>
      </c>
      <c r="AF23" s="8">
        <f t="shared" si="0"/>
        <v>969.01199999999994</v>
      </c>
      <c r="AG23" s="9">
        <f t="shared" si="1"/>
        <v>440.46</v>
      </c>
      <c r="AN23" s="1"/>
    </row>
    <row r="24" spans="13:40" ht="23">
      <c r="M24" s="9" t="s">
        <v>3024</v>
      </c>
      <c r="N24" s="8" t="s">
        <v>1814</v>
      </c>
      <c r="O24" s="8"/>
      <c r="P24" s="8"/>
      <c r="Q24" s="8"/>
      <c r="R24" s="8"/>
      <c r="S24" s="8"/>
      <c r="T24" s="8"/>
      <c r="U24" s="8"/>
      <c r="V24" s="8"/>
      <c r="W24" s="9" t="s">
        <v>3024</v>
      </c>
      <c r="X24" s="8">
        <v>4.13</v>
      </c>
      <c r="Y24" s="8">
        <v>8.23</v>
      </c>
      <c r="Z24" s="9">
        <v>10.33</v>
      </c>
      <c r="AA24" s="8">
        <v>457.7</v>
      </c>
      <c r="AB24" s="8">
        <v>1521</v>
      </c>
      <c r="AC24" s="22" t="s">
        <v>3024</v>
      </c>
      <c r="AD24" s="8" t="s">
        <v>4210</v>
      </c>
      <c r="AE24" s="8" t="s">
        <v>3722</v>
      </c>
      <c r="AF24" s="8">
        <f t="shared" si="0"/>
        <v>3766.8710000000001</v>
      </c>
      <c r="AG24" s="9">
        <f t="shared" si="1"/>
        <v>4828.7350000000006</v>
      </c>
      <c r="AN24" s="1"/>
    </row>
    <row r="25" spans="13:40" ht="23">
      <c r="M25" s="8" t="s">
        <v>1961</v>
      </c>
      <c r="N25" s="8" t="s">
        <v>1939</v>
      </c>
      <c r="O25" s="8"/>
      <c r="P25" s="8"/>
      <c r="Q25" s="8"/>
      <c r="R25" s="8"/>
      <c r="S25" s="8"/>
      <c r="T25" s="8"/>
      <c r="U25" s="8"/>
      <c r="V25" s="8"/>
      <c r="W25" s="8" t="s">
        <v>1961</v>
      </c>
      <c r="X25" s="8">
        <v>55</v>
      </c>
      <c r="Y25" s="8">
        <v>1.55</v>
      </c>
      <c r="Z25" s="9">
        <v>1.56</v>
      </c>
      <c r="AA25" s="8">
        <v>449.6</v>
      </c>
      <c r="AB25" s="8">
        <v>2799</v>
      </c>
      <c r="AC25" s="21" t="s">
        <v>1961</v>
      </c>
      <c r="AD25" s="8" t="s">
        <v>4102</v>
      </c>
      <c r="AE25" s="8" t="s">
        <v>3722</v>
      </c>
      <c r="AF25" s="8">
        <f t="shared" si="0"/>
        <v>696.88000000000011</v>
      </c>
      <c r="AG25" s="9">
        <f t="shared" si="1"/>
        <v>869.22666666666669</v>
      </c>
      <c r="AN25" s="1"/>
    </row>
    <row r="26" spans="13:40" ht="23">
      <c r="M26" s="9" t="s">
        <v>2170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9" t="s">
        <v>2170</v>
      </c>
      <c r="X26" s="8">
        <v>41.75</v>
      </c>
      <c r="Y26" s="8">
        <v>1.34</v>
      </c>
      <c r="Z26" s="9">
        <v>0.18</v>
      </c>
      <c r="AA26" s="8">
        <v>240.6</v>
      </c>
      <c r="AB26" s="8">
        <v>7615</v>
      </c>
      <c r="AC26" s="22" t="s">
        <v>2170</v>
      </c>
      <c r="AD26" s="8" t="s">
        <v>4030</v>
      </c>
      <c r="AE26" s="8" t="s">
        <v>3722</v>
      </c>
      <c r="AF26" s="8">
        <f t="shared" si="0"/>
        <v>322.404</v>
      </c>
      <c r="AG26" s="9">
        <f t="shared" si="1"/>
        <v>72.179999999999993</v>
      </c>
      <c r="AN26" s="1"/>
    </row>
    <row r="27" spans="13:40" ht="23">
      <c r="M27" s="8" t="s">
        <v>465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465</v>
      </c>
      <c r="X27" s="8">
        <v>34.200000000000003</v>
      </c>
      <c r="Y27" s="8">
        <v>1.2</v>
      </c>
      <c r="Z27" s="9">
        <v>0.57999999999999996</v>
      </c>
      <c r="AA27" s="8">
        <v>223.9</v>
      </c>
      <c r="AB27" s="8">
        <v>16848</v>
      </c>
      <c r="AC27" s="21" t="s">
        <v>465</v>
      </c>
      <c r="AD27" s="8" t="s">
        <v>4130</v>
      </c>
      <c r="AE27" s="8" t="s">
        <v>3722</v>
      </c>
      <c r="AF27" s="8">
        <f t="shared" si="0"/>
        <v>268.68</v>
      </c>
      <c r="AG27" s="9">
        <f t="shared" si="1"/>
        <v>216.43666666666667</v>
      </c>
      <c r="AN27" s="1"/>
    </row>
    <row r="28" spans="13:40" ht="23">
      <c r="M28" s="9" t="s">
        <v>2653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9" t="s">
        <v>2653</v>
      </c>
      <c r="X28" s="8">
        <v>29.31</v>
      </c>
      <c r="Y28" s="8">
        <v>1.84</v>
      </c>
      <c r="Z28" s="9">
        <v>1.55</v>
      </c>
      <c r="AA28" s="8">
        <v>197.6</v>
      </c>
      <c r="AB28" s="8">
        <v>6056</v>
      </c>
      <c r="AC28" s="22" t="s">
        <v>2653</v>
      </c>
      <c r="AD28" s="8" t="s">
        <v>4046</v>
      </c>
      <c r="AE28" s="8" t="s">
        <v>3722</v>
      </c>
      <c r="AF28" s="8">
        <f t="shared" si="0"/>
        <v>363.584</v>
      </c>
      <c r="AG28" s="9">
        <f t="shared" si="1"/>
        <v>378.73333333333329</v>
      </c>
      <c r="AN28" s="1"/>
    </row>
    <row r="29" spans="13:40" ht="23">
      <c r="M29" s="8" t="s">
        <v>5319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5319</v>
      </c>
      <c r="X29" s="8">
        <v>19.329999999999998</v>
      </c>
      <c r="Y29" s="8">
        <v>2.33</v>
      </c>
      <c r="Z29" s="9">
        <v>0.53</v>
      </c>
      <c r="AA29" s="8">
        <v>196.3</v>
      </c>
      <c r="AB29" s="8">
        <v>27044</v>
      </c>
      <c r="AC29" s="21" t="s">
        <v>5319</v>
      </c>
      <c r="AD29" s="8" t="s">
        <v>4030</v>
      </c>
      <c r="AE29" s="8" t="s">
        <v>3722</v>
      </c>
      <c r="AF29" s="14">
        <f t="shared" si="0"/>
        <v>457.37900000000002</v>
      </c>
      <c r="AG29" s="9">
        <f t="shared" si="1"/>
        <v>173.39833333333334</v>
      </c>
      <c r="AN29" s="1"/>
    </row>
    <row r="30" spans="13:40" ht="23">
      <c r="M30" s="8" t="s">
        <v>907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907</v>
      </c>
      <c r="X30" s="8">
        <v>28.1</v>
      </c>
      <c r="Y30" s="8">
        <v>1.7</v>
      </c>
      <c r="Z30" s="9">
        <v>0.22</v>
      </c>
      <c r="AA30" s="8">
        <v>144.5</v>
      </c>
      <c r="AB30" s="8">
        <v>8882</v>
      </c>
      <c r="AC30" s="21" t="s">
        <v>907</v>
      </c>
      <c r="AD30" s="8" t="s">
        <v>4059</v>
      </c>
      <c r="AE30" s="8" t="s">
        <v>3722</v>
      </c>
      <c r="AF30" s="14">
        <f t="shared" si="0"/>
        <v>245.65</v>
      </c>
      <c r="AG30" s="9">
        <f t="shared" si="1"/>
        <v>52.983333333333327</v>
      </c>
      <c r="AN30" s="1"/>
    </row>
    <row r="31" spans="13:40" ht="23">
      <c r="M31" s="8" t="s">
        <v>1247</v>
      </c>
      <c r="N31" s="8" t="s">
        <v>150</v>
      </c>
      <c r="O31" s="8"/>
      <c r="P31" s="8" t="s">
        <v>3691</v>
      </c>
      <c r="Q31" s="8"/>
      <c r="R31" s="8"/>
      <c r="S31" s="8"/>
      <c r="T31" s="8"/>
      <c r="U31" s="8"/>
      <c r="V31" s="8"/>
      <c r="W31" s="8" t="s">
        <v>1247</v>
      </c>
      <c r="X31" s="8">
        <v>23.66</v>
      </c>
      <c r="Y31" s="8">
        <v>13.66</v>
      </c>
      <c r="Z31" s="9">
        <v>2.52</v>
      </c>
      <c r="AA31" s="8">
        <v>137.6</v>
      </c>
      <c r="AB31" s="8">
        <v>15541</v>
      </c>
      <c r="AC31" s="21" t="s">
        <v>1247</v>
      </c>
      <c r="AD31" s="8" t="s">
        <v>4059</v>
      </c>
      <c r="AE31" s="8" t="s">
        <v>3722</v>
      </c>
      <c r="AF31" s="14">
        <f t="shared" si="0"/>
        <v>1879.616</v>
      </c>
      <c r="AG31" s="9">
        <f t="shared" si="1"/>
        <v>394.45333333333332</v>
      </c>
      <c r="AN31" s="1"/>
    </row>
    <row r="32" spans="13:40" ht="21" customHeight="1">
      <c r="M32" s="9" t="s">
        <v>3352</v>
      </c>
      <c r="N32" s="8" t="s">
        <v>1964</v>
      </c>
      <c r="O32" s="8"/>
      <c r="P32" s="8"/>
      <c r="Q32" s="8"/>
      <c r="R32" s="8"/>
      <c r="S32" s="8"/>
      <c r="T32" s="8"/>
      <c r="U32" s="8"/>
      <c r="V32" s="8"/>
      <c r="W32" s="9" t="s">
        <v>3352</v>
      </c>
      <c r="X32" s="8">
        <v>30.62</v>
      </c>
      <c r="Y32" s="8">
        <v>1.1200000000000001</v>
      </c>
      <c r="Z32" s="9">
        <v>0.12</v>
      </c>
      <c r="AA32" s="8">
        <v>132.6</v>
      </c>
      <c r="AB32" s="8">
        <v>13509</v>
      </c>
      <c r="AC32" s="22" t="s">
        <v>3352</v>
      </c>
      <c r="AD32" s="8" t="s">
        <v>4336</v>
      </c>
      <c r="AE32" s="8" t="s">
        <v>3722</v>
      </c>
      <c r="AF32" s="8">
        <f t="shared" si="0"/>
        <v>148.512</v>
      </c>
      <c r="AG32" s="9">
        <f t="shared" si="1"/>
        <v>26.52</v>
      </c>
      <c r="AN32" s="1"/>
    </row>
    <row r="33" spans="13:40" ht="23">
      <c r="M33" s="9" t="s">
        <v>2266</v>
      </c>
      <c r="N33" s="8" t="s">
        <v>150</v>
      </c>
      <c r="O33" s="8"/>
      <c r="P33" s="8"/>
      <c r="Q33" s="8"/>
      <c r="R33" s="8"/>
      <c r="S33" s="8"/>
      <c r="T33" s="8"/>
      <c r="U33" s="8"/>
      <c r="V33" s="8"/>
      <c r="W33" s="9" t="s">
        <v>2266</v>
      </c>
      <c r="X33" s="8">
        <v>8.14</v>
      </c>
      <c r="Y33" s="8">
        <v>3.26</v>
      </c>
      <c r="Z33" s="9">
        <v>0.38</v>
      </c>
      <c r="AA33" s="8">
        <v>78.400000000000006</v>
      </c>
      <c r="AB33" s="8">
        <v>14169</v>
      </c>
      <c r="AC33" s="22" t="s">
        <v>2266</v>
      </c>
      <c r="AD33" s="8" t="s">
        <v>4059</v>
      </c>
      <c r="AE33" s="8" t="s">
        <v>3722</v>
      </c>
      <c r="AF33" s="14">
        <f t="shared" si="0"/>
        <v>255.584</v>
      </c>
      <c r="AG33" s="9">
        <f t="shared" si="1"/>
        <v>49.653333333333336</v>
      </c>
      <c r="AN33" s="28"/>
    </row>
    <row r="34" spans="13:40" ht="23" customHeight="1">
      <c r="M34" s="8" t="s">
        <v>361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8" t="s">
        <v>361</v>
      </c>
      <c r="X34" s="8">
        <v>26.6</v>
      </c>
      <c r="Y34" s="8">
        <v>1.26</v>
      </c>
      <c r="Z34" s="9">
        <v>0.53</v>
      </c>
      <c r="AA34" s="8">
        <v>76.599999999999994</v>
      </c>
      <c r="AB34" s="8">
        <v>14756</v>
      </c>
      <c r="AC34" s="21" t="s">
        <v>361</v>
      </c>
      <c r="AD34" s="8" t="s">
        <v>4059</v>
      </c>
      <c r="AE34" s="8" t="s">
        <v>3722</v>
      </c>
      <c r="AF34" s="14">
        <f t="shared" ref="AF34:AF65" si="2">(AA34*Y34)</f>
        <v>96.515999999999991</v>
      </c>
      <c r="AG34" s="9">
        <f t="shared" ref="AG34:AG65" si="3">((((RIGHT(Z34,2))/60)+(LEFT(Z34,2)))*AA34)</f>
        <v>67.663333333333327</v>
      </c>
      <c r="AN34" s="1"/>
    </row>
    <row r="35" spans="13:40" ht="23">
      <c r="M35" s="8" t="s">
        <v>1160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8" t="s">
        <v>1160</v>
      </c>
      <c r="X35" s="8">
        <v>5.89</v>
      </c>
      <c r="Y35" s="8">
        <v>1.89</v>
      </c>
      <c r="Z35" s="9">
        <v>0.14000000000000001</v>
      </c>
      <c r="AA35" s="8">
        <v>75.7</v>
      </c>
      <c r="AB35" s="8">
        <v>14777</v>
      </c>
      <c r="AC35" s="21" t="s">
        <v>1160</v>
      </c>
      <c r="AD35" s="8" t="s">
        <v>4059</v>
      </c>
      <c r="AE35" s="8" t="s">
        <v>3722</v>
      </c>
      <c r="AF35" s="14">
        <f t="shared" si="2"/>
        <v>143.07300000000001</v>
      </c>
      <c r="AG35" s="9">
        <f t="shared" si="3"/>
        <v>17.663333333333334</v>
      </c>
      <c r="AN35" s="1"/>
    </row>
    <row r="36" spans="13:40" ht="23" customHeight="1">
      <c r="M36" s="8" t="s">
        <v>64</v>
      </c>
      <c r="N36" s="8" t="s">
        <v>24</v>
      </c>
      <c r="O36" s="8"/>
      <c r="P36" s="8"/>
      <c r="Q36" s="8"/>
      <c r="R36" s="8"/>
      <c r="S36" s="8"/>
      <c r="T36" s="8"/>
      <c r="U36" s="8"/>
      <c r="V36" s="8"/>
      <c r="W36" s="8" t="s">
        <v>64</v>
      </c>
      <c r="X36" s="8">
        <v>0.56999999999999995</v>
      </c>
      <c r="Y36" s="8">
        <v>3.96</v>
      </c>
      <c r="Z36" s="9">
        <v>1.1200000000000001</v>
      </c>
      <c r="AA36" s="8">
        <v>70</v>
      </c>
      <c r="AB36" s="8">
        <v>54289</v>
      </c>
      <c r="AC36" s="21" t="s">
        <v>64</v>
      </c>
      <c r="AD36" s="8" t="s">
        <v>3722</v>
      </c>
      <c r="AE36" s="8" t="s">
        <v>3722</v>
      </c>
      <c r="AF36" s="8">
        <f t="shared" si="2"/>
        <v>277.2</v>
      </c>
      <c r="AG36" s="9">
        <f t="shared" si="3"/>
        <v>84</v>
      </c>
      <c r="AN36" s="1"/>
    </row>
    <row r="37" spans="13:40" ht="23">
      <c r="M37" s="8" t="s">
        <v>1159</v>
      </c>
      <c r="N37" s="8" t="s">
        <v>150</v>
      </c>
      <c r="O37" s="8"/>
      <c r="P37" s="8"/>
      <c r="Q37" s="8"/>
      <c r="R37" s="8"/>
      <c r="S37" s="8"/>
      <c r="T37" s="8"/>
      <c r="U37" s="8"/>
      <c r="V37" s="8"/>
      <c r="W37" s="8" t="s">
        <v>1159</v>
      </c>
      <c r="X37" s="8">
        <v>5.61</v>
      </c>
      <c r="Y37" s="8">
        <v>2.11</v>
      </c>
      <c r="Z37" s="9">
        <v>0.46</v>
      </c>
      <c r="AA37" s="8">
        <v>66.7</v>
      </c>
      <c r="AB37" s="8">
        <v>11573</v>
      </c>
      <c r="AC37" s="21" t="s">
        <v>1159</v>
      </c>
      <c r="AD37" s="8" t="s">
        <v>4094</v>
      </c>
      <c r="AE37" s="8" t="s">
        <v>3722</v>
      </c>
      <c r="AF37" s="8">
        <f t="shared" si="2"/>
        <v>140.73699999999999</v>
      </c>
      <c r="AG37" s="9">
        <f t="shared" si="3"/>
        <v>51.13666666666667</v>
      </c>
      <c r="AN37" s="1"/>
    </row>
    <row r="38" spans="13:40" ht="23">
      <c r="M38" s="8" t="s">
        <v>264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8" t="s">
        <v>264</v>
      </c>
      <c r="X38" s="8">
        <v>29.17</v>
      </c>
      <c r="Y38" s="8">
        <v>1.5</v>
      </c>
      <c r="Z38" s="9">
        <v>0.47</v>
      </c>
      <c r="AA38" s="8">
        <v>65.5</v>
      </c>
      <c r="AB38" s="8">
        <v>10034</v>
      </c>
      <c r="AC38" s="21" t="s">
        <v>264</v>
      </c>
      <c r="AD38" s="8" t="s">
        <v>4048</v>
      </c>
      <c r="AE38" s="8" t="s">
        <v>3722</v>
      </c>
      <c r="AF38" s="8">
        <f t="shared" si="2"/>
        <v>98.25</v>
      </c>
      <c r="AG38" s="9">
        <f t="shared" si="3"/>
        <v>51.30833333333333</v>
      </c>
      <c r="AN38" s="1"/>
    </row>
    <row r="39" spans="13:40" ht="23">
      <c r="M39" s="9" t="s">
        <v>3487</v>
      </c>
      <c r="N39" s="8" t="s">
        <v>2027</v>
      </c>
      <c r="O39" s="8"/>
      <c r="P39" s="8"/>
      <c r="Q39" s="8"/>
      <c r="R39" s="8"/>
      <c r="S39" s="8"/>
      <c r="T39" s="8"/>
      <c r="U39" s="8"/>
      <c r="V39" s="8"/>
      <c r="W39" s="9" t="s">
        <v>3487</v>
      </c>
      <c r="X39" s="8">
        <v>1.28</v>
      </c>
      <c r="Y39" s="8">
        <v>2.72</v>
      </c>
      <c r="Z39" s="9">
        <v>2.56</v>
      </c>
      <c r="AA39" s="8">
        <v>63.1</v>
      </c>
      <c r="AB39" s="8">
        <v>10396</v>
      </c>
      <c r="AC39" s="22" t="s">
        <v>3487</v>
      </c>
      <c r="AD39" s="8" t="s">
        <v>3722</v>
      </c>
      <c r="AE39" s="8" t="s">
        <v>3722</v>
      </c>
      <c r="AF39" s="8">
        <f t="shared" si="2"/>
        <v>171.63200000000001</v>
      </c>
      <c r="AG39" s="9">
        <f t="shared" si="3"/>
        <v>185.09333333333336</v>
      </c>
      <c r="AN39" s="1"/>
    </row>
    <row r="40" spans="13:40" ht="23">
      <c r="M40" s="8" t="s">
        <v>1227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8" t="s">
        <v>1227</v>
      </c>
      <c r="X40" s="8">
        <v>28.36</v>
      </c>
      <c r="Y40" s="8">
        <v>1.1000000000000001</v>
      </c>
      <c r="Z40" s="9">
        <v>0.09</v>
      </c>
      <c r="AA40" s="8">
        <v>56.6</v>
      </c>
      <c r="AB40" s="8">
        <v>41495</v>
      </c>
      <c r="AC40" s="21" t="s">
        <v>4749</v>
      </c>
      <c r="AD40" s="8" t="s">
        <v>4059</v>
      </c>
      <c r="AE40" s="8" t="s">
        <v>3722</v>
      </c>
      <c r="AF40" s="14">
        <f t="shared" si="2"/>
        <v>62.260000000000005</v>
      </c>
      <c r="AG40" s="9">
        <f t="shared" si="3"/>
        <v>8.49</v>
      </c>
      <c r="AN40" s="1"/>
    </row>
    <row r="41" spans="13:40" ht="23">
      <c r="M41" s="9" t="s">
        <v>2676</v>
      </c>
      <c r="N41" s="8" t="s">
        <v>150</v>
      </c>
      <c r="O41" s="8"/>
      <c r="P41" s="8"/>
      <c r="Q41" s="8"/>
      <c r="R41" s="8"/>
      <c r="S41" s="8"/>
      <c r="T41" s="8"/>
      <c r="U41" s="8"/>
      <c r="V41" s="8"/>
      <c r="W41" s="9" t="s">
        <v>2676</v>
      </c>
      <c r="X41" s="8">
        <v>0.7</v>
      </c>
      <c r="Y41" s="8">
        <v>3.97</v>
      </c>
      <c r="Z41" s="9">
        <v>2.0099999999999998</v>
      </c>
      <c r="AA41" s="8">
        <v>45.2</v>
      </c>
      <c r="AB41" s="8">
        <v>48656</v>
      </c>
      <c r="AC41" s="22" t="s">
        <v>2676</v>
      </c>
      <c r="AD41" s="8" t="s">
        <v>4173</v>
      </c>
      <c r="AE41" s="8" t="s">
        <v>3722</v>
      </c>
      <c r="AF41" s="8">
        <f t="shared" si="2"/>
        <v>179.44400000000002</v>
      </c>
      <c r="AG41" s="9">
        <f t="shared" si="3"/>
        <v>91.153333333333336</v>
      </c>
      <c r="AN41" s="1"/>
    </row>
    <row r="42" spans="13:40" ht="23">
      <c r="M42" s="8" t="s">
        <v>1522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8" t="s">
        <v>1522</v>
      </c>
      <c r="X42" s="8">
        <v>31.66</v>
      </c>
      <c r="Y42" s="8">
        <v>1.45</v>
      </c>
      <c r="Z42" s="9">
        <v>0.32</v>
      </c>
      <c r="AA42" s="8">
        <v>40.200000000000003</v>
      </c>
      <c r="AB42" s="8">
        <v>13279</v>
      </c>
      <c r="AC42" s="21" t="s">
        <v>1522</v>
      </c>
      <c r="AD42" s="8" t="s">
        <v>4133</v>
      </c>
      <c r="AE42" s="8" t="s">
        <v>3722</v>
      </c>
      <c r="AF42" s="8">
        <f t="shared" si="2"/>
        <v>58.29</v>
      </c>
      <c r="AG42" s="9">
        <f t="shared" si="3"/>
        <v>21.44</v>
      </c>
      <c r="AN42" s="1"/>
    </row>
    <row r="43" spans="13:40" ht="23">
      <c r="M43" s="9" t="s">
        <v>2551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9" t="s">
        <v>2551</v>
      </c>
      <c r="X43" s="8">
        <v>16.350000000000001</v>
      </c>
      <c r="Y43" s="8">
        <v>3.6</v>
      </c>
      <c r="Z43" s="9">
        <v>0.28999999999999998</v>
      </c>
      <c r="AA43" s="8">
        <v>38.700000000000003</v>
      </c>
      <c r="AB43" s="8">
        <v>14898</v>
      </c>
      <c r="AC43" s="22" t="s">
        <v>2551</v>
      </c>
      <c r="AD43" s="8" t="s">
        <v>4059</v>
      </c>
      <c r="AE43" s="8" t="s">
        <v>3722</v>
      </c>
      <c r="AF43" s="14">
        <f t="shared" si="2"/>
        <v>139.32000000000002</v>
      </c>
      <c r="AG43" s="9">
        <f t="shared" si="3"/>
        <v>18.705000000000002</v>
      </c>
      <c r="AN43" s="1"/>
    </row>
    <row r="44" spans="13:40" ht="23">
      <c r="M44" s="9" t="s">
        <v>4272</v>
      </c>
      <c r="N44" s="8"/>
      <c r="O44" s="8"/>
      <c r="P44" s="8"/>
      <c r="Q44" s="8"/>
      <c r="R44" s="8"/>
      <c r="S44" s="8"/>
      <c r="T44" s="8"/>
      <c r="U44" s="8"/>
      <c r="V44" s="8"/>
      <c r="W44" s="9" t="s">
        <v>4272</v>
      </c>
      <c r="X44" s="8">
        <v>29.45</v>
      </c>
      <c r="Y44" s="8">
        <v>2.39</v>
      </c>
      <c r="Z44" s="9">
        <v>1.1100000000000001</v>
      </c>
      <c r="AA44" s="8">
        <v>29</v>
      </c>
      <c r="AB44" s="8">
        <v>10211</v>
      </c>
      <c r="AC44" s="22" t="s">
        <v>4272</v>
      </c>
      <c r="AD44" s="8" t="s">
        <v>4059</v>
      </c>
      <c r="AE44" s="8" t="s">
        <v>3722</v>
      </c>
      <c r="AF44" s="14">
        <f t="shared" si="2"/>
        <v>69.31</v>
      </c>
      <c r="AG44" s="9">
        <f t="shared" si="3"/>
        <v>34.31666666666667</v>
      </c>
      <c r="AN44" s="1"/>
    </row>
    <row r="45" spans="13:40" ht="23">
      <c r="M45" s="8" t="s">
        <v>1988</v>
      </c>
      <c r="N45" s="8" t="s">
        <v>1964</v>
      </c>
      <c r="O45" s="8"/>
      <c r="P45" s="8"/>
      <c r="Q45" s="8"/>
      <c r="R45" s="8"/>
      <c r="S45" s="8"/>
      <c r="T45" s="8"/>
      <c r="U45" s="8"/>
      <c r="V45" s="8"/>
      <c r="W45" s="8" t="s">
        <v>1988</v>
      </c>
      <c r="X45" s="8">
        <v>66.91</v>
      </c>
      <c r="Y45" s="8">
        <v>1.38</v>
      </c>
      <c r="Z45" s="9">
        <v>0.36</v>
      </c>
      <c r="AA45" s="8">
        <v>26.3</v>
      </c>
      <c r="AB45" s="8">
        <v>19910</v>
      </c>
      <c r="AC45" s="21" t="s">
        <v>1988</v>
      </c>
      <c r="AD45" s="8" t="s">
        <v>3722</v>
      </c>
      <c r="AE45" s="8" t="s">
        <v>3722</v>
      </c>
      <c r="AF45" s="8">
        <f t="shared" si="2"/>
        <v>36.293999999999997</v>
      </c>
      <c r="AG45" s="9">
        <f t="shared" si="3"/>
        <v>15.78</v>
      </c>
      <c r="AN45" s="1"/>
    </row>
    <row r="46" spans="13:40" ht="23">
      <c r="M46" s="8" t="s">
        <v>1137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1137</v>
      </c>
      <c r="X46" s="8">
        <v>12.71</v>
      </c>
      <c r="Y46" s="8">
        <v>3.92</v>
      </c>
      <c r="Z46" s="9">
        <v>1.03</v>
      </c>
      <c r="AA46" s="8">
        <v>22.2</v>
      </c>
      <c r="AB46" s="8">
        <v>20533</v>
      </c>
      <c r="AC46" s="21" t="s">
        <v>1137</v>
      </c>
      <c r="AD46" s="8" t="s">
        <v>4059</v>
      </c>
      <c r="AE46" s="8" t="s">
        <v>3722</v>
      </c>
      <c r="AF46" s="14">
        <f t="shared" si="2"/>
        <v>87.024000000000001</v>
      </c>
      <c r="AG46" s="9">
        <f t="shared" si="3"/>
        <v>23.31</v>
      </c>
      <c r="AN46" s="1"/>
    </row>
    <row r="47" spans="13:40" ht="23">
      <c r="M47" s="9" t="s">
        <v>2345</v>
      </c>
      <c r="N47" s="8" t="s">
        <v>150</v>
      </c>
      <c r="O47" s="8"/>
      <c r="P47" s="8" t="s">
        <v>3691</v>
      </c>
      <c r="Q47" s="8"/>
      <c r="R47" s="8"/>
      <c r="S47" s="8"/>
      <c r="T47" s="8"/>
      <c r="U47" s="8"/>
      <c r="V47" s="8"/>
      <c r="W47" s="9" t="s">
        <v>2345</v>
      </c>
      <c r="X47" s="8">
        <v>33.4</v>
      </c>
      <c r="Y47" s="8">
        <v>2.35</v>
      </c>
      <c r="Z47" s="9">
        <v>0.42</v>
      </c>
      <c r="AA47" s="8">
        <v>18.899999999999999</v>
      </c>
      <c r="AB47" s="8">
        <v>27041</v>
      </c>
      <c r="AC47" s="22" t="s">
        <v>2345</v>
      </c>
      <c r="AD47" s="8" t="s">
        <v>4059</v>
      </c>
      <c r="AE47" s="8" t="s">
        <v>3722</v>
      </c>
      <c r="AF47" s="14">
        <f t="shared" si="2"/>
        <v>44.414999999999999</v>
      </c>
      <c r="AG47" s="9">
        <f t="shared" si="3"/>
        <v>13.229999999999999</v>
      </c>
      <c r="AN47" s="1"/>
    </row>
    <row r="48" spans="13:40" ht="23">
      <c r="M48" s="8" t="s">
        <v>888</v>
      </c>
      <c r="N48" s="8" t="s">
        <v>150</v>
      </c>
      <c r="O48" s="8"/>
      <c r="P48" s="8"/>
      <c r="Q48" s="8"/>
      <c r="R48" s="8"/>
      <c r="S48" s="8"/>
      <c r="T48" s="8"/>
      <c r="U48" s="8"/>
      <c r="V48" s="8"/>
      <c r="W48" s="8" t="s">
        <v>888</v>
      </c>
      <c r="X48" s="8">
        <v>27.95</v>
      </c>
      <c r="Y48" s="8">
        <v>1.23</v>
      </c>
      <c r="Z48" s="9">
        <v>0.18</v>
      </c>
      <c r="AA48" s="8">
        <v>18.3</v>
      </c>
      <c r="AB48" s="8">
        <v>35546</v>
      </c>
      <c r="AC48" s="21" t="s">
        <v>888</v>
      </c>
      <c r="AD48" s="8" t="s">
        <v>3722</v>
      </c>
      <c r="AE48" s="8" t="s">
        <v>3722</v>
      </c>
      <c r="AF48" s="8">
        <f t="shared" si="2"/>
        <v>22.509</v>
      </c>
      <c r="AG48" s="9">
        <f t="shared" si="3"/>
        <v>5.49</v>
      </c>
      <c r="AN48" s="1"/>
    </row>
    <row r="49" spans="13:40" ht="23">
      <c r="M49" s="8" t="s">
        <v>759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8" t="s">
        <v>759</v>
      </c>
      <c r="X49" s="8">
        <v>27.99</v>
      </c>
      <c r="Y49" s="8">
        <v>3.6</v>
      </c>
      <c r="Z49" s="9">
        <v>2.2000000000000002</v>
      </c>
      <c r="AA49" s="8">
        <v>16.399999999999999</v>
      </c>
      <c r="AB49" s="8">
        <v>11976</v>
      </c>
      <c r="AC49" s="21" t="s">
        <v>759</v>
      </c>
      <c r="AD49" s="8" t="s">
        <v>4046</v>
      </c>
      <c r="AE49" s="8" t="s">
        <v>3722</v>
      </c>
      <c r="AF49" s="8">
        <f t="shared" si="2"/>
        <v>59.04</v>
      </c>
      <c r="AG49" s="9">
        <f t="shared" si="3"/>
        <v>32.854666666666667</v>
      </c>
      <c r="AN49" s="1"/>
    </row>
    <row r="50" spans="13:40" ht="23">
      <c r="M50" s="8" t="s">
        <v>1743</v>
      </c>
      <c r="N50" s="8" t="s">
        <v>1717</v>
      </c>
      <c r="O50" s="8"/>
      <c r="P50" s="8"/>
      <c r="Q50" s="8"/>
      <c r="R50" s="8"/>
      <c r="S50" s="8"/>
      <c r="T50" s="8"/>
      <c r="U50" s="8"/>
      <c r="V50" s="8"/>
      <c r="W50" s="8" t="s">
        <v>1743</v>
      </c>
      <c r="X50" s="8">
        <v>28.33</v>
      </c>
      <c r="Y50" s="8">
        <v>2.2999999999999998</v>
      </c>
      <c r="Z50" s="9">
        <v>0.41</v>
      </c>
      <c r="AA50" s="8">
        <v>15.4</v>
      </c>
      <c r="AB50" s="8">
        <v>12019</v>
      </c>
      <c r="AC50" s="21" t="s">
        <v>1743</v>
      </c>
      <c r="AD50" s="8" t="s">
        <v>4011</v>
      </c>
      <c r="AE50" s="8" t="s">
        <v>3722</v>
      </c>
      <c r="AF50" s="8">
        <f t="shared" si="2"/>
        <v>35.419999999999995</v>
      </c>
      <c r="AG50" s="9">
        <f t="shared" si="3"/>
        <v>10.523333333333333</v>
      </c>
      <c r="AN50" s="1"/>
    </row>
    <row r="51" spans="13:40" ht="23">
      <c r="M51" s="9" t="s">
        <v>3001</v>
      </c>
      <c r="N51" s="8" t="s">
        <v>1717</v>
      </c>
      <c r="O51" s="8"/>
      <c r="P51" s="8"/>
      <c r="Q51" s="8"/>
      <c r="R51" s="8"/>
      <c r="S51" s="8"/>
      <c r="T51" s="8"/>
      <c r="U51" s="8"/>
      <c r="V51" s="8"/>
      <c r="W51" s="9" t="s">
        <v>3001</v>
      </c>
      <c r="X51" s="8">
        <v>15.85</v>
      </c>
      <c r="Y51" s="8">
        <v>1.7</v>
      </c>
      <c r="Z51" s="9">
        <v>0.56999999999999995</v>
      </c>
      <c r="AA51" s="8">
        <v>15</v>
      </c>
      <c r="AB51" s="8">
        <v>21034</v>
      </c>
      <c r="AC51" s="22" t="s">
        <v>3001</v>
      </c>
      <c r="AD51" s="8" t="s">
        <v>4203</v>
      </c>
      <c r="AE51" s="8" t="s">
        <v>3722</v>
      </c>
      <c r="AF51" s="8">
        <f t="shared" si="2"/>
        <v>25.5</v>
      </c>
      <c r="AG51" s="9">
        <f t="shared" si="3"/>
        <v>14.25</v>
      </c>
      <c r="AN51" s="1"/>
    </row>
    <row r="52" spans="13:40" ht="23">
      <c r="M52" s="8" t="s">
        <v>887</v>
      </c>
      <c r="N52" s="8" t="s">
        <v>150</v>
      </c>
      <c r="O52" s="8"/>
      <c r="P52" s="8"/>
      <c r="Q52" s="8"/>
      <c r="R52" s="8"/>
      <c r="S52" s="8"/>
      <c r="T52" s="8"/>
      <c r="U52" s="8"/>
      <c r="V52" s="8"/>
      <c r="W52" s="8" t="s">
        <v>887</v>
      </c>
      <c r="X52" s="8">
        <v>38.47</v>
      </c>
      <c r="Y52" s="8">
        <v>2.36</v>
      </c>
      <c r="Z52" s="9">
        <v>1.39</v>
      </c>
      <c r="AA52" s="8">
        <v>13.4</v>
      </c>
      <c r="AB52" s="8">
        <v>11242</v>
      </c>
      <c r="AC52" s="21" t="s">
        <v>887</v>
      </c>
      <c r="AD52" s="8" t="s">
        <v>4111</v>
      </c>
      <c r="AE52" s="8" t="s">
        <v>3722</v>
      </c>
      <c r="AF52" s="8">
        <f t="shared" si="2"/>
        <v>31.623999999999999</v>
      </c>
      <c r="AG52" s="9">
        <f t="shared" si="3"/>
        <v>22.11</v>
      </c>
      <c r="AN52" s="1"/>
    </row>
    <row r="53" spans="13:40" ht="23">
      <c r="M53" s="8" t="s">
        <v>466</v>
      </c>
      <c r="N53" s="8" t="s">
        <v>150</v>
      </c>
      <c r="O53" s="8"/>
      <c r="P53" s="8"/>
      <c r="Q53" s="8"/>
      <c r="R53" s="8"/>
      <c r="S53" s="8"/>
      <c r="T53" s="8"/>
      <c r="U53" s="8"/>
      <c r="V53" s="8"/>
      <c r="W53" s="8" t="s">
        <v>466</v>
      </c>
      <c r="X53" s="8">
        <v>39.83</v>
      </c>
      <c r="Y53" s="8">
        <v>2.83</v>
      </c>
      <c r="Z53" s="9">
        <v>3.06</v>
      </c>
      <c r="AA53" s="8">
        <v>10.6</v>
      </c>
      <c r="AB53" s="8">
        <v>10608</v>
      </c>
      <c r="AC53" s="21" t="s">
        <v>466</v>
      </c>
      <c r="AD53" s="8" t="s">
        <v>4088</v>
      </c>
      <c r="AE53" s="8" t="s">
        <v>3722</v>
      </c>
      <c r="AF53" s="8">
        <f t="shared" si="2"/>
        <v>29.998000000000001</v>
      </c>
      <c r="AG53" s="9">
        <f t="shared" si="3"/>
        <v>32.86</v>
      </c>
      <c r="AN53" s="1"/>
    </row>
    <row r="54" spans="13:40" ht="23">
      <c r="M54" s="9" t="s">
        <v>2642</v>
      </c>
      <c r="N54" s="8" t="s">
        <v>150</v>
      </c>
      <c r="O54" s="8"/>
      <c r="P54" s="8"/>
      <c r="Q54" s="8"/>
      <c r="R54" s="8"/>
      <c r="S54" s="8"/>
      <c r="T54" s="8"/>
      <c r="U54" s="8"/>
      <c r="V54" s="8"/>
      <c r="W54" s="9" t="s">
        <v>2642</v>
      </c>
      <c r="X54" s="8">
        <v>27.4</v>
      </c>
      <c r="Y54" s="8">
        <v>1.28</v>
      </c>
      <c r="Z54" s="9">
        <v>0.08</v>
      </c>
      <c r="AA54" s="8">
        <v>9.8000000000000007</v>
      </c>
      <c r="AB54" s="8">
        <v>35099</v>
      </c>
      <c r="AC54" s="22" t="s">
        <v>2642</v>
      </c>
      <c r="AD54" s="8" t="s">
        <v>4149</v>
      </c>
      <c r="AE54" s="8" t="s">
        <v>3722</v>
      </c>
      <c r="AF54" s="8">
        <f t="shared" si="2"/>
        <v>12.544</v>
      </c>
      <c r="AG54" s="9">
        <f t="shared" si="3"/>
        <v>1.3066666666666666</v>
      </c>
      <c r="AN54" s="1"/>
    </row>
    <row r="55" spans="13:40" ht="20.5" customHeight="1">
      <c r="M55" s="8" t="s">
        <v>786</v>
      </c>
      <c r="N55" s="8" t="s">
        <v>150</v>
      </c>
      <c r="O55" s="8"/>
      <c r="P55" s="8" t="s">
        <v>3692</v>
      </c>
      <c r="Q55" s="8"/>
      <c r="R55" s="8"/>
      <c r="S55" s="8"/>
      <c r="T55" s="8"/>
      <c r="U55" s="8"/>
      <c r="V55" s="8"/>
      <c r="W55" s="8" t="s">
        <v>786</v>
      </c>
      <c r="X55" s="8">
        <v>30.37</v>
      </c>
      <c r="Y55" s="8">
        <v>4.95</v>
      </c>
      <c r="Z55" s="9">
        <v>4.43</v>
      </c>
      <c r="AA55" s="8">
        <v>9.1999999999999993</v>
      </c>
      <c r="AB55" s="8">
        <v>21526</v>
      </c>
      <c r="AC55" s="21" t="s">
        <v>786</v>
      </c>
      <c r="AD55" s="8" t="s">
        <v>3722</v>
      </c>
      <c r="AE55" s="8" t="s">
        <v>3722</v>
      </c>
      <c r="AF55" s="8">
        <f t="shared" si="2"/>
        <v>45.54</v>
      </c>
      <c r="AG55" s="9">
        <f t="shared" si="3"/>
        <v>43.393333333333331</v>
      </c>
      <c r="AN55" s="1"/>
    </row>
    <row r="56" spans="13:40" ht="22" customHeight="1">
      <c r="M56" s="8" t="s">
        <v>1315</v>
      </c>
      <c r="N56" s="8" t="s">
        <v>150</v>
      </c>
      <c r="O56" s="8"/>
      <c r="P56" s="8" t="s">
        <v>3691</v>
      </c>
      <c r="Q56" s="8"/>
      <c r="R56" s="8"/>
      <c r="S56" s="8"/>
      <c r="T56" s="8"/>
      <c r="U56" s="8"/>
      <c r="V56" s="8"/>
      <c r="W56" s="8" t="s">
        <v>1315</v>
      </c>
      <c r="X56" s="8">
        <v>40.869999999999997</v>
      </c>
      <c r="Y56" s="8">
        <v>1.82</v>
      </c>
      <c r="Z56" s="9">
        <v>1.2</v>
      </c>
      <c r="AA56" s="8">
        <v>9.1</v>
      </c>
      <c r="AB56" s="8">
        <v>24043</v>
      </c>
      <c r="AC56" s="21" t="s">
        <v>1315</v>
      </c>
      <c r="AD56" s="8" t="s">
        <v>4059</v>
      </c>
      <c r="AE56" s="8" t="s">
        <v>3722</v>
      </c>
      <c r="AF56" s="14">
        <f t="shared" si="2"/>
        <v>16.562000000000001</v>
      </c>
      <c r="AG56" s="9">
        <f t="shared" si="3"/>
        <v>9.1303333333333345</v>
      </c>
      <c r="AN56" s="1"/>
    </row>
    <row r="57" spans="13:40" ht="21" customHeight="1">
      <c r="M57" s="9" t="s">
        <v>2355</v>
      </c>
      <c r="N57" s="8" t="s">
        <v>150</v>
      </c>
      <c r="O57" s="8"/>
      <c r="P57" s="8"/>
      <c r="Q57" s="8"/>
      <c r="R57" s="8"/>
      <c r="S57" s="8"/>
      <c r="T57" s="8"/>
      <c r="U57" s="8"/>
      <c r="V57" s="8"/>
      <c r="W57" s="9" t="s">
        <v>2355</v>
      </c>
      <c r="X57" s="8">
        <v>44.59</v>
      </c>
      <c r="Y57" s="8">
        <v>1.63</v>
      </c>
      <c r="Z57" s="9">
        <v>1</v>
      </c>
      <c r="AA57" s="8">
        <v>8.8000000000000007</v>
      </c>
      <c r="AB57" s="8">
        <v>17616</v>
      </c>
      <c r="AC57" s="22" t="s">
        <v>2355</v>
      </c>
      <c r="AD57" s="8" t="s">
        <v>4059</v>
      </c>
      <c r="AE57" s="8" t="s">
        <v>3722</v>
      </c>
      <c r="AF57" s="14">
        <f t="shared" si="2"/>
        <v>14.343999999999999</v>
      </c>
      <c r="AG57" s="9">
        <f t="shared" si="3"/>
        <v>8.9466666666666672</v>
      </c>
      <c r="AN57" s="1"/>
    </row>
    <row r="58" spans="13:40" ht="24.5" customHeight="1">
      <c r="M58" s="8" t="s">
        <v>244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8" t="s">
        <v>244</v>
      </c>
      <c r="X58" s="8">
        <v>30.76</v>
      </c>
      <c r="Y58" s="8">
        <v>1.75</v>
      </c>
      <c r="Z58" s="9">
        <v>0.51</v>
      </c>
      <c r="AA58" s="8">
        <v>7.8</v>
      </c>
      <c r="AB58" s="8">
        <v>25537</v>
      </c>
      <c r="AC58" s="21" t="s">
        <v>244</v>
      </c>
      <c r="AD58" s="8" t="s">
        <v>4445</v>
      </c>
      <c r="AE58" s="8" t="s">
        <v>3722</v>
      </c>
      <c r="AF58" s="8">
        <f t="shared" si="2"/>
        <v>13.65</v>
      </c>
      <c r="AG58" s="9">
        <f t="shared" si="3"/>
        <v>6.63</v>
      </c>
      <c r="AN58" s="1"/>
    </row>
    <row r="59" spans="13:40" ht="23">
      <c r="M59" s="8" t="s">
        <v>626</v>
      </c>
      <c r="N59" s="8" t="s">
        <v>150</v>
      </c>
      <c r="O59" s="8"/>
      <c r="P59" s="8"/>
      <c r="Q59" s="8"/>
      <c r="R59" s="8"/>
      <c r="S59" s="8"/>
      <c r="T59" s="8"/>
      <c r="U59" s="8"/>
      <c r="V59" s="8"/>
      <c r="W59" s="8" t="s">
        <v>626</v>
      </c>
      <c r="X59" s="8">
        <v>42.63</v>
      </c>
      <c r="Y59" s="8">
        <v>1.86</v>
      </c>
      <c r="Z59" s="9">
        <v>1.24</v>
      </c>
      <c r="AA59" s="8">
        <v>7.7</v>
      </c>
      <c r="AB59" s="8">
        <v>18738</v>
      </c>
      <c r="AC59" s="21" t="s">
        <v>626</v>
      </c>
      <c r="AD59" s="8" t="s">
        <v>4173</v>
      </c>
      <c r="AE59" s="8" t="s">
        <v>3722</v>
      </c>
      <c r="AF59" s="8">
        <f t="shared" si="2"/>
        <v>14.322000000000001</v>
      </c>
      <c r="AG59" s="9">
        <f t="shared" si="3"/>
        <v>10.78</v>
      </c>
      <c r="AN59" s="1"/>
    </row>
    <row r="60" spans="13:40" ht="23">
      <c r="M60" s="9" t="s">
        <v>2664</v>
      </c>
      <c r="N60" s="8" t="s">
        <v>150</v>
      </c>
      <c r="O60" s="8"/>
      <c r="P60" s="8"/>
      <c r="Q60" s="8"/>
      <c r="R60" s="8"/>
      <c r="S60" s="8"/>
      <c r="T60" s="8"/>
      <c r="U60" s="8"/>
      <c r="V60" s="8"/>
      <c r="W60" s="9" t="s">
        <v>2664</v>
      </c>
      <c r="X60" s="8">
        <v>27.02</v>
      </c>
      <c r="Y60" s="8">
        <v>2</v>
      </c>
      <c r="Z60" s="9">
        <v>1.24</v>
      </c>
      <c r="AA60" s="8">
        <v>6.6</v>
      </c>
      <c r="AB60" s="8">
        <v>19608</v>
      </c>
      <c r="AC60" s="22" t="s">
        <v>2664</v>
      </c>
      <c r="AD60" s="8" t="s">
        <v>4059</v>
      </c>
      <c r="AE60" s="8" t="s">
        <v>3722</v>
      </c>
      <c r="AF60" s="14">
        <f t="shared" si="2"/>
        <v>13.2</v>
      </c>
      <c r="AG60" s="9">
        <f t="shared" si="3"/>
        <v>9.2399999999999984</v>
      </c>
      <c r="AN60" s="1"/>
    </row>
    <row r="61" spans="13:40" ht="23" customHeight="1">
      <c r="M61" s="9" t="s">
        <v>2412</v>
      </c>
      <c r="N61" s="8" t="s">
        <v>150</v>
      </c>
      <c r="O61" s="8"/>
      <c r="P61" s="8"/>
      <c r="Q61" s="8"/>
      <c r="R61" s="8"/>
      <c r="S61" s="8"/>
      <c r="T61" s="8"/>
      <c r="U61" s="8"/>
      <c r="V61" s="8"/>
      <c r="W61" s="9" t="s">
        <v>2412</v>
      </c>
      <c r="X61" s="8">
        <v>37.61</v>
      </c>
      <c r="Y61" s="8">
        <v>2.86</v>
      </c>
      <c r="Z61" s="9">
        <v>1.5</v>
      </c>
      <c r="AA61" s="8">
        <v>6.2</v>
      </c>
      <c r="AB61" s="8">
        <v>25406</v>
      </c>
      <c r="AC61" s="22" t="s">
        <v>2412</v>
      </c>
      <c r="AD61" s="8" t="s">
        <v>4135</v>
      </c>
      <c r="AE61" s="8" t="s">
        <v>3722</v>
      </c>
      <c r="AF61" s="8">
        <f t="shared" si="2"/>
        <v>17.731999999999999</v>
      </c>
      <c r="AG61" s="9">
        <f t="shared" si="3"/>
        <v>6.2516666666666669</v>
      </c>
      <c r="AN61" s="28"/>
    </row>
    <row r="62" spans="13:40" ht="23">
      <c r="M62" s="9" t="s">
        <v>2483</v>
      </c>
      <c r="N62" s="8" t="s">
        <v>150</v>
      </c>
      <c r="O62" s="8"/>
      <c r="P62" s="8"/>
      <c r="Q62" s="8"/>
      <c r="R62" s="8"/>
      <c r="S62" s="8"/>
      <c r="T62" s="8"/>
      <c r="U62" s="8"/>
      <c r="V62" s="8"/>
      <c r="W62" s="9" t="s">
        <v>2483</v>
      </c>
      <c r="X62" s="8">
        <v>36.340000000000003</v>
      </c>
      <c r="Y62" s="8">
        <v>4.46</v>
      </c>
      <c r="Z62" s="9">
        <v>5.53</v>
      </c>
      <c r="AA62" s="8">
        <v>6.1</v>
      </c>
      <c r="AB62" s="8">
        <v>13788</v>
      </c>
      <c r="AC62" s="22" t="s">
        <v>2483</v>
      </c>
      <c r="AD62" s="8" t="s">
        <v>4121</v>
      </c>
      <c r="AE62" s="8" t="s">
        <v>3722</v>
      </c>
      <c r="AF62" s="8">
        <f t="shared" si="2"/>
        <v>27.206</v>
      </c>
      <c r="AG62" s="9">
        <f t="shared" si="3"/>
        <v>35.888333333333328</v>
      </c>
      <c r="AN62" s="1"/>
    </row>
    <row r="63" spans="13:40" ht="23">
      <c r="M63" s="8" t="s">
        <v>767</v>
      </c>
      <c r="N63" s="8" t="s">
        <v>150</v>
      </c>
      <c r="O63" s="8"/>
      <c r="P63" s="8" t="s">
        <v>3693</v>
      </c>
      <c r="Q63" s="8"/>
      <c r="R63" s="8"/>
      <c r="S63" s="8"/>
      <c r="T63" s="8"/>
      <c r="U63" s="8"/>
      <c r="V63" s="8"/>
      <c r="W63" s="8" t="s">
        <v>767</v>
      </c>
      <c r="X63" s="8">
        <v>31.92</v>
      </c>
      <c r="Y63" s="8">
        <v>3.72</v>
      </c>
      <c r="Z63" s="9">
        <v>3.25</v>
      </c>
      <c r="AA63" s="8">
        <v>4.5999999999999996</v>
      </c>
      <c r="AB63" s="8">
        <v>17991</v>
      </c>
      <c r="AC63" s="21" t="s">
        <v>767</v>
      </c>
      <c r="AD63" s="8" t="s">
        <v>3722</v>
      </c>
      <c r="AE63" s="8" t="s">
        <v>3722</v>
      </c>
      <c r="AF63" s="8">
        <f t="shared" si="2"/>
        <v>17.111999999999998</v>
      </c>
      <c r="AG63" s="9">
        <f t="shared" si="3"/>
        <v>15.716666666666665</v>
      </c>
      <c r="AN63" s="28"/>
    </row>
    <row r="64" spans="13:40" ht="23">
      <c r="M64" s="8" t="s">
        <v>1389</v>
      </c>
      <c r="N64" s="8" t="s">
        <v>150</v>
      </c>
      <c r="O64" s="8"/>
      <c r="P64" s="8"/>
      <c r="Q64" s="8"/>
      <c r="R64" s="8"/>
      <c r="S64" s="8"/>
      <c r="T64" s="8"/>
      <c r="U64" s="8"/>
      <c r="V64" s="8"/>
      <c r="W64" s="8" t="s">
        <v>1389</v>
      </c>
      <c r="X64" s="8">
        <v>32.35</v>
      </c>
      <c r="Y64" s="8">
        <v>2.27</v>
      </c>
      <c r="Z64" s="9">
        <v>1.02</v>
      </c>
      <c r="AA64" s="8">
        <v>4.5</v>
      </c>
      <c r="AB64" s="8">
        <v>23607</v>
      </c>
      <c r="AC64" s="21" t="s">
        <v>1389</v>
      </c>
      <c r="AD64" s="8" t="s">
        <v>4059</v>
      </c>
      <c r="AE64" s="8" t="s">
        <v>3722</v>
      </c>
      <c r="AF64" s="14">
        <f t="shared" si="2"/>
        <v>10.215</v>
      </c>
      <c r="AG64" s="9">
        <f t="shared" si="3"/>
        <v>4.6500000000000004</v>
      </c>
      <c r="AN64" s="28"/>
    </row>
    <row r="65" spans="13:40" ht="23">
      <c r="M65" s="9" t="s">
        <v>3296</v>
      </c>
      <c r="N65" s="8" t="s">
        <v>1939</v>
      </c>
      <c r="O65" s="8"/>
      <c r="P65" s="8"/>
      <c r="Q65" s="8"/>
      <c r="R65" s="8"/>
      <c r="S65" s="8"/>
      <c r="T65" s="8"/>
      <c r="U65" s="8"/>
      <c r="V65" s="8"/>
      <c r="W65" s="9" t="s">
        <v>3296</v>
      </c>
      <c r="X65" s="8">
        <v>28.31</v>
      </c>
      <c r="Y65" s="8">
        <v>1.53</v>
      </c>
      <c r="Z65" s="9">
        <v>0.09</v>
      </c>
      <c r="AA65" s="8">
        <v>4.4000000000000004</v>
      </c>
      <c r="AB65" s="8">
        <v>32025</v>
      </c>
      <c r="AC65" s="22" t="s">
        <v>3296</v>
      </c>
      <c r="AD65" s="8" t="s">
        <v>4222</v>
      </c>
      <c r="AE65" s="8" t="s">
        <v>3722</v>
      </c>
      <c r="AF65" s="8">
        <f t="shared" si="2"/>
        <v>6.7320000000000011</v>
      </c>
      <c r="AG65" s="9">
        <f t="shared" si="3"/>
        <v>0.66</v>
      </c>
      <c r="AN65" s="1"/>
    </row>
    <row r="66" spans="13:40" ht="23">
      <c r="M66" s="9" t="s">
        <v>2825</v>
      </c>
      <c r="N66" s="8" t="s">
        <v>1614</v>
      </c>
      <c r="O66" s="8"/>
      <c r="P66" s="8" t="s">
        <v>3691</v>
      </c>
      <c r="Q66" s="8"/>
      <c r="R66" s="8"/>
      <c r="S66" s="8"/>
      <c r="T66" s="8"/>
      <c r="U66" s="8"/>
      <c r="V66" s="8"/>
      <c r="W66" s="9" t="s">
        <v>2825</v>
      </c>
      <c r="X66" s="8">
        <v>20.149999999999999</v>
      </c>
      <c r="Y66" s="8">
        <v>4.91</v>
      </c>
      <c r="Z66" s="9">
        <v>6.34</v>
      </c>
      <c r="AA66" s="8">
        <v>3.7</v>
      </c>
      <c r="AB66" s="8"/>
      <c r="AC66" s="22" t="s">
        <v>2825</v>
      </c>
      <c r="AD66" s="8" t="s">
        <v>3722</v>
      </c>
      <c r="AE66" s="8" t="s">
        <v>3722</v>
      </c>
      <c r="AF66" s="8">
        <f t="shared" ref="AF66:AF81" si="4">(AA66*Y66)</f>
        <v>18.167000000000002</v>
      </c>
      <c r="AG66" s="9">
        <f t="shared" ref="AG66:AG81" si="5">((((RIGHT(Z66,2))/60)+(LEFT(Z66,2)))*AA66)</f>
        <v>24.296666666666667</v>
      </c>
      <c r="AN66" s="1"/>
    </row>
    <row r="67" spans="13:40" ht="28" customHeight="1">
      <c r="M67" s="9" t="s">
        <v>3539</v>
      </c>
      <c r="N67" s="8" t="s">
        <v>2041</v>
      </c>
      <c r="O67" s="8"/>
      <c r="P67" s="8" t="s">
        <v>3693</v>
      </c>
      <c r="Q67" s="8"/>
      <c r="R67" s="8"/>
      <c r="S67" s="8"/>
      <c r="T67" s="8"/>
      <c r="U67" s="8"/>
      <c r="V67" s="8"/>
      <c r="W67" s="9" t="s">
        <v>3539</v>
      </c>
      <c r="X67" s="8">
        <v>29.88</v>
      </c>
      <c r="Y67" s="8">
        <v>4.6500000000000004</v>
      </c>
      <c r="Z67" s="9">
        <v>1.47</v>
      </c>
      <c r="AA67" s="8">
        <v>3.3</v>
      </c>
      <c r="AB67" s="8">
        <v>27200</v>
      </c>
      <c r="AC67" s="22" t="s">
        <v>3539</v>
      </c>
      <c r="AD67" s="8" t="s">
        <v>3722</v>
      </c>
      <c r="AE67" s="8" t="s">
        <v>3722</v>
      </c>
      <c r="AF67" s="8">
        <f t="shared" si="4"/>
        <v>15.345000000000001</v>
      </c>
      <c r="AG67" s="9">
        <f t="shared" si="5"/>
        <v>5.8849999999999989</v>
      </c>
      <c r="AN67" s="1"/>
    </row>
    <row r="68" spans="13:40" ht="23">
      <c r="M68" s="8" t="s">
        <v>843</v>
      </c>
      <c r="N68" s="8" t="s">
        <v>150</v>
      </c>
      <c r="O68" s="8"/>
      <c r="P68" s="8"/>
      <c r="Q68" s="8"/>
      <c r="R68" s="8"/>
      <c r="S68" s="8"/>
      <c r="T68" s="8"/>
      <c r="U68" s="8"/>
      <c r="V68" s="8"/>
      <c r="W68" s="8" t="s">
        <v>843</v>
      </c>
      <c r="X68" s="8">
        <v>38.29</v>
      </c>
      <c r="Y68" s="8">
        <v>5.08</v>
      </c>
      <c r="Z68" s="9">
        <v>10.31</v>
      </c>
      <c r="AA68" s="8">
        <v>3.3</v>
      </c>
      <c r="AB68" s="8">
        <v>33596</v>
      </c>
      <c r="AC68" s="21" t="s">
        <v>843</v>
      </c>
      <c r="AD68" s="8" t="s">
        <v>4056</v>
      </c>
      <c r="AE68" s="8" t="s">
        <v>3722</v>
      </c>
      <c r="AF68" s="8">
        <f t="shared" si="4"/>
        <v>16.763999999999999</v>
      </c>
      <c r="AG68" s="9">
        <f t="shared" si="5"/>
        <v>34.704999999999998</v>
      </c>
      <c r="AN68" s="1"/>
    </row>
    <row r="69" spans="13:40" ht="25" customHeight="1">
      <c r="M69" s="8" t="s">
        <v>1472</v>
      </c>
      <c r="N69" s="8" t="s">
        <v>150</v>
      </c>
      <c r="O69" s="8"/>
      <c r="P69" s="8"/>
      <c r="Q69" s="8"/>
      <c r="R69" s="8"/>
      <c r="S69" s="8"/>
      <c r="T69" s="8"/>
      <c r="U69" s="8"/>
      <c r="V69" s="8"/>
      <c r="W69" s="8" t="s">
        <v>1472</v>
      </c>
      <c r="X69" s="8">
        <v>29.58</v>
      </c>
      <c r="Y69" s="8">
        <v>9.77</v>
      </c>
      <c r="Z69" s="9">
        <v>4.53</v>
      </c>
      <c r="AA69" s="8">
        <v>3.1</v>
      </c>
      <c r="AB69" s="8">
        <v>24449</v>
      </c>
      <c r="AC69" s="21" t="s">
        <v>1472</v>
      </c>
      <c r="AD69" s="8" t="s">
        <v>3722</v>
      </c>
      <c r="AE69" s="8" t="s">
        <v>3722</v>
      </c>
      <c r="AF69" s="8">
        <f t="shared" si="4"/>
        <v>30.286999999999999</v>
      </c>
      <c r="AG69" s="9">
        <f t="shared" si="5"/>
        <v>15.138333333333332</v>
      </c>
      <c r="AN69" s="1"/>
    </row>
    <row r="70" spans="13:40" ht="23">
      <c r="M70" s="9" t="s">
        <v>2376</v>
      </c>
      <c r="N70" s="8" t="s">
        <v>150</v>
      </c>
      <c r="O70" s="8"/>
      <c r="P70" s="8"/>
      <c r="Q70" s="8"/>
      <c r="R70" s="8"/>
      <c r="S70" s="8"/>
      <c r="T70" s="8"/>
      <c r="U70" s="8"/>
      <c r="V70" s="8"/>
      <c r="W70" s="9" t="s">
        <v>2376</v>
      </c>
      <c r="X70" s="8">
        <v>21.28</v>
      </c>
      <c r="Y70" s="8">
        <v>16.46</v>
      </c>
      <c r="Z70" s="9">
        <v>4.4000000000000004</v>
      </c>
      <c r="AA70" s="8">
        <v>3.1</v>
      </c>
      <c r="AB70" s="8">
        <v>13374</v>
      </c>
      <c r="AC70" s="22" t="s">
        <v>2376</v>
      </c>
      <c r="AD70" s="8" t="s">
        <v>4059</v>
      </c>
      <c r="AE70" s="8" t="s">
        <v>3722</v>
      </c>
      <c r="AF70" s="14">
        <f t="shared" si="4"/>
        <v>51.026000000000003</v>
      </c>
      <c r="AG70" s="9">
        <f t="shared" si="5"/>
        <v>12.420666666666667</v>
      </c>
      <c r="AN70" s="1"/>
    </row>
    <row r="71" spans="13:40" ht="31" customHeight="1">
      <c r="M71" s="9" t="s">
        <v>3626</v>
      </c>
      <c r="N71" s="8" t="s">
        <v>2093</v>
      </c>
      <c r="O71" s="8"/>
      <c r="P71" s="8"/>
      <c r="Q71" s="8"/>
      <c r="R71" s="8"/>
      <c r="S71" s="8"/>
      <c r="T71" s="8"/>
      <c r="U71" s="8"/>
      <c r="V71" s="8"/>
      <c r="W71" s="9" t="s">
        <v>3626</v>
      </c>
      <c r="X71" s="8">
        <v>6.91</v>
      </c>
      <c r="Y71" s="8">
        <v>2.52</v>
      </c>
      <c r="Z71" s="9">
        <v>0.02</v>
      </c>
      <c r="AA71" s="8">
        <v>3.1</v>
      </c>
      <c r="AB71" s="8"/>
      <c r="AC71" s="22" t="s">
        <v>3626</v>
      </c>
      <c r="AD71" s="8" t="s">
        <v>4444</v>
      </c>
      <c r="AE71" s="8" t="s">
        <v>3722</v>
      </c>
      <c r="AF71" s="8">
        <f t="shared" si="4"/>
        <v>7.8120000000000003</v>
      </c>
      <c r="AG71" s="9">
        <f t="shared" si="5"/>
        <v>0.10333333333333333</v>
      </c>
      <c r="AN71" s="1"/>
    </row>
    <row r="72" spans="13:40" ht="23">
      <c r="M72" s="8" t="s">
        <v>1112</v>
      </c>
      <c r="N72" s="8" t="s">
        <v>150</v>
      </c>
      <c r="O72" s="8"/>
      <c r="P72" s="8"/>
      <c r="Q72" s="8"/>
      <c r="R72" s="8"/>
      <c r="S72" s="8"/>
      <c r="T72" s="8"/>
      <c r="U72" s="8"/>
      <c r="V72" s="8"/>
      <c r="W72" s="8" t="s">
        <v>1112</v>
      </c>
      <c r="X72" s="8">
        <v>50.24</v>
      </c>
      <c r="Y72" s="8">
        <v>2.15</v>
      </c>
      <c r="Z72" s="9">
        <v>2.2999999999999998</v>
      </c>
      <c r="AA72" s="8">
        <v>2.9</v>
      </c>
      <c r="AB72" s="8">
        <v>33404</v>
      </c>
      <c r="AC72" s="21" t="s">
        <v>1112</v>
      </c>
      <c r="AD72" s="8" t="s">
        <v>4062</v>
      </c>
      <c r="AE72" s="8" t="s">
        <v>3722</v>
      </c>
      <c r="AF72" s="8">
        <f t="shared" si="4"/>
        <v>6.2349999999999994</v>
      </c>
      <c r="AG72" s="9">
        <f t="shared" si="5"/>
        <v>5.8144999999999998</v>
      </c>
      <c r="AN72" s="1"/>
    </row>
    <row r="73" spans="13:40" ht="23">
      <c r="M73" s="9" t="s">
        <v>2614</v>
      </c>
      <c r="N73" s="8" t="s">
        <v>150</v>
      </c>
      <c r="O73" s="8"/>
      <c r="P73" s="8"/>
      <c r="Q73" s="8"/>
      <c r="R73" s="8"/>
      <c r="S73" s="8"/>
      <c r="T73" s="8"/>
      <c r="U73" s="8"/>
      <c r="V73" s="8"/>
      <c r="W73" s="9" t="s">
        <v>2614</v>
      </c>
      <c r="X73" s="8">
        <v>33.15</v>
      </c>
      <c r="Y73" s="8">
        <v>1.86</v>
      </c>
      <c r="Z73" s="9">
        <v>1.06</v>
      </c>
      <c r="AA73" s="8">
        <v>2.8</v>
      </c>
      <c r="AB73" s="8">
        <v>35051</v>
      </c>
      <c r="AC73" s="22" t="s">
        <v>2614</v>
      </c>
      <c r="AD73" s="8" t="s">
        <v>4147</v>
      </c>
      <c r="AE73" s="8" t="s">
        <v>3722</v>
      </c>
      <c r="AF73" s="8">
        <f t="shared" si="4"/>
        <v>5.2080000000000002</v>
      </c>
      <c r="AG73" s="9">
        <f t="shared" si="5"/>
        <v>3.08</v>
      </c>
      <c r="AN73" s="1"/>
    </row>
    <row r="74" spans="13:40" ht="23">
      <c r="M74" s="9" t="s">
        <v>3403</v>
      </c>
      <c r="N74" s="8" t="s">
        <v>1990</v>
      </c>
      <c r="O74" s="8"/>
      <c r="P74" s="8"/>
      <c r="Q74" s="8"/>
      <c r="R74" s="8"/>
      <c r="S74" s="8"/>
      <c r="T74" s="8"/>
      <c r="U74" s="8"/>
      <c r="V74" s="8"/>
      <c r="W74" s="9" t="s">
        <v>3403</v>
      </c>
      <c r="X74" s="8">
        <v>43.42</v>
      </c>
      <c r="Y74" s="8">
        <v>1.72</v>
      </c>
      <c r="Z74" s="9">
        <v>3.52</v>
      </c>
      <c r="AA74" s="8">
        <v>2.5</v>
      </c>
      <c r="AB74" s="8">
        <v>140449</v>
      </c>
      <c r="AC74" s="22" t="s">
        <v>3403</v>
      </c>
      <c r="AD74" s="8" t="s">
        <v>3722</v>
      </c>
      <c r="AE74" s="8" t="s">
        <v>3722</v>
      </c>
      <c r="AF74" s="8">
        <f t="shared" si="4"/>
        <v>4.3</v>
      </c>
      <c r="AG74" s="9">
        <f t="shared" si="5"/>
        <v>9.6666666666666661</v>
      </c>
      <c r="AN74" s="1"/>
    </row>
    <row r="75" spans="13:40" ht="23">
      <c r="M75" s="8" t="s">
        <v>1386</v>
      </c>
      <c r="N75" s="8" t="s">
        <v>150</v>
      </c>
      <c r="O75" s="8"/>
      <c r="P75" s="8"/>
      <c r="Q75" s="8"/>
      <c r="R75" s="8"/>
      <c r="S75" s="8"/>
      <c r="T75" s="8"/>
      <c r="U75" s="8"/>
      <c r="V75" s="8"/>
      <c r="W75" s="8" t="s">
        <v>1386</v>
      </c>
      <c r="X75" s="8">
        <v>29.55</v>
      </c>
      <c r="Y75" s="8">
        <v>2.36</v>
      </c>
      <c r="Z75" s="9">
        <v>1.38</v>
      </c>
      <c r="AA75" s="8">
        <v>1.9</v>
      </c>
      <c r="AB75" s="8">
        <v>58411</v>
      </c>
      <c r="AC75" s="21" t="s">
        <v>1386</v>
      </c>
      <c r="AD75" s="8" t="s">
        <v>4059</v>
      </c>
      <c r="AE75" s="8" t="s">
        <v>3722</v>
      </c>
      <c r="AF75" s="14">
        <f t="shared" si="4"/>
        <v>4.484</v>
      </c>
      <c r="AG75" s="9">
        <f t="shared" si="5"/>
        <v>3.1033333333333331</v>
      </c>
      <c r="AN75" s="1"/>
    </row>
    <row r="76" spans="13:40" ht="23">
      <c r="M76" s="8" t="s">
        <v>653</v>
      </c>
      <c r="N76" s="8" t="s">
        <v>150</v>
      </c>
      <c r="O76" s="8"/>
      <c r="P76" s="8" t="s">
        <v>3700</v>
      </c>
      <c r="Q76" s="8"/>
      <c r="R76" s="8"/>
      <c r="S76" s="8"/>
      <c r="T76" s="8"/>
      <c r="U76" s="8"/>
      <c r="V76" s="8"/>
      <c r="W76" s="8" t="s">
        <v>653</v>
      </c>
      <c r="X76" s="8">
        <v>7.49</v>
      </c>
      <c r="Y76" s="8">
        <v>3.23</v>
      </c>
      <c r="Z76" s="9">
        <v>2.1800000000000002</v>
      </c>
      <c r="AA76" s="8">
        <v>1.8</v>
      </c>
      <c r="AB76" s="8">
        <v>53464</v>
      </c>
      <c r="AC76" s="21" t="s">
        <v>653</v>
      </c>
      <c r="AD76" s="8" t="s">
        <v>4151</v>
      </c>
      <c r="AE76" s="8" t="s">
        <v>3722</v>
      </c>
      <c r="AF76" s="8">
        <f t="shared" si="4"/>
        <v>5.8140000000000001</v>
      </c>
      <c r="AG76" s="9">
        <f t="shared" si="5"/>
        <v>4.1399999999999997</v>
      </c>
      <c r="AN76" s="1"/>
    </row>
    <row r="77" spans="13:40" ht="23">
      <c r="M77" s="8" t="s">
        <v>1442</v>
      </c>
      <c r="N77" s="8" t="s">
        <v>150</v>
      </c>
      <c r="O77" s="8"/>
      <c r="P77" s="8" t="s">
        <v>3691</v>
      </c>
      <c r="Q77" s="8"/>
      <c r="R77" s="8"/>
      <c r="S77" s="8"/>
      <c r="T77" s="8"/>
      <c r="U77" s="8"/>
      <c r="V77" s="8"/>
      <c r="W77" s="8" t="s">
        <v>1442</v>
      </c>
      <c r="X77" s="8">
        <v>19.64</v>
      </c>
      <c r="Y77" s="8">
        <v>2.44</v>
      </c>
      <c r="Z77" s="9">
        <v>1.36</v>
      </c>
      <c r="AA77" s="8">
        <v>1.7</v>
      </c>
      <c r="AB77" s="8">
        <v>54843</v>
      </c>
      <c r="AC77" s="21" t="s">
        <v>1442</v>
      </c>
      <c r="AD77" s="8" t="s">
        <v>4059</v>
      </c>
      <c r="AE77" s="8" t="s">
        <v>3722</v>
      </c>
      <c r="AF77" s="14">
        <f t="shared" si="4"/>
        <v>4.1479999999999997</v>
      </c>
      <c r="AG77" s="9">
        <f t="shared" si="5"/>
        <v>2.72</v>
      </c>
      <c r="AN77" s="1"/>
    </row>
    <row r="78" spans="13:40" ht="23">
      <c r="M78" s="8" t="s">
        <v>40</v>
      </c>
      <c r="N78" s="8" t="s">
        <v>18</v>
      </c>
      <c r="O78" s="8"/>
      <c r="P78" s="8"/>
      <c r="Q78" s="8"/>
      <c r="R78" s="8"/>
      <c r="S78" s="8"/>
      <c r="T78" s="8"/>
      <c r="U78" s="8"/>
      <c r="V78" s="8"/>
      <c r="W78" s="8" t="s">
        <v>40</v>
      </c>
      <c r="X78" s="8">
        <v>71.72</v>
      </c>
      <c r="Y78" s="8">
        <v>1.75</v>
      </c>
      <c r="Z78" s="9">
        <v>1.1599999999999999</v>
      </c>
      <c r="AA78" s="8">
        <v>1.5</v>
      </c>
      <c r="AB78" s="8">
        <v>54841</v>
      </c>
      <c r="AC78" s="21" t="s">
        <v>40</v>
      </c>
      <c r="AD78" s="8" t="s">
        <v>4172</v>
      </c>
      <c r="AE78" s="8" t="s">
        <v>3722</v>
      </c>
      <c r="AF78" s="8">
        <f t="shared" si="4"/>
        <v>2.625</v>
      </c>
      <c r="AG78" s="9">
        <f t="shared" si="5"/>
        <v>1.9</v>
      </c>
      <c r="AN78" s="1"/>
    </row>
    <row r="79" spans="13:40" ht="27" customHeight="1">
      <c r="M79" s="8" t="s">
        <v>1099</v>
      </c>
      <c r="N79" s="8" t="s">
        <v>150</v>
      </c>
      <c r="O79" s="8"/>
      <c r="P79" s="8"/>
      <c r="Q79" s="8"/>
      <c r="R79" s="8"/>
      <c r="S79" s="8"/>
      <c r="T79" s="8"/>
      <c r="U79" s="8"/>
      <c r="V79" s="8"/>
      <c r="W79" s="8" t="s">
        <v>1099</v>
      </c>
      <c r="X79" s="8">
        <v>15.84</v>
      </c>
      <c r="Y79" s="8">
        <v>12.47</v>
      </c>
      <c r="Z79" s="9">
        <v>9.32</v>
      </c>
      <c r="AA79" s="8">
        <v>1.4</v>
      </c>
      <c r="AB79" s="8"/>
      <c r="AC79" s="21" t="s">
        <v>1099</v>
      </c>
      <c r="AD79" s="8" t="s">
        <v>4059</v>
      </c>
      <c r="AE79" s="8" t="s">
        <v>3722</v>
      </c>
      <c r="AF79" s="14">
        <f t="shared" si="4"/>
        <v>17.457999999999998</v>
      </c>
      <c r="AG79" s="9">
        <f t="shared" si="5"/>
        <v>13.346666666666666</v>
      </c>
      <c r="AN79" s="1"/>
    </row>
    <row r="80" spans="13:40" ht="22" customHeight="1">
      <c r="M80" s="9" t="s">
        <v>3595</v>
      </c>
      <c r="N80" s="8" t="s">
        <v>2084</v>
      </c>
      <c r="O80" s="8"/>
      <c r="P80" s="8"/>
      <c r="Q80" s="8"/>
      <c r="R80" s="8"/>
      <c r="S80" s="8"/>
      <c r="T80" s="8"/>
      <c r="U80" s="8"/>
      <c r="V80" s="8"/>
      <c r="W80" s="9" t="s">
        <v>3595</v>
      </c>
      <c r="X80" s="8">
        <v>60.1</v>
      </c>
      <c r="Y80" s="8">
        <v>1.7</v>
      </c>
      <c r="Z80" s="9">
        <v>0.33</v>
      </c>
      <c r="AA80" s="8">
        <v>1.4</v>
      </c>
      <c r="AB80" s="8">
        <v>69479</v>
      </c>
      <c r="AC80" s="22" t="s">
        <v>3595</v>
      </c>
      <c r="AD80" s="8" t="s">
        <v>3722</v>
      </c>
      <c r="AE80" s="8" t="s">
        <v>3722</v>
      </c>
      <c r="AF80" s="8">
        <f t="shared" si="4"/>
        <v>2.38</v>
      </c>
      <c r="AG80" s="9">
        <f t="shared" si="5"/>
        <v>0.77</v>
      </c>
      <c r="AN80" s="28"/>
    </row>
    <row r="81" spans="13:40" ht="23">
      <c r="M81" s="8" t="s">
        <v>286</v>
      </c>
      <c r="N81" s="8" t="s">
        <v>150</v>
      </c>
      <c r="O81" s="8"/>
      <c r="P81" s="8"/>
      <c r="Q81" s="8"/>
      <c r="R81" s="8"/>
      <c r="S81" s="8"/>
      <c r="T81" s="8"/>
      <c r="U81" s="8"/>
      <c r="V81" s="8"/>
      <c r="W81" s="8" t="s">
        <v>286</v>
      </c>
      <c r="X81" s="8">
        <v>41.71</v>
      </c>
      <c r="Y81" s="8">
        <v>3.23</v>
      </c>
      <c r="Z81" s="9">
        <v>1.35</v>
      </c>
      <c r="AA81" s="8">
        <v>1.2</v>
      </c>
      <c r="AB81" s="8">
        <v>73875</v>
      </c>
      <c r="AC81" s="21" t="s">
        <v>286</v>
      </c>
      <c r="AD81" s="8" t="s">
        <v>3722</v>
      </c>
      <c r="AE81" s="8" t="s">
        <v>3722</v>
      </c>
      <c r="AF81" s="8">
        <f t="shared" si="4"/>
        <v>3.8759999999999999</v>
      </c>
      <c r="AG81" s="9">
        <f t="shared" si="5"/>
        <v>1.9000000000000001</v>
      </c>
      <c r="AN81" s="28"/>
    </row>
    <row r="82" spans="13:40" ht="23"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>
        <v>57.82</v>
      </c>
      <c r="Y82" s="44">
        <v>2.4</v>
      </c>
      <c r="Z82" s="45">
        <v>4.0599999999999996</v>
      </c>
      <c r="AA82" s="44">
        <v>4619.8</v>
      </c>
      <c r="AB82" s="44">
        <v>396</v>
      </c>
      <c r="AC82" s="46" t="s">
        <v>5337</v>
      </c>
      <c r="AD82" s="8" t="s">
        <v>3722</v>
      </c>
      <c r="AE82" s="8" t="s">
        <v>3722</v>
      </c>
      <c r="AF82" s="47">
        <f t="shared" ref="AF82:AF83" si="6">(AA82*Y82)</f>
        <v>11087.52</v>
      </c>
      <c r="AG82" s="45">
        <f t="shared" ref="AG82" si="7">((((RIGHT(Z82,2))/60)+(LEFT(Z82,2)))*AA82)</f>
        <v>18941.18</v>
      </c>
      <c r="AN82" s="28"/>
    </row>
    <row r="83" spans="13:40" ht="23"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5"/>
      <c r="AA83" s="44"/>
      <c r="AB83" s="44"/>
      <c r="AC83" s="46"/>
      <c r="AD83" s="8" t="s">
        <v>3722</v>
      </c>
      <c r="AE83" s="8" t="s">
        <v>3722</v>
      </c>
      <c r="AF83" s="47">
        <f t="shared" si="6"/>
        <v>0</v>
      </c>
      <c r="AG83" s="45"/>
      <c r="AN83" s="28"/>
    </row>
    <row r="84" spans="13:40" ht="23"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5"/>
      <c r="AA84" s="44">
        <f>SUBTOTAL(109,Table13673[ترافیک کل])</f>
        <v>93004.3</v>
      </c>
      <c r="AB84" s="44"/>
      <c r="AC84" s="46"/>
      <c r="AD84" s="44"/>
      <c r="AE84" s="44"/>
      <c r="AF84" s="47">
        <f>SUBTOTAL(109,Table13673[[مجموع صفحات  مشاهده شده   ]])</f>
        <v>206919.16699999999</v>
      </c>
      <c r="AG84" s="47">
        <f>SUBTOTAL(109,Table13673[[مجموع زمان حضور در سایت ]])</f>
        <v>210777.54849999992</v>
      </c>
      <c r="AN84" s="28"/>
    </row>
    <row r="87" spans="13:40" ht="26" customHeight="1"/>
    <row r="89" spans="13:40" ht="22" customHeight="1"/>
    <row r="99" ht="14" customHeight="1"/>
    <row r="100" ht="14" customHeight="1"/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{D361A1BF-B5A9-479D-BD6A-82099DE9F44C}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{DB6888A7-181C-4E93-A982-FCE74C9133E5}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{8A949559-E2E7-4C85-84F8-03B8BAB474A3}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{E3ED5AC0-2BA7-451F-AB39-83E6CEE1E59D}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{5C5BCD32-5FC0-413F-A44B-CA92B7D15F5B}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{0CED0986-8F55-4C9F-998D-B74C9014A1AB}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361A1BF-B5A9-479D-BD6A-82099DE9F44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DB6888A7-181C-4E93-A982-FCE74C9133E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A949559-E2E7-4C85-84F8-03B8BAB474A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3ED5AC0-2BA7-451F-AB39-83E6CEE1E59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C5BCD32-5FC0-413F-A44B-CA92B7D15F5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0CED0986-8F55-4C9F-998D-B74C9014A1A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5"/>
  <sheetViews>
    <sheetView showGridLines="0" rightToLeft="1" topLeftCell="Q1" zoomScale="70" zoomScaleNormal="70" workbookViewId="0">
      <selection activeCell="AC1" sqref="AC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2" customHeight="1">
      <c r="M2" s="8" t="s">
        <v>864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864</v>
      </c>
      <c r="X2" s="8">
        <v>75.510000000000005</v>
      </c>
      <c r="Y2" s="8">
        <v>1.42</v>
      </c>
      <c r="Z2" s="9">
        <v>1.1499999999999999</v>
      </c>
      <c r="AA2" s="8">
        <v>7623.1</v>
      </c>
      <c r="AB2" s="8">
        <v>337</v>
      </c>
      <c r="AC2" s="21" t="s">
        <v>864</v>
      </c>
      <c r="AD2" s="8" t="s">
        <v>4020</v>
      </c>
      <c r="AE2" s="8" t="s">
        <v>4020</v>
      </c>
      <c r="AF2" s="9">
        <f t="shared" ref="AF2:AF34" si="0">(AA2*Y2)</f>
        <v>10824.802</v>
      </c>
      <c r="AG2" s="9">
        <f t="shared" ref="AG2:AG34" si="1">((((RIGHT(Z2,2))/60)+(LEFT(Z2,2)))*AA2)</f>
        <v>9528.875</v>
      </c>
      <c r="AH2" s="9">
        <f t="shared" ref="AH2:AH34" si="2">(AA2/$AA$35)*100</f>
        <v>26.043983450688586</v>
      </c>
      <c r="AI2" s="9">
        <f t="shared" ref="AI2:AI34" si="3">(AH2*AH2)</f>
        <v>678.28907397974092</v>
      </c>
      <c r="AJ2" s="9">
        <f t="shared" ref="AJ2:AJ34" si="4">(AF2/$AF$35)*100</f>
        <v>23.005101870473325</v>
      </c>
      <c r="AK2" s="9">
        <f t="shared" ref="AK2:AK34" si="5">(AJ2*AJ2)</f>
        <v>529.23471207085527</v>
      </c>
      <c r="AL2" s="9">
        <f t="shared" ref="AL2:AL34" si="6">(AG2/$AG$35)*100</f>
        <v>26.138916001907141</v>
      </c>
      <c r="AM2" s="9">
        <f t="shared" ref="AM2:AM34" si="7">(AL2*AL2)</f>
        <v>683.24292975475726</v>
      </c>
      <c r="AN2" s="8" t="s">
        <v>864</v>
      </c>
    </row>
    <row r="3" spans="8:40" ht="22.5" customHeight="1">
      <c r="M3" s="8" t="s">
        <v>792</v>
      </c>
      <c r="N3" s="8" t="s">
        <v>150</v>
      </c>
      <c r="O3" s="8"/>
      <c r="P3" s="8" t="s">
        <v>3698</v>
      </c>
      <c r="Q3" s="8"/>
      <c r="R3" s="8"/>
      <c r="S3" s="8"/>
      <c r="T3" s="8"/>
      <c r="U3" s="8"/>
      <c r="V3" s="8"/>
      <c r="W3" s="8" t="s">
        <v>792</v>
      </c>
      <c r="X3" s="8">
        <v>73.77</v>
      </c>
      <c r="Y3" s="8">
        <v>1.51</v>
      </c>
      <c r="Z3" s="9">
        <v>1</v>
      </c>
      <c r="AA3" s="8">
        <v>5536.4</v>
      </c>
      <c r="AB3" s="8">
        <v>2255</v>
      </c>
      <c r="AC3" s="21" t="s">
        <v>792</v>
      </c>
      <c r="AD3" s="8" t="s">
        <v>4020</v>
      </c>
      <c r="AE3" s="8" t="s">
        <v>4020</v>
      </c>
      <c r="AF3" s="9">
        <f t="shared" si="0"/>
        <v>8359.9639999999999</v>
      </c>
      <c r="AG3" s="9">
        <f t="shared" si="1"/>
        <v>5628.6733333333323</v>
      </c>
      <c r="AH3" s="9">
        <f t="shared" si="2"/>
        <v>18.914865340398563</v>
      </c>
      <c r="AI3" s="9">
        <f t="shared" si="3"/>
        <v>357.77213084541086</v>
      </c>
      <c r="AJ3" s="9">
        <f t="shared" si="4"/>
        <v>17.766775175517267</v>
      </c>
      <c r="AK3" s="9">
        <f t="shared" si="5"/>
        <v>315.65830013737661</v>
      </c>
      <c r="AL3" s="9">
        <f t="shared" si="6"/>
        <v>15.44016680480903</v>
      </c>
      <c r="AM3" s="9">
        <f t="shared" si="7"/>
        <v>238.39875096032668</v>
      </c>
      <c r="AN3" s="8" t="s">
        <v>792</v>
      </c>
    </row>
    <row r="4" spans="8:40" ht="22.5" customHeight="1">
      <c r="M4" s="8" t="s">
        <v>5202</v>
      </c>
      <c r="N4" s="8"/>
      <c r="O4" s="8"/>
      <c r="P4" s="8"/>
      <c r="Q4" s="8"/>
      <c r="R4" s="8"/>
      <c r="S4" s="8"/>
      <c r="T4" s="8"/>
      <c r="U4" s="8"/>
      <c r="V4" s="8"/>
      <c r="W4" s="8" t="s">
        <v>5202</v>
      </c>
      <c r="X4" s="8">
        <v>79.09</v>
      </c>
      <c r="Y4" s="8">
        <v>1.35</v>
      </c>
      <c r="Z4" s="9">
        <v>1.4</v>
      </c>
      <c r="AA4" s="8">
        <v>3494</v>
      </c>
      <c r="AB4" s="8">
        <v>228</v>
      </c>
      <c r="AC4" s="21" t="s">
        <v>5202</v>
      </c>
      <c r="AD4" s="8" t="s">
        <v>4020</v>
      </c>
      <c r="AE4" s="8" t="s">
        <v>4020</v>
      </c>
      <c r="AF4" s="9">
        <f t="shared" si="0"/>
        <v>4716.9000000000005</v>
      </c>
      <c r="AG4" s="9">
        <f t="shared" si="1"/>
        <v>3517.2933333333331</v>
      </c>
      <c r="AH4" s="9">
        <f t="shared" si="2"/>
        <v>11.937096217641892</v>
      </c>
      <c r="AI4" s="9">
        <f t="shared" si="3"/>
        <v>142.49426610924039</v>
      </c>
      <c r="AJ4" s="9">
        <f t="shared" si="4"/>
        <v>10.024457261466367</v>
      </c>
      <c r="AK4" s="9">
        <f t="shared" si="5"/>
        <v>100.48974338696577</v>
      </c>
      <c r="AL4" s="9">
        <f t="shared" si="6"/>
        <v>9.6483829407005501</v>
      </c>
      <c r="AM4" s="9">
        <f t="shared" si="7"/>
        <v>93.091293370401402</v>
      </c>
      <c r="AN4" s="8" t="s">
        <v>5202</v>
      </c>
    </row>
    <row r="5" spans="8:40" ht="23">
      <c r="M5" s="8" t="s">
        <v>3793</v>
      </c>
      <c r="N5" s="8"/>
      <c r="O5" s="8"/>
      <c r="P5" s="8"/>
      <c r="Q5" s="8"/>
      <c r="R5" s="8"/>
      <c r="S5" s="8"/>
      <c r="T5" s="8"/>
      <c r="U5" s="8"/>
      <c r="V5" s="8"/>
      <c r="W5" s="8" t="s">
        <v>3793</v>
      </c>
      <c r="X5" s="8">
        <v>74.63</v>
      </c>
      <c r="Y5" s="8">
        <v>1.47</v>
      </c>
      <c r="Z5" s="9">
        <v>1.2</v>
      </c>
      <c r="AA5" s="8">
        <v>2707.8</v>
      </c>
      <c r="AB5" s="8">
        <v>645</v>
      </c>
      <c r="AC5" s="21" t="s">
        <v>3793</v>
      </c>
      <c r="AD5" s="8" t="s">
        <v>4020</v>
      </c>
      <c r="AE5" s="8" t="s">
        <v>4020</v>
      </c>
      <c r="AF5" s="9">
        <f t="shared" si="0"/>
        <v>3980.4660000000003</v>
      </c>
      <c r="AG5" s="9">
        <f t="shared" si="1"/>
        <v>2716.8260000000005</v>
      </c>
      <c r="AH5" s="9">
        <f t="shared" si="2"/>
        <v>9.2510787458874404</v>
      </c>
      <c r="AI5" s="9">
        <f t="shared" si="3"/>
        <v>85.582457962610334</v>
      </c>
      <c r="AJ5" s="9">
        <f t="shared" si="4"/>
        <v>8.4593718963132538</v>
      </c>
      <c r="AK5" s="9">
        <f t="shared" si="5"/>
        <v>71.5609728801345</v>
      </c>
      <c r="AL5" s="9">
        <f t="shared" si="6"/>
        <v>7.4525992423866798</v>
      </c>
      <c r="AM5" s="9">
        <f t="shared" si="7"/>
        <v>55.541235467622514</v>
      </c>
      <c r="AN5" s="8" t="s">
        <v>3793</v>
      </c>
    </row>
    <row r="6" spans="8:40" ht="23">
      <c r="M6" s="8" t="s">
        <v>1526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1526</v>
      </c>
      <c r="X6" s="8">
        <v>59.36</v>
      </c>
      <c r="Y6" s="8">
        <v>3.54</v>
      </c>
      <c r="Z6" s="9">
        <v>4.34</v>
      </c>
      <c r="AA6" s="8">
        <v>1860</v>
      </c>
      <c r="AB6" s="8">
        <v>601</v>
      </c>
      <c r="AC6" s="21" t="s">
        <v>1526</v>
      </c>
      <c r="AD6" s="8" t="s">
        <v>4020</v>
      </c>
      <c r="AE6" s="8" t="s">
        <v>4020</v>
      </c>
      <c r="AF6" s="9">
        <f t="shared" si="0"/>
        <v>6584.4</v>
      </c>
      <c r="AG6" s="9">
        <f t="shared" si="1"/>
        <v>8494</v>
      </c>
      <c r="AH6" s="9">
        <f t="shared" si="2"/>
        <v>6.354607602980515</v>
      </c>
      <c r="AI6" s="9">
        <f t="shared" si="3"/>
        <v>40.381037787857764</v>
      </c>
      <c r="AJ6" s="9">
        <f t="shared" si="4"/>
        <v>13.993308400093099</v>
      </c>
      <c r="AK6" s="9">
        <f t="shared" si="5"/>
        <v>195.81267998011609</v>
      </c>
      <c r="AL6" s="9">
        <f t="shared" si="6"/>
        <v>23.300122262092771</v>
      </c>
      <c r="AM6" s="9">
        <f t="shared" si="7"/>
        <v>542.89569742847118</v>
      </c>
      <c r="AN6" s="8" t="s">
        <v>1526</v>
      </c>
    </row>
    <row r="7" spans="8:40" ht="23">
      <c r="M7" s="8" t="s">
        <v>4420</v>
      </c>
      <c r="N7" s="8"/>
      <c r="O7" s="8"/>
      <c r="P7" s="8" t="s">
        <v>3693</v>
      </c>
      <c r="Q7" s="8"/>
      <c r="R7" s="8"/>
      <c r="S7" s="8"/>
      <c r="T7" s="8"/>
      <c r="U7" s="8"/>
      <c r="V7" s="8"/>
      <c r="W7" s="8" t="s">
        <v>4420</v>
      </c>
      <c r="X7" s="8">
        <v>92.52</v>
      </c>
      <c r="Y7" s="8">
        <v>1.1100000000000001</v>
      </c>
      <c r="Z7" s="9">
        <v>0.14000000000000001</v>
      </c>
      <c r="AA7" s="8">
        <v>1210</v>
      </c>
      <c r="AB7" s="8">
        <v>6393</v>
      </c>
      <c r="AC7" s="21" t="s">
        <v>4420</v>
      </c>
      <c r="AD7" s="8" t="s">
        <v>4020</v>
      </c>
      <c r="AE7" s="8" t="s">
        <v>4020</v>
      </c>
      <c r="AF7" s="9">
        <f t="shared" si="0"/>
        <v>1343.1000000000001</v>
      </c>
      <c r="AG7" s="9">
        <f t="shared" si="1"/>
        <v>282.33333333333331</v>
      </c>
      <c r="AH7" s="9">
        <f t="shared" si="2"/>
        <v>4.1339113976378616</v>
      </c>
      <c r="AI7" s="9">
        <f t="shared" si="3"/>
        <v>17.089223443520218</v>
      </c>
      <c r="AJ7" s="9">
        <f t="shared" si="4"/>
        <v>2.8543849875713878</v>
      </c>
      <c r="AK7" s="9">
        <f t="shared" si="5"/>
        <v>8.1475136572729117</v>
      </c>
      <c r="AL7" s="9">
        <f t="shared" si="6"/>
        <v>0.77447624032621365</v>
      </c>
      <c r="AM7" s="9">
        <f t="shared" si="7"/>
        <v>0.59981344682982707</v>
      </c>
      <c r="AN7" s="8" t="s">
        <v>4420</v>
      </c>
    </row>
    <row r="8" spans="8:40" ht="21" customHeight="1">
      <c r="M8" s="8" t="s">
        <v>1815</v>
      </c>
      <c r="N8" s="8" t="s">
        <v>1814</v>
      </c>
      <c r="O8" s="8"/>
      <c r="P8" s="8"/>
      <c r="Q8" s="8"/>
      <c r="R8" s="8"/>
      <c r="S8" s="8"/>
      <c r="T8" s="8"/>
      <c r="U8" s="8"/>
      <c r="V8" s="8"/>
      <c r="W8" s="8" t="s">
        <v>1815</v>
      </c>
      <c r="X8" s="8">
        <v>13.07</v>
      </c>
      <c r="Y8" s="8">
        <v>2.21</v>
      </c>
      <c r="Z8" s="9">
        <v>0.51</v>
      </c>
      <c r="AA8" s="8">
        <v>1144.5999999999999</v>
      </c>
      <c r="AB8" s="8">
        <v>15527</v>
      </c>
      <c r="AC8" s="21" t="s">
        <v>1815</v>
      </c>
      <c r="AD8" s="8" t="s">
        <v>4020</v>
      </c>
      <c r="AE8" s="8" t="s">
        <v>4020</v>
      </c>
      <c r="AF8" s="9">
        <f t="shared" si="0"/>
        <v>2529.5659999999998</v>
      </c>
      <c r="AG8" s="9">
        <f t="shared" si="1"/>
        <v>972.90999999999985</v>
      </c>
      <c r="AH8" s="9">
        <f t="shared" si="2"/>
        <v>3.9104751948233858</v>
      </c>
      <c r="AI8" s="9">
        <f t="shared" si="3"/>
        <v>15.291816249328997</v>
      </c>
      <c r="AJ8" s="9">
        <f t="shared" si="4"/>
        <v>5.3758880317705326</v>
      </c>
      <c r="AK8" s="9">
        <f t="shared" si="5"/>
        <v>28.900172130133651</v>
      </c>
      <c r="AL8" s="9">
        <f t="shared" si="6"/>
        <v>2.6688158641408846</v>
      </c>
      <c r="AM8" s="9">
        <f t="shared" si="7"/>
        <v>7.1225781166900566</v>
      </c>
      <c r="AN8" s="8" t="s">
        <v>1815</v>
      </c>
    </row>
    <row r="9" spans="8:40" ht="23" customHeight="1">
      <c r="M9" s="9" t="s">
        <v>2237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9" t="s">
        <v>2237</v>
      </c>
      <c r="X9" s="8">
        <v>91.94</v>
      </c>
      <c r="Y9" s="8">
        <v>1.07</v>
      </c>
      <c r="Z9" s="9">
        <v>7.0000000000000007E-2</v>
      </c>
      <c r="AA9" s="8">
        <v>1070.5</v>
      </c>
      <c r="AB9" s="8">
        <v>7252</v>
      </c>
      <c r="AC9" s="22" t="s">
        <v>2237</v>
      </c>
      <c r="AD9" s="8" t="s">
        <v>4020</v>
      </c>
      <c r="AE9" s="8" t="s">
        <v>4020</v>
      </c>
      <c r="AF9" s="9">
        <f t="shared" si="0"/>
        <v>1145.4350000000002</v>
      </c>
      <c r="AG9" s="9">
        <f t="shared" si="1"/>
        <v>124.89166666666667</v>
      </c>
      <c r="AH9" s="9">
        <f t="shared" si="2"/>
        <v>3.6573158274143238</v>
      </c>
      <c r="AI9" s="9">
        <f t="shared" si="3"/>
        <v>13.375959061455321</v>
      </c>
      <c r="AJ9" s="9">
        <f t="shared" si="4"/>
        <v>2.4343030811099937</v>
      </c>
      <c r="AK9" s="9">
        <f t="shared" si="5"/>
        <v>5.9258314907016088</v>
      </c>
      <c r="AL9" s="9">
        <f t="shared" si="6"/>
        <v>0.34259372531785609</v>
      </c>
      <c r="AM9" s="9">
        <f t="shared" si="7"/>
        <v>0.11737046062716663</v>
      </c>
      <c r="AN9" s="9" t="s">
        <v>2237</v>
      </c>
    </row>
    <row r="10" spans="8:40" ht="23.5" customHeight="1">
      <c r="M10" s="8" t="s">
        <v>4424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4424</v>
      </c>
      <c r="X10" s="8">
        <v>84.64</v>
      </c>
      <c r="Y10" s="8">
        <v>1.21</v>
      </c>
      <c r="Z10" s="9">
        <v>0.44</v>
      </c>
      <c r="AA10" s="8">
        <v>1043</v>
      </c>
      <c r="AB10" s="8">
        <v>3993</v>
      </c>
      <c r="AC10" s="21" t="s">
        <v>4424</v>
      </c>
      <c r="AD10" s="8" t="s">
        <v>4020</v>
      </c>
      <c r="AE10" s="8" t="s">
        <v>4020</v>
      </c>
      <c r="AF10" s="9">
        <f t="shared" si="0"/>
        <v>1262.03</v>
      </c>
      <c r="AG10" s="9">
        <f t="shared" si="1"/>
        <v>764.86666666666656</v>
      </c>
      <c r="AH10" s="9">
        <f t="shared" si="2"/>
        <v>3.5633632956498267</v>
      </c>
      <c r="AI10" s="9">
        <f t="shared" si="3"/>
        <v>12.697557976784394</v>
      </c>
      <c r="AJ10" s="9">
        <f t="shared" si="4"/>
        <v>2.6820932811143754</v>
      </c>
      <c r="AK10" s="9">
        <f t="shared" si="5"/>
        <v>7.1936243685988757</v>
      </c>
      <c r="AL10" s="9">
        <f t="shared" si="6"/>
        <v>2.0981265419746515</v>
      </c>
      <c r="AM10" s="9">
        <f t="shared" si="7"/>
        <v>4.4021349861385088</v>
      </c>
      <c r="AN10" s="8" t="s">
        <v>4424</v>
      </c>
    </row>
    <row r="11" spans="8:40" ht="20" customHeight="1">
      <c r="M11" s="8" t="s">
        <v>4451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4451</v>
      </c>
      <c r="X11" s="8">
        <v>68.31</v>
      </c>
      <c r="Y11" s="8">
        <v>1.45</v>
      </c>
      <c r="Z11" s="9">
        <v>1.03</v>
      </c>
      <c r="AA11" s="8">
        <v>673</v>
      </c>
      <c r="AB11" s="8">
        <v>3034</v>
      </c>
      <c r="AC11" s="21" t="s">
        <v>4451</v>
      </c>
      <c r="AD11" s="8" t="s">
        <v>4020</v>
      </c>
      <c r="AE11" s="8" t="s">
        <v>4020</v>
      </c>
      <c r="AF11" s="9">
        <f t="shared" si="0"/>
        <v>975.85</v>
      </c>
      <c r="AG11" s="9">
        <f t="shared" si="1"/>
        <v>706.65</v>
      </c>
      <c r="AH11" s="9">
        <f t="shared" si="2"/>
        <v>2.2992746864547779</v>
      </c>
      <c r="AI11" s="9">
        <f t="shared" si="3"/>
        <v>5.2866640837717176</v>
      </c>
      <c r="AJ11" s="9">
        <f t="shared" si="4"/>
        <v>2.0738973941787942</v>
      </c>
      <c r="AK11" s="9">
        <f t="shared" si="5"/>
        <v>4.3010504015815929</v>
      </c>
      <c r="AL11" s="9">
        <f t="shared" si="6"/>
        <v>1.9384308213454031</v>
      </c>
      <c r="AM11" s="9">
        <f t="shared" si="7"/>
        <v>3.7575140491418142</v>
      </c>
      <c r="AN11" s="8" t="s">
        <v>4451</v>
      </c>
    </row>
    <row r="12" spans="8:40" ht="23">
      <c r="M12" s="8" t="s">
        <v>1446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1446</v>
      </c>
      <c r="X12" s="8">
        <v>72.23</v>
      </c>
      <c r="Y12" s="8">
        <v>1.0900000000000001</v>
      </c>
      <c r="Z12" s="9">
        <v>0.05</v>
      </c>
      <c r="AA12" s="8">
        <v>614.20000000000005</v>
      </c>
      <c r="AB12" s="8">
        <v>9650</v>
      </c>
      <c r="AC12" s="21" t="s">
        <v>1446</v>
      </c>
      <c r="AD12" s="8" t="s">
        <v>4020</v>
      </c>
      <c r="AE12" s="8" t="s">
        <v>4020</v>
      </c>
      <c r="AF12" s="9">
        <f t="shared" si="0"/>
        <v>669.47800000000007</v>
      </c>
      <c r="AG12" s="9">
        <f t="shared" si="1"/>
        <v>51.183333333333337</v>
      </c>
      <c r="AH12" s="9">
        <f t="shared" si="2"/>
        <v>2.0983870912637812</v>
      </c>
      <c r="AI12" s="9">
        <f t="shared" si="3"/>
        <v>4.403228384782472</v>
      </c>
      <c r="AJ12" s="9">
        <f t="shared" si="4"/>
        <v>1.4227890348516994</v>
      </c>
      <c r="AK12" s="9">
        <f t="shared" si="5"/>
        <v>2.0243286376942304</v>
      </c>
      <c r="AL12" s="9">
        <f t="shared" si="6"/>
        <v>0.14040239280057865</v>
      </c>
      <c r="AM12" s="9">
        <f t="shared" si="7"/>
        <v>1.9712831904127977E-2</v>
      </c>
      <c r="AN12" s="8" t="s">
        <v>1446</v>
      </c>
    </row>
    <row r="13" spans="8:40" ht="25" customHeight="1">
      <c r="M13" s="24" t="s">
        <v>5203</v>
      </c>
      <c r="N13" s="24"/>
      <c r="O13" s="24"/>
      <c r="P13" s="24"/>
      <c r="Q13" s="24"/>
      <c r="R13" s="24"/>
      <c r="S13" s="24"/>
      <c r="T13" s="24"/>
      <c r="U13" s="24"/>
      <c r="V13" s="24"/>
      <c r="W13" s="24" t="s">
        <v>5203</v>
      </c>
      <c r="X13" s="24">
        <v>73.11</v>
      </c>
      <c r="Y13" s="24">
        <v>1.23</v>
      </c>
      <c r="Z13" s="25">
        <v>0.28000000000000003</v>
      </c>
      <c r="AA13" s="24">
        <v>488.2</v>
      </c>
      <c r="AB13" s="24">
        <v>1962</v>
      </c>
      <c r="AC13" s="21" t="s">
        <v>5203</v>
      </c>
      <c r="AD13" s="8" t="s">
        <v>4020</v>
      </c>
      <c r="AE13" s="8" t="s">
        <v>4020</v>
      </c>
      <c r="AF13" s="25">
        <f t="shared" si="0"/>
        <v>600.48599999999999</v>
      </c>
      <c r="AG13" s="25">
        <f t="shared" si="1"/>
        <v>227.82666666666665</v>
      </c>
      <c r="AH13" s="9">
        <f t="shared" si="2"/>
        <v>1.6679136729973589</v>
      </c>
      <c r="AI13" s="25">
        <f t="shared" si="3"/>
        <v>2.7819360205715409</v>
      </c>
      <c r="AJ13" s="9">
        <f t="shared" si="4"/>
        <v>1.2761657535900468</v>
      </c>
      <c r="AK13" s="25">
        <f t="shared" si="5"/>
        <v>1.628599030636052</v>
      </c>
      <c r="AL13" s="9">
        <f t="shared" si="6"/>
        <v>0.62495752153265705</v>
      </c>
      <c r="AM13" s="25">
        <f t="shared" si="7"/>
        <v>0.39057190372024148</v>
      </c>
      <c r="AN13" s="24" t="s">
        <v>5203</v>
      </c>
    </row>
    <row r="14" spans="8:40" ht="21" customHeight="1">
      <c r="M14" s="8" t="s">
        <v>4453</v>
      </c>
      <c r="N14" s="8"/>
      <c r="O14" s="8"/>
      <c r="P14" s="8"/>
      <c r="Q14" s="8"/>
      <c r="R14" s="8"/>
      <c r="S14" s="8"/>
      <c r="T14" s="8"/>
      <c r="U14" s="8"/>
      <c r="V14" s="8"/>
      <c r="W14" s="8" t="s">
        <v>4453</v>
      </c>
      <c r="X14" s="8">
        <v>31.04</v>
      </c>
      <c r="Y14" s="8">
        <v>1.59</v>
      </c>
      <c r="Z14" s="9">
        <v>1.26</v>
      </c>
      <c r="AA14" s="8">
        <v>323.39999999999998</v>
      </c>
      <c r="AB14" s="8">
        <v>8243</v>
      </c>
      <c r="AC14" s="21" t="s">
        <v>4453</v>
      </c>
      <c r="AD14" s="8" t="s">
        <v>4020</v>
      </c>
      <c r="AE14" s="8" t="s">
        <v>4020</v>
      </c>
      <c r="AF14" s="9">
        <f t="shared" si="0"/>
        <v>514.20600000000002</v>
      </c>
      <c r="AG14" s="9">
        <f t="shared" si="1"/>
        <v>463.53999999999996</v>
      </c>
      <c r="AH14" s="9">
        <f t="shared" si="2"/>
        <v>1.1048817735504832</v>
      </c>
      <c r="AI14" s="9">
        <f t="shared" si="3"/>
        <v>1.2207637335240613</v>
      </c>
      <c r="AJ14" s="9">
        <f t="shared" si="4"/>
        <v>1.0928016431532521</v>
      </c>
      <c r="AK14" s="9">
        <f t="shared" si="5"/>
        <v>1.1942154312784479</v>
      </c>
      <c r="AL14" s="9">
        <f t="shared" si="6"/>
        <v>1.2715491727537653</v>
      </c>
      <c r="AM14" s="9">
        <f t="shared" si="7"/>
        <v>1.6168372987307849</v>
      </c>
      <c r="AN14" s="8" t="s">
        <v>4453</v>
      </c>
    </row>
    <row r="15" spans="8:40" ht="22" customHeight="1">
      <c r="M15" s="8" t="s">
        <v>4450</v>
      </c>
      <c r="N15" s="8"/>
      <c r="O15" s="8"/>
      <c r="P15" s="8"/>
      <c r="Q15" s="8"/>
      <c r="R15" s="8"/>
      <c r="S15" s="8"/>
      <c r="T15" s="8"/>
      <c r="U15" s="8"/>
      <c r="V15" s="8"/>
      <c r="W15" s="8" t="s">
        <v>4450</v>
      </c>
      <c r="X15" s="8">
        <v>59.06</v>
      </c>
      <c r="Y15" s="8">
        <v>1.0900000000000001</v>
      </c>
      <c r="Z15" s="9">
        <v>0.03</v>
      </c>
      <c r="AA15" s="8">
        <v>270.8</v>
      </c>
      <c r="AB15" s="8">
        <v>22370</v>
      </c>
      <c r="AC15" s="21" t="s">
        <v>4450</v>
      </c>
      <c r="AD15" s="8" t="s">
        <v>4020</v>
      </c>
      <c r="AE15" s="8" t="s">
        <v>4020</v>
      </c>
      <c r="AF15" s="9">
        <f t="shared" si="0"/>
        <v>295.17200000000003</v>
      </c>
      <c r="AG15" s="9">
        <f t="shared" si="1"/>
        <v>13.540000000000001</v>
      </c>
      <c r="AH15" s="9">
        <f t="shared" si="2"/>
        <v>0.92517620370275466</v>
      </c>
      <c r="AI15" s="9">
        <f t="shared" si="3"/>
        <v>0.85595100789784095</v>
      </c>
      <c r="AJ15" s="9">
        <f t="shared" si="4"/>
        <v>0.62730587860280063</v>
      </c>
      <c r="AK15" s="9">
        <f t="shared" si="5"/>
        <v>0.39351266532963164</v>
      </c>
      <c r="AL15" s="9">
        <f t="shared" si="6"/>
        <v>3.7141942009505075E-2</v>
      </c>
      <c r="AM15" s="9">
        <f t="shared" si="7"/>
        <v>1.3795238562374378E-3</v>
      </c>
      <c r="AN15" s="8" t="s">
        <v>4450</v>
      </c>
    </row>
    <row r="16" spans="8:40" ht="22" customHeight="1">
      <c r="M16" s="8" t="s">
        <v>4419</v>
      </c>
      <c r="N16" s="8"/>
      <c r="O16" s="8"/>
      <c r="P16" s="8"/>
      <c r="Q16" s="8"/>
      <c r="R16" s="8"/>
      <c r="S16" s="8"/>
      <c r="T16" s="8"/>
      <c r="U16" s="8"/>
      <c r="V16" s="8"/>
      <c r="W16" s="8" t="s">
        <v>4419</v>
      </c>
      <c r="X16" s="8">
        <v>61.64</v>
      </c>
      <c r="Y16" s="8">
        <v>1.24</v>
      </c>
      <c r="Z16" s="9">
        <v>1.29</v>
      </c>
      <c r="AA16" s="8">
        <v>195.9</v>
      </c>
      <c r="AB16" s="8">
        <v>8534</v>
      </c>
      <c r="AC16" s="21" t="s">
        <v>4419</v>
      </c>
      <c r="AD16" s="8" t="s">
        <v>4020</v>
      </c>
      <c r="AE16" s="8" t="s">
        <v>4020</v>
      </c>
      <c r="AF16" s="9">
        <f t="shared" si="0"/>
        <v>242.916</v>
      </c>
      <c r="AG16" s="9">
        <f t="shared" si="1"/>
        <v>290.58500000000004</v>
      </c>
      <c r="AH16" s="9">
        <f t="shared" si="2"/>
        <v>0.66928367173327041</v>
      </c>
      <c r="AI16" s="9">
        <f t="shared" si="3"/>
        <v>0.44794063324876809</v>
      </c>
      <c r="AJ16" s="9">
        <f t="shared" si="4"/>
        <v>0.51625030425202223</v>
      </c>
      <c r="AK16" s="9">
        <f t="shared" si="5"/>
        <v>0.26651437664030553</v>
      </c>
      <c r="AL16" s="9">
        <f t="shared" si="6"/>
        <v>0.79711161143515752</v>
      </c>
      <c r="AM16" s="9">
        <f t="shared" si="7"/>
        <v>0.63538692108475359</v>
      </c>
      <c r="AN16" s="8" t="s">
        <v>4419</v>
      </c>
    </row>
    <row r="17" spans="13:40" ht="19.5" customHeight="1">
      <c r="M17" s="24" t="s">
        <v>5204</v>
      </c>
      <c r="N17" s="24"/>
      <c r="O17" s="24"/>
      <c r="P17" s="24"/>
      <c r="Q17" s="24"/>
      <c r="R17" s="24"/>
      <c r="S17" s="24"/>
      <c r="T17" s="24"/>
      <c r="U17" s="24"/>
      <c r="V17" s="24"/>
      <c r="W17" s="24" t="s">
        <v>5204</v>
      </c>
      <c r="X17" s="24">
        <v>46.49</v>
      </c>
      <c r="Y17" s="24">
        <v>3.22</v>
      </c>
      <c r="Z17" s="25">
        <v>1.17</v>
      </c>
      <c r="AA17" s="24">
        <v>181.3</v>
      </c>
      <c r="AB17" s="24">
        <v>2012</v>
      </c>
      <c r="AC17" s="21" t="s">
        <v>5204</v>
      </c>
      <c r="AD17" s="8" t="s">
        <v>4020</v>
      </c>
      <c r="AE17" s="8" t="s">
        <v>4020</v>
      </c>
      <c r="AF17" s="25">
        <f t="shared" si="0"/>
        <v>583.78600000000006</v>
      </c>
      <c r="AG17" s="25">
        <f t="shared" si="1"/>
        <v>232.66833333333332</v>
      </c>
      <c r="AH17" s="9">
        <f t="shared" si="2"/>
        <v>0.6194034185055739</v>
      </c>
      <c r="AI17" s="25">
        <f t="shared" si="3"/>
        <v>0.38366059485639115</v>
      </c>
      <c r="AJ17" s="9">
        <f t="shared" si="4"/>
        <v>1.2406745546529299</v>
      </c>
      <c r="AK17" s="25">
        <f t="shared" si="5"/>
        <v>1.5392733505632459</v>
      </c>
      <c r="AL17" s="9">
        <f t="shared" si="6"/>
        <v>0.63823882895973882</v>
      </c>
      <c r="AM17" s="25">
        <f t="shared" si="7"/>
        <v>0.40734880279189872</v>
      </c>
      <c r="AN17" s="24" t="s">
        <v>5204</v>
      </c>
    </row>
    <row r="18" spans="13:40" ht="26.5" customHeight="1">
      <c r="M18" s="8" t="s">
        <v>4421</v>
      </c>
      <c r="N18" s="8"/>
      <c r="O18" s="8"/>
      <c r="P18" s="8"/>
      <c r="Q18" s="8"/>
      <c r="R18" s="8"/>
      <c r="S18" s="8"/>
      <c r="T18" s="8"/>
      <c r="U18" s="8"/>
      <c r="V18" s="8"/>
      <c r="W18" s="8" t="s">
        <v>4421</v>
      </c>
      <c r="X18" s="8">
        <v>48.29</v>
      </c>
      <c r="Y18" s="8">
        <v>1.1599999999999999</v>
      </c>
      <c r="Z18" s="9">
        <v>7.0000000000000007E-2</v>
      </c>
      <c r="AA18" s="8">
        <v>180.5</v>
      </c>
      <c r="AB18" s="8">
        <v>8747</v>
      </c>
      <c r="AC18" s="21" t="s">
        <v>4421</v>
      </c>
      <c r="AD18" s="8" t="s">
        <v>4020</v>
      </c>
      <c r="AE18" s="8" t="s">
        <v>4020</v>
      </c>
      <c r="AF18" s="9">
        <f t="shared" si="0"/>
        <v>209.38</v>
      </c>
      <c r="AG18" s="9">
        <f t="shared" si="1"/>
        <v>21.058333333333334</v>
      </c>
      <c r="AH18" s="9">
        <f t="shared" si="2"/>
        <v>0.61667025394515218</v>
      </c>
      <c r="AI18" s="9">
        <f t="shared" si="3"/>
        <v>0.38028220210077845</v>
      </c>
      <c r="AJ18" s="9">
        <f t="shared" si="4"/>
        <v>0.444978876254707</v>
      </c>
      <c r="AK18" s="9">
        <f t="shared" si="5"/>
        <v>0.19800620031290184</v>
      </c>
      <c r="AL18" s="9">
        <f t="shared" si="6"/>
        <v>5.7765686520198999E-2</v>
      </c>
      <c r="AM18" s="9">
        <f t="shared" si="7"/>
        <v>3.3368745391499002E-3</v>
      </c>
      <c r="AN18" s="8" t="s">
        <v>4421</v>
      </c>
    </row>
    <row r="19" spans="13:40" ht="23">
      <c r="M19" s="9" t="s">
        <v>5201</v>
      </c>
      <c r="N19" s="8"/>
      <c r="O19" s="8"/>
      <c r="P19" s="8"/>
      <c r="Q19" s="8"/>
      <c r="R19" s="8"/>
      <c r="S19" s="8"/>
      <c r="T19" s="8"/>
      <c r="U19" s="8"/>
      <c r="V19" s="8"/>
      <c r="W19" s="9" t="s">
        <v>5201</v>
      </c>
      <c r="X19" s="8">
        <v>13.71</v>
      </c>
      <c r="Y19" s="8">
        <v>3.85</v>
      </c>
      <c r="Z19" s="9">
        <v>2.3199999999999998</v>
      </c>
      <c r="AA19" s="8">
        <v>169</v>
      </c>
      <c r="AB19" s="8">
        <v>3547</v>
      </c>
      <c r="AC19" s="22" t="s">
        <v>5201</v>
      </c>
      <c r="AD19" s="8" t="s">
        <v>4020</v>
      </c>
      <c r="AE19" s="8" t="s">
        <v>4020</v>
      </c>
      <c r="AF19" s="9">
        <f t="shared" si="0"/>
        <v>650.65</v>
      </c>
      <c r="AG19" s="9">
        <f t="shared" si="1"/>
        <v>428.13333333333333</v>
      </c>
      <c r="AH19" s="9">
        <f t="shared" si="2"/>
        <v>0.57738101338908987</v>
      </c>
      <c r="AI19" s="9">
        <f t="shared" si="3"/>
        <v>0.3333688346222124</v>
      </c>
      <c r="AJ19" s="9">
        <f t="shared" si="4"/>
        <v>1.382775364576966</v>
      </c>
      <c r="AK19" s="9">
        <f t="shared" si="5"/>
        <v>1.9120677088809614</v>
      </c>
      <c r="AL19" s="9">
        <f t="shared" si="6"/>
        <v>1.1744241830873539</v>
      </c>
      <c r="AM19" s="9">
        <f t="shared" si="7"/>
        <v>1.3792721618203985</v>
      </c>
      <c r="AN19" s="9" t="s">
        <v>5201</v>
      </c>
    </row>
    <row r="20" spans="13:40" ht="23">
      <c r="M20" s="8" t="s">
        <v>4452</v>
      </c>
      <c r="N20" s="8"/>
      <c r="O20" s="8"/>
      <c r="P20" s="8"/>
      <c r="Q20" s="8"/>
      <c r="R20" s="8"/>
      <c r="S20" s="8"/>
      <c r="T20" s="8"/>
      <c r="U20" s="8"/>
      <c r="V20" s="8"/>
      <c r="W20" s="8" t="s">
        <v>4452</v>
      </c>
      <c r="X20" s="8">
        <v>11.23</v>
      </c>
      <c r="Y20" s="8">
        <v>1.97</v>
      </c>
      <c r="Z20" s="9">
        <v>0.15</v>
      </c>
      <c r="AA20" s="8">
        <v>103</v>
      </c>
      <c r="AB20" s="8">
        <v>9256</v>
      </c>
      <c r="AC20" s="21" t="s">
        <v>4452</v>
      </c>
      <c r="AD20" s="8" t="s">
        <v>4020</v>
      </c>
      <c r="AE20" s="8" t="s">
        <v>4020</v>
      </c>
      <c r="AF20" s="9">
        <f t="shared" si="0"/>
        <v>202.91</v>
      </c>
      <c r="AG20" s="9">
        <f t="shared" si="1"/>
        <v>25.75</v>
      </c>
      <c r="AH20" s="9">
        <f t="shared" si="2"/>
        <v>0.35189493715429732</v>
      </c>
      <c r="AI20" s="9">
        <f t="shared" si="3"/>
        <v>0.12383004679482686</v>
      </c>
      <c r="AJ20" s="9">
        <f t="shared" si="4"/>
        <v>0.43122869319344065</v>
      </c>
      <c r="AK20" s="9">
        <f t="shared" si="5"/>
        <v>0.18595818583332258</v>
      </c>
      <c r="AL20" s="9">
        <f t="shared" si="6"/>
        <v>7.0635524870366007E-2</v>
      </c>
      <c r="AM20" s="9">
        <f t="shared" si="7"/>
        <v>4.9893773737120948E-3</v>
      </c>
      <c r="AN20" s="8" t="s">
        <v>4452</v>
      </c>
    </row>
    <row r="21" spans="13:40" ht="23">
      <c r="M21" s="24" t="s">
        <v>268</v>
      </c>
      <c r="N21" s="24"/>
      <c r="O21" s="24"/>
      <c r="P21" s="24" t="s">
        <v>3691</v>
      </c>
      <c r="Q21" s="24"/>
      <c r="R21" s="24"/>
      <c r="S21" s="24"/>
      <c r="T21" s="24"/>
      <c r="U21" s="24"/>
      <c r="V21" s="24"/>
      <c r="W21" s="24" t="s">
        <v>268</v>
      </c>
      <c r="X21" s="24">
        <v>50.21</v>
      </c>
      <c r="Y21" s="24">
        <v>2.5299999999999998</v>
      </c>
      <c r="Z21" s="25">
        <v>3.23</v>
      </c>
      <c r="AA21" s="24">
        <v>83.5</v>
      </c>
      <c r="AB21" s="24">
        <v>1936</v>
      </c>
      <c r="AC21" s="21" t="s">
        <v>268</v>
      </c>
      <c r="AD21" s="8" t="s">
        <v>4020</v>
      </c>
      <c r="AE21" s="8" t="s">
        <v>4020</v>
      </c>
      <c r="AF21" s="25">
        <f t="shared" si="0"/>
        <v>211.255</v>
      </c>
      <c r="AG21" s="25">
        <f t="shared" si="1"/>
        <v>282.50833333333333</v>
      </c>
      <c r="AH21" s="9">
        <f t="shared" si="2"/>
        <v>0.28527405099401776</v>
      </c>
      <c r="AI21" s="25">
        <f t="shared" si="3"/>
        <v>8.1381284170537443E-2</v>
      </c>
      <c r="AJ21" s="9">
        <f t="shared" si="4"/>
        <v>0.44896366655453307</v>
      </c>
      <c r="AK21" s="25">
        <f t="shared" si="5"/>
        <v>0.20156837388608995</v>
      </c>
      <c r="AL21" s="9">
        <f t="shared" si="6"/>
        <v>0.77495628758261426</v>
      </c>
      <c r="AM21" s="25">
        <f t="shared" si="7"/>
        <v>0.60055724766382756</v>
      </c>
      <c r="AN21" s="24" t="s">
        <v>268</v>
      </c>
    </row>
    <row r="22" spans="13:40" ht="23">
      <c r="M22" s="8" t="s">
        <v>4423</v>
      </c>
      <c r="N22" s="8"/>
      <c r="O22" s="8"/>
      <c r="P22" s="8"/>
      <c r="Q22" s="8"/>
      <c r="R22" s="8"/>
      <c r="S22" s="8"/>
      <c r="T22" s="8"/>
      <c r="U22" s="8"/>
      <c r="V22" s="8"/>
      <c r="W22" s="8" t="s">
        <v>4423</v>
      </c>
      <c r="X22" s="8">
        <v>25.39</v>
      </c>
      <c r="Y22" s="8">
        <v>1</v>
      </c>
      <c r="Z22" s="9">
        <v>0.01</v>
      </c>
      <c r="AA22" s="8">
        <v>69.8</v>
      </c>
      <c r="AB22" s="8">
        <v>99800</v>
      </c>
      <c r="AC22" s="21" t="s">
        <v>4423</v>
      </c>
      <c r="AD22" s="8" t="s">
        <v>4020</v>
      </c>
      <c r="AE22" s="8" t="s">
        <v>4020</v>
      </c>
      <c r="AF22" s="9">
        <f t="shared" si="0"/>
        <v>69.8</v>
      </c>
      <c r="AG22" s="9">
        <f t="shared" si="1"/>
        <v>1.1633333333333333</v>
      </c>
      <c r="AH22" s="9">
        <f t="shared" si="2"/>
        <v>0.23846860789679566</v>
      </c>
      <c r="AI22" s="9">
        <f t="shared" si="3"/>
        <v>5.6867276952235674E-2</v>
      </c>
      <c r="AJ22" s="9">
        <f t="shared" si="4"/>
        <v>0.14834046022819061</v>
      </c>
      <c r="AK22" s="9">
        <f t="shared" si="5"/>
        <v>2.2004892140711402E-2</v>
      </c>
      <c r="AL22" s="9">
        <f t="shared" si="6"/>
        <v>3.1911712854055317E-3</v>
      </c>
      <c r="AM22" s="9">
        <f t="shared" si="7"/>
        <v>1.0183574172796794E-5</v>
      </c>
      <c r="AN22" s="8" t="s">
        <v>4423</v>
      </c>
    </row>
    <row r="23" spans="13:40" ht="23">
      <c r="M23" s="9" t="s">
        <v>4718</v>
      </c>
      <c r="N23" s="8" t="s">
        <v>1614</v>
      </c>
      <c r="O23" s="8"/>
      <c r="P23" s="8"/>
      <c r="Q23" s="8"/>
      <c r="R23" s="8"/>
      <c r="S23" s="8"/>
      <c r="T23" s="8"/>
      <c r="U23" s="8"/>
      <c r="V23" s="8"/>
      <c r="W23" s="9" t="s">
        <v>4718</v>
      </c>
      <c r="X23" s="8">
        <v>34.04</v>
      </c>
      <c r="Y23" s="8">
        <v>1.37</v>
      </c>
      <c r="Z23" s="9">
        <v>0.26</v>
      </c>
      <c r="AA23" s="8">
        <v>52</v>
      </c>
      <c r="AB23" s="8">
        <v>10964</v>
      </c>
      <c r="AC23" s="22" t="s">
        <v>4718</v>
      </c>
      <c r="AD23" s="8" t="s">
        <v>4020</v>
      </c>
      <c r="AE23" s="8" t="s">
        <v>4020</v>
      </c>
      <c r="AF23" s="9">
        <f t="shared" si="0"/>
        <v>71.240000000000009</v>
      </c>
      <c r="AG23" s="9">
        <f t="shared" si="1"/>
        <v>22.533333333333335</v>
      </c>
      <c r="AH23" s="9">
        <f t="shared" si="2"/>
        <v>0.17765569642741227</v>
      </c>
      <c r="AI23" s="9">
        <f t="shared" si="3"/>
        <v>3.1561546473108867E-2</v>
      </c>
      <c r="AJ23" s="9">
        <f t="shared" si="4"/>
        <v>0.15140077917845704</v>
      </c>
      <c r="AK23" s="9">
        <f t="shared" si="5"/>
        <v>2.2922195935843912E-2</v>
      </c>
      <c r="AL23" s="9">
        <f t="shared" si="6"/>
        <v>6.1811799109860746E-2</v>
      </c>
      <c r="AM23" s="9">
        <f t="shared" si="7"/>
        <v>3.8206985091977816E-3</v>
      </c>
      <c r="AN23" s="9" t="s">
        <v>4718</v>
      </c>
    </row>
    <row r="24" spans="13:40" ht="23">
      <c r="M24" s="8" t="s">
        <v>1802</v>
      </c>
      <c r="N24" s="8" t="s">
        <v>1717</v>
      </c>
      <c r="O24" s="8"/>
      <c r="P24" s="8"/>
      <c r="Q24" s="8"/>
      <c r="R24" s="8"/>
      <c r="S24" s="8"/>
      <c r="T24" s="8"/>
      <c r="U24" s="8"/>
      <c r="V24" s="8"/>
      <c r="W24" s="8" t="s">
        <v>1802</v>
      </c>
      <c r="X24" s="8">
        <v>21.83</v>
      </c>
      <c r="Y24" s="8">
        <v>1.53</v>
      </c>
      <c r="Z24" s="9">
        <v>0.38</v>
      </c>
      <c r="AA24" s="8">
        <v>37.9</v>
      </c>
      <c r="AB24" s="8">
        <v>11606</v>
      </c>
      <c r="AC24" s="21" t="s">
        <v>1802</v>
      </c>
      <c r="AD24" s="8" t="s">
        <v>4020</v>
      </c>
      <c r="AE24" s="8" t="s">
        <v>4020</v>
      </c>
      <c r="AF24" s="9">
        <f t="shared" si="0"/>
        <v>57.987000000000002</v>
      </c>
      <c r="AG24" s="9">
        <f t="shared" si="1"/>
        <v>24.00333333333333</v>
      </c>
      <c r="AH24" s="9">
        <f t="shared" si="2"/>
        <v>0.12948367104997929</v>
      </c>
      <c r="AI24" s="9">
        <f t="shared" si="3"/>
        <v>1.6766021068579245E-2</v>
      </c>
      <c r="AJ24" s="9">
        <f t="shared" si="4"/>
        <v>0.12323521872853999</v>
      </c>
      <c r="AK24" s="9">
        <f t="shared" si="5"/>
        <v>1.5186919135071093E-2</v>
      </c>
      <c r="AL24" s="9">
        <f t="shared" si="6"/>
        <v>6.5844196063625307E-2</v>
      </c>
      <c r="AM24" s="9">
        <f t="shared" si="7"/>
        <v>4.3354581552651301E-3</v>
      </c>
      <c r="AN24" s="8" t="s">
        <v>1802</v>
      </c>
    </row>
    <row r="25" spans="13:40" ht="23">
      <c r="M25" s="8" t="s">
        <v>3943</v>
      </c>
      <c r="N25" s="8"/>
      <c r="O25" s="8"/>
      <c r="P25" s="8"/>
      <c r="Q25" s="8"/>
      <c r="R25" s="8"/>
      <c r="S25" s="8"/>
      <c r="T25" s="8"/>
      <c r="U25" s="8"/>
      <c r="V25" s="8"/>
      <c r="W25" s="8" t="s">
        <v>3943</v>
      </c>
      <c r="X25" s="8">
        <v>20.9</v>
      </c>
      <c r="Y25" s="8">
        <v>12.51</v>
      </c>
      <c r="Z25" s="9">
        <v>21.38</v>
      </c>
      <c r="AA25" s="8">
        <v>20</v>
      </c>
      <c r="AB25" s="8">
        <v>3316</v>
      </c>
      <c r="AC25" s="21" t="s">
        <v>3943</v>
      </c>
      <c r="AD25" s="8" t="s">
        <v>4020</v>
      </c>
      <c r="AE25" s="8" t="s">
        <v>4020</v>
      </c>
      <c r="AF25" s="9">
        <f t="shared" si="0"/>
        <v>250.2</v>
      </c>
      <c r="AG25" s="9">
        <f t="shared" si="1"/>
        <v>432.66666666666663</v>
      </c>
      <c r="AH25" s="9">
        <f t="shared" si="2"/>
        <v>6.8329114010543174E-2</v>
      </c>
      <c r="AI25" s="9">
        <f t="shared" si="3"/>
        <v>4.6688678214658079E-3</v>
      </c>
      <c r="AJ25" s="9">
        <f t="shared" si="4"/>
        <v>0.53173041760878637</v>
      </c>
      <c r="AK25" s="9">
        <f t="shared" si="5"/>
        <v>0.28273723701041437</v>
      </c>
      <c r="AL25" s="9">
        <f t="shared" si="6"/>
        <v>1.1868596929674442</v>
      </c>
      <c r="AM25" s="9">
        <f t="shared" si="7"/>
        <v>1.4086359307907759</v>
      </c>
      <c r="AN25" s="8" t="s">
        <v>3943</v>
      </c>
    </row>
    <row r="26" spans="13:40" ht="23">
      <c r="M26" s="8" t="s">
        <v>3957</v>
      </c>
      <c r="N26" s="8"/>
      <c r="O26" s="8"/>
      <c r="P26" s="8"/>
      <c r="Q26" s="8"/>
      <c r="R26" s="8"/>
      <c r="S26" s="8"/>
      <c r="T26" s="8"/>
      <c r="U26" s="8"/>
      <c r="V26" s="8"/>
      <c r="W26" s="8" t="s">
        <v>3957</v>
      </c>
      <c r="X26" s="8">
        <v>10.25</v>
      </c>
      <c r="Y26" s="8">
        <v>15.22</v>
      </c>
      <c r="Z26" s="9">
        <v>24.15</v>
      </c>
      <c r="AA26" s="8">
        <v>18.2</v>
      </c>
      <c r="AB26" s="8">
        <v>3220</v>
      </c>
      <c r="AC26" s="21" t="s">
        <v>3957</v>
      </c>
      <c r="AD26" s="8" t="s">
        <v>4020</v>
      </c>
      <c r="AE26" s="8" t="s">
        <v>4020</v>
      </c>
      <c r="AF26" s="9">
        <f t="shared" si="0"/>
        <v>277.00400000000002</v>
      </c>
      <c r="AG26" s="9">
        <f t="shared" si="1"/>
        <v>441.34999999999997</v>
      </c>
      <c r="AH26" s="9">
        <f t="shared" si="2"/>
        <v>6.2179493749594292E-2</v>
      </c>
      <c r="AI26" s="9">
        <f t="shared" si="3"/>
        <v>3.8662894429558354E-3</v>
      </c>
      <c r="AJ26" s="9">
        <f t="shared" si="4"/>
        <v>0.58869485451360626</v>
      </c>
      <c r="AK26" s="9">
        <f t="shared" si="5"/>
        <v>0.34656163173079602</v>
      </c>
      <c r="AL26" s="9">
        <f t="shared" si="6"/>
        <v>1.2106791806421762</v>
      </c>
      <c r="AM26" s="9">
        <f t="shared" si="7"/>
        <v>1.465744078440411</v>
      </c>
      <c r="AN26" s="8" t="s">
        <v>3957</v>
      </c>
    </row>
    <row r="27" spans="13:40" ht="23">
      <c r="M27" s="9" t="s">
        <v>4527</v>
      </c>
      <c r="N27" s="8" t="s">
        <v>1869</v>
      </c>
      <c r="O27" s="8"/>
      <c r="P27" s="8"/>
      <c r="Q27" s="8"/>
      <c r="R27" s="8"/>
      <c r="S27" s="8"/>
      <c r="T27" s="8"/>
      <c r="U27" s="8"/>
      <c r="V27" s="8"/>
      <c r="W27" s="9" t="s">
        <v>4527</v>
      </c>
      <c r="X27" s="8">
        <v>1.66</v>
      </c>
      <c r="Y27" s="8">
        <v>1.37</v>
      </c>
      <c r="Z27" s="9">
        <v>0.09</v>
      </c>
      <c r="AA27" s="8">
        <v>16.7</v>
      </c>
      <c r="AB27" s="8">
        <v>45703</v>
      </c>
      <c r="AC27" s="22" t="s">
        <v>4527</v>
      </c>
      <c r="AD27" s="8" t="s">
        <v>4020</v>
      </c>
      <c r="AE27" s="8" t="s">
        <v>4020</v>
      </c>
      <c r="AF27" s="9">
        <f t="shared" si="0"/>
        <v>22.879000000000001</v>
      </c>
      <c r="AG27" s="9">
        <f t="shared" si="1"/>
        <v>2.5049999999999999</v>
      </c>
      <c r="AH27" s="9">
        <f t="shared" si="2"/>
        <v>5.7054810198803547E-2</v>
      </c>
      <c r="AI27" s="9">
        <f t="shared" si="3"/>
        <v>3.2552513668214975E-3</v>
      </c>
      <c r="AJ27" s="9">
        <f t="shared" si="4"/>
        <v>4.862294254385062E-2</v>
      </c>
      <c r="AK27" s="9">
        <f t="shared" si="5"/>
        <v>2.3641905416225987E-3</v>
      </c>
      <c r="AL27" s="9">
        <f t="shared" si="6"/>
        <v>6.8715335844763822E-3</v>
      </c>
      <c r="AM27" s="9">
        <f t="shared" si="7"/>
        <v>4.7217973802586839E-5</v>
      </c>
      <c r="AN27" s="9" t="s">
        <v>4527</v>
      </c>
    </row>
    <row r="28" spans="13:40" ht="23">
      <c r="M28" s="8" t="s">
        <v>438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438</v>
      </c>
      <c r="X28" s="8">
        <v>65.97</v>
      </c>
      <c r="Y28" s="8">
        <v>1.84</v>
      </c>
      <c r="Z28" s="9">
        <v>1.1299999999999999</v>
      </c>
      <c r="AA28" s="8">
        <v>16.600000000000001</v>
      </c>
      <c r="AB28" s="8">
        <v>11580</v>
      </c>
      <c r="AC28" s="21" t="s">
        <v>438</v>
      </c>
      <c r="AD28" s="8" t="s">
        <v>4020</v>
      </c>
      <c r="AE28" s="8" t="s">
        <v>4020</v>
      </c>
      <c r="AF28" s="9">
        <f t="shared" si="0"/>
        <v>30.544000000000004</v>
      </c>
      <c r="AG28" s="9">
        <f t="shared" si="1"/>
        <v>20.196666666666669</v>
      </c>
      <c r="AH28" s="9">
        <f t="shared" si="2"/>
        <v>5.6713164628750846E-2</v>
      </c>
      <c r="AI28" s="9">
        <f t="shared" si="3"/>
        <v>3.216383042207796E-3</v>
      </c>
      <c r="AJ28" s="9">
        <f t="shared" si="4"/>
        <v>6.4912765289539459E-2</v>
      </c>
      <c r="AK28" s="9">
        <f t="shared" si="5"/>
        <v>4.2136670975348386E-3</v>
      </c>
      <c r="AL28" s="9">
        <f t="shared" si="6"/>
        <v>5.5402025267255357E-2</v>
      </c>
      <c r="AM28" s="9">
        <f t="shared" si="7"/>
        <v>3.0693844037136008E-3</v>
      </c>
      <c r="AN28" s="8" t="s">
        <v>438</v>
      </c>
    </row>
    <row r="29" spans="13:40" ht="23">
      <c r="M29" s="24" t="s">
        <v>5222</v>
      </c>
      <c r="N29" s="24"/>
      <c r="O29" s="24"/>
      <c r="P29" s="24"/>
      <c r="Q29" s="24"/>
      <c r="R29" s="24"/>
      <c r="S29" s="24"/>
      <c r="T29" s="24"/>
      <c r="U29" s="24"/>
      <c r="V29" s="24"/>
      <c r="W29" s="24" t="s">
        <v>5222</v>
      </c>
      <c r="X29" s="24">
        <v>21.64</v>
      </c>
      <c r="Y29" s="24">
        <v>6.43</v>
      </c>
      <c r="Z29" s="25">
        <v>8.5399999999999991</v>
      </c>
      <c r="AA29" s="24">
        <v>15.8</v>
      </c>
      <c r="AB29" s="24">
        <v>5452</v>
      </c>
      <c r="AC29" s="21" t="s">
        <v>5222</v>
      </c>
      <c r="AD29" s="8" t="s">
        <v>4020</v>
      </c>
      <c r="AE29" s="8" t="s">
        <v>4020</v>
      </c>
      <c r="AF29" s="25">
        <f t="shared" si="0"/>
        <v>101.59399999999999</v>
      </c>
      <c r="AG29" s="25">
        <f t="shared" si="1"/>
        <v>140.62</v>
      </c>
      <c r="AH29" s="9">
        <f t="shared" si="2"/>
        <v>5.3980000068329106E-2</v>
      </c>
      <c r="AI29" s="25">
        <f t="shared" si="3"/>
        <v>2.9138404073768102E-3</v>
      </c>
      <c r="AJ29" s="9">
        <f t="shared" si="4"/>
        <v>0.21590975238428076</v>
      </c>
      <c r="AK29" s="25">
        <f t="shared" si="5"/>
        <v>4.6617021174641428E-2</v>
      </c>
      <c r="AL29" s="9">
        <f t="shared" si="6"/>
        <v>0.38573854397168422</v>
      </c>
      <c r="AM29" s="25">
        <f t="shared" si="7"/>
        <v>0.14879422430539496</v>
      </c>
      <c r="AN29" s="24" t="s">
        <v>5222</v>
      </c>
    </row>
    <row r="30" spans="13:40" ht="23">
      <c r="M30" s="8" t="s">
        <v>4422</v>
      </c>
      <c r="N30" s="8"/>
      <c r="O30" s="8"/>
      <c r="P30" s="8"/>
      <c r="Q30" s="8"/>
      <c r="R30" s="8"/>
      <c r="S30" s="8"/>
      <c r="T30" s="8"/>
      <c r="U30" s="8"/>
      <c r="V30" s="8"/>
      <c r="W30" s="8" t="s">
        <v>4422</v>
      </c>
      <c r="X30" s="8">
        <v>19.98</v>
      </c>
      <c r="Y30" s="8">
        <v>3.02</v>
      </c>
      <c r="Z30" s="9">
        <v>1.59</v>
      </c>
      <c r="AA30" s="8">
        <v>15.7</v>
      </c>
      <c r="AB30" s="8">
        <v>14275</v>
      </c>
      <c r="AC30" s="21" t="s">
        <v>4422</v>
      </c>
      <c r="AD30" s="8" t="s">
        <v>4020</v>
      </c>
      <c r="AE30" s="8" t="s">
        <v>4020</v>
      </c>
      <c r="AF30" s="9">
        <f t="shared" si="0"/>
        <v>47.414000000000001</v>
      </c>
      <c r="AG30" s="9">
        <f t="shared" si="1"/>
        <v>31.138333333333332</v>
      </c>
      <c r="AH30" s="9">
        <f t="shared" si="2"/>
        <v>5.3638354498276385E-2</v>
      </c>
      <c r="AI30" s="9">
        <f t="shared" si="3"/>
        <v>2.8770730732827665E-3</v>
      </c>
      <c r="AJ30" s="9">
        <f t="shared" si="4"/>
        <v>0.10076525188050758</v>
      </c>
      <c r="AK30" s="9">
        <f t="shared" si="5"/>
        <v>1.0153635986542137E-2</v>
      </c>
      <c r="AL30" s="9">
        <f t="shared" si="6"/>
        <v>8.5416408488870416E-2</v>
      </c>
      <c r="AM30" s="9">
        <f t="shared" si="7"/>
        <v>7.2959628391375741E-3</v>
      </c>
      <c r="AN30" s="8" t="s">
        <v>4422</v>
      </c>
    </row>
    <row r="31" spans="13:40" ht="23">
      <c r="M31" s="8" t="s">
        <v>3946</v>
      </c>
      <c r="N31" s="8"/>
      <c r="O31" s="8"/>
      <c r="P31" s="8"/>
      <c r="Q31" s="8"/>
      <c r="R31" s="8"/>
      <c r="S31" s="8"/>
      <c r="T31" s="8"/>
      <c r="U31" s="8"/>
      <c r="V31" s="8"/>
      <c r="W31" s="8" t="s">
        <v>3946</v>
      </c>
      <c r="X31" s="8">
        <v>15.01</v>
      </c>
      <c r="Y31" s="8">
        <v>9.5299999999999994</v>
      </c>
      <c r="Z31" s="9">
        <v>20.309999999999999</v>
      </c>
      <c r="AA31" s="8">
        <v>15.5</v>
      </c>
      <c r="AB31" s="8">
        <v>4414</v>
      </c>
      <c r="AC31" s="21" t="s">
        <v>3946</v>
      </c>
      <c r="AD31" s="8" t="s">
        <v>4020</v>
      </c>
      <c r="AE31" s="8" t="s">
        <v>4020</v>
      </c>
      <c r="AF31" s="9">
        <f t="shared" si="0"/>
        <v>147.715</v>
      </c>
      <c r="AG31" s="9">
        <f t="shared" si="1"/>
        <v>318.00833333333333</v>
      </c>
      <c r="AH31" s="9">
        <f t="shared" si="2"/>
        <v>5.2955063358170962E-2</v>
      </c>
      <c r="AI31" s="9">
        <f t="shared" si="3"/>
        <v>2.8042387352679009E-3</v>
      </c>
      <c r="AJ31" s="9">
        <f t="shared" si="4"/>
        <v>0.31392709287402837</v>
      </c>
      <c r="AK31" s="9">
        <f t="shared" si="5"/>
        <v>9.8550219640338832E-2</v>
      </c>
      <c r="AL31" s="9">
        <f t="shared" si="6"/>
        <v>0.87233730245243923</v>
      </c>
      <c r="AM31" s="9">
        <f t="shared" si="7"/>
        <v>0.76097236924999845</v>
      </c>
      <c r="AN31" s="8" t="s">
        <v>3946</v>
      </c>
    </row>
    <row r="32" spans="13:40" ht="23">
      <c r="M32" s="24" t="s">
        <v>5224</v>
      </c>
      <c r="N32" s="24"/>
      <c r="O32" s="24"/>
      <c r="P32" s="24"/>
      <c r="Q32" s="24"/>
      <c r="R32" s="24"/>
      <c r="S32" s="24"/>
      <c r="T32" s="24"/>
      <c r="U32" s="24"/>
      <c r="V32" s="24"/>
      <c r="W32" s="24" t="s">
        <v>5224</v>
      </c>
      <c r="X32" s="24">
        <v>13.94</v>
      </c>
      <c r="Y32" s="24">
        <v>1.56</v>
      </c>
      <c r="Z32" s="25">
        <v>1.08</v>
      </c>
      <c r="AA32" s="24">
        <v>11.9</v>
      </c>
      <c r="AB32" s="24">
        <v>22387</v>
      </c>
      <c r="AC32" s="21" t="s">
        <v>5224</v>
      </c>
      <c r="AD32" s="8" t="s">
        <v>4020</v>
      </c>
      <c r="AE32" s="8" t="s">
        <v>4020</v>
      </c>
      <c r="AF32" s="25">
        <f t="shared" si="0"/>
        <v>18.564</v>
      </c>
      <c r="AG32" s="25">
        <f t="shared" si="1"/>
        <v>13.486666666666666</v>
      </c>
      <c r="AH32" s="9">
        <f t="shared" si="2"/>
        <v>4.0655822836273198E-2</v>
      </c>
      <c r="AI32" s="25">
        <f t="shared" si="3"/>
        <v>1.6528959304944332E-3</v>
      </c>
      <c r="AJ32" s="9">
        <f t="shared" si="4"/>
        <v>3.945261180051763E-2</v>
      </c>
      <c r="AK32" s="25">
        <f t="shared" si="5"/>
        <v>1.556508577882343E-3</v>
      </c>
      <c r="AL32" s="9">
        <f t="shared" si="6"/>
        <v>3.6995641893268719E-2</v>
      </c>
      <c r="AM32" s="25">
        <f t="shared" si="7"/>
        <v>1.3686775190949795E-3</v>
      </c>
      <c r="AN32" s="24" t="s">
        <v>5224</v>
      </c>
    </row>
    <row r="33" spans="13:40" ht="23">
      <c r="M33" s="8" t="s">
        <v>5306</v>
      </c>
      <c r="N33" s="8" t="s">
        <v>1902</v>
      </c>
      <c r="O33" s="8"/>
      <c r="P33" s="8"/>
      <c r="Q33" s="8"/>
      <c r="R33" s="8"/>
      <c r="S33" s="8"/>
      <c r="T33" s="8"/>
      <c r="U33" s="8"/>
      <c r="V33" s="8"/>
      <c r="W33" s="8"/>
      <c r="X33" s="8">
        <v>42.65</v>
      </c>
      <c r="Y33" s="8">
        <v>8.93</v>
      </c>
      <c r="Z33" s="9">
        <v>38.369999999999997</v>
      </c>
      <c r="AA33" s="8">
        <v>6</v>
      </c>
      <c r="AB33" s="8">
        <v>12787</v>
      </c>
      <c r="AC33" s="21" t="s">
        <v>5306</v>
      </c>
      <c r="AD33" s="8" t="s">
        <v>4020</v>
      </c>
      <c r="AE33" s="8" t="s">
        <v>4020</v>
      </c>
      <c r="AF33" s="9">
        <f t="shared" si="0"/>
        <v>53.58</v>
      </c>
      <c r="AG33" s="25">
        <f t="shared" si="1"/>
        <v>231.7</v>
      </c>
      <c r="AH33" s="9">
        <f t="shared" si="2"/>
        <v>2.0498734203162953E-2</v>
      </c>
      <c r="AI33" s="9">
        <f t="shared" si="3"/>
        <v>4.2019810393192268E-4</v>
      </c>
      <c r="AJ33" s="9">
        <f t="shared" si="4"/>
        <v>0.11386936760782884</v>
      </c>
      <c r="AK33" s="9">
        <f t="shared" si="5"/>
        <v>1.2966232879406861E-2</v>
      </c>
      <c r="AL33" s="9">
        <f t="shared" si="6"/>
        <v>0.63558256747432251</v>
      </c>
      <c r="AM33" s="9">
        <f t="shared" si="7"/>
        <v>0.40396520007725173</v>
      </c>
      <c r="AN33" s="8" t="s">
        <v>5306</v>
      </c>
    </row>
    <row r="34" spans="13:40" ht="23">
      <c r="M34" s="24" t="s">
        <v>5223</v>
      </c>
      <c r="N34" s="24"/>
      <c r="O34" s="24"/>
      <c r="P34" s="24"/>
      <c r="Q34" s="24"/>
      <c r="R34" s="24"/>
      <c r="S34" s="24"/>
      <c r="T34" s="24"/>
      <c r="U34" s="24"/>
      <c r="V34" s="24"/>
      <c r="W34" s="24" t="s">
        <v>5223</v>
      </c>
      <c r="X34" s="24">
        <v>83.4</v>
      </c>
      <c r="Y34" s="24">
        <v>1.47</v>
      </c>
      <c r="Z34" s="25">
        <v>0.42</v>
      </c>
      <c r="AA34" s="24">
        <v>1.8</v>
      </c>
      <c r="AB34" s="24">
        <v>64478</v>
      </c>
      <c r="AC34" s="21" t="s">
        <v>5223</v>
      </c>
      <c r="AD34" s="8" t="s">
        <v>4020</v>
      </c>
      <c r="AE34" s="8" t="s">
        <v>4020</v>
      </c>
      <c r="AF34" s="25">
        <f t="shared" si="0"/>
        <v>2.6459999999999999</v>
      </c>
      <c r="AG34" s="25">
        <f t="shared" si="1"/>
        <v>1.26</v>
      </c>
      <c r="AH34" s="9">
        <f t="shared" si="2"/>
        <v>6.1496202609488864E-3</v>
      </c>
      <c r="AI34" s="25">
        <f t="shared" si="3"/>
        <v>3.7817829353873047E-5</v>
      </c>
      <c r="AJ34" s="9">
        <f t="shared" si="4"/>
        <v>5.6233360711145037E-3</v>
      </c>
      <c r="AK34" s="25">
        <f t="shared" si="5"/>
        <v>3.1621908568697499E-5</v>
      </c>
      <c r="AL34" s="9">
        <f t="shared" si="6"/>
        <v>3.4563402460839289E-3</v>
      </c>
      <c r="AM34" s="25">
        <f t="shared" si="7"/>
        <v>1.1946287896699514E-5</v>
      </c>
      <c r="AN34" s="24" t="s">
        <v>5223</v>
      </c>
    </row>
    <row r="35" spans="13:40" ht="23"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9"/>
      <c r="AA35" s="8">
        <f>SUBTOTAL(109,Table13656[ترافیک کل])</f>
        <v>29270.100000000002</v>
      </c>
      <c r="AB35" s="8"/>
      <c r="AC35" s="21"/>
      <c r="AD35" s="8"/>
      <c r="AE35" s="8"/>
      <c r="AF35" s="9">
        <f>SUBTOTAL(109,Table13656[[مجموع صفحات  مشاهده شده   ]])</f>
        <v>47053.91899999998</v>
      </c>
      <c r="AG35" s="9">
        <f>SUBTOTAL(109,Table13656[[مجموع زمان حضور در سایت ]])</f>
        <v>36454.744333333321</v>
      </c>
      <c r="AH35" s="9">
        <f>SUBTOTAL(109,Table13656[سهم سایت از کل ترافیک طبقه بندی])</f>
        <v>99.999999999999972</v>
      </c>
      <c r="AI35" s="9">
        <f>SUBTOTAL(109,Table13656[شاخص هرفیندال هیرشمن (ترافیک)])</f>
        <v>1379.4034379425377</v>
      </c>
      <c r="AJ35" s="9">
        <f>SUBTOTAL(109,Table13656[سهم سایت از کل صفحات مشاهده شده در طبقه بندی])</f>
        <v>100.00000000000003</v>
      </c>
      <c r="AK35" s="9">
        <f>SUBTOTAL(109,Table13656[شاخص هرفیندال -هیرشمن (صفحات مشاهده شده )])</f>
        <v>1277.6345104385509</v>
      </c>
      <c r="AL35" s="9">
        <f>SUBTOTAL(109,Table13656[سهم سایت از کل زمان حضور در طبقه بندی])</f>
        <v>100.00000000000001</v>
      </c>
      <c r="AM35" s="9">
        <f>SUBTOTAL(109,Table13656[شاخص هرفیندال هیرشمن (زمان حضور)])</f>
        <v>1638.4367823166176</v>
      </c>
      <c r="AN35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{A307E7F7-AD9A-41AD-8A87-C4243B5E8AB7}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{3D6EDC30-2739-43FC-9CF4-8BE7E8FF7002}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{82AC84A3-91B3-47EE-B490-91FFB5C44EEA}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{958B1C63-31E5-4FF2-BFEA-F8D1D500FB4B}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{2DF2104B-48FF-4C02-8832-8242B9DA0E6A}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{08BA61B7-E5A3-463B-9625-8E3F8453D1FD}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07E7F7-AD9A-41AD-8A87-C4243B5E8A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3D6EDC30-2739-43FC-9CF4-8BE7E8FF700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2AC84A3-91B3-47EE-B490-91FFB5C44EE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58B1C63-31E5-4FF2-BFEA-F8D1D500FB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DF2104B-48FF-4C02-8832-8242B9DA0E6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08BA61B7-E5A3-463B-9625-8E3F8453D1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5"/>
  <sheetViews>
    <sheetView showGridLines="0" rightToLeft="1" topLeftCell="V1" zoomScale="70" zoomScaleNormal="70" workbookViewId="0">
      <selection activeCell="AA1" sqref="AA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4816</v>
      </c>
      <c r="N2" s="8"/>
      <c r="O2" s="8"/>
      <c r="P2" s="8"/>
      <c r="Q2" s="8"/>
      <c r="R2" s="8"/>
      <c r="S2" s="8"/>
      <c r="T2" s="8"/>
      <c r="U2" s="8"/>
      <c r="V2" s="8"/>
      <c r="W2" s="8" t="s">
        <v>4816</v>
      </c>
      <c r="X2" s="8">
        <v>94.01</v>
      </c>
      <c r="Y2" s="8">
        <v>1.07</v>
      </c>
      <c r="Z2" s="9">
        <v>0.38</v>
      </c>
      <c r="AA2" s="8">
        <v>17506.599999999999</v>
      </c>
      <c r="AB2" s="8">
        <v>208</v>
      </c>
      <c r="AC2" s="21" t="s">
        <v>4816</v>
      </c>
      <c r="AD2" s="8" t="s">
        <v>4162</v>
      </c>
      <c r="AE2" s="8" t="s">
        <v>4020</v>
      </c>
      <c r="AF2" s="9">
        <f t="shared" ref="AF2:AF14" si="0">(AA2*Y2)</f>
        <v>18732.061999999998</v>
      </c>
      <c r="AG2" s="9">
        <f t="shared" ref="AG2:AG14" si="1">((((RIGHT(Z2,2))/60)+(LEFT(Z2,2)))*AA2)</f>
        <v>11087.513333333332</v>
      </c>
      <c r="AH2" s="9">
        <f t="shared" ref="AH2:AH14" si="2">(AA2/$AA$15)*100</f>
        <v>24.657912417127818</v>
      </c>
      <c r="AI2" s="9">
        <f t="shared" ref="AI2:AI14" si="3">(AH2*AH2)</f>
        <v>608.01264477074619</v>
      </c>
      <c r="AJ2" s="9">
        <f t="shared" ref="AJ2:AJ14" si="4">(AF2/$AF$15)*100</f>
        <v>13.707862229883764</v>
      </c>
      <c r="AK2" s="9">
        <f t="shared" ref="AK2:AK14" si="5">(AJ2*AJ2)</f>
        <v>187.90548691347388</v>
      </c>
      <c r="AL2" s="9">
        <f t="shared" ref="AL2:AL14" si="6">(AG2/$AG$15)*100</f>
        <v>16.17047501212134</v>
      </c>
      <c r="AM2" s="9">
        <f t="shared" ref="AM2:AM14" si="7">(AL2*AL2)</f>
        <v>261.48426211764064</v>
      </c>
      <c r="AN2" s="8" t="s">
        <v>4816</v>
      </c>
    </row>
    <row r="3" spans="8:40" ht="23">
      <c r="M3" s="8" t="s">
        <v>3764</v>
      </c>
      <c r="N3" s="8"/>
      <c r="O3" s="8"/>
      <c r="P3" s="8"/>
      <c r="Q3" s="8"/>
      <c r="R3" s="8"/>
      <c r="S3" s="8"/>
      <c r="T3" s="8"/>
      <c r="U3" s="8"/>
      <c r="V3" s="8"/>
      <c r="W3" s="8" t="s">
        <v>3764</v>
      </c>
      <c r="X3" s="8">
        <v>54.6</v>
      </c>
      <c r="Y3" s="8">
        <v>1.68</v>
      </c>
      <c r="Z3" s="9">
        <v>1.05</v>
      </c>
      <c r="AA3" s="8">
        <v>11414.6</v>
      </c>
      <c r="AB3" s="8"/>
      <c r="AC3" s="21" t="s">
        <v>3764</v>
      </c>
      <c r="AD3" s="8" t="s">
        <v>4162</v>
      </c>
      <c r="AE3" s="8" t="s">
        <v>4020</v>
      </c>
      <c r="AF3" s="9">
        <f t="shared" si="0"/>
        <v>19176.527999999998</v>
      </c>
      <c r="AG3" s="9">
        <f t="shared" si="1"/>
        <v>12365.816666666666</v>
      </c>
      <c r="AH3" s="9">
        <f t="shared" si="2"/>
        <v>16.077376936500933</v>
      </c>
      <c r="AI3" s="9">
        <f t="shared" si="3"/>
        <v>258.48204915833213</v>
      </c>
      <c r="AJ3" s="9">
        <f t="shared" si="4"/>
        <v>14.033116261920789</v>
      </c>
      <c r="AK3" s="9">
        <f t="shared" si="5"/>
        <v>196.92835202058569</v>
      </c>
      <c r="AL3" s="9">
        <f t="shared" si="6"/>
        <v>18.034803963810965</v>
      </c>
      <c r="AM3" s="9">
        <f t="shared" si="7"/>
        <v>325.25415401309169</v>
      </c>
      <c r="AN3" s="8" t="s">
        <v>3764</v>
      </c>
    </row>
    <row r="4" spans="8:40" ht="23">
      <c r="M4" s="8" t="s">
        <v>3737</v>
      </c>
      <c r="N4" s="8"/>
      <c r="O4" s="8"/>
      <c r="P4" s="8"/>
      <c r="Q4" s="8"/>
      <c r="R4" s="8"/>
      <c r="S4" s="8"/>
      <c r="T4" s="8"/>
      <c r="U4" s="8"/>
      <c r="V4" s="8"/>
      <c r="W4" s="8" t="s">
        <v>3737</v>
      </c>
      <c r="X4" s="8">
        <v>57.66</v>
      </c>
      <c r="Y4" s="8">
        <v>1.67</v>
      </c>
      <c r="Z4" s="9">
        <v>1.04</v>
      </c>
      <c r="AA4" s="8">
        <v>10955.6</v>
      </c>
      <c r="AB4" s="8">
        <v>155</v>
      </c>
      <c r="AC4" s="21" t="s">
        <v>3737</v>
      </c>
      <c r="AD4" s="8" t="s">
        <v>4162</v>
      </c>
      <c r="AE4" s="8" t="s">
        <v>4020</v>
      </c>
      <c r="AF4" s="9">
        <f t="shared" si="0"/>
        <v>18295.851999999999</v>
      </c>
      <c r="AG4" s="9">
        <f t="shared" si="1"/>
        <v>11685.973333333333</v>
      </c>
      <c r="AH4" s="9">
        <f t="shared" si="2"/>
        <v>15.430878941489814</v>
      </c>
      <c r="AI4" s="9">
        <f t="shared" si="3"/>
        <v>238.1120249069138</v>
      </c>
      <c r="AJ4" s="9">
        <f t="shared" si="4"/>
        <v>13.388649823727006</v>
      </c>
      <c r="AK4" s="9">
        <f t="shared" si="5"/>
        <v>179.25594410238517</v>
      </c>
      <c r="AL4" s="9">
        <f t="shared" si="6"/>
        <v>17.043293126049576</v>
      </c>
      <c r="AM4" s="9">
        <f t="shared" si="7"/>
        <v>290.47384058044872</v>
      </c>
      <c r="AN4" s="8" t="s">
        <v>3737</v>
      </c>
    </row>
    <row r="5" spans="8:40" ht="23">
      <c r="M5" s="8" t="s">
        <v>3836</v>
      </c>
      <c r="N5" s="8"/>
      <c r="O5" s="8"/>
      <c r="P5" s="8"/>
      <c r="Q5" s="8"/>
      <c r="R5" s="8"/>
      <c r="S5" s="8"/>
      <c r="T5" s="8"/>
      <c r="U5" s="8"/>
      <c r="V5" s="8"/>
      <c r="W5" s="8" t="s">
        <v>3836</v>
      </c>
      <c r="X5" s="8">
        <v>16.32</v>
      </c>
      <c r="Y5" s="8">
        <v>2.56</v>
      </c>
      <c r="Z5" s="9">
        <v>1.55</v>
      </c>
      <c r="AA5" s="8">
        <v>7848.4</v>
      </c>
      <c r="AB5" s="8">
        <v>148</v>
      </c>
      <c r="AC5" s="21" t="s">
        <v>3836</v>
      </c>
      <c r="AD5" s="8" t="s">
        <v>4162</v>
      </c>
      <c r="AE5" s="8" t="s">
        <v>4020</v>
      </c>
      <c r="AF5" s="9">
        <f t="shared" si="0"/>
        <v>20091.903999999999</v>
      </c>
      <c r="AG5" s="9">
        <f t="shared" si="1"/>
        <v>15042.766666666665</v>
      </c>
      <c r="AH5" s="9">
        <f t="shared" si="2"/>
        <v>11.054411468508221</v>
      </c>
      <c r="AI5" s="9">
        <f t="shared" si="3"/>
        <v>122.20001291508608</v>
      </c>
      <c r="AJ5" s="9">
        <f t="shared" si="4"/>
        <v>14.702975677106478</v>
      </c>
      <c r="AK5" s="9">
        <f t="shared" si="5"/>
        <v>216.17749376158469</v>
      </c>
      <c r="AL5" s="9">
        <f t="shared" si="6"/>
        <v>21.938975420683914</v>
      </c>
      <c r="AM5" s="9">
        <f t="shared" si="7"/>
        <v>481.31864250937292</v>
      </c>
      <c r="AN5" s="8" t="s">
        <v>3836</v>
      </c>
    </row>
    <row r="6" spans="8:40" ht="23">
      <c r="M6" s="8" t="s">
        <v>3868</v>
      </c>
      <c r="N6" s="8"/>
      <c r="O6" s="8"/>
      <c r="P6" s="8"/>
      <c r="Q6" s="8"/>
      <c r="R6" s="8"/>
      <c r="S6" s="8"/>
      <c r="T6" s="8"/>
      <c r="U6" s="8"/>
      <c r="V6" s="8"/>
      <c r="W6" s="8" t="s">
        <v>3868</v>
      </c>
      <c r="X6" s="8">
        <v>21.96</v>
      </c>
      <c r="Y6" s="8">
        <v>2.4900000000000002</v>
      </c>
      <c r="Z6" s="9">
        <v>0.34</v>
      </c>
      <c r="AA6" s="8">
        <v>6706.9</v>
      </c>
      <c r="AB6" s="8">
        <v>693</v>
      </c>
      <c r="AC6" s="21" t="s">
        <v>3868</v>
      </c>
      <c r="AD6" s="8" t="s">
        <v>4162</v>
      </c>
      <c r="AE6" s="8" t="s">
        <v>4020</v>
      </c>
      <c r="AF6" s="9">
        <f t="shared" si="0"/>
        <v>16700.181</v>
      </c>
      <c r="AG6" s="9">
        <f t="shared" si="1"/>
        <v>3800.5766666666664</v>
      </c>
      <c r="AH6" s="9">
        <f t="shared" si="2"/>
        <v>9.4466174351635726</v>
      </c>
      <c r="AI6" s="9">
        <f t="shared" si="3"/>
        <v>89.2385809663364</v>
      </c>
      <c r="AJ6" s="9">
        <f t="shared" si="4"/>
        <v>12.22095999693587</v>
      </c>
      <c r="AK6" s="9">
        <f t="shared" si="5"/>
        <v>149.35186324670676</v>
      </c>
      <c r="AL6" s="9">
        <f t="shared" si="6"/>
        <v>5.5429137420038961</v>
      </c>
      <c r="AM6" s="9">
        <f t="shared" si="7"/>
        <v>30.723892751295633</v>
      </c>
      <c r="AN6" s="8" t="s">
        <v>3868</v>
      </c>
    </row>
    <row r="7" spans="8:40" ht="23">
      <c r="M7" s="8" t="s">
        <v>4817</v>
      </c>
      <c r="N7" s="8"/>
      <c r="O7" s="8"/>
      <c r="P7" s="8"/>
      <c r="Q7" s="8"/>
      <c r="R7" s="8"/>
      <c r="S7" s="8"/>
      <c r="T7" s="8"/>
      <c r="U7" s="8"/>
      <c r="V7" s="8"/>
      <c r="W7" s="8" t="s">
        <v>4817</v>
      </c>
      <c r="X7" s="8">
        <v>76</v>
      </c>
      <c r="Y7" s="8">
        <v>1.33</v>
      </c>
      <c r="Z7" s="9">
        <v>0.49</v>
      </c>
      <c r="AA7" s="8">
        <v>3671.9</v>
      </c>
      <c r="AB7" s="8">
        <v>681</v>
      </c>
      <c r="AC7" s="21" t="s">
        <v>4817</v>
      </c>
      <c r="AD7" s="8" t="s">
        <v>4162</v>
      </c>
      <c r="AE7" s="8" t="s">
        <v>4020</v>
      </c>
      <c r="AF7" s="9">
        <f t="shared" si="0"/>
        <v>4883.6270000000004</v>
      </c>
      <c r="AG7" s="9">
        <f t="shared" si="1"/>
        <v>2998.7183333333332</v>
      </c>
      <c r="AH7" s="9">
        <f t="shared" si="2"/>
        <v>5.1718431108525733</v>
      </c>
      <c r="AI7" s="9">
        <f t="shared" si="3"/>
        <v>26.747961163273224</v>
      </c>
      <c r="AJ7" s="9">
        <f t="shared" si="4"/>
        <v>3.5737702607508219</v>
      </c>
      <c r="AK7" s="9">
        <f t="shared" si="5"/>
        <v>12.771833876626998</v>
      </c>
      <c r="AL7" s="9">
        <f t="shared" si="6"/>
        <v>4.3734513249039448</v>
      </c>
      <c r="AM7" s="9">
        <f t="shared" si="7"/>
        <v>19.12707649130407</v>
      </c>
      <c r="AN7" s="8" t="s">
        <v>4817</v>
      </c>
    </row>
    <row r="8" spans="8:40" ht="23">
      <c r="M8" s="8" t="s">
        <v>3835</v>
      </c>
      <c r="N8" s="8"/>
      <c r="O8" s="8"/>
      <c r="P8" s="8"/>
      <c r="Q8" s="8"/>
      <c r="R8" s="8"/>
      <c r="S8" s="8"/>
      <c r="T8" s="8"/>
      <c r="U8" s="8"/>
      <c r="V8" s="8"/>
      <c r="W8" s="8" t="s">
        <v>3835</v>
      </c>
      <c r="X8" s="8">
        <v>21.41</v>
      </c>
      <c r="Y8" s="8">
        <v>2.4300000000000002</v>
      </c>
      <c r="Z8" s="9">
        <v>1.34</v>
      </c>
      <c r="AA8" s="8">
        <v>3666.3</v>
      </c>
      <c r="AB8" s="8">
        <v>472</v>
      </c>
      <c r="AC8" s="21" t="s">
        <v>3835</v>
      </c>
      <c r="AD8" s="8" t="s">
        <v>4162</v>
      </c>
      <c r="AE8" s="8" t="s">
        <v>4020</v>
      </c>
      <c r="AF8" s="9">
        <f t="shared" si="0"/>
        <v>8909.1090000000004</v>
      </c>
      <c r="AG8" s="9">
        <f t="shared" si="1"/>
        <v>5743.87</v>
      </c>
      <c r="AH8" s="9">
        <f t="shared" si="2"/>
        <v>5.1639555536149651</v>
      </c>
      <c r="AI8" s="9">
        <f t="shared" si="3"/>
        <v>26.66643695971084</v>
      </c>
      <c r="AJ8" s="9">
        <f t="shared" si="4"/>
        <v>6.5195619554866688</v>
      </c>
      <c r="AK8" s="9">
        <f t="shared" si="5"/>
        <v>42.504688091429159</v>
      </c>
      <c r="AL8" s="9">
        <f t="shared" si="6"/>
        <v>8.3770908332202012</v>
      </c>
      <c r="AM8" s="9">
        <f t="shared" si="7"/>
        <v>70.175650828021929</v>
      </c>
      <c r="AN8" s="8" t="s">
        <v>3835</v>
      </c>
    </row>
    <row r="9" spans="8:40" ht="23">
      <c r="M9" s="8" t="s">
        <v>5195</v>
      </c>
      <c r="N9" s="8"/>
      <c r="O9" s="8"/>
      <c r="P9" s="8"/>
      <c r="Q9" s="8"/>
      <c r="R9" s="8"/>
      <c r="S9" s="8"/>
      <c r="T9" s="8"/>
      <c r="U9" s="8"/>
      <c r="V9" s="8"/>
      <c r="W9" s="8" t="s">
        <v>5195</v>
      </c>
      <c r="X9" s="8">
        <v>85.68</v>
      </c>
      <c r="Y9" s="8">
        <v>1.19</v>
      </c>
      <c r="Z9" s="9">
        <v>0.37</v>
      </c>
      <c r="AA9" s="8">
        <v>2904.5</v>
      </c>
      <c r="AB9" s="8">
        <v>2674</v>
      </c>
      <c r="AC9" s="21" t="s">
        <v>5195</v>
      </c>
      <c r="AD9" s="8" t="s">
        <v>4162</v>
      </c>
      <c r="AE9" s="8" t="s">
        <v>4020</v>
      </c>
      <c r="AF9" s="9">
        <f t="shared" si="0"/>
        <v>3456.355</v>
      </c>
      <c r="AG9" s="9">
        <f t="shared" si="1"/>
        <v>1791.1083333333333</v>
      </c>
      <c r="AH9" s="9">
        <f t="shared" si="2"/>
        <v>4.0909660708274451</v>
      </c>
      <c r="AI9" s="9">
        <f t="shared" si="3"/>
        <v>16.736003392661345</v>
      </c>
      <c r="AJ9" s="9">
        <f t="shared" si="4"/>
        <v>2.5293124781227987</v>
      </c>
      <c r="AK9" s="9">
        <f t="shared" si="5"/>
        <v>6.397421611987693</v>
      </c>
      <c r="AL9" s="9">
        <f t="shared" si="6"/>
        <v>2.6122243714553042</v>
      </c>
      <c r="AM9" s="9">
        <f t="shared" si="7"/>
        <v>6.8237161668250588</v>
      </c>
      <c r="AN9" s="8" t="s">
        <v>5195</v>
      </c>
    </row>
    <row r="10" spans="8:40" ht="23">
      <c r="M10" s="8" t="s">
        <v>3755</v>
      </c>
      <c r="N10" s="8"/>
      <c r="O10" s="8"/>
      <c r="P10" s="8"/>
      <c r="Q10" s="8"/>
      <c r="R10" s="8"/>
      <c r="S10" s="8"/>
      <c r="T10" s="8"/>
      <c r="U10" s="8"/>
      <c r="V10" s="8"/>
      <c r="W10" s="8" t="s">
        <v>3755</v>
      </c>
      <c r="X10" s="8">
        <v>26.29</v>
      </c>
      <c r="Y10" s="8">
        <v>6.93</v>
      </c>
      <c r="Z10" s="9">
        <v>0.4</v>
      </c>
      <c r="AA10" s="8">
        <v>2536.1</v>
      </c>
      <c r="AB10" s="8">
        <v>320</v>
      </c>
      <c r="AC10" s="21" t="s">
        <v>3755</v>
      </c>
      <c r="AD10" s="8" t="s">
        <v>4162</v>
      </c>
      <c r="AE10" s="8" t="s">
        <v>4020</v>
      </c>
      <c r="AF10" s="9">
        <f t="shared" si="0"/>
        <v>17575.172999999999</v>
      </c>
      <c r="AG10" s="9">
        <f t="shared" si="1"/>
        <v>16.907333333333334</v>
      </c>
      <c r="AH10" s="9">
        <f t="shared" si="2"/>
        <v>3.5720774839819192</v>
      </c>
      <c r="AI10" s="9">
        <f t="shared" si="3"/>
        <v>12.759737551570598</v>
      </c>
      <c r="AJ10" s="9">
        <f t="shared" si="4"/>
        <v>12.861266963048326</v>
      </c>
      <c r="AK10" s="9">
        <f t="shared" si="5"/>
        <v>165.41218789479831</v>
      </c>
      <c r="AL10" s="9">
        <f t="shared" si="6"/>
        <v>2.4658334377495487E-2</v>
      </c>
      <c r="AM10" s="9">
        <f t="shared" si="7"/>
        <v>6.080334542723757E-4</v>
      </c>
      <c r="AN10" s="8" t="s">
        <v>3755</v>
      </c>
    </row>
    <row r="11" spans="8:40" ht="23.5" customHeight="1">
      <c r="M11" s="8" t="s">
        <v>3805</v>
      </c>
      <c r="N11" s="8"/>
      <c r="O11" s="8"/>
      <c r="P11" s="8"/>
      <c r="Q11" s="8"/>
      <c r="R11" s="8"/>
      <c r="S11" s="8"/>
      <c r="T11" s="8"/>
      <c r="U11" s="8"/>
      <c r="V11" s="8"/>
      <c r="W11" s="8" t="s">
        <v>3805</v>
      </c>
      <c r="X11" s="8">
        <v>76.430000000000007</v>
      </c>
      <c r="Y11" s="8">
        <v>1.42</v>
      </c>
      <c r="Z11" s="9">
        <v>0.4</v>
      </c>
      <c r="AA11" s="8">
        <v>1843.6</v>
      </c>
      <c r="AB11" s="8">
        <v>1328</v>
      </c>
      <c r="AC11" s="21" t="s">
        <v>3805</v>
      </c>
      <c r="AD11" s="8" t="s">
        <v>4162</v>
      </c>
      <c r="AE11" s="8" t="s">
        <v>4020</v>
      </c>
      <c r="AF11" s="9">
        <f t="shared" si="0"/>
        <v>2617.9119999999998</v>
      </c>
      <c r="AG11" s="9">
        <f t="shared" si="1"/>
        <v>12.290666666666667</v>
      </c>
      <c r="AH11" s="9">
        <f t="shared" si="2"/>
        <v>2.5966965220098048</v>
      </c>
      <c r="AI11" s="9">
        <f t="shared" si="3"/>
        <v>6.7428328274178169</v>
      </c>
      <c r="AJ11" s="9">
        <f t="shared" si="4"/>
        <v>1.9157515614650147</v>
      </c>
      <c r="AK11" s="9">
        <f t="shared" si="5"/>
        <v>3.6701040452556422</v>
      </c>
      <c r="AL11" s="9">
        <f t="shared" si="6"/>
        <v>1.792520218380611E-2</v>
      </c>
      <c r="AM11" s="9">
        <f t="shared" si="7"/>
        <v>3.2131287333032736E-4</v>
      </c>
      <c r="AN11" s="8" t="s">
        <v>3805</v>
      </c>
    </row>
    <row r="12" spans="8:40" ht="21" customHeight="1">
      <c r="M12" s="8" t="s">
        <v>3840</v>
      </c>
      <c r="N12" s="8"/>
      <c r="O12" s="8"/>
      <c r="P12" s="8"/>
      <c r="Q12" s="8"/>
      <c r="R12" s="8"/>
      <c r="S12" s="8"/>
      <c r="T12" s="8"/>
      <c r="U12" s="8"/>
      <c r="V12" s="8"/>
      <c r="W12" s="8" t="s">
        <v>3840</v>
      </c>
      <c r="X12" s="8">
        <v>5.45</v>
      </c>
      <c r="Y12" s="8">
        <v>3.09</v>
      </c>
      <c r="Z12" s="9">
        <v>0.52</v>
      </c>
      <c r="AA12" s="8">
        <v>1395.6</v>
      </c>
      <c r="AB12" s="8">
        <v>1460</v>
      </c>
      <c r="AC12" s="21" t="s">
        <v>3840</v>
      </c>
      <c r="AD12" s="8" t="s">
        <v>4162</v>
      </c>
      <c r="AE12" s="8" t="s">
        <v>4020</v>
      </c>
      <c r="AF12" s="9">
        <f t="shared" si="0"/>
        <v>4312.4039999999995</v>
      </c>
      <c r="AG12" s="9">
        <f t="shared" si="1"/>
        <v>1209.52</v>
      </c>
      <c r="AH12" s="9">
        <f t="shared" si="2"/>
        <v>1.9656919430011304</v>
      </c>
      <c r="AI12" s="9">
        <f t="shared" si="3"/>
        <v>3.863944814779559</v>
      </c>
      <c r="AJ12" s="9">
        <f t="shared" si="4"/>
        <v>3.1557572205131321</v>
      </c>
      <c r="AK12" s="9">
        <f t="shared" si="5"/>
        <v>9.9588036348207698</v>
      </c>
      <c r="AL12" s="9">
        <f t="shared" si="6"/>
        <v>1.7640125742045862</v>
      </c>
      <c r="AM12" s="9">
        <f t="shared" si="7"/>
        <v>3.1117403619518909</v>
      </c>
      <c r="AN12" s="8" t="s">
        <v>3840</v>
      </c>
    </row>
    <row r="13" spans="8:40" ht="23">
      <c r="M13" s="8" t="s">
        <v>3923</v>
      </c>
      <c r="N13" s="8"/>
      <c r="O13" s="8"/>
      <c r="P13" s="8"/>
      <c r="Q13" s="8"/>
      <c r="R13" s="8"/>
      <c r="S13" s="8"/>
      <c r="T13" s="8"/>
      <c r="U13" s="8"/>
      <c r="V13" s="8"/>
      <c r="W13" s="8" t="s">
        <v>3923</v>
      </c>
      <c r="X13" s="8">
        <v>48.85</v>
      </c>
      <c r="Y13" s="8">
        <v>3.5</v>
      </c>
      <c r="Z13" s="9">
        <v>4.2300000000000004</v>
      </c>
      <c r="AA13" s="8">
        <v>482</v>
      </c>
      <c r="AB13" s="8">
        <v>1009</v>
      </c>
      <c r="AC13" s="21" t="s">
        <v>3923</v>
      </c>
      <c r="AD13" s="8" t="s">
        <v>4162</v>
      </c>
      <c r="AE13" s="8" t="s">
        <v>4020</v>
      </c>
      <c r="AF13" s="9">
        <f t="shared" si="0"/>
        <v>1687</v>
      </c>
      <c r="AG13" s="9">
        <f t="shared" si="1"/>
        <v>2112.7666666666669</v>
      </c>
      <c r="AH13" s="9">
        <f t="shared" si="2"/>
        <v>0.67889331937986874</v>
      </c>
      <c r="AI13" s="9">
        <f t="shared" si="3"/>
        <v>0.46089613909861649</v>
      </c>
      <c r="AJ13" s="9">
        <f t="shared" si="4"/>
        <v>1.2345231177333233</v>
      </c>
      <c r="AK13" s="9">
        <f t="shared" si="5"/>
        <v>1.5240473282180049</v>
      </c>
      <c r="AL13" s="9">
        <f t="shared" si="6"/>
        <v>3.0813438110658029</v>
      </c>
      <c r="AM13" s="9">
        <f t="shared" si="7"/>
        <v>9.4946796819935262</v>
      </c>
      <c r="AN13" s="8" t="s">
        <v>3923</v>
      </c>
    </row>
    <row r="14" spans="8:40" ht="23">
      <c r="M14" s="8" t="s">
        <v>1518</v>
      </c>
      <c r="N14" s="8" t="s">
        <v>150</v>
      </c>
      <c r="O14" s="8"/>
      <c r="P14" s="8" t="s">
        <v>3693</v>
      </c>
      <c r="Q14" s="8"/>
      <c r="R14" s="8"/>
      <c r="S14" s="8"/>
      <c r="T14" s="8"/>
      <c r="U14" s="8"/>
      <c r="V14" s="8"/>
      <c r="W14" s="8" t="s">
        <v>1518</v>
      </c>
      <c r="X14" s="8">
        <v>37.58</v>
      </c>
      <c r="Y14" s="8">
        <v>3.25</v>
      </c>
      <c r="Z14" s="9">
        <v>10.37</v>
      </c>
      <c r="AA14" s="8">
        <v>65.8</v>
      </c>
      <c r="AB14" s="8">
        <v>4029</v>
      </c>
      <c r="AC14" s="21" t="s">
        <v>1518</v>
      </c>
      <c r="AD14" s="8" t="s">
        <v>4162</v>
      </c>
      <c r="AE14" s="8" t="s">
        <v>4020</v>
      </c>
      <c r="AF14" s="9">
        <f t="shared" si="0"/>
        <v>213.85</v>
      </c>
      <c r="AG14" s="9">
        <f t="shared" si="1"/>
        <v>698.57666666666671</v>
      </c>
      <c r="AH14" s="9">
        <f t="shared" si="2"/>
        <v>9.2678797541899088E-2</v>
      </c>
      <c r="AI14" s="9">
        <f t="shared" si="3"/>
        <v>8.5893595138123204E-3</v>
      </c>
      <c r="AJ14" s="9">
        <f t="shared" si="4"/>
        <v>0.15649245330602915</v>
      </c>
      <c r="AK14" s="9">
        <f t="shared" si="5"/>
        <v>2.4489887941739712E-2</v>
      </c>
      <c r="AL14" s="9">
        <f t="shared" si="6"/>
        <v>1.0188322839191795</v>
      </c>
      <c r="AM14" s="9">
        <f t="shared" si="7"/>
        <v>1.0380192227559715</v>
      </c>
      <c r="AN14" s="8" t="s">
        <v>1518</v>
      </c>
    </row>
    <row r="15" spans="8:40" ht="23"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9"/>
      <c r="AA15" s="8">
        <f>SUBTOTAL(109,Table13654[ترافیک کل])</f>
        <v>70997.900000000023</v>
      </c>
      <c r="AB15" s="8"/>
      <c r="AC15" s="8"/>
      <c r="AD15" s="8"/>
      <c r="AE15" s="8"/>
      <c r="AF15" s="9">
        <f>SUBTOTAL(109,Table13654[[مجموع صفحات  مشاهده شده   ]])</f>
        <v>136651.95699999997</v>
      </c>
      <c r="AG15" s="9">
        <f>SUBTOTAL(109,Table13654[[مجموع زمان حضور در سایت ]])</f>
        <v>68566.404666666655</v>
      </c>
      <c r="AH15" s="9">
        <f>SUBTOTAL(109,Table13654[سهم سایت از کل ترافیک طبقه بندی])</f>
        <v>99.999999999999972</v>
      </c>
      <c r="AI15" s="9">
        <f>SUBTOTAL(109,Table13654[شاخص هرفیندال هیرشمن (ترافیک)])</f>
        <v>1410.0317149254404</v>
      </c>
      <c r="AJ15" s="9">
        <f>SUBTOTAL(109,Table13654[سهم سایت از کل صفحات مشاهده شده در طبقه بندی])</f>
        <v>100.00000000000003</v>
      </c>
      <c r="AK15" s="9">
        <f>SUBTOTAL(109,Table13654[شاخص هرفیندال -هیرشمن (صفحات مشاهده شده )])</f>
        <v>1171.8827164158142</v>
      </c>
      <c r="AL15" s="9">
        <f>SUBTOTAL(109,Table13654[سهم سایت از کل زمان حضور در طبقه بندی])</f>
        <v>100</v>
      </c>
      <c r="AM15" s="9">
        <f>SUBTOTAL(109,Table13654[شاخص هرفیندال هیرشمن (زمان حضور)])</f>
        <v>1499.0266040710296</v>
      </c>
      <c r="AN15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{A815CFD4-07D5-4265-9EE6-0FA7DCA7EB09}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{B2DC31A0-DDD5-4178-A36B-7C37B295E22E}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{557668B9-FC6C-40B5-AB2B-1CDB35B95816}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{9EE0308B-B404-48F7-B008-CF896A1EF552}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{744F0E94-DEF1-4454-959E-EC99B7C675E4}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{9BF88E74-9852-474D-AF46-D1401CCE564E}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815CFD4-07D5-4265-9EE6-0FA7DCA7EB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2DC31A0-DDD5-4178-A36B-7C37B295E22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57668B9-FC6C-40B5-AB2B-1CDB35B9581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EE0308B-B404-48F7-B008-CF896A1EF55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44F0E94-DEF1-4454-959E-EC99B7C675E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9BF88E74-9852-474D-AF46-D1401CCE564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45"/>
  <sheetViews>
    <sheetView showGridLines="0" rightToLeft="1" topLeftCell="T1" zoomScale="70" zoomScaleNormal="70" workbookViewId="0">
      <selection activeCell="AB1" sqref="AB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0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435</v>
      </c>
      <c r="N2" s="8" t="s">
        <v>150</v>
      </c>
      <c r="O2" s="8"/>
      <c r="P2" s="8" t="s">
        <v>3695</v>
      </c>
      <c r="Q2" s="8"/>
      <c r="R2" s="8"/>
      <c r="S2" s="8"/>
      <c r="T2" s="8"/>
      <c r="U2" s="8"/>
      <c r="V2" s="8"/>
      <c r="W2" s="8" t="s">
        <v>435</v>
      </c>
      <c r="X2" s="8">
        <v>34.06</v>
      </c>
      <c r="Y2" s="8">
        <v>2.91</v>
      </c>
      <c r="Z2" s="9">
        <v>2.09</v>
      </c>
      <c r="AA2" s="8">
        <v>291.2</v>
      </c>
      <c r="AB2" s="8">
        <v>1222</v>
      </c>
      <c r="AC2" s="21" t="s">
        <v>435</v>
      </c>
      <c r="AD2" s="8" t="s">
        <v>4126</v>
      </c>
      <c r="AE2" s="8" t="s">
        <v>4020</v>
      </c>
      <c r="AF2" s="9">
        <f t="shared" ref="AF2:AF44" si="0">(AA2*Y2)</f>
        <v>847.39200000000005</v>
      </c>
      <c r="AG2" s="9">
        <f t="shared" ref="AG2:AG44" si="1">((((RIGHT(Z2,2))/60)+(LEFT(Z2,2)))*AA2)</f>
        <v>626.07999999999993</v>
      </c>
      <c r="AH2" s="9">
        <f t="shared" ref="AH2:AH44" si="2">(AA2/$AA$45)*100</f>
        <v>23.327725706961473</v>
      </c>
      <c r="AI2" s="9">
        <f t="shared" ref="AI2:AI44" si="3">(AH2*AH2)</f>
        <v>544.18278665923117</v>
      </c>
      <c r="AJ2" s="9">
        <f t="shared" ref="AJ2:AJ44" si="4">(AF2/$AF$45)*100</f>
        <v>21.88562136742777</v>
      </c>
      <c r="AK2" s="9">
        <f t="shared" ref="AK2:AK44" si="5">(AJ2*AJ2)</f>
        <v>478.98042263841097</v>
      </c>
      <c r="AL2" s="9">
        <f t="shared" ref="AL2:AL44" si="6">(AG2/$AG$45)*100</f>
        <v>20.604952334647042</v>
      </c>
      <c r="AM2" s="9">
        <f t="shared" ref="AM2:AM44" si="7">(AL2*AL2)</f>
        <v>424.56406071307657</v>
      </c>
      <c r="AN2" s="8" t="s">
        <v>435</v>
      </c>
    </row>
    <row r="3" spans="8:40" ht="23">
      <c r="M3" s="8" t="s">
        <v>481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481</v>
      </c>
      <c r="X3" s="8">
        <v>38.08</v>
      </c>
      <c r="Y3" s="8">
        <v>1.84</v>
      </c>
      <c r="Z3" s="9">
        <v>0.48</v>
      </c>
      <c r="AA3" s="8">
        <v>222.3</v>
      </c>
      <c r="AB3" s="8">
        <v>4287</v>
      </c>
      <c r="AC3" s="21" t="s">
        <v>481</v>
      </c>
      <c r="AD3" s="8" t="s">
        <v>4126</v>
      </c>
      <c r="AE3" s="8" t="s">
        <v>4020</v>
      </c>
      <c r="AF3" s="9">
        <f t="shared" si="0"/>
        <v>409.03200000000004</v>
      </c>
      <c r="AG3" s="9">
        <f t="shared" si="1"/>
        <v>177.84000000000003</v>
      </c>
      <c r="AH3" s="9">
        <f t="shared" si="2"/>
        <v>17.808219178082197</v>
      </c>
      <c r="AI3" s="9">
        <f t="shared" si="3"/>
        <v>317.13267029461457</v>
      </c>
      <c r="AJ3" s="9">
        <f t="shared" si="4"/>
        <v>10.564083068003612</v>
      </c>
      <c r="AK3" s="9">
        <f t="shared" si="5"/>
        <v>111.5998510676806</v>
      </c>
      <c r="AL3" s="9">
        <f t="shared" si="6"/>
        <v>5.8529017428980818</v>
      </c>
      <c r="AM3" s="9">
        <f t="shared" si="7"/>
        <v>34.256458812019403</v>
      </c>
      <c r="AN3" s="8" t="s">
        <v>481</v>
      </c>
    </row>
    <row r="4" spans="8:40" ht="23">
      <c r="M4" s="8" t="s">
        <v>4528</v>
      </c>
      <c r="N4" s="8" t="s">
        <v>150</v>
      </c>
      <c r="O4" s="8"/>
      <c r="P4" s="8" t="s">
        <v>4676</v>
      </c>
      <c r="Q4" s="8"/>
      <c r="R4" s="8"/>
      <c r="S4" s="8"/>
      <c r="T4" s="8"/>
      <c r="U4" s="8"/>
      <c r="V4" s="8"/>
      <c r="W4" s="8" t="s">
        <v>4528</v>
      </c>
      <c r="X4" s="8">
        <v>25.57</v>
      </c>
      <c r="Y4" s="8">
        <v>2.27</v>
      </c>
      <c r="Z4" s="9">
        <v>1.36</v>
      </c>
      <c r="AA4" s="8">
        <v>153.6</v>
      </c>
      <c r="AB4" s="8">
        <v>3677</v>
      </c>
      <c r="AC4" s="21" t="s">
        <v>4528</v>
      </c>
      <c r="AD4" s="8" t="s">
        <v>4126</v>
      </c>
      <c r="AE4" s="8" t="s">
        <v>4020</v>
      </c>
      <c r="AF4" s="9">
        <f t="shared" si="0"/>
        <v>348.67199999999997</v>
      </c>
      <c r="AG4" s="9">
        <f t="shared" si="1"/>
        <v>245.76</v>
      </c>
      <c r="AH4" s="9">
        <f t="shared" si="2"/>
        <v>12.304734438836821</v>
      </c>
      <c r="AI4" s="9">
        <f t="shared" si="3"/>
        <v>151.40648961029689</v>
      </c>
      <c r="AJ4" s="9">
        <f t="shared" si="4"/>
        <v>9.0051633404891422</v>
      </c>
      <c r="AK4" s="9">
        <f t="shared" si="5"/>
        <v>81.092966788889569</v>
      </c>
      <c r="AL4" s="9">
        <f t="shared" si="6"/>
        <v>8.0882204922100343</v>
      </c>
      <c r="AM4" s="9">
        <f t="shared" si="7"/>
        <v>65.419310730606327</v>
      </c>
      <c r="AN4" s="8" t="s">
        <v>4528</v>
      </c>
    </row>
    <row r="5" spans="8:40" ht="23">
      <c r="M5" s="8" t="s">
        <v>944</v>
      </c>
      <c r="N5" s="8" t="s">
        <v>150</v>
      </c>
      <c r="O5" s="8"/>
      <c r="P5" s="8" t="s">
        <v>3691</v>
      </c>
      <c r="Q5" s="8"/>
      <c r="R5" s="8"/>
      <c r="S5" s="8"/>
      <c r="T5" s="8"/>
      <c r="U5" s="8"/>
      <c r="V5" s="8"/>
      <c r="W5" s="8" t="s">
        <v>944</v>
      </c>
      <c r="X5" s="8">
        <v>41.62</v>
      </c>
      <c r="Y5" s="8">
        <v>1.82</v>
      </c>
      <c r="Z5" s="9">
        <v>0.57999999999999996</v>
      </c>
      <c r="AA5" s="8">
        <v>102.1</v>
      </c>
      <c r="AB5" s="8">
        <v>6415</v>
      </c>
      <c r="AC5" s="21" t="s">
        <v>944</v>
      </c>
      <c r="AD5" s="8" t="s">
        <v>4126</v>
      </c>
      <c r="AE5" s="8" t="s">
        <v>4020</v>
      </c>
      <c r="AF5" s="9">
        <f t="shared" si="0"/>
        <v>185.822</v>
      </c>
      <c r="AG5" s="9">
        <f t="shared" si="1"/>
        <v>98.696666666666658</v>
      </c>
      <c r="AH5" s="9">
        <f t="shared" si="2"/>
        <v>8.1791236081070267</v>
      </c>
      <c r="AI5" s="9">
        <f t="shared" si="3"/>
        <v>66.89806299669371</v>
      </c>
      <c r="AJ5" s="9">
        <f t="shared" si="4"/>
        <v>4.7992309742576786</v>
      </c>
      <c r="AK5" s="9">
        <f t="shared" si="5"/>
        <v>23.032617944274307</v>
      </c>
      <c r="AL5" s="9">
        <f t="shared" si="6"/>
        <v>3.2482112705328623</v>
      </c>
      <c r="AM5" s="9">
        <f t="shared" si="7"/>
        <v>10.550876458016711</v>
      </c>
      <c r="AN5" s="8" t="s">
        <v>944</v>
      </c>
    </row>
    <row r="6" spans="8:40" ht="23">
      <c r="M6" s="8" t="s">
        <v>1947</v>
      </c>
      <c r="N6" s="8" t="s">
        <v>1939</v>
      </c>
      <c r="O6" s="8"/>
      <c r="P6" s="8"/>
      <c r="Q6" s="8"/>
      <c r="R6" s="8"/>
      <c r="S6" s="8"/>
      <c r="T6" s="8"/>
      <c r="U6" s="8"/>
      <c r="V6" s="8"/>
      <c r="W6" s="8" t="s">
        <v>1947</v>
      </c>
      <c r="X6" s="8">
        <v>16.95</v>
      </c>
      <c r="Y6" s="8">
        <v>4.87</v>
      </c>
      <c r="Z6" s="9">
        <v>2.27</v>
      </c>
      <c r="AA6" s="8">
        <v>68.8</v>
      </c>
      <c r="AB6" s="8">
        <v>3372</v>
      </c>
      <c r="AC6" s="21" t="s">
        <v>1947</v>
      </c>
      <c r="AD6" s="8" t="s">
        <v>4126</v>
      </c>
      <c r="AE6" s="8" t="s">
        <v>4020</v>
      </c>
      <c r="AF6" s="9">
        <f t="shared" si="0"/>
        <v>335.05599999999998</v>
      </c>
      <c r="AG6" s="9">
        <f t="shared" si="1"/>
        <v>168.56</v>
      </c>
      <c r="AH6" s="9">
        <f t="shared" si="2"/>
        <v>5.5114956340623262</v>
      </c>
      <c r="AI6" s="9">
        <f t="shared" si="3"/>
        <v>30.376584124288083</v>
      </c>
      <c r="AJ6" s="9">
        <f t="shared" si="4"/>
        <v>8.653502455634321</v>
      </c>
      <c r="AK6" s="9">
        <f t="shared" si="5"/>
        <v>74.883104749669229</v>
      </c>
      <c r="AL6" s="9">
        <f t="shared" si="6"/>
        <v>5.5474871670203578</v>
      </c>
      <c r="AM6" s="9">
        <f t="shared" si="7"/>
        <v>30.774613868255557</v>
      </c>
      <c r="AN6" s="8" t="s">
        <v>1947</v>
      </c>
    </row>
    <row r="7" spans="8:40" ht="23">
      <c r="M7" s="8" t="s">
        <v>1474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1474</v>
      </c>
      <c r="X7" s="8">
        <v>14.94</v>
      </c>
      <c r="Y7" s="8">
        <v>1.0900000000000001</v>
      </c>
      <c r="Z7" s="9">
        <v>0.01</v>
      </c>
      <c r="AA7" s="8">
        <v>67.3</v>
      </c>
      <c r="AB7" s="8">
        <v>38171</v>
      </c>
      <c r="AC7" s="21" t="s">
        <v>1474</v>
      </c>
      <c r="AD7" s="8" t="s">
        <v>4126</v>
      </c>
      <c r="AE7" s="8" t="s">
        <v>4020</v>
      </c>
      <c r="AF7" s="9">
        <f t="shared" si="0"/>
        <v>73.356999999999999</v>
      </c>
      <c r="AG7" s="9">
        <f t="shared" si="1"/>
        <v>1.1216666666666666</v>
      </c>
      <c r="AH7" s="9">
        <f t="shared" si="2"/>
        <v>5.3913322118080602</v>
      </c>
      <c r="AI7" s="9">
        <f t="shared" si="3"/>
        <v>29.06646301807919</v>
      </c>
      <c r="AJ7" s="9">
        <f t="shared" si="4"/>
        <v>1.8945936787819555</v>
      </c>
      <c r="AK7" s="9">
        <f t="shared" si="5"/>
        <v>3.5894852076805437</v>
      </c>
      <c r="AL7" s="9">
        <f t="shared" si="6"/>
        <v>3.6915231603036516E-2</v>
      </c>
      <c r="AM7" s="9">
        <f t="shared" si="7"/>
        <v>1.3627343243058259E-3</v>
      </c>
      <c r="AN7" s="8" t="s">
        <v>1474</v>
      </c>
    </row>
    <row r="8" spans="8:40" ht="23">
      <c r="M8" s="9" t="s">
        <v>4719</v>
      </c>
      <c r="N8" s="8" t="s">
        <v>1939</v>
      </c>
      <c r="O8" s="8"/>
      <c r="P8" s="8" t="s">
        <v>3705</v>
      </c>
      <c r="Q8" s="8"/>
      <c r="R8" s="8"/>
      <c r="S8" s="8"/>
      <c r="T8" s="8"/>
      <c r="U8" s="8"/>
      <c r="V8" s="8"/>
      <c r="W8" s="9" t="s">
        <v>4719</v>
      </c>
      <c r="X8" s="8">
        <v>5.0999999999999996</v>
      </c>
      <c r="Y8" s="8">
        <v>8.56</v>
      </c>
      <c r="Z8" s="9">
        <v>6.18</v>
      </c>
      <c r="AA8" s="8">
        <v>32.1</v>
      </c>
      <c r="AB8" s="8">
        <v>3658</v>
      </c>
      <c r="AC8" s="22" t="s">
        <v>4719</v>
      </c>
      <c r="AD8" s="8" t="s">
        <v>4126</v>
      </c>
      <c r="AE8" s="8" t="s">
        <v>4020</v>
      </c>
      <c r="AF8" s="9">
        <f t="shared" si="0"/>
        <v>274.77600000000001</v>
      </c>
      <c r="AG8" s="9">
        <f t="shared" si="1"/>
        <v>202.23</v>
      </c>
      <c r="AH8" s="9">
        <f t="shared" si="2"/>
        <v>2.5714972362412887</v>
      </c>
      <c r="AI8" s="9">
        <f t="shared" si="3"/>
        <v>6.6125980359965864</v>
      </c>
      <c r="AJ8" s="9">
        <f t="shared" si="4"/>
        <v>7.0966488907805756</v>
      </c>
      <c r="AK8" s="9">
        <f t="shared" si="5"/>
        <v>50.362425479017176</v>
      </c>
      <c r="AL8" s="9">
        <f t="shared" si="6"/>
        <v>6.6556023361801557</v>
      </c>
      <c r="AM8" s="9">
        <f t="shared" si="7"/>
        <v>44.29704245736675</v>
      </c>
      <c r="AN8" s="9" t="s">
        <v>4719</v>
      </c>
    </row>
    <row r="9" spans="8:40" ht="23">
      <c r="M9" s="9" t="s">
        <v>2208</v>
      </c>
      <c r="N9" s="8" t="s">
        <v>150</v>
      </c>
      <c r="O9" s="8"/>
      <c r="P9" s="8" t="s">
        <v>3692</v>
      </c>
      <c r="Q9" s="8"/>
      <c r="R9" s="8"/>
      <c r="S9" s="8"/>
      <c r="T9" s="8"/>
      <c r="U9" s="8"/>
      <c r="V9" s="8"/>
      <c r="W9" s="9" t="s">
        <v>2208</v>
      </c>
      <c r="X9" s="8">
        <v>14.68</v>
      </c>
      <c r="Y9" s="8">
        <v>6.42</v>
      </c>
      <c r="Z9" s="9">
        <v>7.15</v>
      </c>
      <c r="AA9" s="8">
        <v>31.3</v>
      </c>
      <c r="AB9" s="8">
        <v>3464</v>
      </c>
      <c r="AC9" s="22" t="s">
        <v>2208</v>
      </c>
      <c r="AD9" s="8" t="s">
        <v>4126</v>
      </c>
      <c r="AE9" s="8" t="s">
        <v>4020</v>
      </c>
      <c r="AF9" s="9">
        <f t="shared" si="0"/>
        <v>200.946</v>
      </c>
      <c r="AG9" s="9">
        <f t="shared" si="1"/>
        <v>226.92500000000001</v>
      </c>
      <c r="AH9" s="9">
        <f t="shared" si="2"/>
        <v>2.5074100777056803</v>
      </c>
      <c r="AI9" s="9">
        <f t="shared" si="3"/>
        <v>6.2871052977800055</v>
      </c>
      <c r="AJ9" s="9">
        <f t="shared" si="4"/>
        <v>5.1898390252671023</v>
      </c>
      <c r="AK9" s="9">
        <f t="shared" si="5"/>
        <v>26.934429108185387</v>
      </c>
      <c r="AL9" s="9">
        <f t="shared" si="6"/>
        <v>7.468340800759937</v>
      </c>
      <c r="AM9" s="9">
        <f t="shared" si="7"/>
        <v>55.776114316295576</v>
      </c>
      <c r="AN9" s="9" t="s">
        <v>2208</v>
      </c>
    </row>
    <row r="10" spans="8:40" ht="23">
      <c r="M10" s="9" t="s">
        <v>3295</v>
      </c>
      <c r="N10" s="8" t="s">
        <v>1939</v>
      </c>
      <c r="O10" s="8"/>
      <c r="P10" s="8"/>
      <c r="Q10" s="8"/>
      <c r="R10" s="8"/>
      <c r="S10" s="8"/>
      <c r="T10" s="8"/>
      <c r="U10" s="8"/>
      <c r="V10" s="8"/>
      <c r="W10" s="9" t="s">
        <v>3295</v>
      </c>
      <c r="X10" s="8">
        <v>50.92</v>
      </c>
      <c r="Y10" s="8">
        <v>1.74</v>
      </c>
      <c r="Z10" s="9">
        <v>0.38</v>
      </c>
      <c r="AA10" s="8">
        <v>25</v>
      </c>
      <c r="AB10" s="8">
        <v>23701</v>
      </c>
      <c r="AC10" s="22" t="s">
        <v>3295</v>
      </c>
      <c r="AD10" s="8" t="s">
        <v>4126</v>
      </c>
      <c r="AE10" s="8" t="s">
        <v>4020</v>
      </c>
      <c r="AF10" s="9">
        <f t="shared" si="0"/>
        <v>43.5</v>
      </c>
      <c r="AG10" s="9">
        <f t="shared" si="1"/>
        <v>15.833333333333332</v>
      </c>
      <c r="AH10" s="9">
        <f t="shared" si="2"/>
        <v>2.0027237042377641</v>
      </c>
      <c r="AI10" s="9">
        <f t="shared" si="3"/>
        <v>4.0109022355158315</v>
      </c>
      <c r="AJ10" s="9">
        <f t="shared" si="4"/>
        <v>1.1234759467673852</v>
      </c>
      <c r="AK10" s="9">
        <f t="shared" si="5"/>
        <v>1.2621982029648724</v>
      </c>
      <c r="AL10" s="9">
        <f t="shared" si="6"/>
        <v>0.52109167938907419</v>
      </c>
      <c r="AM10" s="9">
        <f t="shared" si="7"/>
        <v>0.2715365383285257</v>
      </c>
      <c r="AN10" s="9" t="s">
        <v>3295</v>
      </c>
    </row>
    <row r="11" spans="8:40" ht="23">
      <c r="M11" s="9" t="s">
        <v>3278</v>
      </c>
      <c r="N11" s="8" t="s">
        <v>1939</v>
      </c>
      <c r="O11" s="8"/>
      <c r="P11" s="8"/>
      <c r="Q11" s="8"/>
      <c r="R11" s="8"/>
      <c r="S11" s="8"/>
      <c r="T11" s="8"/>
      <c r="U11" s="8"/>
      <c r="V11" s="8"/>
      <c r="W11" s="9" t="s">
        <v>3278</v>
      </c>
      <c r="X11" s="8">
        <v>65.930000000000007</v>
      </c>
      <c r="Y11" s="8">
        <v>1.29</v>
      </c>
      <c r="Z11" s="9">
        <v>0.23</v>
      </c>
      <c r="AA11" s="8">
        <v>24.9</v>
      </c>
      <c r="AB11" s="8">
        <v>18683</v>
      </c>
      <c r="AC11" s="22" t="s">
        <v>3278</v>
      </c>
      <c r="AD11" s="8" t="s">
        <v>4126</v>
      </c>
      <c r="AE11" s="8" t="s">
        <v>4020</v>
      </c>
      <c r="AF11" s="9">
        <f t="shared" si="0"/>
        <v>32.121000000000002</v>
      </c>
      <c r="AG11" s="9">
        <f t="shared" si="1"/>
        <v>9.5449999999999999</v>
      </c>
      <c r="AH11" s="9">
        <f t="shared" si="2"/>
        <v>1.9947128094208126</v>
      </c>
      <c r="AI11" s="9">
        <f t="shared" si="3"/>
        <v>3.9788791920674713</v>
      </c>
      <c r="AJ11" s="9">
        <f t="shared" si="4"/>
        <v>0.82959013531299264</v>
      </c>
      <c r="AK11" s="9">
        <f t="shared" si="5"/>
        <v>0.68821979260862942</v>
      </c>
      <c r="AL11" s="9">
        <f t="shared" si="6"/>
        <v>0.31413600503802397</v>
      </c>
      <c r="AM11" s="9">
        <f t="shared" si="7"/>
        <v>9.8681429661249417E-2</v>
      </c>
      <c r="AN11" s="9" t="s">
        <v>3278</v>
      </c>
    </row>
    <row r="12" spans="8:40" ht="23">
      <c r="M12" s="8" t="s">
        <v>790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790</v>
      </c>
      <c r="X12" s="8">
        <v>3.99</v>
      </c>
      <c r="Y12" s="8">
        <v>2.82</v>
      </c>
      <c r="Z12" s="9">
        <v>2.04</v>
      </c>
      <c r="AA12" s="8">
        <v>20.2</v>
      </c>
      <c r="AB12" s="8">
        <v>31126</v>
      </c>
      <c r="AC12" s="21" t="s">
        <v>790</v>
      </c>
      <c r="AD12" s="8" t="s">
        <v>4126</v>
      </c>
      <c r="AE12" s="8" t="s">
        <v>4020</v>
      </c>
      <c r="AF12" s="9">
        <f t="shared" si="0"/>
        <v>56.963999999999992</v>
      </c>
      <c r="AG12" s="9">
        <f t="shared" si="1"/>
        <v>41.74666666666667</v>
      </c>
      <c r="AH12" s="9">
        <f t="shared" si="2"/>
        <v>1.6182007530241131</v>
      </c>
      <c r="AI12" s="9">
        <f t="shared" si="3"/>
        <v>2.6185736770878068</v>
      </c>
      <c r="AJ12" s="9">
        <f t="shared" si="4"/>
        <v>1.471211122566835</v>
      </c>
      <c r="AK12" s="9">
        <f t="shared" si="5"/>
        <v>2.1644621671643667</v>
      </c>
      <c r="AL12" s="9">
        <f t="shared" si="6"/>
        <v>1.3739267774039505</v>
      </c>
      <c r="AM12" s="9">
        <f t="shared" si="7"/>
        <v>1.8876747896676047</v>
      </c>
      <c r="AN12" s="8" t="s">
        <v>790</v>
      </c>
    </row>
    <row r="13" spans="8:40" ht="23">
      <c r="M13" s="8" t="s">
        <v>1949</v>
      </c>
      <c r="N13" s="8" t="s">
        <v>1939</v>
      </c>
      <c r="O13" s="8"/>
      <c r="P13" s="8"/>
      <c r="Q13" s="8"/>
      <c r="R13" s="8"/>
      <c r="S13" s="8"/>
      <c r="T13" s="8"/>
      <c r="U13" s="8"/>
      <c r="V13" s="8"/>
      <c r="W13" s="8" t="s">
        <v>1949</v>
      </c>
      <c r="X13" s="8">
        <v>7.02</v>
      </c>
      <c r="Y13" s="8">
        <v>2.46</v>
      </c>
      <c r="Z13" s="9">
        <v>0.45</v>
      </c>
      <c r="AA13" s="8">
        <v>19.2</v>
      </c>
      <c r="AB13" s="8">
        <v>24417</v>
      </c>
      <c r="AC13" s="21" t="s">
        <v>1949</v>
      </c>
      <c r="AD13" s="8" t="s">
        <v>4126</v>
      </c>
      <c r="AE13" s="8" t="s">
        <v>4020</v>
      </c>
      <c r="AF13" s="9">
        <f t="shared" si="0"/>
        <v>47.231999999999999</v>
      </c>
      <c r="AG13" s="9">
        <f t="shared" si="1"/>
        <v>14.399999999999999</v>
      </c>
      <c r="AH13" s="9">
        <f t="shared" si="2"/>
        <v>1.5380918048546026</v>
      </c>
      <c r="AI13" s="9">
        <f t="shared" si="3"/>
        <v>2.3657264001608889</v>
      </c>
      <c r="AJ13" s="9">
        <f t="shared" si="4"/>
        <v>1.2198624348900491</v>
      </c>
      <c r="AK13" s="9">
        <f t="shared" si="5"/>
        <v>1.4880643600558792</v>
      </c>
      <c r="AL13" s="9">
        <f t="shared" si="6"/>
        <v>0.47391916946543161</v>
      </c>
      <c r="AM13" s="9">
        <f t="shared" si="7"/>
        <v>0.22459937918680448</v>
      </c>
      <c r="AN13" s="8" t="s">
        <v>1949</v>
      </c>
    </row>
    <row r="14" spans="8:40" ht="23">
      <c r="M14" s="8" t="s">
        <v>1144</v>
      </c>
      <c r="N14" s="8" t="s">
        <v>150</v>
      </c>
      <c r="O14" s="8"/>
      <c r="P14" s="8" t="s">
        <v>3705</v>
      </c>
      <c r="Q14" s="8"/>
      <c r="R14" s="8"/>
      <c r="S14" s="8"/>
      <c r="T14" s="8"/>
      <c r="U14" s="8"/>
      <c r="V14" s="8"/>
      <c r="W14" s="8" t="s">
        <v>1144</v>
      </c>
      <c r="X14" s="8">
        <v>15.01</v>
      </c>
      <c r="Y14" s="8">
        <v>5.98</v>
      </c>
      <c r="Z14" s="9">
        <v>8.16</v>
      </c>
      <c r="AA14" s="8">
        <v>16.899999999999999</v>
      </c>
      <c r="AB14" s="8">
        <v>4863</v>
      </c>
      <c r="AC14" s="21" t="s">
        <v>1144</v>
      </c>
      <c r="AD14" s="8" t="s">
        <v>4126</v>
      </c>
      <c r="AE14" s="8" t="s">
        <v>4020</v>
      </c>
      <c r="AF14" s="9">
        <f t="shared" si="0"/>
        <v>101.062</v>
      </c>
      <c r="AG14" s="9">
        <f t="shared" si="1"/>
        <v>139.70666666666668</v>
      </c>
      <c r="AH14" s="9">
        <f t="shared" si="2"/>
        <v>1.3538412240647282</v>
      </c>
      <c r="AI14" s="9">
        <f t="shared" si="3"/>
        <v>1.8328860599770815</v>
      </c>
      <c r="AJ14" s="9">
        <f t="shared" si="4"/>
        <v>2.6101316352231141</v>
      </c>
      <c r="AK14" s="9">
        <f t="shared" si="5"/>
        <v>6.8127871531924873</v>
      </c>
      <c r="AL14" s="9">
        <f t="shared" si="6"/>
        <v>4.5978935719062903</v>
      </c>
      <c r="AM14" s="9">
        <f t="shared" si="7"/>
        <v>21.140625298577184</v>
      </c>
      <c r="AN14" s="8" t="s">
        <v>1144</v>
      </c>
    </row>
    <row r="15" spans="8:40" ht="23">
      <c r="M15" s="8" t="s">
        <v>333</v>
      </c>
      <c r="N15" s="8" t="s">
        <v>150</v>
      </c>
      <c r="O15" s="8"/>
      <c r="P15" s="8" t="s">
        <v>3691</v>
      </c>
      <c r="Q15" s="8"/>
      <c r="R15" s="8"/>
      <c r="S15" s="8"/>
      <c r="T15" s="8"/>
      <c r="U15" s="8"/>
      <c r="V15" s="8"/>
      <c r="W15" s="8" t="s">
        <v>333</v>
      </c>
      <c r="X15" s="8">
        <v>45.75</v>
      </c>
      <c r="Y15" s="8">
        <v>3.02</v>
      </c>
      <c r="Z15" s="9">
        <v>3.35</v>
      </c>
      <c r="AA15" s="8">
        <v>15.7</v>
      </c>
      <c r="AB15" s="8">
        <v>7757</v>
      </c>
      <c r="AC15" s="21" t="s">
        <v>333</v>
      </c>
      <c r="AD15" s="8" t="s">
        <v>4126</v>
      </c>
      <c r="AE15" s="8" t="s">
        <v>4020</v>
      </c>
      <c r="AF15" s="9">
        <f t="shared" si="0"/>
        <v>47.414000000000001</v>
      </c>
      <c r="AG15" s="9">
        <f t="shared" si="1"/>
        <v>56.258333333333333</v>
      </c>
      <c r="AH15" s="9">
        <f t="shared" si="2"/>
        <v>1.2577104862613158</v>
      </c>
      <c r="AI15" s="9">
        <f t="shared" si="3"/>
        <v>1.5818356672516753</v>
      </c>
      <c r="AJ15" s="9">
        <f t="shared" si="4"/>
        <v>1.2245629549431909</v>
      </c>
      <c r="AK15" s="9">
        <f t="shared" si="5"/>
        <v>1.4995544306191995</v>
      </c>
      <c r="AL15" s="9">
        <f t="shared" si="6"/>
        <v>1.8515210145029684</v>
      </c>
      <c r="AM15" s="9">
        <f t="shared" si="7"/>
        <v>3.428130067146101</v>
      </c>
      <c r="AN15" s="8" t="s">
        <v>333</v>
      </c>
    </row>
    <row r="16" spans="8:40" ht="23">
      <c r="M16" s="9" t="s">
        <v>5322</v>
      </c>
      <c r="N16" s="8" t="s">
        <v>150</v>
      </c>
      <c r="O16" s="8"/>
      <c r="P16" s="8"/>
      <c r="Q16" s="8"/>
      <c r="R16" s="8"/>
      <c r="S16" s="8"/>
      <c r="T16" s="8"/>
      <c r="U16" s="8"/>
      <c r="V16" s="8"/>
      <c r="W16" s="9" t="s">
        <v>5322</v>
      </c>
      <c r="X16" s="8">
        <v>59.98</v>
      </c>
      <c r="Y16" s="8">
        <v>2.13</v>
      </c>
      <c r="Z16" s="9">
        <v>2.06</v>
      </c>
      <c r="AA16" s="8">
        <v>14.5</v>
      </c>
      <c r="AB16" s="8">
        <v>13305</v>
      </c>
      <c r="AC16" s="22" t="s">
        <v>5322</v>
      </c>
      <c r="AD16" s="8" t="s">
        <v>4126</v>
      </c>
      <c r="AE16" s="8" t="s">
        <v>4020</v>
      </c>
      <c r="AF16" s="9">
        <f t="shared" si="0"/>
        <v>30.884999999999998</v>
      </c>
      <c r="AG16" s="9">
        <f t="shared" si="1"/>
        <v>30.450000000000003</v>
      </c>
      <c r="AH16" s="9">
        <f t="shared" si="2"/>
        <v>1.1615797484579031</v>
      </c>
      <c r="AI16" s="9">
        <f t="shared" si="3"/>
        <v>1.3492675120275255</v>
      </c>
      <c r="AJ16" s="9">
        <f t="shared" si="4"/>
        <v>0.79766792220484339</v>
      </c>
      <c r="AK16" s="9">
        <f t="shared" si="5"/>
        <v>0.63627411411459212</v>
      </c>
      <c r="AL16" s="9">
        <f t="shared" si="6"/>
        <v>1.0021415770987774</v>
      </c>
      <c r="AM16" s="9">
        <f t="shared" si="7"/>
        <v>1.0042877405500248</v>
      </c>
      <c r="AN16" s="9" t="s">
        <v>5322</v>
      </c>
    </row>
    <row r="17" spans="13:40" ht="23">
      <c r="M17" s="8" t="s">
        <v>942</v>
      </c>
      <c r="N17" s="8" t="s">
        <v>150</v>
      </c>
      <c r="O17" s="8"/>
      <c r="P17" s="8"/>
      <c r="Q17" s="8"/>
      <c r="R17" s="8"/>
      <c r="S17" s="8"/>
      <c r="T17" s="8"/>
      <c r="U17" s="8"/>
      <c r="V17" s="8"/>
      <c r="W17" s="8" t="s">
        <v>942</v>
      </c>
      <c r="X17" s="8">
        <v>17.559999999999999</v>
      </c>
      <c r="Y17" s="8">
        <v>8.14</v>
      </c>
      <c r="Z17" s="9">
        <v>6.15</v>
      </c>
      <c r="AA17" s="8">
        <v>12.3</v>
      </c>
      <c r="AB17" s="8">
        <v>6636</v>
      </c>
      <c r="AC17" s="21" t="s">
        <v>942</v>
      </c>
      <c r="AD17" s="8" t="s">
        <v>4126</v>
      </c>
      <c r="AE17" s="8" t="s">
        <v>4020</v>
      </c>
      <c r="AF17" s="9">
        <f t="shared" si="0"/>
        <v>100.12200000000001</v>
      </c>
      <c r="AG17" s="9">
        <f t="shared" si="1"/>
        <v>76.875</v>
      </c>
      <c r="AH17" s="9">
        <f t="shared" si="2"/>
        <v>0.98534006248497985</v>
      </c>
      <c r="AI17" s="9">
        <f t="shared" si="3"/>
        <v>0.97089503873790395</v>
      </c>
      <c r="AJ17" s="9">
        <f t="shared" si="4"/>
        <v>2.5858542239596356</v>
      </c>
      <c r="AK17" s="9">
        <f t="shared" si="5"/>
        <v>6.6866420675698892</v>
      </c>
      <c r="AL17" s="9">
        <f t="shared" si="6"/>
        <v>2.5300372328232679</v>
      </c>
      <c r="AM17" s="9">
        <f t="shared" si="7"/>
        <v>6.4010883994720187</v>
      </c>
      <c r="AN17" s="8" t="s">
        <v>942</v>
      </c>
    </row>
    <row r="18" spans="13:40" ht="23">
      <c r="M18" s="8" t="s">
        <v>299</v>
      </c>
      <c r="N18" s="8" t="s">
        <v>150</v>
      </c>
      <c r="O18" s="8"/>
      <c r="P18" s="8" t="s">
        <v>3691</v>
      </c>
      <c r="Q18" s="8"/>
      <c r="R18" s="8"/>
      <c r="S18" s="8"/>
      <c r="T18" s="8"/>
      <c r="U18" s="8"/>
      <c r="V18" s="8"/>
      <c r="W18" s="8" t="s">
        <v>299</v>
      </c>
      <c r="X18" s="8">
        <v>15.6</v>
      </c>
      <c r="Y18" s="8">
        <v>10.63</v>
      </c>
      <c r="Z18" s="9">
        <v>16.55</v>
      </c>
      <c r="AA18" s="8">
        <v>10.6</v>
      </c>
      <c r="AB18" s="8">
        <v>6419</v>
      </c>
      <c r="AC18" s="21" t="s">
        <v>299</v>
      </c>
      <c r="AD18" s="8" t="s">
        <v>4126</v>
      </c>
      <c r="AE18" s="8" t="s">
        <v>4020</v>
      </c>
      <c r="AF18" s="9">
        <f t="shared" si="0"/>
        <v>112.67800000000001</v>
      </c>
      <c r="AG18" s="9">
        <f t="shared" si="1"/>
        <v>179.31666666666666</v>
      </c>
      <c r="AH18" s="9">
        <f t="shared" si="2"/>
        <v>0.84915485059681184</v>
      </c>
      <c r="AI18" s="9">
        <f t="shared" si="3"/>
        <v>0.72106396029209385</v>
      </c>
      <c r="AJ18" s="9">
        <f t="shared" si="4"/>
        <v>2.9101384535598953</v>
      </c>
      <c r="AK18" s="9">
        <f t="shared" si="5"/>
        <v>8.4689058188879791</v>
      </c>
      <c r="AL18" s="9">
        <f t="shared" si="6"/>
        <v>5.9015003984705778</v>
      </c>
      <c r="AM18" s="9">
        <f t="shared" si="7"/>
        <v>34.827706953148386</v>
      </c>
      <c r="AN18" s="8" t="s">
        <v>299</v>
      </c>
    </row>
    <row r="19" spans="13:40" ht="23">
      <c r="M19" s="8" t="s">
        <v>1948</v>
      </c>
      <c r="N19" s="8" t="s">
        <v>1939</v>
      </c>
      <c r="O19" s="8"/>
      <c r="P19" s="8"/>
      <c r="Q19" s="8"/>
      <c r="R19" s="8"/>
      <c r="S19" s="8"/>
      <c r="T19" s="8"/>
      <c r="U19" s="8"/>
      <c r="V19" s="8"/>
      <c r="W19" s="8" t="s">
        <v>1948</v>
      </c>
      <c r="X19" s="8">
        <v>15.34</v>
      </c>
      <c r="Y19" s="8">
        <v>5.33</v>
      </c>
      <c r="Z19" s="9">
        <v>11.21</v>
      </c>
      <c r="AA19" s="8">
        <v>10.3</v>
      </c>
      <c r="AB19" s="8">
        <v>9517</v>
      </c>
      <c r="AC19" s="21" t="s">
        <v>1948</v>
      </c>
      <c r="AD19" s="8" t="s">
        <v>4126</v>
      </c>
      <c r="AE19" s="8" t="s">
        <v>4020</v>
      </c>
      <c r="AF19" s="9">
        <f t="shared" si="0"/>
        <v>54.899000000000008</v>
      </c>
      <c r="AG19" s="9">
        <f t="shared" si="1"/>
        <v>116.905</v>
      </c>
      <c r="AH19" s="9">
        <f t="shared" si="2"/>
        <v>0.82512216614595879</v>
      </c>
      <c r="AI19" s="9">
        <f t="shared" si="3"/>
        <v>0.68082658906539917</v>
      </c>
      <c r="AJ19" s="9">
        <f t="shared" si="4"/>
        <v>1.4178782988869583</v>
      </c>
      <c r="AK19" s="9">
        <f t="shared" si="5"/>
        <v>2.0103788704545744</v>
      </c>
      <c r="AL19" s="9">
        <f t="shared" si="6"/>
        <v>3.8474667018302982</v>
      </c>
      <c r="AM19" s="9">
        <f t="shared" si="7"/>
        <v>14.803000021692913</v>
      </c>
      <c r="AN19" s="8" t="s">
        <v>1948</v>
      </c>
    </row>
    <row r="20" spans="13:40" ht="23">
      <c r="M20" s="8" t="s">
        <v>704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704</v>
      </c>
      <c r="X20" s="8">
        <v>30.54</v>
      </c>
      <c r="Y20" s="8">
        <v>2.82</v>
      </c>
      <c r="Z20" s="9">
        <v>2.5099999999999998</v>
      </c>
      <c r="AA20" s="8">
        <v>9.6</v>
      </c>
      <c r="AB20" s="8">
        <v>12592</v>
      </c>
      <c r="AC20" s="21" t="s">
        <v>704</v>
      </c>
      <c r="AD20" s="8" t="s">
        <v>4126</v>
      </c>
      <c r="AE20" s="8" t="s">
        <v>4020</v>
      </c>
      <c r="AF20" s="9">
        <f t="shared" si="0"/>
        <v>27.071999999999999</v>
      </c>
      <c r="AG20" s="9">
        <f t="shared" si="1"/>
        <v>27.36</v>
      </c>
      <c r="AH20" s="9">
        <f t="shared" si="2"/>
        <v>0.76904590242730131</v>
      </c>
      <c r="AI20" s="9">
        <f t="shared" si="3"/>
        <v>0.59143160004022222</v>
      </c>
      <c r="AJ20" s="9">
        <f t="shared" si="4"/>
        <v>0.69918944438819886</v>
      </c>
      <c r="AK20" s="9">
        <f t="shared" si="5"/>
        <v>0.48886587914387825</v>
      </c>
      <c r="AL20" s="9">
        <f t="shared" si="6"/>
        <v>0.90044642198432012</v>
      </c>
      <c r="AM20" s="9">
        <f t="shared" si="7"/>
        <v>0.81080375886436429</v>
      </c>
      <c r="AN20" s="8" t="s">
        <v>704</v>
      </c>
    </row>
    <row r="21" spans="13:40" ht="23">
      <c r="M21" s="8" t="s">
        <v>145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145</v>
      </c>
      <c r="X21" s="8">
        <v>39.18</v>
      </c>
      <c r="Y21" s="8">
        <v>2.0099999999999998</v>
      </c>
      <c r="Z21" s="9">
        <v>0.44</v>
      </c>
      <c r="AA21" s="8">
        <v>9.3000000000000007</v>
      </c>
      <c r="AB21" s="8">
        <v>14584</v>
      </c>
      <c r="AC21" s="21" t="s">
        <v>145</v>
      </c>
      <c r="AD21" s="8" t="s">
        <v>4126</v>
      </c>
      <c r="AE21" s="8" t="s">
        <v>4020</v>
      </c>
      <c r="AF21" s="9">
        <f t="shared" si="0"/>
        <v>18.692999999999998</v>
      </c>
      <c r="AG21" s="9">
        <f t="shared" si="1"/>
        <v>6.82</v>
      </c>
      <c r="AH21" s="9">
        <f t="shared" si="2"/>
        <v>0.74501321797644815</v>
      </c>
      <c r="AI21" s="9">
        <f t="shared" si="3"/>
        <v>0.55504469495962261</v>
      </c>
      <c r="AJ21" s="9">
        <f t="shared" si="4"/>
        <v>0.4827847327108673</v>
      </c>
      <c r="AK21" s="9">
        <f t="shared" si="5"/>
        <v>0.23308109813870359</v>
      </c>
      <c r="AL21" s="9">
        <f t="shared" si="6"/>
        <v>0.22445338442737806</v>
      </c>
      <c r="AM21" s="9">
        <f t="shared" si="7"/>
        <v>5.037932178090436E-2</v>
      </c>
      <c r="AN21" s="8" t="s">
        <v>145</v>
      </c>
    </row>
    <row r="22" spans="13:40" ht="23">
      <c r="M22" s="9" t="s">
        <v>3569</v>
      </c>
      <c r="N22" s="8" t="s">
        <v>2066</v>
      </c>
      <c r="O22" s="8"/>
      <c r="P22" s="8" t="s">
        <v>3698</v>
      </c>
      <c r="Q22" s="8"/>
      <c r="R22" s="8"/>
      <c r="S22" s="8"/>
      <c r="T22" s="8"/>
      <c r="U22" s="8"/>
      <c r="V22" s="8"/>
      <c r="W22" s="9" t="s">
        <v>3569</v>
      </c>
      <c r="X22" s="8">
        <v>13.65</v>
      </c>
      <c r="Y22" s="8">
        <v>3.5</v>
      </c>
      <c r="Z22" s="9">
        <v>3.48</v>
      </c>
      <c r="AA22" s="8">
        <v>9.1999999999999993</v>
      </c>
      <c r="AB22" s="8">
        <v>12412</v>
      </c>
      <c r="AC22" s="22" t="s">
        <v>3569</v>
      </c>
      <c r="AD22" s="8" t="s">
        <v>4126</v>
      </c>
      <c r="AE22" s="8" t="s">
        <v>4020</v>
      </c>
      <c r="AF22" s="9">
        <f t="shared" si="0"/>
        <v>32.199999999999996</v>
      </c>
      <c r="AG22" s="9">
        <f t="shared" si="1"/>
        <v>34.959999999999994</v>
      </c>
      <c r="AH22" s="9">
        <f t="shared" si="2"/>
        <v>0.7370023231594971</v>
      </c>
      <c r="AI22" s="9">
        <f t="shared" si="3"/>
        <v>0.5431724243424958</v>
      </c>
      <c r="AJ22" s="9">
        <f t="shared" si="4"/>
        <v>0.83163047094045506</v>
      </c>
      <c r="AK22" s="9">
        <f t="shared" si="5"/>
        <v>0.69160924019664305</v>
      </c>
      <c r="AL22" s="9">
        <f t="shared" si="6"/>
        <v>1.1505704280910756</v>
      </c>
      <c r="AM22" s="9">
        <f t="shared" si="7"/>
        <v>1.3238123099976808</v>
      </c>
      <c r="AN22" s="9" t="s">
        <v>3569</v>
      </c>
    </row>
    <row r="23" spans="13:40" ht="23">
      <c r="M23" s="9" t="s">
        <v>5323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9" t="s">
        <v>5323</v>
      </c>
      <c r="X23" s="8">
        <v>42.06</v>
      </c>
      <c r="Y23" s="8">
        <v>2.57</v>
      </c>
      <c r="Z23" s="9">
        <v>2.42</v>
      </c>
      <c r="AA23" s="8">
        <v>8.8000000000000007</v>
      </c>
      <c r="AB23" s="8">
        <v>14565</v>
      </c>
      <c r="AC23" s="22" t="s">
        <v>5323</v>
      </c>
      <c r="AD23" s="8" t="s">
        <v>4126</v>
      </c>
      <c r="AE23" s="8" t="s">
        <v>4020</v>
      </c>
      <c r="AF23" s="9">
        <f t="shared" si="0"/>
        <v>22.616</v>
      </c>
      <c r="AG23" s="9">
        <f t="shared" si="1"/>
        <v>23.760000000000005</v>
      </c>
      <c r="AH23" s="9">
        <f t="shared" si="2"/>
        <v>0.70495874389169288</v>
      </c>
      <c r="AI23" s="9">
        <f t="shared" si="3"/>
        <v>0.49696683058935343</v>
      </c>
      <c r="AJ23" s="9">
        <f t="shared" si="4"/>
        <v>0.58410418418600418</v>
      </c>
      <c r="AK23" s="9">
        <f t="shared" si="5"/>
        <v>0.34117769798359748</v>
      </c>
      <c r="AL23" s="9">
        <f t="shared" si="6"/>
        <v>0.78196662961796237</v>
      </c>
      <c r="AM23" s="9">
        <f t="shared" si="7"/>
        <v>0.61147180983607552</v>
      </c>
      <c r="AN23" s="9" t="s">
        <v>5323</v>
      </c>
    </row>
    <row r="24" spans="13:40" ht="23">
      <c r="M24" s="8" t="s">
        <v>1993</v>
      </c>
      <c r="N24" s="8" t="s">
        <v>1990</v>
      </c>
      <c r="O24" s="8"/>
      <c r="P24" s="8" t="s">
        <v>3705</v>
      </c>
      <c r="Q24" s="8"/>
      <c r="R24" s="8"/>
      <c r="S24" s="8"/>
      <c r="T24" s="8"/>
      <c r="U24" s="8"/>
      <c r="V24" s="8"/>
      <c r="W24" s="8" t="s">
        <v>1993</v>
      </c>
      <c r="X24" s="8">
        <v>23.79</v>
      </c>
      <c r="Y24" s="8">
        <v>6.73</v>
      </c>
      <c r="Z24" s="9">
        <v>5.4</v>
      </c>
      <c r="AA24" s="8">
        <v>7.1</v>
      </c>
      <c r="AB24" s="8">
        <v>11234</v>
      </c>
      <c r="AC24" s="21" t="s">
        <v>1993</v>
      </c>
      <c r="AD24" s="8" t="s">
        <v>4126</v>
      </c>
      <c r="AE24" s="8" t="s">
        <v>4020</v>
      </c>
      <c r="AF24" s="9">
        <f t="shared" si="0"/>
        <v>47.783000000000001</v>
      </c>
      <c r="AG24" s="9">
        <f t="shared" si="1"/>
        <v>35.547333333333334</v>
      </c>
      <c r="AH24" s="9">
        <f t="shared" si="2"/>
        <v>0.56877353200352487</v>
      </c>
      <c r="AI24" s="9">
        <f t="shared" si="3"/>
        <v>0.32350333070776471</v>
      </c>
      <c r="AJ24" s="9">
        <f t="shared" si="4"/>
        <v>1.2340931302157692</v>
      </c>
      <c r="AK24" s="9">
        <f t="shared" si="5"/>
        <v>1.5229858540457555</v>
      </c>
      <c r="AL24" s="9">
        <f t="shared" si="6"/>
        <v>1.1699001868086243</v>
      </c>
      <c r="AM24" s="9">
        <f t="shared" si="7"/>
        <v>1.368666447094854</v>
      </c>
      <c r="AN24" s="8" t="s">
        <v>1993</v>
      </c>
    </row>
    <row r="25" spans="13:40" ht="23">
      <c r="M25" s="8" t="s">
        <v>1720</v>
      </c>
      <c r="N25" s="8" t="s">
        <v>1717</v>
      </c>
      <c r="O25" s="8"/>
      <c r="P25" s="8"/>
      <c r="Q25" s="8"/>
      <c r="R25" s="8"/>
      <c r="S25" s="8"/>
      <c r="T25" s="8"/>
      <c r="U25" s="8"/>
      <c r="V25" s="8"/>
      <c r="W25" s="8" t="s">
        <v>1720</v>
      </c>
      <c r="X25" s="8">
        <v>25.46</v>
      </c>
      <c r="Y25" s="8">
        <v>5.3</v>
      </c>
      <c r="Z25" s="9">
        <v>7.26</v>
      </c>
      <c r="AA25" s="8">
        <v>6.7</v>
      </c>
      <c r="AB25" s="8">
        <v>12271</v>
      </c>
      <c r="AC25" s="21" t="s">
        <v>1720</v>
      </c>
      <c r="AD25" s="8" t="s">
        <v>4126</v>
      </c>
      <c r="AE25" s="8" t="s">
        <v>4020</v>
      </c>
      <c r="AF25" s="9">
        <f t="shared" si="0"/>
        <v>35.51</v>
      </c>
      <c r="AG25" s="9">
        <f t="shared" si="1"/>
        <v>49.803333333333335</v>
      </c>
      <c r="AH25" s="9">
        <f t="shared" si="2"/>
        <v>0.53672995273572077</v>
      </c>
      <c r="AI25" s="9">
        <f t="shared" si="3"/>
        <v>0.28807904216368907</v>
      </c>
      <c r="AJ25" s="9">
        <f t="shared" si="4"/>
        <v>0.91711795102781246</v>
      </c>
      <c r="AK25" s="9">
        <f t="shared" si="5"/>
        <v>0.84110533609745297</v>
      </c>
      <c r="AL25" s="9">
        <f t="shared" si="6"/>
        <v>1.6390801645794015</v>
      </c>
      <c r="AM25" s="9">
        <f t="shared" si="7"/>
        <v>2.6865837859176378</v>
      </c>
      <c r="AN25" s="8" t="s">
        <v>1720</v>
      </c>
    </row>
    <row r="26" spans="13:40" ht="23">
      <c r="M26" s="8" t="s">
        <v>1041</v>
      </c>
      <c r="N26" s="8" t="s">
        <v>150</v>
      </c>
      <c r="O26" s="8"/>
      <c r="P26" s="8" t="s">
        <v>3691</v>
      </c>
      <c r="Q26" s="8"/>
      <c r="R26" s="8"/>
      <c r="S26" s="8"/>
      <c r="T26" s="8"/>
      <c r="U26" s="8"/>
      <c r="V26" s="8"/>
      <c r="W26" s="8" t="s">
        <v>1041</v>
      </c>
      <c r="X26" s="8">
        <v>11.98</v>
      </c>
      <c r="Y26" s="8">
        <v>10.73</v>
      </c>
      <c r="Z26" s="9">
        <v>10.15</v>
      </c>
      <c r="AA26" s="8">
        <v>6.2</v>
      </c>
      <c r="AB26" s="8">
        <v>9220</v>
      </c>
      <c r="AC26" s="21" t="s">
        <v>1041</v>
      </c>
      <c r="AD26" s="8" t="s">
        <v>4126</v>
      </c>
      <c r="AE26" s="8" t="s">
        <v>4020</v>
      </c>
      <c r="AF26" s="9">
        <f t="shared" si="0"/>
        <v>66.52600000000001</v>
      </c>
      <c r="AG26" s="9">
        <f t="shared" si="1"/>
        <v>63.550000000000004</v>
      </c>
      <c r="AH26" s="9">
        <f t="shared" si="2"/>
        <v>0.49667547865096545</v>
      </c>
      <c r="AI26" s="9">
        <f t="shared" si="3"/>
        <v>0.24668653109316563</v>
      </c>
      <c r="AJ26" s="9">
        <f t="shared" si="4"/>
        <v>1.7181692145895882</v>
      </c>
      <c r="AK26" s="9">
        <f t="shared" si="5"/>
        <v>2.9521054499634021</v>
      </c>
      <c r="AL26" s="9">
        <f t="shared" si="6"/>
        <v>2.0914974458005684</v>
      </c>
      <c r="AM26" s="9">
        <f t="shared" si="7"/>
        <v>4.3743615657903012</v>
      </c>
      <c r="AN26" s="8" t="s">
        <v>1041</v>
      </c>
    </row>
    <row r="27" spans="13:40" ht="23">
      <c r="M27" s="8" t="s">
        <v>1028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1028</v>
      </c>
      <c r="X27" s="8">
        <v>12.15</v>
      </c>
      <c r="Y27" s="8">
        <v>7.65</v>
      </c>
      <c r="Z27" s="9">
        <v>9.18</v>
      </c>
      <c r="AA27" s="8">
        <v>5.8</v>
      </c>
      <c r="AB27" s="8">
        <v>11520</v>
      </c>
      <c r="AC27" s="21" t="s">
        <v>1028</v>
      </c>
      <c r="AD27" s="8" t="s">
        <v>4126</v>
      </c>
      <c r="AE27" s="8" t="s">
        <v>4020</v>
      </c>
      <c r="AF27" s="9">
        <f t="shared" si="0"/>
        <v>44.37</v>
      </c>
      <c r="AG27" s="9">
        <f t="shared" si="1"/>
        <v>53.940000000000005</v>
      </c>
      <c r="AH27" s="9">
        <f t="shared" si="2"/>
        <v>0.46463189938316118</v>
      </c>
      <c r="AI27" s="9">
        <f t="shared" si="3"/>
        <v>0.21588280192440401</v>
      </c>
      <c r="AJ27" s="9">
        <f t="shared" si="4"/>
        <v>1.1459454657027328</v>
      </c>
      <c r="AK27" s="9">
        <f t="shared" si="5"/>
        <v>1.3131910103646531</v>
      </c>
      <c r="AL27" s="9">
        <f t="shared" si="6"/>
        <v>1.7752222222892629</v>
      </c>
      <c r="AM27" s="9">
        <f t="shared" si="7"/>
        <v>3.1514139385096289</v>
      </c>
      <c r="AN27" s="8" t="s">
        <v>1028</v>
      </c>
    </row>
    <row r="28" spans="13:40" ht="23">
      <c r="M28" s="8" t="s">
        <v>4529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4529</v>
      </c>
      <c r="X28" s="8">
        <v>12.88</v>
      </c>
      <c r="Y28" s="8">
        <v>10.5</v>
      </c>
      <c r="Z28" s="9">
        <v>15.49</v>
      </c>
      <c r="AA28" s="8">
        <v>5.6</v>
      </c>
      <c r="AB28" s="8">
        <v>11208</v>
      </c>
      <c r="AC28" s="21" t="s">
        <v>4529</v>
      </c>
      <c r="AD28" s="8" t="s">
        <v>4126</v>
      </c>
      <c r="AE28" s="8" t="s">
        <v>4020</v>
      </c>
      <c r="AF28" s="9">
        <f t="shared" si="0"/>
        <v>58.8</v>
      </c>
      <c r="AG28" s="9">
        <f t="shared" si="1"/>
        <v>88.573333333333323</v>
      </c>
      <c r="AH28" s="9">
        <f t="shared" si="2"/>
        <v>0.44861010974925908</v>
      </c>
      <c r="AI28" s="9">
        <f t="shared" si="3"/>
        <v>0.20125103056924226</v>
      </c>
      <c r="AJ28" s="9">
        <f t="shared" si="4"/>
        <v>1.5186295556303964</v>
      </c>
      <c r="AK28" s="9">
        <f t="shared" si="5"/>
        <v>2.3062357272341751</v>
      </c>
      <c r="AL28" s="9">
        <f t="shared" si="6"/>
        <v>2.9150417062582057</v>
      </c>
      <c r="AM28" s="9">
        <f t="shared" si="7"/>
        <v>8.4974681492247512</v>
      </c>
      <c r="AN28" s="8" t="s">
        <v>4529</v>
      </c>
    </row>
    <row r="29" spans="13:40" ht="23">
      <c r="M29" s="8" t="s">
        <v>665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665</v>
      </c>
      <c r="X29" s="8">
        <v>66.8</v>
      </c>
      <c r="Y29" s="8">
        <v>2.08</v>
      </c>
      <c r="Z29" s="9">
        <v>1.1299999999999999</v>
      </c>
      <c r="AA29" s="8">
        <v>4.3</v>
      </c>
      <c r="AB29" s="8">
        <v>24084</v>
      </c>
      <c r="AC29" s="21" t="s">
        <v>665</v>
      </c>
      <c r="AD29" s="8" t="s">
        <v>4126</v>
      </c>
      <c r="AE29" s="8" t="s">
        <v>4020</v>
      </c>
      <c r="AF29" s="9">
        <f t="shared" si="0"/>
        <v>8.9439999999999991</v>
      </c>
      <c r="AG29" s="9">
        <f t="shared" si="1"/>
        <v>5.2316666666666674</v>
      </c>
      <c r="AH29" s="9">
        <f t="shared" si="2"/>
        <v>0.34446847712889539</v>
      </c>
      <c r="AI29" s="9">
        <f t="shared" si="3"/>
        <v>0.11865853173550032</v>
      </c>
      <c r="AJ29" s="9">
        <f t="shared" si="4"/>
        <v>0.23099698546867795</v>
      </c>
      <c r="AK29" s="9">
        <f t="shared" si="5"/>
        <v>5.3359607295616611E-2</v>
      </c>
      <c r="AL29" s="9">
        <f t="shared" si="6"/>
        <v>0.17217966122129516</v>
      </c>
      <c r="AM29" s="9">
        <f t="shared" si="7"/>
        <v>2.9645835738279974E-2</v>
      </c>
      <c r="AN29" s="8" t="s">
        <v>665</v>
      </c>
    </row>
    <row r="30" spans="13:40" ht="23">
      <c r="M30" s="8" t="s">
        <v>1884</v>
      </c>
      <c r="N30" s="8" t="s">
        <v>1869</v>
      </c>
      <c r="O30" s="8"/>
      <c r="P30" s="8"/>
      <c r="Q30" s="8"/>
      <c r="R30" s="8"/>
      <c r="S30" s="8"/>
      <c r="T30" s="8"/>
      <c r="U30" s="8"/>
      <c r="V30" s="8"/>
      <c r="W30" s="8" t="s">
        <v>1884</v>
      </c>
      <c r="X30" s="8">
        <v>26.37</v>
      </c>
      <c r="Y30" s="8">
        <v>2.92</v>
      </c>
      <c r="Z30" s="9">
        <v>2.2599999999999998</v>
      </c>
      <c r="AA30" s="8">
        <v>4</v>
      </c>
      <c r="AB30" s="8">
        <v>24108</v>
      </c>
      <c r="AC30" s="21" t="s">
        <v>1884</v>
      </c>
      <c r="AD30" s="8" t="s">
        <v>4126</v>
      </c>
      <c r="AE30" s="8" t="s">
        <v>4020</v>
      </c>
      <c r="AF30" s="9">
        <f t="shared" si="0"/>
        <v>11.68</v>
      </c>
      <c r="AG30" s="9">
        <f t="shared" si="1"/>
        <v>9.7333333333333343</v>
      </c>
      <c r="AH30" s="9">
        <f t="shared" si="2"/>
        <v>0.32043579267804223</v>
      </c>
      <c r="AI30" s="9">
        <f t="shared" si="3"/>
        <v>0.10267909722920526</v>
      </c>
      <c r="AJ30" s="9">
        <f t="shared" si="4"/>
        <v>0.30165974846535765</v>
      </c>
      <c r="AK30" s="9">
        <f t="shared" si="5"/>
        <v>9.0998603844182846E-2</v>
      </c>
      <c r="AL30" s="9">
        <f t="shared" si="6"/>
        <v>0.32033425343496774</v>
      </c>
      <c r="AM30" s="9">
        <f t="shared" si="7"/>
        <v>0.10261403392373815</v>
      </c>
      <c r="AN30" s="8" t="s">
        <v>1884</v>
      </c>
    </row>
    <row r="31" spans="13:40" ht="23">
      <c r="M31" s="8" t="s">
        <v>1012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8" t="s">
        <v>1012</v>
      </c>
      <c r="X31" s="8">
        <v>17.37</v>
      </c>
      <c r="Y31" s="8">
        <v>7.71</v>
      </c>
      <c r="Z31" s="9">
        <v>7.17</v>
      </c>
      <c r="AA31" s="8">
        <v>3.4</v>
      </c>
      <c r="AB31" s="8">
        <v>18748</v>
      </c>
      <c r="AC31" s="21" t="s">
        <v>1012</v>
      </c>
      <c r="AD31" s="8" t="s">
        <v>4126</v>
      </c>
      <c r="AE31" s="8" t="s">
        <v>4020</v>
      </c>
      <c r="AF31" s="9">
        <f t="shared" si="0"/>
        <v>26.213999999999999</v>
      </c>
      <c r="AG31" s="9">
        <f t="shared" si="1"/>
        <v>24.763333333333332</v>
      </c>
      <c r="AH31" s="9">
        <f t="shared" si="2"/>
        <v>0.27237042377633591</v>
      </c>
      <c r="AI31" s="9">
        <f t="shared" si="3"/>
        <v>7.4185647748100811E-2</v>
      </c>
      <c r="AJ31" s="9">
        <f t="shared" si="4"/>
        <v>0.67702984985195935</v>
      </c>
      <c r="AK31" s="9">
        <f t="shared" si="5"/>
        <v>0.45836941759056665</v>
      </c>
      <c r="AL31" s="9">
        <f t="shared" si="6"/>
        <v>0.81498738656451197</v>
      </c>
      <c r="AM31" s="9">
        <f t="shared" si="7"/>
        <v>0.66420444025925329</v>
      </c>
      <c r="AN31" s="8" t="s">
        <v>1012</v>
      </c>
    </row>
    <row r="32" spans="13:40" ht="23">
      <c r="M32" s="9" t="s">
        <v>3130</v>
      </c>
      <c r="N32" s="8" t="s">
        <v>1862</v>
      </c>
      <c r="O32" s="8"/>
      <c r="P32" s="8" t="s">
        <v>3691</v>
      </c>
      <c r="Q32" s="8"/>
      <c r="R32" s="8"/>
      <c r="S32" s="8"/>
      <c r="T32" s="8"/>
      <c r="U32" s="8"/>
      <c r="V32" s="8"/>
      <c r="W32" s="9" t="s">
        <v>3130</v>
      </c>
      <c r="X32" s="8">
        <v>24.99</v>
      </c>
      <c r="Y32" s="8">
        <v>5.33</v>
      </c>
      <c r="Z32" s="9">
        <v>11.15</v>
      </c>
      <c r="AA32" s="8">
        <v>3.2</v>
      </c>
      <c r="AB32" s="8">
        <v>26680</v>
      </c>
      <c r="AC32" s="22" t="s">
        <v>3130</v>
      </c>
      <c r="AD32" s="8" t="s">
        <v>4126</v>
      </c>
      <c r="AE32" s="8" t="s">
        <v>4020</v>
      </c>
      <c r="AF32" s="9">
        <f t="shared" si="0"/>
        <v>17.056000000000001</v>
      </c>
      <c r="AG32" s="9">
        <f t="shared" si="1"/>
        <v>36</v>
      </c>
      <c r="AH32" s="9">
        <f t="shared" si="2"/>
        <v>0.25634863414243381</v>
      </c>
      <c r="AI32" s="9">
        <f t="shared" si="3"/>
        <v>6.5714622226691374E-2</v>
      </c>
      <c r="AJ32" s="9">
        <f t="shared" si="4"/>
        <v>0.44050587926585105</v>
      </c>
      <c r="AK32" s="9">
        <f t="shared" si="5"/>
        <v>0.19404542966778054</v>
      </c>
      <c r="AL32" s="9">
        <f t="shared" si="6"/>
        <v>1.1847979236635793</v>
      </c>
      <c r="AM32" s="9">
        <f t="shared" si="7"/>
        <v>1.4037461199175287</v>
      </c>
      <c r="AN32" s="9" t="s">
        <v>3130</v>
      </c>
    </row>
    <row r="33" spans="13:40" ht="23">
      <c r="M33" s="9" t="s">
        <v>2853</v>
      </c>
      <c r="N33" s="8" t="s">
        <v>1614</v>
      </c>
      <c r="O33" s="8"/>
      <c r="P33" s="8" t="s">
        <v>3691</v>
      </c>
      <c r="Q33" s="8"/>
      <c r="R33" s="8"/>
      <c r="S33" s="8"/>
      <c r="T33" s="8"/>
      <c r="U33" s="8"/>
      <c r="V33" s="8"/>
      <c r="W33" s="9" t="s">
        <v>2853</v>
      </c>
      <c r="X33" s="8">
        <v>30.92</v>
      </c>
      <c r="Y33" s="8">
        <v>11.69</v>
      </c>
      <c r="Z33" s="9">
        <v>10.5</v>
      </c>
      <c r="AA33" s="8">
        <v>3.1</v>
      </c>
      <c r="AB33" s="8"/>
      <c r="AC33" s="22" t="s">
        <v>2853</v>
      </c>
      <c r="AD33" s="8" t="s">
        <v>4126</v>
      </c>
      <c r="AE33" s="8" t="s">
        <v>4020</v>
      </c>
      <c r="AF33" s="9">
        <f t="shared" si="0"/>
        <v>36.238999999999997</v>
      </c>
      <c r="AG33" s="9">
        <f t="shared" si="1"/>
        <v>31.025833333333331</v>
      </c>
      <c r="AH33" s="9">
        <f t="shared" si="2"/>
        <v>0.24833773932548273</v>
      </c>
      <c r="AI33" s="9">
        <f t="shared" si="3"/>
        <v>6.1671632773291407E-2</v>
      </c>
      <c r="AJ33" s="9">
        <f t="shared" si="4"/>
        <v>0.9359458582736383</v>
      </c>
      <c r="AK33" s="9">
        <f t="shared" si="5"/>
        <v>0.8759946496195774</v>
      </c>
      <c r="AL33" s="9">
        <f t="shared" si="6"/>
        <v>1.021092858701822</v>
      </c>
      <c r="AM33" s="9">
        <f t="shared" si="7"/>
        <v>1.042630626091859</v>
      </c>
      <c r="AN33" s="9" t="s">
        <v>2853</v>
      </c>
    </row>
    <row r="34" spans="13:40" ht="23">
      <c r="M34" s="8" t="s">
        <v>2072</v>
      </c>
      <c r="N34" s="8" t="s">
        <v>2066</v>
      </c>
      <c r="O34" s="8"/>
      <c r="P34" s="8" t="s">
        <v>3692</v>
      </c>
      <c r="Q34" s="8"/>
      <c r="R34" s="8"/>
      <c r="S34" s="8"/>
      <c r="T34" s="8"/>
      <c r="U34" s="8"/>
      <c r="V34" s="8"/>
      <c r="W34" s="8" t="s">
        <v>2072</v>
      </c>
      <c r="X34" s="8">
        <v>14.83</v>
      </c>
      <c r="Y34" s="8">
        <v>4.99</v>
      </c>
      <c r="Z34" s="9">
        <v>5.36</v>
      </c>
      <c r="AA34" s="8">
        <v>3.1</v>
      </c>
      <c r="AB34" s="8">
        <v>22657</v>
      </c>
      <c r="AC34" s="21" t="s">
        <v>2072</v>
      </c>
      <c r="AD34" s="8" t="s">
        <v>4126</v>
      </c>
      <c r="AE34" s="8" t="s">
        <v>4020</v>
      </c>
      <c r="AF34" s="9">
        <f t="shared" si="0"/>
        <v>15.469000000000001</v>
      </c>
      <c r="AG34" s="9">
        <f t="shared" si="1"/>
        <v>17.36</v>
      </c>
      <c r="AH34" s="9">
        <f t="shared" si="2"/>
        <v>0.24833773932548273</v>
      </c>
      <c r="AI34" s="9">
        <f t="shared" si="3"/>
        <v>6.1671632773291407E-2</v>
      </c>
      <c r="AJ34" s="9">
        <f t="shared" si="4"/>
        <v>0.39951837748378582</v>
      </c>
      <c r="AK34" s="9">
        <f t="shared" si="5"/>
        <v>0.15961493394727677</v>
      </c>
      <c r="AL34" s="9">
        <f t="shared" si="6"/>
        <v>0.57133588763332599</v>
      </c>
      <c r="AM34" s="9">
        <f t="shared" si="7"/>
        <v>0.32642469649776051</v>
      </c>
      <c r="AN34" s="8" t="s">
        <v>2072</v>
      </c>
    </row>
    <row r="35" spans="13:40" ht="23">
      <c r="M35" s="8" t="s">
        <v>574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8" t="s">
        <v>574</v>
      </c>
      <c r="X35" s="8">
        <v>23.89</v>
      </c>
      <c r="Y35" s="8">
        <v>5.7</v>
      </c>
      <c r="Z35" s="9">
        <v>5.2</v>
      </c>
      <c r="AA35" s="8">
        <v>2.9</v>
      </c>
      <c r="AB35" s="8">
        <v>24261</v>
      </c>
      <c r="AC35" s="21" t="s">
        <v>574</v>
      </c>
      <c r="AD35" s="8" t="s">
        <v>4126</v>
      </c>
      <c r="AE35" s="8" t="s">
        <v>4020</v>
      </c>
      <c r="AF35" s="9">
        <f t="shared" si="0"/>
        <v>16.53</v>
      </c>
      <c r="AG35" s="9">
        <f t="shared" si="1"/>
        <v>14.509666666666664</v>
      </c>
      <c r="AH35" s="9">
        <f t="shared" si="2"/>
        <v>0.23231594969158059</v>
      </c>
      <c r="AI35" s="9">
        <f t="shared" si="3"/>
        <v>5.3970700481101003E-2</v>
      </c>
      <c r="AJ35" s="9">
        <f t="shared" si="4"/>
        <v>0.42692085977160643</v>
      </c>
      <c r="AK35" s="9">
        <f t="shared" si="5"/>
        <v>0.18226142050812763</v>
      </c>
      <c r="AL35" s="9">
        <f t="shared" si="6"/>
        <v>0.47752841499214749</v>
      </c>
      <c r="AM35" s="9">
        <f t="shared" si="7"/>
        <v>0.22803338712491264</v>
      </c>
      <c r="AN35" s="8" t="s">
        <v>574</v>
      </c>
    </row>
    <row r="36" spans="13:40" ht="23">
      <c r="M36" s="8" t="s">
        <v>1151</v>
      </c>
      <c r="N36" s="8" t="s">
        <v>150</v>
      </c>
      <c r="O36" s="8"/>
      <c r="P36" s="8" t="s">
        <v>3693</v>
      </c>
      <c r="Q36" s="8"/>
      <c r="R36" s="8"/>
      <c r="S36" s="8"/>
      <c r="T36" s="8"/>
      <c r="U36" s="8"/>
      <c r="V36" s="8"/>
      <c r="W36" s="8" t="s">
        <v>1151</v>
      </c>
      <c r="X36" s="8">
        <v>20.71</v>
      </c>
      <c r="Y36" s="8">
        <v>7.94</v>
      </c>
      <c r="Z36" s="9">
        <v>10.14</v>
      </c>
      <c r="AA36" s="8">
        <v>2.5</v>
      </c>
      <c r="AB36" s="8">
        <v>21145</v>
      </c>
      <c r="AC36" s="21" t="s">
        <v>1151</v>
      </c>
      <c r="AD36" s="8" t="s">
        <v>4126</v>
      </c>
      <c r="AE36" s="8" t="s">
        <v>4020</v>
      </c>
      <c r="AF36" s="9">
        <f t="shared" si="0"/>
        <v>19.850000000000001</v>
      </c>
      <c r="AG36" s="9">
        <f t="shared" si="1"/>
        <v>25.583333333333332</v>
      </c>
      <c r="AH36" s="9">
        <f t="shared" si="2"/>
        <v>0.20027237042377638</v>
      </c>
      <c r="AI36" s="9">
        <f t="shared" si="3"/>
        <v>4.01090223551583E-2</v>
      </c>
      <c r="AJ36" s="9">
        <f t="shared" si="4"/>
        <v>0.51266661019155391</v>
      </c>
      <c r="AK36" s="9">
        <f t="shared" si="5"/>
        <v>0.2628270532052987</v>
      </c>
      <c r="AL36" s="9">
        <f t="shared" si="6"/>
        <v>0.84197445038129359</v>
      </c>
      <c r="AM36" s="9">
        <f t="shared" si="7"/>
        <v>0.70892097509488139</v>
      </c>
      <c r="AN36" s="8" t="s">
        <v>1151</v>
      </c>
    </row>
    <row r="37" spans="13:40" ht="23">
      <c r="M37" s="8" t="s">
        <v>45</v>
      </c>
      <c r="N37" s="8" t="s">
        <v>19</v>
      </c>
      <c r="O37" s="8"/>
      <c r="P37" s="8"/>
      <c r="Q37" s="8"/>
      <c r="R37" s="8"/>
      <c r="S37" s="8"/>
      <c r="T37" s="8"/>
      <c r="U37" s="8"/>
      <c r="V37" s="8"/>
      <c r="W37" s="8" t="s">
        <v>45</v>
      </c>
      <c r="X37" s="8">
        <v>26.66</v>
      </c>
      <c r="Y37" s="8">
        <v>3.85</v>
      </c>
      <c r="Z37" s="9">
        <v>3.16</v>
      </c>
      <c r="AA37" s="8">
        <v>2.5</v>
      </c>
      <c r="AB37" s="8">
        <v>33668</v>
      </c>
      <c r="AC37" s="21" t="s">
        <v>45</v>
      </c>
      <c r="AD37" s="8" t="s">
        <v>4126</v>
      </c>
      <c r="AE37" s="8" t="s">
        <v>4020</v>
      </c>
      <c r="AF37" s="9">
        <f t="shared" si="0"/>
        <v>9.625</v>
      </c>
      <c r="AG37" s="9">
        <f t="shared" si="1"/>
        <v>8.1666666666666661</v>
      </c>
      <c r="AH37" s="9">
        <f t="shared" si="2"/>
        <v>0.20027237042377638</v>
      </c>
      <c r="AI37" s="9">
        <f t="shared" si="3"/>
        <v>4.01090223551583E-2</v>
      </c>
      <c r="AJ37" s="9">
        <f t="shared" si="4"/>
        <v>0.24858519511807084</v>
      </c>
      <c r="AK37" s="9">
        <f t="shared" si="5"/>
        <v>6.1794599231889354E-2</v>
      </c>
      <c r="AL37" s="9">
        <f t="shared" si="6"/>
        <v>0.26877360305331188</v>
      </c>
      <c r="AM37" s="9">
        <f t="shared" si="7"/>
        <v>7.2239249698259261E-2</v>
      </c>
      <c r="AN37" s="8" t="s">
        <v>45</v>
      </c>
    </row>
    <row r="38" spans="13:40" ht="23">
      <c r="M38" s="8" t="s">
        <v>519</v>
      </c>
      <c r="N38" s="8" t="s">
        <v>150</v>
      </c>
      <c r="O38" s="8"/>
      <c r="P38" s="8"/>
      <c r="Q38" s="8"/>
      <c r="R38" s="8"/>
      <c r="S38" s="8"/>
      <c r="T38" s="8"/>
      <c r="U38" s="8"/>
      <c r="V38" s="8"/>
      <c r="W38" s="8" t="s">
        <v>519</v>
      </c>
      <c r="X38" s="8">
        <v>55.59</v>
      </c>
      <c r="Y38" s="8">
        <v>2.11</v>
      </c>
      <c r="Z38" s="9">
        <v>0.22</v>
      </c>
      <c r="AA38" s="8">
        <v>2.4</v>
      </c>
      <c r="AB38" s="8">
        <v>42762</v>
      </c>
      <c r="AC38" s="21" t="s">
        <v>519</v>
      </c>
      <c r="AD38" s="8" t="s">
        <v>4126</v>
      </c>
      <c r="AE38" s="8" t="s">
        <v>4020</v>
      </c>
      <c r="AF38" s="9">
        <f t="shared" si="0"/>
        <v>5.0639999999999992</v>
      </c>
      <c r="AG38" s="9">
        <f t="shared" si="1"/>
        <v>0.87999999999999989</v>
      </c>
      <c r="AH38" s="9">
        <f t="shared" si="2"/>
        <v>0.19226147560682533</v>
      </c>
      <c r="AI38" s="9">
        <f t="shared" si="3"/>
        <v>3.6964475002513889E-2</v>
      </c>
      <c r="AJ38" s="9">
        <f t="shared" si="4"/>
        <v>0.13078809642367903</v>
      </c>
      <c r="AK38" s="9">
        <f t="shared" si="5"/>
        <v>1.7105526166129564E-2</v>
      </c>
      <c r="AL38" s="9">
        <f t="shared" si="6"/>
        <v>2.8961727022887487E-2</v>
      </c>
      <c r="AM38" s="9">
        <f t="shared" si="7"/>
        <v>8.3878163214825131E-4</v>
      </c>
      <c r="AN38" s="8" t="s">
        <v>519</v>
      </c>
    </row>
    <row r="39" spans="13:40" ht="23">
      <c r="M39" s="8" t="s">
        <v>1738</v>
      </c>
      <c r="N39" s="8" t="s">
        <v>1717</v>
      </c>
      <c r="O39" s="8"/>
      <c r="P39" s="8"/>
      <c r="Q39" s="8"/>
      <c r="R39" s="8"/>
      <c r="S39" s="8"/>
      <c r="T39" s="8"/>
      <c r="U39" s="8"/>
      <c r="V39" s="8"/>
      <c r="W39" s="8" t="s">
        <v>1738</v>
      </c>
      <c r="X39" s="8">
        <v>20.3</v>
      </c>
      <c r="Y39" s="8">
        <v>12.51</v>
      </c>
      <c r="Z39" s="9">
        <v>11.39</v>
      </c>
      <c r="AA39" s="8">
        <v>2.2000000000000002</v>
      </c>
      <c r="AB39" s="8">
        <v>23019</v>
      </c>
      <c r="AC39" s="21" t="s">
        <v>1738</v>
      </c>
      <c r="AD39" s="8" t="s">
        <v>4126</v>
      </c>
      <c r="AE39" s="8" t="s">
        <v>4020</v>
      </c>
      <c r="AF39" s="9">
        <f t="shared" si="0"/>
        <v>27.522000000000002</v>
      </c>
      <c r="AG39" s="9">
        <f t="shared" si="1"/>
        <v>25.630000000000003</v>
      </c>
      <c r="AH39" s="9">
        <f t="shared" si="2"/>
        <v>0.17623968597292322</v>
      </c>
      <c r="AI39" s="9">
        <f t="shared" si="3"/>
        <v>3.1060426911834589E-2</v>
      </c>
      <c r="AJ39" s="9">
        <f t="shared" si="4"/>
        <v>0.71081160935475807</v>
      </c>
      <c r="AK39" s="9">
        <f t="shared" si="5"/>
        <v>0.50525314399350119</v>
      </c>
      <c r="AL39" s="9">
        <f t="shared" si="6"/>
        <v>0.84351029954159817</v>
      </c>
      <c r="AM39" s="9">
        <f t="shared" si="7"/>
        <v>0.71150962543275664</v>
      </c>
      <c r="AN39" s="8" t="s">
        <v>1738</v>
      </c>
    </row>
    <row r="40" spans="13:40" ht="23">
      <c r="M40" s="9" t="s">
        <v>3515</v>
      </c>
      <c r="N40" s="8" t="s">
        <v>2041</v>
      </c>
      <c r="O40" s="8"/>
      <c r="P40" s="8"/>
      <c r="Q40" s="8"/>
      <c r="R40" s="8"/>
      <c r="S40" s="8"/>
      <c r="T40" s="8"/>
      <c r="U40" s="8"/>
      <c r="V40" s="8"/>
      <c r="W40" s="9" t="s">
        <v>3515</v>
      </c>
      <c r="X40" s="8">
        <v>48.13</v>
      </c>
      <c r="Y40" s="8">
        <v>4.07</v>
      </c>
      <c r="Z40" s="9">
        <v>4.0599999999999996</v>
      </c>
      <c r="AA40" s="8">
        <v>2.1</v>
      </c>
      <c r="AB40" s="8">
        <v>35391</v>
      </c>
      <c r="AC40" s="22" t="s">
        <v>3515</v>
      </c>
      <c r="AD40" s="8" t="s">
        <v>4126</v>
      </c>
      <c r="AE40" s="8" t="s">
        <v>4020</v>
      </c>
      <c r="AF40" s="9">
        <f t="shared" si="0"/>
        <v>8.5470000000000006</v>
      </c>
      <c r="AG40" s="9">
        <f t="shared" si="1"/>
        <v>8.61</v>
      </c>
      <c r="AH40" s="9">
        <f t="shared" si="2"/>
        <v>0.16822879115597217</v>
      </c>
      <c r="AI40" s="9">
        <f t="shared" si="3"/>
        <v>2.8300926173799701E-2</v>
      </c>
      <c r="AJ40" s="9">
        <f t="shared" si="4"/>
        <v>0.22074365326484693</v>
      </c>
      <c r="AK40" s="9">
        <f t="shared" si="5"/>
        <v>4.872776045671097E-2</v>
      </c>
      <c r="AL40" s="9">
        <f t="shared" si="6"/>
        <v>0.28336417007620601</v>
      </c>
      <c r="AM40" s="9">
        <f t="shared" si="7"/>
        <v>8.0295252882977008E-2</v>
      </c>
      <c r="AN40" s="9" t="s">
        <v>3515</v>
      </c>
    </row>
    <row r="41" spans="13:40" ht="23">
      <c r="M41" s="9" t="s">
        <v>2858</v>
      </c>
      <c r="N41" s="8" t="s">
        <v>1717</v>
      </c>
      <c r="O41" s="8"/>
      <c r="P41" s="8"/>
      <c r="Q41" s="8"/>
      <c r="R41" s="8"/>
      <c r="S41" s="8"/>
      <c r="T41" s="8"/>
      <c r="U41" s="8"/>
      <c r="V41" s="8"/>
      <c r="W41" s="9" t="s">
        <v>2858</v>
      </c>
      <c r="X41" s="8">
        <v>77.709999999999994</v>
      </c>
      <c r="Y41" s="8">
        <v>1.8</v>
      </c>
      <c r="Z41" s="9">
        <v>3.08</v>
      </c>
      <c r="AA41" s="8">
        <v>1.9</v>
      </c>
      <c r="AB41" s="8">
        <v>57867</v>
      </c>
      <c r="AC41" s="22" t="s">
        <v>2858</v>
      </c>
      <c r="AD41" s="8" t="s">
        <v>4126</v>
      </c>
      <c r="AE41" s="8" t="s">
        <v>4020</v>
      </c>
      <c r="AF41" s="9">
        <f t="shared" si="0"/>
        <v>3.42</v>
      </c>
      <c r="AG41" s="9">
        <f t="shared" si="1"/>
        <v>5.9533333333333331</v>
      </c>
      <c r="AH41" s="9">
        <f t="shared" si="2"/>
        <v>0.15220700152207006</v>
      </c>
      <c r="AI41" s="9">
        <f t="shared" si="3"/>
        <v>2.3166971312339437E-2</v>
      </c>
      <c r="AJ41" s="9">
        <f t="shared" si="4"/>
        <v>8.8328453745849592E-2</v>
      </c>
      <c r="AK41" s="9">
        <f t="shared" si="5"/>
        <v>7.8019157411326904E-3</v>
      </c>
      <c r="AL41" s="9">
        <f t="shared" si="6"/>
        <v>0.19593047145029188</v>
      </c>
      <c r="AM41" s="9">
        <f t="shared" si="7"/>
        <v>3.8388749642733644E-2</v>
      </c>
      <c r="AN41" s="9" t="s">
        <v>2858</v>
      </c>
    </row>
    <row r="42" spans="13:40" ht="23">
      <c r="M42" s="8" t="s">
        <v>543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8" t="s">
        <v>543</v>
      </c>
      <c r="X42" s="8">
        <v>45.87</v>
      </c>
      <c r="Y42" s="8">
        <v>2.4500000000000002</v>
      </c>
      <c r="Z42" s="9">
        <v>1.55</v>
      </c>
      <c r="AA42" s="8">
        <v>1.7</v>
      </c>
      <c r="AB42" s="8">
        <v>50334</v>
      </c>
      <c r="AC42" s="21" t="s">
        <v>543</v>
      </c>
      <c r="AD42" s="8" t="s">
        <v>4126</v>
      </c>
      <c r="AE42" s="8" t="s">
        <v>4020</v>
      </c>
      <c r="AF42" s="9">
        <f t="shared" si="0"/>
        <v>4.165</v>
      </c>
      <c r="AG42" s="9">
        <f t="shared" si="1"/>
        <v>3.2583333333333329</v>
      </c>
      <c r="AH42" s="9">
        <f t="shared" si="2"/>
        <v>0.13618521188816796</v>
      </c>
      <c r="AI42" s="9">
        <f t="shared" si="3"/>
        <v>1.8546411937025203E-2</v>
      </c>
      <c r="AJ42" s="9">
        <f t="shared" si="4"/>
        <v>0.10756959352381974</v>
      </c>
      <c r="AK42" s="9">
        <f t="shared" si="5"/>
        <v>1.1571217450879802E-2</v>
      </c>
      <c r="AL42" s="9">
        <f t="shared" si="6"/>
        <v>0.10723518244269895</v>
      </c>
      <c r="AM42" s="9">
        <f t="shared" si="7"/>
        <v>1.1499384353518927E-2</v>
      </c>
      <c r="AN42" s="8" t="s">
        <v>543</v>
      </c>
    </row>
    <row r="43" spans="13:40" ht="23">
      <c r="M43" s="9" t="s">
        <v>3509</v>
      </c>
      <c r="N43" s="8" t="s">
        <v>2041</v>
      </c>
      <c r="O43" s="8"/>
      <c r="P43" s="8"/>
      <c r="Q43" s="8"/>
      <c r="R43" s="8"/>
      <c r="S43" s="8"/>
      <c r="T43" s="8"/>
      <c r="U43" s="8"/>
      <c r="V43" s="8"/>
      <c r="W43" s="9" t="s">
        <v>3509</v>
      </c>
      <c r="X43" s="8">
        <v>56.2</v>
      </c>
      <c r="Y43" s="8">
        <v>1.45</v>
      </c>
      <c r="Z43" s="9">
        <v>0.06</v>
      </c>
      <c r="AA43" s="8">
        <v>1.3</v>
      </c>
      <c r="AB43" s="8">
        <v>79993</v>
      </c>
      <c r="AC43" s="22" t="s">
        <v>3509</v>
      </c>
      <c r="AD43" s="8" t="s">
        <v>4126</v>
      </c>
      <c r="AE43" s="8" t="s">
        <v>4020</v>
      </c>
      <c r="AF43" s="9">
        <f t="shared" si="0"/>
        <v>1.885</v>
      </c>
      <c r="AG43" s="9">
        <f t="shared" si="1"/>
        <v>0.13</v>
      </c>
      <c r="AH43" s="9">
        <f t="shared" si="2"/>
        <v>0.10414163262036372</v>
      </c>
      <c r="AI43" s="9">
        <f t="shared" si="3"/>
        <v>1.0845479644834803E-2</v>
      </c>
      <c r="AJ43" s="9">
        <f t="shared" si="4"/>
        <v>4.8683957693253357E-2</v>
      </c>
      <c r="AK43" s="9">
        <f t="shared" si="5"/>
        <v>2.3701277366784826E-3</v>
      </c>
      <c r="AL43" s="9">
        <f t="shared" si="6"/>
        <v>4.2784369465629253E-3</v>
      </c>
      <c r="AM43" s="9">
        <f t="shared" si="7"/>
        <v>1.8305022705714687E-5</v>
      </c>
      <c r="AN43" s="9" t="s">
        <v>3509</v>
      </c>
    </row>
    <row r="44" spans="13:40" ht="23">
      <c r="M44" s="8" t="s">
        <v>1892</v>
      </c>
      <c r="N44" s="8" t="s">
        <v>1869</v>
      </c>
      <c r="O44" s="8"/>
      <c r="P44" s="8"/>
      <c r="Q44" s="8"/>
      <c r="R44" s="8"/>
      <c r="S44" s="8"/>
      <c r="T44" s="8"/>
      <c r="U44" s="8"/>
      <c r="V44" s="8"/>
      <c r="W44" s="8" t="s">
        <v>1892</v>
      </c>
      <c r="X44" s="8">
        <v>26.27</v>
      </c>
      <c r="Y44" s="8">
        <v>3.82</v>
      </c>
      <c r="Z44" s="9">
        <v>8.16</v>
      </c>
      <c r="AA44" s="8">
        <v>1.1000000000000001</v>
      </c>
      <c r="AB44" s="8">
        <v>52713</v>
      </c>
      <c r="AC44" s="21" t="s">
        <v>1892</v>
      </c>
      <c r="AD44" s="8" t="s">
        <v>4126</v>
      </c>
      <c r="AE44" s="8" t="s">
        <v>4020</v>
      </c>
      <c r="AF44" s="9">
        <f t="shared" si="0"/>
        <v>4.202</v>
      </c>
      <c r="AG44" s="9">
        <f t="shared" si="1"/>
        <v>9.0933333333333355</v>
      </c>
      <c r="AH44" s="9">
        <f t="shared" si="2"/>
        <v>8.8119842986461611E-2</v>
      </c>
      <c r="AI44" s="9">
        <f t="shared" si="3"/>
        <v>7.7651067279586473E-3</v>
      </c>
      <c r="AJ44" s="9">
        <f t="shared" si="4"/>
        <v>0.1085251937544035</v>
      </c>
      <c r="AK44" s="9">
        <f t="shared" si="5"/>
        <v>1.1777717679430821E-2</v>
      </c>
      <c r="AL44" s="9">
        <f t="shared" si="6"/>
        <v>0.29927117923650415</v>
      </c>
      <c r="AM44" s="9">
        <f t="shared" si="7"/>
        <v>8.9563238721607791E-2</v>
      </c>
      <c r="AN44" s="8" t="s">
        <v>1892</v>
      </c>
    </row>
    <row r="45" spans="13:40" ht="23"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9"/>
      <c r="AA45" s="8">
        <f>SUBTOTAL(109,Table13655[ترافیک کل])</f>
        <v>1248.2999999999997</v>
      </c>
      <c r="AB45" s="8"/>
      <c r="AC45" s="21"/>
      <c r="AD45" s="8"/>
      <c r="AE45" s="8"/>
      <c r="AF45" s="9">
        <f>SUBTOTAL(109,Table13655[[مجموع صفحات  مشاهده شده   ]])</f>
        <v>3871.9120000000003</v>
      </c>
      <c r="AG45" s="9">
        <f>SUBTOTAL(109,Table13655[[مجموع زمان حضور در سایت ]])</f>
        <v>3038.4928333333341</v>
      </c>
      <c r="AH45" s="9">
        <f>SUBTOTAL(109,Table13655[سهم سایت از کل ترافیک طبقه بندی])</f>
        <v>100.00000000000003</v>
      </c>
      <c r="AI45" s="9">
        <f>SUBTOTAL(109,Table13655[شاخص هرفیندال هیرشمن (ترافیک)])</f>
        <v>1176.3110543629421</v>
      </c>
      <c r="AJ45" s="9">
        <f>SUBTOTAL(109,Table13655[سهم سایت از کل صفحات مشاهده شده در طبقه بندی])</f>
        <v>100.00000000000003</v>
      </c>
      <c r="AK45" s="9">
        <f>SUBTOTAL(109,Table13655[شاخص هرفیندال -هیرشمن (صفحات مشاهده شده )])</f>
        <v>895.82702037874333</v>
      </c>
      <c r="AL45" s="9">
        <f>SUBTOTAL(109,Table13655[سهم سایت از کل زمان حضور در طبقه بندی])</f>
        <v>99.999999999999957</v>
      </c>
      <c r="AM45" s="9">
        <f>SUBTOTAL(109,Table13655[شاخص هرفیندال هیرشمن (زمان حضور)])</f>
        <v>778.11270449644292</v>
      </c>
      <c r="AN45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{87EA1E82-58CF-4207-9CF7-53DEFAFB0DA3}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{A63FD9E4-2686-48B1-BADE-F6A490F28BA1}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{C4E98A31-1002-4A12-81CD-3F02F1742E06}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{25DAD462-2143-4302-8DA4-E92E23BDAB60}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{589FE1F4-1826-4630-8278-CB9D66B49210}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{79E91001-7A56-4DBF-B865-2AD87A4A4798}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EA1E82-58CF-4207-9CF7-53DEFAFB0DA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63FD9E4-2686-48B1-BADE-F6A490F28BA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4E98A31-1002-4A12-81CD-3F02F1742E0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5DAD462-2143-4302-8DA4-E92E23BDAB6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589FE1F4-1826-4630-8278-CB9D66B492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79E91001-7A56-4DBF-B865-2AD87A4A479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25"/>
  <sheetViews>
    <sheetView showGridLines="0" rightToLeft="1" topLeftCell="Q1" zoomScale="70" zoomScaleNormal="70" workbookViewId="0">
      <selection activeCell="AB1" sqref="AB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5.5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4393</v>
      </c>
      <c r="N2" s="8"/>
      <c r="O2" s="8"/>
      <c r="P2" s="8"/>
      <c r="Q2" s="8"/>
      <c r="R2" s="8"/>
      <c r="S2" s="8"/>
      <c r="T2" s="8"/>
      <c r="U2" s="8"/>
      <c r="V2" s="8"/>
      <c r="W2" s="8" t="s">
        <v>4393</v>
      </c>
      <c r="X2" s="8">
        <v>81.430000000000007</v>
      </c>
      <c r="Y2" s="8">
        <v>1.26</v>
      </c>
      <c r="Z2" s="9">
        <v>0.43</v>
      </c>
      <c r="AA2" s="8">
        <v>1373.4</v>
      </c>
      <c r="AB2" s="8">
        <v>1305</v>
      </c>
      <c r="AC2" s="21" t="s">
        <v>4393</v>
      </c>
      <c r="AD2" s="8" t="s">
        <v>3686</v>
      </c>
      <c r="AE2" s="8" t="s">
        <v>4240</v>
      </c>
      <c r="AF2" s="9">
        <f t="shared" ref="AF2:AF24" si="0">(AA2*Y2)</f>
        <v>1730.4840000000002</v>
      </c>
      <c r="AG2" s="9">
        <f t="shared" ref="AG2:AG24" si="1">((((RIGHT(Z2,2))/60)+(LEFT(Z2,2)))*AA2)</f>
        <v>984.2700000000001</v>
      </c>
      <c r="AH2" s="9">
        <f t="shared" ref="AH2:AH24" si="2">(AA2/$AA$25)*100</f>
        <v>43.076247530031672</v>
      </c>
      <c r="AI2" s="9">
        <f t="shared" ref="AI2:AI24" si="3">(AH2*AH2)</f>
        <v>1855.5631012685596</v>
      </c>
      <c r="AJ2" s="9">
        <f t="shared" ref="AJ2:AJ24" si="4">(AF2/$AF$25)*100</f>
        <v>27.937189578306793</v>
      </c>
      <c r="AK2" s="9">
        <f t="shared" ref="AK2:AK24" si="5">(AJ2*AJ2)</f>
        <v>780.48656153425372</v>
      </c>
      <c r="AL2" s="9">
        <f t="shared" ref="AL2:AL24" si="6">(AG2/$AG$25)*100</f>
        <v>29.321886502698153</v>
      </c>
      <c r="AM2" s="9">
        <f t="shared" ref="AM2:AM24" si="7">(AL2*AL2)</f>
        <v>859.77302807711214</v>
      </c>
      <c r="AN2" s="8" t="s">
        <v>4393</v>
      </c>
    </row>
    <row r="3" spans="8:40" ht="23">
      <c r="M3" s="9" t="s">
        <v>2960</v>
      </c>
      <c r="N3" s="8" t="s">
        <v>1717</v>
      </c>
      <c r="O3" s="8"/>
      <c r="P3" s="8"/>
      <c r="Q3" s="8"/>
      <c r="R3" s="8"/>
      <c r="S3" s="8"/>
      <c r="T3" s="8"/>
      <c r="U3" s="8"/>
      <c r="V3" s="8"/>
      <c r="W3" s="9" t="s">
        <v>2960</v>
      </c>
      <c r="X3" s="8">
        <v>20.38</v>
      </c>
      <c r="Y3" s="8">
        <v>3.16</v>
      </c>
      <c r="Z3" s="9">
        <v>1.05</v>
      </c>
      <c r="AA3" s="8">
        <v>364.3</v>
      </c>
      <c r="AB3" s="8">
        <v>5123</v>
      </c>
      <c r="AC3" s="22" t="s">
        <v>2960</v>
      </c>
      <c r="AD3" s="8" t="s">
        <v>3686</v>
      </c>
      <c r="AE3" s="8" t="s">
        <v>4240</v>
      </c>
      <c r="AF3" s="9">
        <f t="shared" si="0"/>
        <v>1151.1880000000001</v>
      </c>
      <c r="AG3" s="9">
        <f t="shared" si="1"/>
        <v>394.6583333333333</v>
      </c>
      <c r="AH3" s="9">
        <f t="shared" si="2"/>
        <v>11.426151867766519</v>
      </c>
      <c r="AI3" s="9">
        <f t="shared" si="3"/>
        <v>130.55694650526431</v>
      </c>
      <c r="AJ3" s="9">
        <f t="shared" si="4"/>
        <v>18.584949295267592</v>
      </c>
      <c r="AK3" s="9">
        <f t="shared" si="5"/>
        <v>345.40034030766736</v>
      </c>
      <c r="AL3" s="9">
        <f t="shared" si="6"/>
        <v>11.757065497621602</v>
      </c>
      <c r="AM3" s="9">
        <f t="shared" si="7"/>
        <v>138.22858911536429</v>
      </c>
      <c r="AN3" s="9" t="s">
        <v>2960</v>
      </c>
    </row>
    <row r="4" spans="8:40" ht="23">
      <c r="M4" s="8" t="s">
        <v>1610</v>
      </c>
      <c r="N4" s="8" t="s">
        <v>150</v>
      </c>
      <c r="O4" s="8"/>
      <c r="P4" s="8" t="s">
        <v>3691</v>
      </c>
      <c r="Q4" s="8"/>
      <c r="R4" s="8"/>
      <c r="S4" s="8"/>
      <c r="T4" s="8"/>
      <c r="U4" s="8"/>
      <c r="V4" s="8"/>
      <c r="W4" s="8" t="s">
        <v>1610</v>
      </c>
      <c r="X4" s="8">
        <v>26.71</v>
      </c>
      <c r="Y4" s="8">
        <v>3.1</v>
      </c>
      <c r="Z4" s="9">
        <v>1.1499999999999999</v>
      </c>
      <c r="AA4" s="8">
        <v>313.8</v>
      </c>
      <c r="AB4" s="8">
        <v>4793</v>
      </c>
      <c r="AC4" s="21" t="s">
        <v>1610</v>
      </c>
      <c r="AD4" s="8" t="s">
        <v>3686</v>
      </c>
      <c r="AE4" s="8" t="s">
        <v>4240</v>
      </c>
      <c r="AF4" s="9">
        <f t="shared" si="0"/>
        <v>972.78000000000009</v>
      </c>
      <c r="AG4" s="9">
        <f t="shared" si="1"/>
        <v>392.25</v>
      </c>
      <c r="AH4" s="9">
        <f t="shared" si="2"/>
        <v>9.8422356741837334</v>
      </c>
      <c r="AI4" s="9">
        <f t="shared" si="3"/>
        <v>96.869603066174932</v>
      </c>
      <c r="AJ4" s="9">
        <f t="shared" si="4"/>
        <v>15.704704162526371</v>
      </c>
      <c r="AK4" s="9">
        <f t="shared" si="5"/>
        <v>246.63773283247312</v>
      </c>
      <c r="AL4" s="9">
        <f t="shared" si="6"/>
        <v>11.685320065310686</v>
      </c>
      <c r="AM4" s="9">
        <f t="shared" si="7"/>
        <v>136.54670502875254</v>
      </c>
      <c r="AN4" s="8" t="s">
        <v>1610</v>
      </c>
    </row>
    <row r="5" spans="8:40" ht="23">
      <c r="M5" s="9" t="s">
        <v>2158</v>
      </c>
      <c r="N5" s="8" t="s">
        <v>150</v>
      </c>
      <c r="O5" s="8"/>
      <c r="P5" s="8"/>
      <c r="Q5" s="8"/>
      <c r="R5" s="8"/>
      <c r="S5" s="8"/>
      <c r="T5" s="8"/>
      <c r="U5" s="8"/>
      <c r="V5" s="8"/>
      <c r="W5" s="9" t="s">
        <v>2158</v>
      </c>
      <c r="X5" s="8">
        <v>49.06</v>
      </c>
      <c r="Y5" s="8">
        <v>1.56</v>
      </c>
      <c r="Z5" s="9">
        <v>0.12</v>
      </c>
      <c r="AA5" s="8">
        <v>303.8</v>
      </c>
      <c r="AB5" s="8">
        <v>9411</v>
      </c>
      <c r="AC5" s="22" t="s">
        <v>2158</v>
      </c>
      <c r="AD5" s="8" t="s">
        <v>3686</v>
      </c>
      <c r="AE5" s="8" t="s">
        <v>4240</v>
      </c>
      <c r="AF5" s="9">
        <f t="shared" si="0"/>
        <v>473.92800000000005</v>
      </c>
      <c r="AG5" s="9">
        <f t="shared" si="1"/>
        <v>60.760000000000005</v>
      </c>
      <c r="AH5" s="9">
        <f t="shared" si="2"/>
        <v>9.5285889031772406</v>
      </c>
      <c r="AI5" s="9">
        <f t="shared" si="3"/>
        <v>90.794006485752448</v>
      </c>
      <c r="AJ5" s="9">
        <f t="shared" si="4"/>
        <v>7.6511637105386594</v>
      </c>
      <c r="AK5" s="9">
        <f t="shared" si="5"/>
        <v>58.540306125463708</v>
      </c>
      <c r="AL5" s="9">
        <f t="shared" si="6"/>
        <v>1.8100702285998149</v>
      </c>
      <c r="AM5" s="9">
        <f t="shared" si="7"/>
        <v>3.2763542324633863</v>
      </c>
      <c r="AN5" s="9" t="s">
        <v>2158</v>
      </c>
    </row>
    <row r="6" spans="8:40" ht="23">
      <c r="M6" s="9" t="s">
        <v>2294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9" t="s">
        <v>2294</v>
      </c>
      <c r="X6" s="8">
        <v>42.68</v>
      </c>
      <c r="Y6" s="8">
        <v>1.42</v>
      </c>
      <c r="Z6" s="9">
        <v>0.21</v>
      </c>
      <c r="AA6" s="8">
        <v>224</v>
      </c>
      <c r="AB6" s="8">
        <v>21622</v>
      </c>
      <c r="AC6" s="22" t="s">
        <v>2294</v>
      </c>
      <c r="AD6" s="8" t="s">
        <v>3686</v>
      </c>
      <c r="AE6" s="8" t="s">
        <v>4240</v>
      </c>
      <c r="AF6" s="9">
        <f t="shared" si="0"/>
        <v>318.08</v>
      </c>
      <c r="AG6" s="9">
        <f t="shared" si="1"/>
        <v>78.399999999999991</v>
      </c>
      <c r="AH6" s="9">
        <f t="shared" si="2"/>
        <v>7.0256876705454303</v>
      </c>
      <c r="AI6" s="9">
        <f t="shared" si="3"/>
        <v>49.360287244054078</v>
      </c>
      <c r="AJ6" s="9">
        <f t="shared" si="4"/>
        <v>5.1351305536877678</v>
      </c>
      <c r="AK6" s="9">
        <f t="shared" si="5"/>
        <v>26.36956580341764</v>
      </c>
      <c r="AL6" s="9">
        <f t="shared" si="6"/>
        <v>2.3355744885158898</v>
      </c>
      <c r="AM6" s="9">
        <f t="shared" si="7"/>
        <v>5.4549081914062603</v>
      </c>
      <c r="AN6" s="9" t="s">
        <v>2294</v>
      </c>
    </row>
    <row r="7" spans="8:40" ht="23">
      <c r="M7" s="8" t="s">
        <v>4394</v>
      </c>
      <c r="N7" s="8"/>
      <c r="O7" s="8"/>
      <c r="P7" s="8" t="s">
        <v>3700</v>
      </c>
      <c r="Q7" s="8"/>
      <c r="R7" s="8"/>
      <c r="S7" s="8"/>
      <c r="T7" s="8"/>
      <c r="U7" s="8"/>
      <c r="V7" s="8"/>
      <c r="W7" s="8" t="s">
        <v>4394</v>
      </c>
      <c r="X7" s="8">
        <v>10.47</v>
      </c>
      <c r="Y7" s="8">
        <v>1.38</v>
      </c>
      <c r="Z7" s="9">
        <v>0.22</v>
      </c>
      <c r="AA7" s="8">
        <v>92.5</v>
      </c>
      <c r="AB7" s="8">
        <v>9815</v>
      </c>
      <c r="AC7" s="21" t="s">
        <v>4394</v>
      </c>
      <c r="AD7" s="8" t="s">
        <v>3686</v>
      </c>
      <c r="AE7" s="8" t="s">
        <v>4240</v>
      </c>
      <c r="AF7" s="9">
        <f t="shared" si="0"/>
        <v>127.64999999999999</v>
      </c>
      <c r="AG7" s="9">
        <f t="shared" si="1"/>
        <v>33.916666666666664</v>
      </c>
      <c r="AH7" s="9">
        <f t="shared" si="2"/>
        <v>2.9012326318100552</v>
      </c>
      <c r="AI7" s="9">
        <f t="shared" si="3"/>
        <v>8.4171507838794994</v>
      </c>
      <c r="AJ7" s="9">
        <f t="shared" si="4"/>
        <v>2.0608004752837137</v>
      </c>
      <c r="AK7" s="9">
        <f t="shared" si="5"/>
        <v>4.2468985989295804</v>
      </c>
      <c r="AL7" s="9">
        <f t="shared" si="6"/>
        <v>1.0103941505378051</v>
      </c>
      <c r="AM7" s="9">
        <f t="shared" si="7"/>
        <v>1.0208963394410129</v>
      </c>
      <c r="AN7" s="8" t="s">
        <v>4394</v>
      </c>
    </row>
    <row r="8" spans="8:40" ht="23">
      <c r="M8" s="8" t="s">
        <v>1400</v>
      </c>
      <c r="N8" s="8" t="s">
        <v>150</v>
      </c>
      <c r="O8" s="8"/>
      <c r="P8" s="8"/>
      <c r="Q8" s="8"/>
      <c r="R8" s="8"/>
      <c r="S8" s="8"/>
      <c r="T8" s="8"/>
      <c r="U8" s="8"/>
      <c r="V8" s="8"/>
      <c r="W8" s="8" t="s">
        <v>1400</v>
      </c>
      <c r="X8" s="8">
        <v>29.37</v>
      </c>
      <c r="Y8" s="8">
        <v>1.0900000000000001</v>
      </c>
      <c r="Z8" s="9">
        <v>0.05</v>
      </c>
      <c r="AA8" s="8">
        <v>73.5</v>
      </c>
      <c r="AB8" s="8">
        <v>32834</v>
      </c>
      <c r="AC8" s="21" t="s">
        <v>1400</v>
      </c>
      <c r="AD8" s="8" t="s">
        <v>3686</v>
      </c>
      <c r="AE8" s="8" t="s">
        <v>4240</v>
      </c>
      <c r="AF8" s="9">
        <f t="shared" si="0"/>
        <v>80.115000000000009</v>
      </c>
      <c r="AG8" s="9">
        <f t="shared" si="1"/>
        <v>6.125</v>
      </c>
      <c r="AH8" s="9">
        <f t="shared" si="2"/>
        <v>2.3053037668977194</v>
      </c>
      <c r="AI8" s="9">
        <f t="shared" si="3"/>
        <v>5.3144254576728152</v>
      </c>
      <c r="AJ8" s="9">
        <f t="shared" si="4"/>
        <v>1.2933884064030923</v>
      </c>
      <c r="AK8" s="9">
        <f t="shared" si="5"/>
        <v>1.6728535698179305</v>
      </c>
      <c r="AL8" s="9">
        <f t="shared" si="6"/>
        <v>0.1824667569153039</v>
      </c>
      <c r="AM8" s="9">
        <f t="shared" si="7"/>
        <v>3.3294117379188602E-2</v>
      </c>
      <c r="AN8" s="8" t="s">
        <v>1400</v>
      </c>
    </row>
    <row r="9" spans="8:40" ht="23">
      <c r="M9" s="21" t="s">
        <v>4395</v>
      </c>
      <c r="N9" s="8"/>
      <c r="O9" s="8"/>
      <c r="P9" s="8"/>
      <c r="Q9" s="8"/>
      <c r="R9" s="8"/>
      <c r="S9" s="8"/>
      <c r="T9" s="8"/>
      <c r="U9" s="8"/>
      <c r="V9" s="8"/>
      <c r="W9" s="21" t="s">
        <v>4395</v>
      </c>
      <c r="X9" s="8">
        <v>13.18</v>
      </c>
      <c r="Y9" s="8">
        <v>6.98</v>
      </c>
      <c r="Z9" s="9">
        <v>14.16</v>
      </c>
      <c r="AA9" s="8">
        <v>63.3</v>
      </c>
      <c r="AB9" s="8">
        <v>2056</v>
      </c>
      <c r="AC9" s="21" t="s">
        <v>4395</v>
      </c>
      <c r="AD9" s="8" t="s">
        <v>3686</v>
      </c>
      <c r="AE9" s="8" t="s">
        <v>4240</v>
      </c>
      <c r="AF9" s="9">
        <f t="shared" si="0"/>
        <v>441.834</v>
      </c>
      <c r="AG9" s="9">
        <f t="shared" si="1"/>
        <v>903.08</v>
      </c>
      <c r="AH9" s="9">
        <f t="shared" si="2"/>
        <v>1.9853840604710971</v>
      </c>
      <c r="AI9" s="9">
        <f t="shared" si="3"/>
        <v>3.941749867572701</v>
      </c>
      <c r="AJ9" s="9">
        <f t="shared" si="4"/>
        <v>7.1330334288797825</v>
      </c>
      <c r="AK9" s="9">
        <f t="shared" si="5"/>
        <v>50.88016589751647</v>
      </c>
      <c r="AL9" s="9">
        <f t="shared" si="6"/>
        <v>26.903196544501657</v>
      </c>
      <c r="AM9" s="9">
        <f t="shared" si="7"/>
        <v>723.78198431208591</v>
      </c>
      <c r="AN9" s="21" t="s">
        <v>4395</v>
      </c>
    </row>
    <row r="10" spans="8:40" ht="23">
      <c r="M10" s="9" t="s">
        <v>2300</v>
      </c>
      <c r="N10" s="8" t="s">
        <v>150</v>
      </c>
      <c r="O10" s="8"/>
      <c r="P10" s="8"/>
      <c r="Q10" s="8"/>
      <c r="R10" s="8"/>
      <c r="S10" s="8"/>
      <c r="T10" s="8"/>
      <c r="U10" s="8"/>
      <c r="V10" s="8"/>
      <c r="W10" s="9" t="s">
        <v>2300</v>
      </c>
      <c r="X10" s="8">
        <v>28.86</v>
      </c>
      <c r="Y10" s="8">
        <v>1.08</v>
      </c>
      <c r="Z10" s="9">
        <v>0.11</v>
      </c>
      <c r="AA10" s="8">
        <v>61.3</v>
      </c>
      <c r="AB10" s="8">
        <v>39466</v>
      </c>
      <c r="AC10" s="22" t="s">
        <v>2300</v>
      </c>
      <c r="AD10" s="8" t="s">
        <v>3686</v>
      </c>
      <c r="AE10" s="8" t="s">
        <v>4240</v>
      </c>
      <c r="AF10" s="9">
        <f t="shared" si="0"/>
        <v>66.204000000000008</v>
      </c>
      <c r="AG10" s="9">
        <f t="shared" si="1"/>
        <v>11.238333333333332</v>
      </c>
      <c r="AH10" s="9">
        <f t="shared" si="2"/>
        <v>1.9226547062697985</v>
      </c>
      <c r="AI10" s="9">
        <f t="shared" si="3"/>
        <v>3.696601119541405</v>
      </c>
      <c r="AJ10" s="9">
        <f t="shared" si="4"/>
        <v>1.0688071654185898</v>
      </c>
      <c r="AK10" s="9">
        <f t="shared" si="5"/>
        <v>1.1423487568501207</v>
      </c>
      <c r="AL10" s="9">
        <f t="shared" si="6"/>
        <v>0.33479546717820247</v>
      </c>
      <c r="AM10" s="9">
        <f t="shared" si="7"/>
        <v>0.11208800484307084</v>
      </c>
      <c r="AN10" s="9" t="s">
        <v>2300</v>
      </c>
    </row>
    <row r="11" spans="8:40" ht="23">
      <c r="M11" s="9" t="s">
        <v>2145</v>
      </c>
      <c r="N11" s="8" t="s">
        <v>150</v>
      </c>
      <c r="O11" s="8"/>
      <c r="P11" s="8" t="s">
        <v>3691</v>
      </c>
      <c r="Q11" s="8"/>
      <c r="R11" s="8"/>
      <c r="S11" s="8"/>
      <c r="T11" s="8"/>
      <c r="U11" s="8"/>
      <c r="V11" s="8"/>
      <c r="W11" s="9" t="s">
        <v>2145</v>
      </c>
      <c r="X11" s="8">
        <v>19.02</v>
      </c>
      <c r="Y11" s="8">
        <v>2.5299999999999998</v>
      </c>
      <c r="Z11" s="9">
        <v>0.51</v>
      </c>
      <c r="AA11" s="8">
        <v>58.1</v>
      </c>
      <c r="AB11" s="8">
        <v>18450</v>
      </c>
      <c r="AC11" s="22" t="s">
        <v>2145</v>
      </c>
      <c r="AD11" s="8" t="s">
        <v>3686</v>
      </c>
      <c r="AE11" s="8" t="s">
        <v>4240</v>
      </c>
      <c r="AF11" s="9">
        <f t="shared" si="0"/>
        <v>146.99299999999999</v>
      </c>
      <c r="AG11" s="9">
        <f t="shared" si="1"/>
        <v>49.384999999999998</v>
      </c>
      <c r="AH11" s="9">
        <f t="shared" si="2"/>
        <v>1.8222877395477213</v>
      </c>
      <c r="AI11" s="9">
        <f t="shared" si="3"/>
        <v>3.3207326057059436</v>
      </c>
      <c r="AJ11" s="9">
        <f t="shared" si="4"/>
        <v>2.3730767274843627</v>
      </c>
      <c r="AK11" s="9">
        <f t="shared" si="5"/>
        <v>5.6314931545278926</v>
      </c>
      <c r="AL11" s="9">
        <f t="shared" si="6"/>
        <v>1.4712033943285361</v>
      </c>
      <c r="AM11" s="9">
        <f t="shared" si="7"/>
        <v>2.1644394274838059</v>
      </c>
      <c r="AN11" s="9" t="s">
        <v>2145</v>
      </c>
    </row>
    <row r="12" spans="8:40" ht="23">
      <c r="M12" s="8" t="s">
        <v>4391</v>
      </c>
      <c r="N12" s="8"/>
      <c r="O12" s="8"/>
      <c r="P12" s="8" t="s">
        <v>3700</v>
      </c>
      <c r="Q12" s="8"/>
      <c r="R12" s="8"/>
      <c r="S12" s="8"/>
      <c r="T12" s="8"/>
      <c r="U12" s="8"/>
      <c r="V12" s="8"/>
      <c r="W12" s="8" t="s">
        <v>4391</v>
      </c>
      <c r="X12" s="8">
        <v>32.56</v>
      </c>
      <c r="Y12" s="8">
        <v>1.0900000000000001</v>
      </c>
      <c r="Z12" s="9">
        <v>0.02</v>
      </c>
      <c r="AA12" s="8">
        <v>52.1</v>
      </c>
      <c r="AB12" s="8">
        <v>90298</v>
      </c>
      <c r="AC12" s="21" t="s">
        <v>4391</v>
      </c>
      <c r="AD12" s="8" t="s">
        <v>3686</v>
      </c>
      <c r="AE12" s="8" t="s">
        <v>4240</v>
      </c>
      <c r="AF12" s="9">
        <f t="shared" si="0"/>
        <v>56.789000000000009</v>
      </c>
      <c r="AG12" s="9">
        <f t="shared" si="1"/>
        <v>1.7366666666666666</v>
      </c>
      <c r="AH12" s="9">
        <f t="shared" si="2"/>
        <v>1.6340996769438256</v>
      </c>
      <c r="AI12" s="9">
        <f t="shared" si="3"/>
        <v>2.6702817541879154</v>
      </c>
      <c r="AJ12" s="9">
        <f t="shared" si="4"/>
        <v>0.91681001324627376</v>
      </c>
      <c r="AK12" s="9">
        <f t="shared" si="5"/>
        <v>0.84054060038863265</v>
      </c>
      <c r="AL12" s="9">
        <f t="shared" si="6"/>
        <v>5.1736152572992286E-2</v>
      </c>
      <c r="AM12" s="9">
        <f t="shared" si="7"/>
        <v>2.6766294830559362E-3</v>
      </c>
      <c r="AN12" s="8" t="s">
        <v>4391</v>
      </c>
    </row>
    <row r="13" spans="8:40" ht="23">
      <c r="M13" s="8" t="s">
        <v>4392</v>
      </c>
      <c r="N13" s="8" t="s">
        <v>1614</v>
      </c>
      <c r="O13" s="8"/>
      <c r="P13" s="8"/>
      <c r="Q13" s="8"/>
      <c r="R13" s="8"/>
      <c r="S13" s="8"/>
      <c r="T13" s="8"/>
      <c r="U13" s="8"/>
      <c r="V13" s="8"/>
      <c r="W13" s="8" t="s">
        <v>4392</v>
      </c>
      <c r="X13" s="8">
        <v>4.78</v>
      </c>
      <c r="Y13" s="8">
        <v>1.38</v>
      </c>
      <c r="Z13" s="9">
        <v>0.34</v>
      </c>
      <c r="AA13" s="8">
        <v>43.1</v>
      </c>
      <c r="AB13" s="8">
        <v>16115</v>
      </c>
      <c r="AC13" s="21" t="s">
        <v>4392</v>
      </c>
      <c r="AD13" s="8" t="s">
        <v>3686</v>
      </c>
      <c r="AE13" s="8" t="s">
        <v>4240</v>
      </c>
      <c r="AF13" s="9">
        <f t="shared" si="0"/>
        <v>59.477999999999994</v>
      </c>
      <c r="AG13" s="9">
        <f t="shared" si="1"/>
        <v>24.423333333333332</v>
      </c>
      <c r="AH13" s="9">
        <f t="shared" si="2"/>
        <v>1.3518175830379824</v>
      </c>
      <c r="AI13" s="9">
        <f t="shared" si="3"/>
        <v>1.8274107778106523</v>
      </c>
      <c r="AJ13" s="9">
        <f t="shared" si="4"/>
        <v>0.9602216268619248</v>
      </c>
      <c r="AK13" s="9">
        <f t="shared" si="5"/>
        <v>0.92202557269336161</v>
      </c>
      <c r="AL13" s="9">
        <f t="shared" si="6"/>
        <v>0.7275830900236363</v>
      </c>
      <c r="AM13" s="9">
        <f t="shared" si="7"/>
        <v>0.52937715288834286</v>
      </c>
      <c r="AN13" s="8" t="s">
        <v>4392</v>
      </c>
    </row>
    <row r="14" spans="8:40" ht="23">
      <c r="M14" s="8" t="s">
        <v>7</v>
      </c>
      <c r="N14" s="8" t="s">
        <v>8</v>
      </c>
      <c r="O14" s="8"/>
      <c r="P14" s="8" t="s">
        <v>4720</v>
      </c>
      <c r="Q14" s="8"/>
      <c r="R14" s="8"/>
      <c r="S14" s="8"/>
      <c r="T14" s="8"/>
      <c r="U14" s="8"/>
      <c r="V14" s="8"/>
      <c r="W14" s="8" t="s">
        <v>7</v>
      </c>
      <c r="X14" s="8">
        <v>26.4</v>
      </c>
      <c r="Y14" s="8">
        <v>5.13</v>
      </c>
      <c r="Z14" s="9">
        <v>4.37</v>
      </c>
      <c r="AA14" s="8">
        <v>34.6</v>
      </c>
      <c r="AB14" s="8">
        <v>3425</v>
      </c>
      <c r="AC14" s="21" t="s">
        <v>7</v>
      </c>
      <c r="AD14" s="8" t="s">
        <v>3686</v>
      </c>
      <c r="AE14" s="8" t="s">
        <v>4240</v>
      </c>
      <c r="AF14" s="9">
        <f t="shared" si="0"/>
        <v>177.49799999999999</v>
      </c>
      <c r="AG14" s="9">
        <f t="shared" si="1"/>
        <v>159.73666666666668</v>
      </c>
      <c r="AH14" s="9">
        <f t="shared" si="2"/>
        <v>1.0852178276824638</v>
      </c>
      <c r="AI14" s="9">
        <f t="shared" si="3"/>
        <v>1.1776977335198457</v>
      </c>
      <c r="AJ14" s="9">
        <f t="shared" si="4"/>
        <v>2.8655539581818141</v>
      </c>
      <c r="AK14" s="9">
        <f t="shared" si="5"/>
        <v>8.2113994872514624</v>
      </c>
      <c r="AL14" s="9">
        <f t="shared" si="6"/>
        <v>4.7586337187147096</v>
      </c>
      <c r="AM14" s="9">
        <f t="shared" si="7"/>
        <v>22.644594868888586</v>
      </c>
      <c r="AN14" s="8" t="s">
        <v>7</v>
      </c>
    </row>
    <row r="15" spans="8:40" ht="23">
      <c r="M15" s="8" t="s">
        <v>1393</v>
      </c>
      <c r="N15" s="8" t="s">
        <v>150</v>
      </c>
      <c r="O15" s="8"/>
      <c r="P15" s="8"/>
      <c r="Q15" s="8"/>
      <c r="R15" s="8"/>
      <c r="S15" s="8"/>
      <c r="T15" s="8"/>
      <c r="U15" s="8"/>
      <c r="V15" s="8"/>
      <c r="W15" s="8" t="s">
        <v>1393</v>
      </c>
      <c r="X15" s="8">
        <v>54.04</v>
      </c>
      <c r="Y15" s="8">
        <v>2.16</v>
      </c>
      <c r="Z15" s="9">
        <v>2.33</v>
      </c>
      <c r="AA15" s="8">
        <v>27.3</v>
      </c>
      <c r="AB15" s="8">
        <v>8246</v>
      </c>
      <c r="AC15" s="21" t="s">
        <v>1393</v>
      </c>
      <c r="AD15" s="8" t="s">
        <v>3686</v>
      </c>
      <c r="AE15" s="8" t="s">
        <v>4240</v>
      </c>
      <c r="AF15" s="9">
        <f t="shared" si="0"/>
        <v>58.968000000000004</v>
      </c>
      <c r="AG15" s="9">
        <f t="shared" si="1"/>
        <v>69.614999999999995</v>
      </c>
      <c r="AH15" s="9">
        <f t="shared" si="2"/>
        <v>0.85625568484772441</v>
      </c>
      <c r="AI15" s="9">
        <f t="shared" si="3"/>
        <v>0.73317379783404557</v>
      </c>
      <c r="AJ15" s="9">
        <f t="shared" si="4"/>
        <v>0.95198811144951068</v>
      </c>
      <c r="AK15" s="9">
        <f t="shared" si="5"/>
        <v>0.90628136434120599</v>
      </c>
      <c r="AL15" s="9">
        <f t="shared" si="6"/>
        <v>2.0738650257402251</v>
      </c>
      <c r="AM15" s="9">
        <f t="shared" si="7"/>
        <v>4.3009161449885047</v>
      </c>
      <c r="AN15" s="8" t="s">
        <v>1393</v>
      </c>
    </row>
    <row r="16" spans="8:40" ht="23">
      <c r="M16" s="8" t="s">
        <v>2010</v>
      </c>
      <c r="N16" s="8" t="s">
        <v>2003</v>
      </c>
      <c r="O16" s="8"/>
      <c r="P16" s="8"/>
      <c r="Q16" s="8"/>
      <c r="R16" s="8"/>
      <c r="S16" s="8"/>
      <c r="T16" s="8"/>
      <c r="U16" s="8"/>
      <c r="V16" s="8"/>
      <c r="W16" s="8" t="s">
        <v>2010</v>
      </c>
      <c r="X16" s="8">
        <v>10.72</v>
      </c>
      <c r="Y16" s="8">
        <v>2.7</v>
      </c>
      <c r="Z16" s="9">
        <v>1.53</v>
      </c>
      <c r="AA16" s="8">
        <v>26.8</v>
      </c>
      <c r="AB16" s="8">
        <v>11078</v>
      </c>
      <c r="AC16" s="21" t="s">
        <v>2010</v>
      </c>
      <c r="AD16" s="8" t="s">
        <v>3686</v>
      </c>
      <c r="AE16" s="8" t="s">
        <v>4240</v>
      </c>
      <c r="AF16" s="9">
        <f t="shared" si="0"/>
        <v>72.360000000000014</v>
      </c>
      <c r="AG16" s="9">
        <f t="shared" si="1"/>
        <v>50.473333333333336</v>
      </c>
      <c r="AH16" s="9">
        <f t="shared" si="2"/>
        <v>0.84057334629739977</v>
      </c>
      <c r="AI16" s="9">
        <f t="shared" si="3"/>
        <v>0.70656355050560837</v>
      </c>
      <c r="AJ16" s="9">
        <f t="shared" si="4"/>
        <v>1.1681905396907917</v>
      </c>
      <c r="AK16" s="9">
        <f t="shared" si="5"/>
        <v>1.364669137023063</v>
      </c>
      <c r="AL16" s="9">
        <f t="shared" si="6"/>
        <v>1.5036253786185207</v>
      </c>
      <c r="AM16" s="9">
        <f t="shared" si="7"/>
        <v>2.2608892792256898</v>
      </c>
      <c r="AN16" s="8" t="s">
        <v>2010</v>
      </c>
    </row>
    <row r="17" spans="13:40" ht="23">
      <c r="M17" s="8" t="s">
        <v>5318</v>
      </c>
      <c r="N17" s="8"/>
      <c r="O17" s="8"/>
      <c r="P17" s="8"/>
      <c r="Q17" s="8"/>
      <c r="R17" s="8"/>
      <c r="S17" s="8"/>
      <c r="T17" s="8"/>
      <c r="U17" s="8"/>
      <c r="V17" s="8"/>
      <c r="W17" s="8" t="s">
        <v>5318</v>
      </c>
      <c r="X17" s="8">
        <v>26.93</v>
      </c>
      <c r="Y17" s="8">
        <v>4.0999999999999996</v>
      </c>
      <c r="Z17" s="9">
        <v>3.44</v>
      </c>
      <c r="AA17" s="8">
        <v>23.7</v>
      </c>
      <c r="AB17" s="8">
        <v>7924</v>
      </c>
      <c r="AC17" s="21" t="s">
        <v>5318</v>
      </c>
      <c r="AD17" s="8" t="s">
        <v>3686</v>
      </c>
      <c r="AE17" s="8" t="s">
        <v>4240</v>
      </c>
      <c r="AF17" s="9">
        <f t="shared" si="0"/>
        <v>97.169999999999987</v>
      </c>
      <c r="AG17" s="9">
        <f t="shared" si="1"/>
        <v>88.48</v>
      </c>
      <c r="AH17" s="9">
        <f t="shared" si="2"/>
        <v>0.74334284728538702</v>
      </c>
      <c r="AI17" s="9">
        <f t="shared" si="3"/>
        <v>0.55255858861034624</v>
      </c>
      <c r="AJ17" s="9">
        <f t="shared" si="4"/>
        <v>1.5687268482829488</v>
      </c>
      <c r="AK17" s="9">
        <f t="shared" si="5"/>
        <v>2.4609039245237541</v>
      </c>
      <c r="AL17" s="9">
        <f t="shared" si="6"/>
        <v>2.6358626370393616</v>
      </c>
      <c r="AM17" s="9">
        <f t="shared" si="7"/>
        <v>6.9477718413400975</v>
      </c>
      <c r="AN17" s="8" t="s">
        <v>5318</v>
      </c>
    </row>
    <row r="18" spans="13:40" ht="23">
      <c r="M18" s="9" t="s">
        <v>2151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9" t="s">
        <v>2151</v>
      </c>
      <c r="X18" s="8">
        <v>4.25</v>
      </c>
      <c r="Y18" s="8">
        <v>4.66</v>
      </c>
      <c r="Z18" s="9">
        <v>0.5</v>
      </c>
      <c r="AA18" s="8">
        <v>21.5</v>
      </c>
      <c r="AB18" s="8">
        <v>42087</v>
      </c>
      <c r="AC18" s="22" t="s">
        <v>2151</v>
      </c>
      <c r="AD18" s="8" t="s">
        <v>3686</v>
      </c>
      <c r="AE18" s="8" t="s">
        <v>4240</v>
      </c>
      <c r="AF18" s="9">
        <f t="shared" si="0"/>
        <v>100.19</v>
      </c>
      <c r="AG18" s="9">
        <f t="shared" si="1"/>
        <v>0.17916666666666667</v>
      </c>
      <c r="AH18" s="9">
        <f t="shared" si="2"/>
        <v>0.67434055766395873</v>
      </c>
      <c r="AI18" s="9">
        <f t="shared" si="3"/>
        <v>0.45473518771053884</v>
      </c>
      <c r="AJ18" s="9">
        <f t="shared" si="4"/>
        <v>1.6174821748427362</v>
      </c>
      <c r="AK18" s="9">
        <f t="shared" si="5"/>
        <v>2.6162485859339877</v>
      </c>
      <c r="AL18" s="9">
        <f t="shared" si="6"/>
        <v>5.3374629573864412E-3</v>
      </c>
      <c r="AM18" s="9">
        <f t="shared" si="7"/>
        <v>2.8488510821472414E-5</v>
      </c>
      <c r="AN18" s="9" t="s">
        <v>2151</v>
      </c>
    </row>
    <row r="19" spans="13:40" ht="23">
      <c r="M19" s="9" t="s">
        <v>2973</v>
      </c>
      <c r="N19" s="8" t="s">
        <v>1717</v>
      </c>
      <c r="O19" s="8"/>
      <c r="P19" s="8" t="s">
        <v>4721</v>
      </c>
      <c r="Q19" s="8"/>
      <c r="R19" s="8"/>
      <c r="S19" s="8"/>
      <c r="T19" s="8"/>
      <c r="U19" s="8"/>
      <c r="V19" s="8"/>
      <c r="W19" s="9" t="s">
        <v>2973</v>
      </c>
      <c r="X19" s="8">
        <v>56.21</v>
      </c>
      <c r="Y19" s="8">
        <v>2.11</v>
      </c>
      <c r="Z19" s="9">
        <v>1.57</v>
      </c>
      <c r="AA19" s="8">
        <v>9.4</v>
      </c>
      <c r="AB19" s="8">
        <v>14154</v>
      </c>
      <c r="AC19" s="22" t="s">
        <v>2973</v>
      </c>
      <c r="AD19" s="8" t="s">
        <v>3686</v>
      </c>
      <c r="AE19" s="8" t="s">
        <v>4240</v>
      </c>
      <c r="AF19" s="9">
        <f t="shared" si="0"/>
        <v>19.834</v>
      </c>
      <c r="AG19" s="9">
        <f t="shared" si="1"/>
        <v>18.330000000000002</v>
      </c>
      <c r="AH19" s="9">
        <f t="shared" si="2"/>
        <v>0.2948279647461029</v>
      </c>
      <c r="AI19" s="9">
        <f t="shared" si="3"/>
        <v>8.6923528796329294E-2</v>
      </c>
      <c r="AJ19" s="9">
        <f t="shared" si="4"/>
        <v>0.32020302880358148</v>
      </c>
      <c r="AK19" s="9">
        <f t="shared" si="5"/>
        <v>0.10252997965498722</v>
      </c>
      <c r="AL19" s="9">
        <f t="shared" si="6"/>
        <v>0.54605969865428916</v>
      </c>
      <c r="AM19" s="9">
        <f t="shared" si="7"/>
        <v>0.2981811944944131</v>
      </c>
      <c r="AN19" s="9" t="s">
        <v>2973</v>
      </c>
    </row>
    <row r="20" spans="13:40" ht="23">
      <c r="M20" s="8" t="s">
        <v>200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200</v>
      </c>
      <c r="X20" s="8">
        <v>96.7</v>
      </c>
      <c r="Y20" s="8">
        <v>1.06</v>
      </c>
      <c r="Z20" s="9">
        <v>0.01</v>
      </c>
      <c r="AA20" s="8">
        <v>8.3000000000000007</v>
      </c>
      <c r="AB20" s="8">
        <v>112922</v>
      </c>
      <c r="AC20" s="21" t="s">
        <v>200</v>
      </c>
      <c r="AD20" s="8" t="s">
        <v>3686</v>
      </c>
      <c r="AE20" s="8" t="s">
        <v>4240</v>
      </c>
      <c r="AF20" s="9">
        <f t="shared" si="0"/>
        <v>8.7980000000000018</v>
      </c>
      <c r="AG20" s="9">
        <f t="shared" si="1"/>
        <v>0.13833333333333334</v>
      </c>
      <c r="AH20" s="9">
        <f t="shared" si="2"/>
        <v>0.26032681993538875</v>
      </c>
      <c r="AI20" s="9">
        <f t="shared" si="3"/>
        <v>6.7770053177672318E-2</v>
      </c>
      <c r="AJ20" s="9">
        <f t="shared" si="4"/>
        <v>0.14203621293808161</v>
      </c>
      <c r="AK20" s="9">
        <f t="shared" si="5"/>
        <v>2.017428578579206E-2</v>
      </c>
      <c r="AL20" s="9">
        <f t="shared" si="6"/>
        <v>4.1210179112844154E-3</v>
      </c>
      <c r="AM20" s="9">
        <f t="shared" si="7"/>
        <v>1.6982788625126964E-5</v>
      </c>
      <c r="AN20" s="8" t="s">
        <v>200</v>
      </c>
    </row>
    <row r="21" spans="13:40" ht="23">
      <c r="M21" s="8" t="s">
        <v>1701</v>
      </c>
      <c r="N21" s="8" t="s">
        <v>1614</v>
      </c>
      <c r="O21" s="8"/>
      <c r="P21" s="8"/>
      <c r="Q21" s="8"/>
      <c r="R21" s="8"/>
      <c r="S21" s="8"/>
      <c r="T21" s="8"/>
      <c r="U21" s="8"/>
      <c r="V21" s="8"/>
      <c r="W21" s="8" t="s">
        <v>1701</v>
      </c>
      <c r="X21" s="8">
        <v>33.32</v>
      </c>
      <c r="Y21" s="8">
        <v>2.46</v>
      </c>
      <c r="Z21" s="9">
        <v>2.02</v>
      </c>
      <c r="AA21" s="8">
        <v>5.9</v>
      </c>
      <c r="AB21" s="8">
        <v>22464</v>
      </c>
      <c r="AC21" s="21" t="s">
        <v>1701</v>
      </c>
      <c r="AD21" s="8" t="s">
        <v>3686</v>
      </c>
      <c r="AE21" s="8" t="s">
        <v>4240</v>
      </c>
      <c r="AF21" s="9">
        <f t="shared" si="0"/>
        <v>14.514000000000001</v>
      </c>
      <c r="AG21" s="9">
        <f t="shared" si="1"/>
        <v>11.996666666666666</v>
      </c>
      <c r="AH21" s="9">
        <f t="shared" si="2"/>
        <v>0.18505159489383055</v>
      </c>
      <c r="AI21" s="9">
        <f t="shared" si="3"/>
        <v>3.4244092772750374E-2</v>
      </c>
      <c r="AJ21" s="9">
        <f t="shared" si="4"/>
        <v>0.23431616214859241</v>
      </c>
      <c r="AK21" s="9">
        <f t="shared" si="5"/>
        <v>5.4904063844045448E-2</v>
      </c>
      <c r="AL21" s="9">
        <f t="shared" si="6"/>
        <v>0.35738658946295437</v>
      </c>
      <c r="AM21" s="9">
        <f t="shared" si="7"/>
        <v>0.12772517432796229</v>
      </c>
      <c r="AN21" s="8" t="s">
        <v>1701</v>
      </c>
    </row>
    <row r="22" spans="13:40" ht="23">
      <c r="M22" s="8" t="s">
        <v>124</v>
      </c>
      <c r="N22" s="8" t="s">
        <v>125</v>
      </c>
      <c r="O22" s="8"/>
      <c r="P22" s="8"/>
      <c r="Q22" s="8"/>
      <c r="R22" s="8"/>
      <c r="S22" s="8"/>
      <c r="T22" s="8"/>
      <c r="U22" s="8"/>
      <c r="V22" s="8"/>
      <c r="W22" s="8" t="s">
        <v>124</v>
      </c>
      <c r="X22" s="8">
        <v>21.12</v>
      </c>
      <c r="Y22" s="8">
        <v>2.4500000000000002</v>
      </c>
      <c r="Z22" s="9">
        <v>1.46</v>
      </c>
      <c r="AA22" s="8">
        <v>3.2</v>
      </c>
      <c r="AB22" s="8">
        <v>29490</v>
      </c>
      <c r="AC22" s="21" t="s">
        <v>124</v>
      </c>
      <c r="AD22" s="8" t="s">
        <v>3686</v>
      </c>
      <c r="AE22" s="8" t="s">
        <v>4240</v>
      </c>
      <c r="AF22" s="9">
        <f t="shared" si="0"/>
        <v>7.8400000000000007</v>
      </c>
      <c r="AG22" s="9">
        <f t="shared" si="1"/>
        <v>5.6533333333333333</v>
      </c>
      <c r="AH22" s="9">
        <f t="shared" si="2"/>
        <v>0.10036696672207758</v>
      </c>
      <c r="AI22" s="9">
        <f t="shared" si="3"/>
        <v>1.0073528008990628E-2</v>
      </c>
      <c r="AJ22" s="9">
        <f t="shared" si="4"/>
        <v>0.12657011928103654</v>
      </c>
      <c r="AK22" s="9">
        <f t="shared" si="5"/>
        <v>1.6019995094815817E-2</v>
      </c>
      <c r="AL22" s="9">
        <f t="shared" si="6"/>
        <v>0.16841557536237031</v>
      </c>
      <c r="AM22" s="9">
        <f t="shared" si="7"/>
        <v>2.8363806024638234E-2</v>
      </c>
      <c r="AN22" s="8" t="s">
        <v>124</v>
      </c>
    </row>
    <row r="23" spans="13:40" ht="23">
      <c r="M23" s="8" t="s">
        <v>4390</v>
      </c>
      <c r="N23" s="8"/>
      <c r="O23" s="8"/>
      <c r="P23" s="8" t="s">
        <v>3700</v>
      </c>
      <c r="Q23" s="8"/>
      <c r="R23" s="8"/>
      <c r="S23" s="8"/>
      <c r="T23" s="8"/>
      <c r="U23" s="8"/>
      <c r="V23" s="8"/>
      <c r="W23" s="8" t="s">
        <v>4390</v>
      </c>
      <c r="X23" s="8">
        <v>24.35</v>
      </c>
      <c r="Y23" s="8">
        <v>3.26</v>
      </c>
      <c r="Z23" s="9">
        <v>3.51</v>
      </c>
      <c r="AA23" s="8">
        <v>2.6</v>
      </c>
      <c r="AB23" s="8">
        <v>40304</v>
      </c>
      <c r="AC23" s="21" t="s">
        <v>4390</v>
      </c>
      <c r="AD23" s="8" t="s">
        <v>3686</v>
      </c>
      <c r="AE23" s="8" t="s">
        <v>4240</v>
      </c>
      <c r="AF23" s="9">
        <f t="shared" si="0"/>
        <v>8.4759999999999991</v>
      </c>
      <c r="AG23" s="9">
        <f t="shared" si="1"/>
        <v>10.01</v>
      </c>
      <c r="AH23" s="9">
        <f t="shared" si="2"/>
        <v>8.1548160461688043E-2</v>
      </c>
      <c r="AI23" s="9">
        <f t="shared" si="3"/>
        <v>6.6501024746852214E-3</v>
      </c>
      <c r="AJ23" s="9">
        <f t="shared" si="4"/>
        <v>0.13683779732475326</v>
      </c>
      <c r="AK23" s="9">
        <f t="shared" si="5"/>
        <v>1.872458277669025E-2</v>
      </c>
      <c r="AL23" s="9">
        <f t="shared" si="6"/>
        <v>0.29820281415872524</v>
      </c>
      <c r="AM23" s="9">
        <f t="shared" si="7"/>
        <v>8.892491837218322E-2</v>
      </c>
      <c r="AN23" s="8" t="s">
        <v>4390</v>
      </c>
    </row>
    <row r="24" spans="13:40" ht="23">
      <c r="M24" s="9" t="s">
        <v>2282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9" t="s">
        <v>2282</v>
      </c>
      <c r="X24" s="8">
        <v>33.83</v>
      </c>
      <c r="Y24" s="8">
        <v>1.68</v>
      </c>
      <c r="Z24" s="9">
        <v>1.04</v>
      </c>
      <c r="AA24" s="8">
        <v>1.8</v>
      </c>
      <c r="AB24" s="8">
        <v>51317</v>
      </c>
      <c r="AC24" s="22" t="s">
        <v>2282</v>
      </c>
      <c r="AD24" s="8" t="s">
        <v>3686</v>
      </c>
      <c r="AE24" s="8" t="s">
        <v>4240</v>
      </c>
      <c r="AF24" s="9">
        <f t="shared" si="0"/>
        <v>3.024</v>
      </c>
      <c r="AG24" s="9">
        <f t="shared" si="1"/>
        <v>1.92</v>
      </c>
      <c r="AH24" s="9">
        <f t="shared" si="2"/>
        <v>5.6456418781168638E-2</v>
      </c>
      <c r="AI24" s="9">
        <f t="shared" si="3"/>
        <v>3.1873272215946907E-3</v>
      </c>
      <c r="AJ24" s="9">
        <f t="shared" si="4"/>
        <v>4.8819903151256956E-2</v>
      </c>
      <c r="AK24" s="9">
        <f t="shared" si="5"/>
        <v>2.3833829436981087E-3</v>
      </c>
      <c r="AL24" s="9">
        <f t="shared" si="6"/>
        <v>5.7197742575899345E-2</v>
      </c>
      <c r="AM24" s="9">
        <f t="shared" si="7"/>
        <v>3.2715817557788488E-3</v>
      </c>
      <c r="AN24" s="9" t="s">
        <v>2282</v>
      </c>
    </row>
    <row r="25" spans="13:40" ht="23"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5"/>
      <c r="AA25" s="24">
        <f>SUBTOTAL(109,Table136323436373839[ترافیک کل])</f>
        <v>3188.3000000000006</v>
      </c>
      <c r="AB25" s="24"/>
      <c r="AC25" s="21"/>
      <c r="AD25" s="24"/>
      <c r="AE25" s="24"/>
      <c r="AF25" s="25">
        <f>SUBTOTAL(109,Table136323436373839[[مجموع صفحات  مشاهده شده   ]])</f>
        <v>6194.1949999999988</v>
      </c>
      <c r="AG25" s="25">
        <f>SUBTOTAL(109,Table136323436373839[[مجموع زمان حضور در سایت ]])</f>
        <v>3356.7758333333331</v>
      </c>
      <c r="AH25" s="25">
        <f>SUBTOTAL(109,Table136323436373839[سهم سایت از کل ترافیک طبقه بندی])</f>
        <v>100</v>
      </c>
      <c r="AI25" s="25">
        <f>SUBTOTAL(109,Table136323436373839[شاخص هرفیندال هیرشمن (ترافیک)])</f>
        <v>2256.1658744268084</v>
      </c>
      <c r="AJ25" s="25">
        <f>SUBTOTAL(109,Table136323436373839[سهم سایت از کل صفحات مشاهده شده در طبقه بندی])</f>
        <v>100.00000000000004</v>
      </c>
      <c r="AK25" s="25">
        <f>SUBTOTAL(109,Table136323436373839[شاخص هرفیندال -هیرشمن (صفحات مشاهده شده )])</f>
        <v>1538.5450715431732</v>
      </c>
      <c r="AL25" s="25">
        <f>SUBTOTAL(109,Table136323436373839[سهم سایت از کل زمان حضور در طبقه بندی])</f>
        <v>99.999999999999986</v>
      </c>
      <c r="AM25" s="25">
        <f>SUBTOTAL(109,Table136323436373839[شاخص هرفیندال هیرشمن (زمان حضور)])</f>
        <v>1907.6250249094201</v>
      </c>
      <c r="AN25" s="25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{DFEF7F83-AC28-4742-8AF5-6D4634ADFD9D}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{B8D16311-CF99-473F-9758-92A615620FE7}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{19AF3F43-52E7-445C-85D7-30CED94146FD}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{DFB13349-D1A1-47A9-B6B8-10BEE3EB0542}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{098060A6-5AC1-4DC5-8CD2-2CC6F6C4F841}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{36E83EAA-A26E-49DF-916F-7EEBBB68E80C}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EF7F83-AC28-4742-8AF5-6D4634ADFD9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8D16311-CF99-473F-9758-92A615620FE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9AF3F43-52E7-445C-85D7-30CED94146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DFB13349-D1A1-47A9-B6B8-10BEE3EB054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098060A6-5AC1-4DC5-8CD2-2CC6F6C4F84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36E83EAA-A26E-49DF-916F-7EEBBB68E80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50"/>
  <sheetViews>
    <sheetView showGridLines="0" rightToLeft="1" topLeftCell="Z1" zoomScale="70" zoomScaleNormal="70" workbookViewId="0">
      <selection activeCell="AC50" sqref="AC50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4.7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9.4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4455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4455</v>
      </c>
      <c r="X2" s="8">
        <v>26.83</v>
      </c>
      <c r="Y2" s="8">
        <v>1.82</v>
      </c>
      <c r="Z2" s="9">
        <v>1.41</v>
      </c>
      <c r="AA2" s="8">
        <v>136.1</v>
      </c>
      <c r="AB2" s="8">
        <v>2516</v>
      </c>
      <c r="AC2" s="21" t="s">
        <v>4455</v>
      </c>
      <c r="AD2" s="8" t="s">
        <v>3701</v>
      </c>
      <c r="AE2" s="8" t="s">
        <v>3701</v>
      </c>
      <c r="AF2" s="9">
        <f t="shared" ref="AF2:AF49" si="0">(AA2*Y2)</f>
        <v>247.702</v>
      </c>
      <c r="AG2" s="9">
        <f t="shared" ref="AG2:AG49" si="1">((((RIGHT(Z2,2))/60)+(LEFT(Z2,2)))*AA2)</f>
        <v>229.10166666666666</v>
      </c>
      <c r="AH2" s="9">
        <f t="shared" ref="AH2:AH49" si="2">(AA2/$AA$50)*100</f>
        <v>14.423484527342092</v>
      </c>
      <c r="AI2" s="9">
        <f t="shared" ref="AI2:AI49" si="3">(AH2*AH2)</f>
        <v>208.03690591047672</v>
      </c>
      <c r="AJ2" s="9">
        <f t="shared" ref="AJ2:AJ49" si="4">(AF2/$AF$50)*100</f>
        <v>6.9878651355739274</v>
      </c>
      <c r="AK2" s="9">
        <f t="shared" ref="AK2:AK49" si="5">(AJ2*AJ2)</f>
        <v>48.830259152969624</v>
      </c>
      <c r="AL2" s="9">
        <f t="shared" ref="AL2:AL49" si="6">(AG2/$AG$50)*100</f>
        <v>9.0054565620579918</v>
      </c>
      <c r="AM2" s="9">
        <f t="shared" ref="AM2:AM49" si="7">(AL2*AL2)</f>
        <v>81.098247891113346</v>
      </c>
      <c r="AN2" s="8" t="s">
        <v>4455</v>
      </c>
    </row>
    <row r="3" spans="8:40" ht="23">
      <c r="M3" s="8" t="s">
        <v>393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393</v>
      </c>
      <c r="X3" s="8">
        <v>7.04</v>
      </c>
      <c r="Y3" s="8">
        <v>2.16</v>
      </c>
      <c r="Z3" s="9">
        <v>0.4</v>
      </c>
      <c r="AA3" s="8">
        <v>117.9</v>
      </c>
      <c r="AB3" s="8">
        <v>8652</v>
      </c>
      <c r="AC3" s="21" t="s">
        <v>393</v>
      </c>
      <c r="AD3" s="8" t="s">
        <v>3701</v>
      </c>
      <c r="AE3" s="8" t="s">
        <v>3701</v>
      </c>
      <c r="AF3" s="9">
        <f t="shared" si="0"/>
        <v>254.66400000000002</v>
      </c>
      <c r="AG3" s="9">
        <f t="shared" si="1"/>
        <v>0.78600000000000014</v>
      </c>
      <c r="AH3" s="9">
        <f t="shared" si="2"/>
        <v>12.494701144552776</v>
      </c>
      <c r="AI3" s="9">
        <f t="shared" si="3"/>
        <v>156.11755669168846</v>
      </c>
      <c r="AJ3" s="9">
        <f t="shared" si="4"/>
        <v>7.1842685439996394</v>
      </c>
      <c r="AK3" s="9">
        <f t="shared" si="5"/>
        <v>51.6137145123027</v>
      </c>
      <c r="AL3" s="9">
        <f t="shared" si="6"/>
        <v>3.0895841836350305E-2</v>
      </c>
      <c r="AM3" s="9">
        <f t="shared" si="7"/>
        <v>9.5455304277677379E-4</v>
      </c>
      <c r="AN3" s="8" t="s">
        <v>393</v>
      </c>
    </row>
    <row r="4" spans="8:40" ht="23">
      <c r="M4" s="8" t="s">
        <v>1481</v>
      </c>
      <c r="N4" s="8" t="s">
        <v>150</v>
      </c>
      <c r="O4" s="8"/>
      <c r="P4" s="8" t="s">
        <v>3696</v>
      </c>
      <c r="Q4" s="8"/>
      <c r="R4" s="8"/>
      <c r="S4" s="8"/>
      <c r="T4" s="8"/>
      <c r="U4" s="8"/>
      <c r="V4" s="8"/>
      <c r="W4" s="8" t="s">
        <v>1481</v>
      </c>
      <c r="X4" s="8">
        <v>23.64</v>
      </c>
      <c r="Y4" s="8">
        <v>4.3</v>
      </c>
      <c r="Z4" s="9">
        <v>3.54</v>
      </c>
      <c r="AA4" s="8">
        <v>96.2</v>
      </c>
      <c r="AB4" s="8">
        <v>1997</v>
      </c>
      <c r="AC4" s="21" t="s">
        <v>1481</v>
      </c>
      <c r="AD4" s="8" t="s">
        <v>3701</v>
      </c>
      <c r="AE4" s="8" t="s">
        <v>3701</v>
      </c>
      <c r="AF4" s="9">
        <f t="shared" si="0"/>
        <v>413.65999999999997</v>
      </c>
      <c r="AG4" s="9">
        <f t="shared" si="1"/>
        <v>375.18</v>
      </c>
      <c r="AH4" s="9">
        <f t="shared" si="2"/>
        <v>10.194997880457821</v>
      </c>
      <c r="AI4" s="9">
        <f t="shared" si="3"/>
        <v>103.93798178253947</v>
      </c>
      <c r="AJ4" s="9">
        <f t="shared" si="4"/>
        <v>11.669668763197352</v>
      </c>
      <c r="AK4" s="9">
        <f t="shared" si="5"/>
        <v>136.18116904274402</v>
      </c>
      <c r="AL4" s="9">
        <f t="shared" si="6"/>
        <v>14.747457939137284</v>
      </c>
      <c r="AM4" s="9">
        <f t="shared" si="7"/>
        <v>217.48751566662332</v>
      </c>
      <c r="AN4" s="8" t="s">
        <v>1481</v>
      </c>
    </row>
    <row r="5" spans="8:40" ht="23">
      <c r="M5" s="8" t="s">
        <v>1656</v>
      </c>
      <c r="N5" s="8" t="s">
        <v>1614</v>
      </c>
      <c r="O5" s="8"/>
      <c r="P5" s="8" t="s">
        <v>3691</v>
      </c>
      <c r="Q5" s="8"/>
      <c r="R5" s="8"/>
      <c r="S5" s="8"/>
      <c r="T5" s="8"/>
      <c r="U5" s="8"/>
      <c r="V5" s="8"/>
      <c r="W5" s="8" t="s">
        <v>1656</v>
      </c>
      <c r="X5" s="8">
        <v>5.82</v>
      </c>
      <c r="Y5" s="8">
        <v>2.06</v>
      </c>
      <c r="Z5" s="9">
        <v>0.24</v>
      </c>
      <c r="AA5" s="8">
        <v>84.6</v>
      </c>
      <c r="AB5" s="8">
        <v>7971</v>
      </c>
      <c r="AC5" s="21" t="s">
        <v>1656</v>
      </c>
      <c r="AD5" s="8" t="s">
        <v>3701</v>
      </c>
      <c r="AE5" s="8" t="s">
        <v>3701</v>
      </c>
      <c r="AF5" s="9">
        <f t="shared" si="0"/>
        <v>174.27599999999998</v>
      </c>
      <c r="AG5" s="9">
        <f t="shared" si="1"/>
        <v>33.839999999999996</v>
      </c>
      <c r="AH5" s="9">
        <f t="shared" si="2"/>
        <v>8.9656634167019913</v>
      </c>
      <c r="AI5" s="9">
        <f t="shared" si="3"/>
        <v>80.383120501588422</v>
      </c>
      <c r="AJ5" s="9">
        <f t="shared" si="4"/>
        <v>4.9164608455615282</v>
      </c>
      <c r="AK5" s="9">
        <f t="shared" si="5"/>
        <v>24.171587245939577</v>
      </c>
      <c r="AL5" s="9">
        <f t="shared" si="6"/>
        <v>1.3301721218092799</v>
      </c>
      <c r="AM5" s="9">
        <f t="shared" si="7"/>
        <v>1.7693578736386018</v>
      </c>
      <c r="AN5" s="8" t="s">
        <v>1656</v>
      </c>
    </row>
    <row r="6" spans="8:40" ht="23">
      <c r="M6" s="24" t="s">
        <v>5047</v>
      </c>
      <c r="N6" s="24" t="s">
        <v>150</v>
      </c>
      <c r="O6" s="24"/>
      <c r="P6" s="24"/>
      <c r="Q6" s="24"/>
      <c r="R6" s="24"/>
      <c r="S6" s="24"/>
      <c r="T6" s="24"/>
      <c r="U6" s="24"/>
      <c r="V6" s="24"/>
      <c r="W6" s="24" t="s">
        <v>5047</v>
      </c>
      <c r="X6" s="24">
        <v>1.34</v>
      </c>
      <c r="Y6" s="24">
        <v>3.38</v>
      </c>
      <c r="Z6" s="25">
        <v>0.56999999999999995</v>
      </c>
      <c r="AA6" s="24">
        <v>63.1</v>
      </c>
      <c r="AB6" s="24">
        <v>12075</v>
      </c>
      <c r="AC6" s="21" t="s">
        <v>5047</v>
      </c>
      <c r="AD6" s="8" t="s">
        <v>3701</v>
      </c>
      <c r="AE6" s="8" t="s">
        <v>3701</v>
      </c>
      <c r="AF6" s="25">
        <f t="shared" si="0"/>
        <v>213.27799999999999</v>
      </c>
      <c r="AG6" s="25">
        <f t="shared" si="1"/>
        <v>59.945</v>
      </c>
      <c r="AH6" s="9">
        <f t="shared" si="2"/>
        <v>6.6871555743959306</v>
      </c>
      <c r="AI6" s="25">
        <f t="shared" si="3"/>
        <v>44.718049676174566</v>
      </c>
      <c r="AJ6" s="9">
        <f t="shared" si="4"/>
        <v>6.0167374522003696</v>
      </c>
      <c r="AK6" s="25">
        <f t="shared" si="5"/>
        <v>36.201129568710591</v>
      </c>
      <c r="AL6" s="9">
        <f t="shared" si="6"/>
        <v>2.3562992861068941</v>
      </c>
      <c r="AM6" s="25">
        <f t="shared" si="7"/>
        <v>5.5521463257078585</v>
      </c>
      <c r="AN6" s="24" t="s">
        <v>5047</v>
      </c>
    </row>
    <row r="7" spans="8:40" ht="23">
      <c r="M7" s="8" t="s">
        <v>1715</v>
      </c>
      <c r="N7" s="8" t="s">
        <v>1614</v>
      </c>
      <c r="O7" s="8"/>
      <c r="P7" s="8" t="s">
        <v>3691</v>
      </c>
      <c r="Q7" s="8"/>
      <c r="R7" s="8"/>
      <c r="S7" s="8"/>
      <c r="T7" s="8"/>
      <c r="U7" s="8"/>
      <c r="V7" s="8"/>
      <c r="W7" s="8" t="s">
        <v>1715</v>
      </c>
      <c r="X7" s="8">
        <v>25.39</v>
      </c>
      <c r="Y7" s="8">
        <v>6.92</v>
      </c>
      <c r="Z7" s="9">
        <v>1.32</v>
      </c>
      <c r="AA7" s="8">
        <v>58.6</v>
      </c>
      <c r="AB7" s="8">
        <v>5482</v>
      </c>
      <c r="AC7" s="21" t="s">
        <v>1715</v>
      </c>
      <c r="AD7" s="8" t="s">
        <v>3701</v>
      </c>
      <c r="AE7" s="8" t="s">
        <v>3701</v>
      </c>
      <c r="AF7" s="9">
        <f t="shared" si="0"/>
        <v>405.512</v>
      </c>
      <c r="AG7" s="9">
        <f t="shared" si="1"/>
        <v>89.853333333333325</v>
      </c>
      <c r="AH7" s="9">
        <f t="shared" si="2"/>
        <v>6.2102585841458247</v>
      </c>
      <c r="AI7" s="9">
        <f t="shared" si="3"/>
        <v>38.567311681956902</v>
      </c>
      <c r="AJ7" s="9">
        <f t="shared" si="4"/>
        <v>11.439807376835287</v>
      </c>
      <c r="AK7" s="9">
        <f t="shared" si="5"/>
        <v>130.86919281909505</v>
      </c>
      <c r="AL7" s="9">
        <f t="shared" si="6"/>
        <v>3.5319266859230645</v>
      </c>
      <c r="AM7" s="9">
        <f t="shared" si="7"/>
        <v>12.474506114735481</v>
      </c>
      <c r="AN7" s="8" t="s">
        <v>1715</v>
      </c>
    </row>
    <row r="8" spans="8:40" ht="23">
      <c r="M8" s="8" t="s">
        <v>1962</v>
      </c>
      <c r="N8" s="8" t="s">
        <v>1939</v>
      </c>
      <c r="O8" s="8"/>
      <c r="P8" s="8"/>
      <c r="Q8" s="8"/>
      <c r="R8" s="8"/>
      <c r="S8" s="8"/>
      <c r="T8" s="8"/>
      <c r="U8" s="8"/>
      <c r="V8" s="8"/>
      <c r="W8" s="8" t="s">
        <v>1962</v>
      </c>
      <c r="X8" s="8">
        <v>3.13</v>
      </c>
      <c r="Y8" s="8">
        <v>3.22</v>
      </c>
      <c r="Z8" s="9">
        <v>1.54</v>
      </c>
      <c r="AA8" s="8">
        <v>58.3</v>
      </c>
      <c r="AB8" s="8">
        <v>22757</v>
      </c>
      <c r="AC8" s="21" t="s">
        <v>1962</v>
      </c>
      <c r="AD8" s="8" t="s">
        <v>3701</v>
      </c>
      <c r="AE8" s="8" t="s">
        <v>3701</v>
      </c>
      <c r="AF8" s="9">
        <f t="shared" si="0"/>
        <v>187.726</v>
      </c>
      <c r="AG8" s="9">
        <f t="shared" si="1"/>
        <v>110.77</v>
      </c>
      <c r="AH8" s="9">
        <f t="shared" si="2"/>
        <v>6.1784654514624835</v>
      </c>
      <c r="AI8" s="9">
        <f t="shared" si="3"/>
        <v>38.17343533491551</v>
      </c>
      <c r="AJ8" s="9">
        <f t="shared" si="4"/>
        <v>5.2958957555480017</v>
      </c>
      <c r="AK8" s="9">
        <f t="shared" si="5"/>
        <v>28.04651185363134</v>
      </c>
      <c r="AL8" s="9">
        <f t="shared" si="6"/>
        <v>4.3541124684637698</v>
      </c>
      <c r="AM8" s="9">
        <f t="shared" si="7"/>
        <v>18.958295388031662</v>
      </c>
      <c r="AN8" s="8" t="s">
        <v>1962</v>
      </c>
    </row>
    <row r="9" spans="8:40" ht="23">
      <c r="M9" s="8" t="s">
        <v>976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8" t="s">
        <v>976</v>
      </c>
      <c r="X9" s="8">
        <v>14.96</v>
      </c>
      <c r="Y9" s="8">
        <v>2.58</v>
      </c>
      <c r="Z9" s="9">
        <v>2.19</v>
      </c>
      <c r="AA9" s="8">
        <v>40.6</v>
      </c>
      <c r="AB9" s="8">
        <v>5121</v>
      </c>
      <c r="AC9" s="21" t="s">
        <v>976</v>
      </c>
      <c r="AD9" s="8" t="s">
        <v>3701</v>
      </c>
      <c r="AE9" s="8" t="s">
        <v>3701</v>
      </c>
      <c r="AF9" s="9">
        <f t="shared" si="0"/>
        <v>104.748</v>
      </c>
      <c r="AG9" s="9">
        <f t="shared" si="1"/>
        <v>94.056666666666658</v>
      </c>
      <c r="AH9" s="9">
        <f t="shared" si="2"/>
        <v>4.3026706231454011</v>
      </c>
      <c r="AI9" s="9">
        <f t="shared" si="3"/>
        <v>18.512974491278435</v>
      </c>
      <c r="AJ9" s="9">
        <f t="shared" si="4"/>
        <v>2.9550221525102653</v>
      </c>
      <c r="AK9" s="9">
        <f t="shared" si="5"/>
        <v>8.7321559218264024</v>
      </c>
      <c r="AL9" s="9">
        <f t="shared" si="6"/>
        <v>3.6971499961674996</v>
      </c>
      <c r="AM9" s="9">
        <f t="shared" si="7"/>
        <v>13.668918094161343</v>
      </c>
      <c r="AN9" s="8" t="s">
        <v>976</v>
      </c>
    </row>
    <row r="10" spans="8:40" ht="23">
      <c r="M10" s="8" t="s">
        <v>184</v>
      </c>
      <c r="N10" s="8" t="s">
        <v>150</v>
      </c>
      <c r="O10" s="8"/>
      <c r="P10" s="8" t="s">
        <v>3693</v>
      </c>
      <c r="Q10" s="8"/>
      <c r="R10" s="8"/>
      <c r="S10" s="8"/>
      <c r="T10" s="8"/>
      <c r="U10" s="8"/>
      <c r="V10" s="8"/>
      <c r="W10" s="8" t="s">
        <v>184</v>
      </c>
      <c r="X10" s="8">
        <v>14.24</v>
      </c>
      <c r="Y10" s="8">
        <v>3.78</v>
      </c>
      <c r="Z10" s="9">
        <v>3.22</v>
      </c>
      <c r="AA10" s="8">
        <v>23.6</v>
      </c>
      <c r="AB10" s="8">
        <v>8956</v>
      </c>
      <c r="AC10" s="21" t="s">
        <v>184</v>
      </c>
      <c r="AD10" s="8" t="s">
        <v>3701</v>
      </c>
      <c r="AE10" s="8" t="s">
        <v>3701</v>
      </c>
      <c r="AF10" s="9">
        <f t="shared" si="0"/>
        <v>89.207999999999998</v>
      </c>
      <c r="AG10" s="9">
        <f t="shared" si="1"/>
        <v>79.453333333333333</v>
      </c>
      <c r="AH10" s="9">
        <f t="shared" si="2"/>
        <v>2.5010597710894444</v>
      </c>
      <c r="AI10" s="9">
        <f t="shared" si="3"/>
        <v>6.2552999785619843</v>
      </c>
      <c r="AJ10" s="9">
        <f t="shared" si="4"/>
        <v>2.5166267249125114</v>
      </c>
      <c r="AK10" s="9">
        <f t="shared" si="5"/>
        <v>6.3334100725438729</v>
      </c>
      <c r="AL10" s="9">
        <f t="shared" si="6"/>
        <v>3.1231267430502365</v>
      </c>
      <c r="AM10" s="9">
        <f t="shared" si="7"/>
        <v>9.7539206531555784</v>
      </c>
      <c r="AN10" s="8" t="s">
        <v>184</v>
      </c>
    </row>
    <row r="11" spans="8:40" ht="23">
      <c r="M11" s="24" t="s">
        <v>4916</v>
      </c>
      <c r="N11" s="24" t="s">
        <v>150</v>
      </c>
      <c r="O11" s="24"/>
      <c r="P11" s="24" t="s">
        <v>3693</v>
      </c>
      <c r="Q11" s="24"/>
      <c r="R11" s="24"/>
      <c r="S11" s="24"/>
      <c r="T11" s="24"/>
      <c r="U11" s="24"/>
      <c r="V11" s="24"/>
      <c r="W11" s="24" t="s">
        <v>4916</v>
      </c>
      <c r="X11" s="24">
        <v>37.17</v>
      </c>
      <c r="Y11" s="24">
        <v>3.5</v>
      </c>
      <c r="Z11" s="25">
        <v>3.43</v>
      </c>
      <c r="AA11" s="24">
        <v>16.8</v>
      </c>
      <c r="AB11" s="24">
        <v>11042</v>
      </c>
      <c r="AC11" s="21" t="s">
        <v>4916</v>
      </c>
      <c r="AD11" s="8" t="s">
        <v>3701</v>
      </c>
      <c r="AE11" s="8" t="s">
        <v>3701</v>
      </c>
      <c r="AF11" s="25">
        <f t="shared" si="0"/>
        <v>58.800000000000004</v>
      </c>
      <c r="AG11" s="25">
        <f t="shared" si="1"/>
        <v>62.440000000000005</v>
      </c>
      <c r="AH11" s="9">
        <f t="shared" si="2"/>
        <v>1.7804154302670623</v>
      </c>
      <c r="AI11" s="25">
        <f t="shared" si="3"/>
        <v>3.1698791043330483</v>
      </c>
      <c r="AJ11" s="9">
        <f t="shared" si="4"/>
        <v>1.6587935098293392</v>
      </c>
      <c r="AK11" s="25">
        <f t="shared" si="5"/>
        <v>2.7515959082519377</v>
      </c>
      <c r="AL11" s="9">
        <f t="shared" si="6"/>
        <v>2.4543719647095585</v>
      </c>
      <c r="AM11" s="25">
        <f t="shared" si="7"/>
        <v>6.0239417411522584</v>
      </c>
      <c r="AN11" s="24" t="s">
        <v>4916</v>
      </c>
    </row>
    <row r="12" spans="8:40" ht="23">
      <c r="M12" s="8" t="s">
        <v>1110</v>
      </c>
      <c r="N12" s="8" t="s">
        <v>150</v>
      </c>
      <c r="O12" s="8" t="s">
        <v>4163</v>
      </c>
      <c r="P12" s="8"/>
      <c r="Q12" s="8"/>
      <c r="R12" s="8"/>
      <c r="S12" s="8"/>
      <c r="T12" s="8"/>
      <c r="U12" s="8"/>
      <c r="V12" s="8"/>
      <c r="W12" s="8" t="s">
        <v>1110</v>
      </c>
      <c r="X12" s="8">
        <v>45.88</v>
      </c>
      <c r="Y12" s="8">
        <v>1.48</v>
      </c>
      <c r="Z12" s="9">
        <v>0.45</v>
      </c>
      <c r="AA12" s="8">
        <v>16</v>
      </c>
      <c r="AB12" s="8">
        <v>50026</v>
      </c>
      <c r="AC12" s="21" t="s">
        <v>1110</v>
      </c>
      <c r="AD12" s="8" t="s">
        <v>3701</v>
      </c>
      <c r="AE12" s="8" t="s">
        <v>3701</v>
      </c>
      <c r="AF12" s="9">
        <f t="shared" si="0"/>
        <v>23.68</v>
      </c>
      <c r="AG12" s="9">
        <f t="shared" si="1"/>
        <v>12</v>
      </c>
      <c r="AH12" s="9">
        <f t="shared" si="2"/>
        <v>1.6956337431114878</v>
      </c>
      <c r="AI12" s="9">
        <f t="shared" si="3"/>
        <v>2.8751737907782751</v>
      </c>
      <c r="AJ12" s="9">
        <f t="shared" si="4"/>
        <v>0.66803112776800588</v>
      </c>
      <c r="AK12" s="9">
        <f t="shared" si="5"/>
        <v>0.44626558766699381</v>
      </c>
      <c r="AL12" s="9">
        <f t="shared" si="6"/>
        <v>0.47169224177634045</v>
      </c>
      <c r="AM12" s="9">
        <f t="shared" si="7"/>
        <v>0.2224935709519896</v>
      </c>
      <c r="AN12" s="8" t="s">
        <v>1110</v>
      </c>
    </row>
    <row r="13" spans="8:40" ht="23">
      <c r="M13" s="9" t="s">
        <v>2933</v>
      </c>
      <c r="N13" s="8" t="s">
        <v>1717</v>
      </c>
      <c r="O13" s="8"/>
      <c r="P13" s="8" t="s">
        <v>3691</v>
      </c>
      <c r="Q13" s="8"/>
      <c r="R13" s="8"/>
      <c r="S13" s="8"/>
      <c r="T13" s="8"/>
      <c r="U13" s="8"/>
      <c r="V13" s="8"/>
      <c r="W13" s="9" t="s">
        <v>2933</v>
      </c>
      <c r="X13" s="8">
        <v>18.989999999999998</v>
      </c>
      <c r="Y13" s="8">
        <v>8.34</v>
      </c>
      <c r="Z13" s="9">
        <v>12.01</v>
      </c>
      <c r="AA13" s="8">
        <v>15.8</v>
      </c>
      <c r="AB13" s="8">
        <v>4439</v>
      </c>
      <c r="AC13" s="22" t="s">
        <v>2933</v>
      </c>
      <c r="AD13" s="8" t="s">
        <v>3701</v>
      </c>
      <c r="AE13" s="8" t="s">
        <v>3701</v>
      </c>
      <c r="AF13" s="9">
        <f t="shared" si="0"/>
        <v>131.77199999999999</v>
      </c>
      <c r="AG13" s="9">
        <f t="shared" si="1"/>
        <v>189.86333333333334</v>
      </c>
      <c r="AH13" s="9">
        <f t="shared" si="2"/>
        <v>1.6744383213225942</v>
      </c>
      <c r="AI13" s="9">
        <f t="shared" si="3"/>
        <v>2.8037436919136272</v>
      </c>
      <c r="AJ13" s="9">
        <f t="shared" si="4"/>
        <v>3.7173901084563208</v>
      </c>
      <c r="AK13" s="9">
        <f t="shared" si="5"/>
        <v>13.818989218448896</v>
      </c>
      <c r="AL13" s="9">
        <f t="shared" si="6"/>
        <v>7.463088444260717</v>
      </c>
      <c r="AM13" s="9">
        <f t="shared" si="7"/>
        <v>55.697689126857853</v>
      </c>
      <c r="AN13" s="9" t="s">
        <v>2933</v>
      </c>
    </row>
    <row r="14" spans="8:40" ht="23">
      <c r="M14" s="8" t="s">
        <v>636</v>
      </c>
      <c r="N14" s="8" t="s">
        <v>150</v>
      </c>
      <c r="O14" s="8"/>
      <c r="P14" s="8" t="s">
        <v>3691</v>
      </c>
      <c r="Q14" s="8"/>
      <c r="R14" s="8"/>
      <c r="S14" s="8"/>
      <c r="T14" s="8"/>
      <c r="U14" s="8"/>
      <c r="V14" s="8"/>
      <c r="W14" s="8" t="s">
        <v>636</v>
      </c>
      <c r="X14" s="8">
        <v>31.26</v>
      </c>
      <c r="Y14" s="8">
        <v>2.76</v>
      </c>
      <c r="Z14" s="9">
        <v>2.4</v>
      </c>
      <c r="AA14" s="8">
        <v>15.7</v>
      </c>
      <c r="AB14" s="8">
        <v>7718</v>
      </c>
      <c r="AC14" s="21" t="s">
        <v>636</v>
      </c>
      <c r="AD14" s="8" t="s">
        <v>3701</v>
      </c>
      <c r="AE14" s="8" t="s">
        <v>3701</v>
      </c>
      <c r="AF14" s="9">
        <f t="shared" si="0"/>
        <v>43.331999999999994</v>
      </c>
      <c r="AG14" s="9">
        <f t="shared" si="1"/>
        <v>31.504666666666669</v>
      </c>
      <c r="AH14" s="9">
        <f t="shared" si="2"/>
        <v>1.6638406104281473</v>
      </c>
      <c r="AI14" s="9">
        <f t="shared" si="3"/>
        <v>2.7683655769099098</v>
      </c>
      <c r="AJ14" s="9">
        <f t="shared" si="4"/>
        <v>1.2224292579579066</v>
      </c>
      <c r="AK14" s="9">
        <f t="shared" si="5"/>
        <v>1.4943332907115181</v>
      </c>
      <c r="AL14" s="9">
        <f t="shared" si="6"/>
        <v>1.2383755705346957</v>
      </c>
      <c r="AM14" s="9">
        <f t="shared" si="7"/>
        <v>1.5335740536971332</v>
      </c>
      <c r="AN14" s="8" t="s">
        <v>636</v>
      </c>
    </row>
    <row r="15" spans="8:40" ht="23">
      <c r="M15" s="24" t="s">
        <v>4915</v>
      </c>
      <c r="N15" s="24" t="s">
        <v>150</v>
      </c>
      <c r="O15" s="24"/>
      <c r="P15" s="24" t="s">
        <v>3693</v>
      </c>
      <c r="Q15" s="24"/>
      <c r="R15" s="24"/>
      <c r="S15" s="24"/>
      <c r="T15" s="24"/>
      <c r="U15" s="24"/>
      <c r="V15" s="24"/>
      <c r="W15" s="24" t="s">
        <v>4915</v>
      </c>
      <c r="X15" s="24">
        <v>10.65</v>
      </c>
      <c r="Y15" s="24">
        <v>5.78</v>
      </c>
      <c r="Z15" s="25">
        <v>6.41</v>
      </c>
      <c r="AA15" s="24">
        <v>15.2</v>
      </c>
      <c r="AB15" s="24">
        <v>7206</v>
      </c>
      <c r="AC15" s="21" t="s">
        <v>4915</v>
      </c>
      <c r="AD15" s="8" t="s">
        <v>3701</v>
      </c>
      <c r="AE15" s="8" t="s">
        <v>3701</v>
      </c>
      <c r="AF15" s="25">
        <f t="shared" si="0"/>
        <v>87.855999999999995</v>
      </c>
      <c r="AG15" s="25">
        <f t="shared" si="1"/>
        <v>101.58666666666666</v>
      </c>
      <c r="AH15" s="9">
        <f t="shared" si="2"/>
        <v>1.6108520559559132</v>
      </c>
      <c r="AI15" s="25">
        <f t="shared" si="3"/>
        <v>2.5948443461773927</v>
      </c>
      <c r="AJ15" s="9">
        <f t="shared" si="4"/>
        <v>2.4784857584960274</v>
      </c>
      <c r="AK15" s="25">
        <f t="shared" si="5"/>
        <v>6.1428916550676282</v>
      </c>
      <c r="AL15" s="9">
        <f t="shared" si="6"/>
        <v>3.993136877882153</v>
      </c>
      <c r="AM15" s="25">
        <f t="shared" si="7"/>
        <v>15.945142125502429</v>
      </c>
      <c r="AN15" s="24" t="s">
        <v>4915</v>
      </c>
    </row>
    <row r="16" spans="8:40" ht="23">
      <c r="M16" s="9" t="s">
        <v>4905</v>
      </c>
      <c r="N16" s="8" t="s">
        <v>1902</v>
      </c>
      <c r="O16" s="8"/>
      <c r="P16" s="8"/>
      <c r="Q16" s="8"/>
      <c r="R16" s="8"/>
      <c r="S16" s="8"/>
      <c r="T16" s="8"/>
      <c r="U16" s="8"/>
      <c r="V16" s="8"/>
      <c r="W16" s="9" t="s">
        <v>4905</v>
      </c>
      <c r="X16" s="8">
        <v>4.07</v>
      </c>
      <c r="Y16" s="8">
        <v>7.34</v>
      </c>
      <c r="Z16" s="9">
        <v>9.3000000000000007</v>
      </c>
      <c r="AA16" s="8">
        <v>14.2</v>
      </c>
      <c r="AB16" s="8">
        <v>6429</v>
      </c>
      <c r="AC16" s="22" t="s">
        <v>4905</v>
      </c>
      <c r="AD16" s="8" t="s">
        <v>3701</v>
      </c>
      <c r="AE16" s="8" t="s">
        <v>3701</v>
      </c>
      <c r="AF16" s="9">
        <f t="shared" si="0"/>
        <v>104.22799999999999</v>
      </c>
      <c r="AG16" s="9">
        <f t="shared" si="1"/>
        <v>127.87100000000001</v>
      </c>
      <c r="AH16" s="9">
        <f t="shared" si="2"/>
        <v>1.5048749470114455</v>
      </c>
      <c r="AI16" s="9">
        <f t="shared" si="3"/>
        <v>2.2646486061427011</v>
      </c>
      <c r="AJ16" s="9">
        <f t="shared" si="4"/>
        <v>2.9403525500423866</v>
      </c>
      <c r="AK16" s="9">
        <f t="shared" si="5"/>
        <v>8.6456731185407651</v>
      </c>
      <c r="AL16" s="9">
        <f t="shared" si="6"/>
        <v>5.0263132206818693</v>
      </c>
      <c r="AM16" s="9">
        <f t="shared" si="7"/>
        <v>25.263824592401345</v>
      </c>
      <c r="AN16" s="9" t="s">
        <v>4905</v>
      </c>
    </row>
    <row r="17" spans="13:40" ht="23">
      <c r="M17" s="9" t="s">
        <v>2310</v>
      </c>
      <c r="N17" s="8" t="s">
        <v>150</v>
      </c>
      <c r="O17" s="8"/>
      <c r="P17" s="8" t="s">
        <v>4166</v>
      </c>
      <c r="Q17" s="8"/>
      <c r="R17" s="8"/>
      <c r="S17" s="8"/>
      <c r="T17" s="8"/>
      <c r="U17" s="8"/>
      <c r="V17" s="8"/>
      <c r="W17" s="9" t="s">
        <v>2310</v>
      </c>
      <c r="X17" s="8">
        <v>17.77</v>
      </c>
      <c r="Y17" s="8">
        <v>9.52</v>
      </c>
      <c r="Z17" s="9">
        <v>13.08</v>
      </c>
      <c r="AA17" s="8">
        <v>13</v>
      </c>
      <c r="AB17" s="8">
        <v>6147</v>
      </c>
      <c r="AC17" s="22" t="s">
        <v>2310</v>
      </c>
      <c r="AD17" s="8" t="s">
        <v>3701</v>
      </c>
      <c r="AE17" s="8" t="s">
        <v>3701</v>
      </c>
      <c r="AF17" s="9">
        <f t="shared" si="0"/>
        <v>123.75999999999999</v>
      </c>
      <c r="AG17" s="9">
        <f t="shared" si="1"/>
        <v>170.73333333333332</v>
      </c>
      <c r="AH17" s="9">
        <f t="shared" si="2"/>
        <v>1.377702416278084</v>
      </c>
      <c r="AI17" s="9">
        <f t="shared" si="3"/>
        <v>1.8980639478184711</v>
      </c>
      <c r="AJ17" s="9">
        <f t="shared" si="4"/>
        <v>3.4913653873550845</v>
      </c>
      <c r="AK17" s="9">
        <f t="shared" si="5"/>
        <v>12.18963226802112</v>
      </c>
      <c r="AL17" s="9">
        <f t="shared" si="6"/>
        <v>6.711132395495599</v>
      </c>
      <c r="AM17" s="9">
        <f t="shared" si="7"/>
        <v>45.039298029870494</v>
      </c>
      <c r="AN17" s="9" t="s">
        <v>2310</v>
      </c>
    </row>
    <row r="18" spans="13:40" ht="23">
      <c r="M18" s="8" t="s">
        <v>413</v>
      </c>
      <c r="N18" s="8" t="s">
        <v>150</v>
      </c>
      <c r="O18" s="8"/>
      <c r="P18" s="8" t="s">
        <v>3694</v>
      </c>
      <c r="Q18" s="8"/>
      <c r="R18" s="8"/>
      <c r="S18" s="8"/>
      <c r="T18" s="8"/>
      <c r="U18" s="8"/>
      <c r="V18" s="8"/>
      <c r="W18" s="8" t="s">
        <v>413</v>
      </c>
      <c r="X18" s="8">
        <v>6.75</v>
      </c>
      <c r="Y18" s="8">
        <v>9.68</v>
      </c>
      <c r="Z18" s="9">
        <v>4.5</v>
      </c>
      <c r="AA18" s="8">
        <v>12.7</v>
      </c>
      <c r="AB18" s="8">
        <v>5385</v>
      </c>
      <c r="AC18" s="21" t="s">
        <v>413</v>
      </c>
      <c r="AD18" s="8" t="s">
        <v>3701</v>
      </c>
      <c r="AE18" s="8" t="s">
        <v>3701</v>
      </c>
      <c r="AF18" s="9">
        <f t="shared" si="0"/>
        <v>122.93599999999999</v>
      </c>
      <c r="AG18" s="9">
        <f t="shared" si="1"/>
        <v>50.905833333333334</v>
      </c>
      <c r="AH18" s="9">
        <f t="shared" si="2"/>
        <v>1.3459092835947433</v>
      </c>
      <c r="AI18" s="9">
        <f t="shared" si="3"/>
        <v>1.8114717996665151</v>
      </c>
      <c r="AJ18" s="9">
        <f t="shared" si="4"/>
        <v>3.4681197095982927</v>
      </c>
      <c r="AK18" s="9">
        <f t="shared" si="5"/>
        <v>12.027854320104147</v>
      </c>
      <c r="AL18" s="9">
        <f t="shared" si="6"/>
        <v>2.0009905537077302</v>
      </c>
      <c r="AM18" s="9">
        <f t="shared" si="7"/>
        <v>4.0039631960275681</v>
      </c>
      <c r="AN18" s="8" t="s">
        <v>413</v>
      </c>
    </row>
    <row r="19" spans="13:40" ht="23">
      <c r="M19" s="8" t="s">
        <v>53</v>
      </c>
      <c r="N19" s="8" t="s">
        <v>23</v>
      </c>
      <c r="O19" s="8"/>
      <c r="P19" s="8"/>
      <c r="Q19" s="8"/>
      <c r="R19" s="8"/>
      <c r="S19" s="8"/>
      <c r="T19" s="8"/>
      <c r="U19" s="8"/>
      <c r="V19" s="8"/>
      <c r="W19" s="8" t="s">
        <v>53</v>
      </c>
      <c r="X19" s="8">
        <v>1.88</v>
      </c>
      <c r="Y19" s="8">
        <v>3.98</v>
      </c>
      <c r="Z19" s="9">
        <v>3.24</v>
      </c>
      <c r="AA19" s="8">
        <v>12.5</v>
      </c>
      <c r="AB19" s="8">
        <v>15493</v>
      </c>
      <c r="AC19" s="21" t="s">
        <v>53</v>
      </c>
      <c r="AD19" s="8" t="s">
        <v>3701</v>
      </c>
      <c r="AE19" s="8" t="s">
        <v>3701</v>
      </c>
      <c r="AF19" s="9">
        <f t="shared" si="0"/>
        <v>49.75</v>
      </c>
      <c r="AG19" s="9">
        <f t="shared" si="1"/>
        <v>42.5</v>
      </c>
      <c r="AH19" s="9">
        <f t="shared" si="2"/>
        <v>1.3247138618058498</v>
      </c>
      <c r="AI19" s="9">
        <f t="shared" si="3"/>
        <v>1.7548668156605682</v>
      </c>
      <c r="AJ19" s="9">
        <f t="shared" si="4"/>
        <v>1.4034860053402995</v>
      </c>
      <c r="AK19" s="9">
        <f t="shared" si="5"/>
        <v>1.9697729671860713</v>
      </c>
      <c r="AL19" s="9">
        <f t="shared" si="6"/>
        <v>1.6705766896245391</v>
      </c>
      <c r="AM19" s="9">
        <f t="shared" si="7"/>
        <v>2.7908264759168837</v>
      </c>
      <c r="AN19" s="8" t="s">
        <v>53</v>
      </c>
    </row>
    <row r="20" spans="13:40" ht="23">
      <c r="M20" s="8" t="s">
        <v>1113</v>
      </c>
      <c r="N20" s="8" t="s">
        <v>150</v>
      </c>
      <c r="O20" s="8"/>
      <c r="P20" s="8" t="s">
        <v>3692</v>
      </c>
      <c r="Q20" s="8"/>
      <c r="R20" s="8"/>
      <c r="S20" s="8"/>
      <c r="T20" s="8"/>
      <c r="U20" s="8"/>
      <c r="V20" s="8"/>
      <c r="W20" s="8" t="s">
        <v>1113</v>
      </c>
      <c r="X20" s="8">
        <v>29.72</v>
      </c>
      <c r="Y20" s="8">
        <v>5.09</v>
      </c>
      <c r="Z20" s="9">
        <v>2.33</v>
      </c>
      <c r="AA20" s="8">
        <v>11.6</v>
      </c>
      <c r="AB20" s="8">
        <v>13852</v>
      </c>
      <c r="AC20" s="21" t="s">
        <v>1113</v>
      </c>
      <c r="AD20" s="8" t="s">
        <v>3701</v>
      </c>
      <c r="AE20" s="8" t="s">
        <v>3701</v>
      </c>
      <c r="AF20" s="9">
        <f t="shared" si="0"/>
        <v>59.043999999999997</v>
      </c>
      <c r="AG20" s="9">
        <f t="shared" si="1"/>
        <v>29.58</v>
      </c>
      <c r="AH20" s="9">
        <f t="shared" si="2"/>
        <v>1.2293344637558288</v>
      </c>
      <c r="AI20" s="9">
        <f t="shared" si="3"/>
        <v>1.5112632237778312</v>
      </c>
      <c r="AJ20" s="9">
        <f t="shared" si="4"/>
        <v>1.6656769386796511</v>
      </c>
      <c r="AK20" s="9">
        <f t="shared" si="5"/>
        <v>2.7744796640492142</v>
      </c>
      <c r="AL20" s="9">
        <f t="shared" si="6"/>
        <v>1.1627213759786792</v>
      </c>
      <c r="AM20" s="9">
        <f t="shared" si="7"/>
        <v>1.3519209981577531</v>
      </c>
      <c r="AN20" s="8" t="s">
        <v>1113</v>
      </c>
    </row>
    <row r="21" spans="13:40" ht="23">
      <c r="M21" s="8" t="s">
        <v>675</v>
      </c>
      <c r="N21" s="8" t="s">
        <v>150</v>
      </c>
      <c r="O21" s="8"/>
      <c r="P21" s="8" t="s">
        <v>3691</v>
      </c>
      <c r="Q21" s="8"/>
      <c r="R21" s="8"/>
      <c r="S21" s="8"/>
      <c r="T21" s="8"/>
      <c r="U21" s="8"/>
      <c r="V21" s="8"/>
      <c r="W21" s="8" t="s">
        <v>675</v>
      </c>
      <c r="X21" s="8">
        <v>29.27</v>
      </c>
      <c r="Y21" s="8">
        <v>6.04</v>
      </c>
      <c r="Z21" s="9">
        <v>4.04</v>
      </c>
      <c r="AA21" s="8">
        <v>9.5</v>
      </c>
      <c r="AB21" s="8">
        <v>10257</v>
      </c>
      <c r="AC21" s="21" t="s">
        <v>675</v>
      </c>
      <c r="AD21" s="8" t="s">
        <v>3701</v>
      </c>
      <c r="AE21" s="8" t="s">
        <v>3701</v>
      </c>
      <c r="AF21" s="9">
        <f t="shared" si="0"/>
        <v>57.38</v>
      </c>
      <c r="AG21" s="9">
        <f t="shared" si="1"/>
        <v>38.633333333333333</v>
      </c>
      <c r="AH21" s="9">
        <f t="shared" si="2"/>
        <v>1.0067825349724457</v>
      </c>
      <c r="AI21" s="9">
        <f t="shared" si="3"/>
        <v>1.0136110727255438</v>
      </c>
      <c r="AJ21" s="9">
        <f t="shared" si="4"/>
        <v>1.6187342107824398</v>
      </c>
      <c r="AK21" s="9">
        <f t="shared" si="5"/>
        <v>2.6203004451574485</v>
      </c>
      <c r="AL21" s="9">
        <f t="shared" si="6"/>
        <v>1.518586967274385</v>
      </c>
      <c r="AM21" s="9">
        <f t="shared" si="7"/>
        <v>2.3061063771756141</v>
      </c>
      <c r="AN21" s="8" t="s">
        <v>675</v>
      </c>
    </row>
    <row r="22" spans="13:40" ht="23">
      <c r="M22" s="24" t="s">
        <v>675</v>
      </c>
      <c r="N22" s="24" t="s">
        <v>150</v>
      </c>
      <c r="O22" s="24"/>
      <c r="P22" s="24" t="s">
        <v>3691</v>
      </c>
      <c r="Q22" s="24"/>
      <c r="R22" s="24"/>
      <c r="S22" s="24"/>
      <c r="T22" s="24"/>
      <c r="U22" s="24"/>
      <c r="V22" s="24"/>
      <c r="W22" s="24" t="s">
        <v>675</v>
      </c>
      <c r="X22" s="24">
        <v>29.27</v>
      </c>
      <c r="Y22" s="24">
        <v>6.04</v>
      </c>
      <c r="Z22" s="25">
        <v>4.04</v>
      </c>
      <c r="AA22" s="24">
        <v>9.5</v>
      </c>
      <c r="AB22" s="24">
        <v>10257</v>
      </c>
      <c r="AC22" s="21" t="s">
        <v>675</v>
      </c>
      <c r="AD22" s="8" t="s">
        <v>3701</v>
      </c>
      <c r="AE22" s="8" t="s">
        <v>3701</v>
      </c>
      <c r="AF22" s="25">
        <f t="shared" si="0"/>
        <v>57.38</v>
      </c>
      <c r="AG22" s="25">
        <f t="shared" si="1"/>
        <v>38.633333333333333</v>
      </c>
      <c r="AH22" s="9">
        <f t="shared" si="2"/>
        <v>1.0067825349724457</v>
      </c>
      <c r="AI22" s="25">
        <f t="shared" si="3"/>
        <v>1.0136110727255438</v>
      </c>
      <c r="AJ22" s="9">
        <f t="shared" si="4"/>
        <v>1.6187342107824398</v>
      </c>
      <c r="AK22" s="25">
        <f t="shared" si="5"/>
        <v>2.6203004451574485</v>
      </c>
      <c r="AL22" s="9">
        <f t="shared" si="6"/>
        <v>1.518586967274385</v>
      </c>
      <c r="AM22" s="25">
        <f t="shared" si="7"/>
        <v>2.3061063771756141</v>
      </c>
      <c r="AN22" s="24" t="s">
        <v>675</v>
      </c>
    </row>
    <row r="23" spans="13:40" ht="23">
      <c r="M23" s="9" t="s">
        <v>2559</v>
      </c>
      <c r="N23" s="8" t="s">
        <v>150</v>
      </c>
      <c r="O23" s="8"/>
      <c r="P23" s="8" t="s">
        <v>3693</v>
      </c>
      <c r="Q23" s="8"/>
      <c r="R23" s="8"/>
      <c r="S23" s="8"/>
      <c r="T23" s="8"/>
      <c r="U23" s="8"/>
      <c r="V23" s="8"/>
      <c r="W23" s="9" t="s">
        <v>2559</v>
      </c>
      <c r="X23" s="8">
        <v>26.37</v>
      </c>
      <c r="Y23" s="8">
        <v>8.8000000000000007</v>
      </c>
      <c r="Z23" s="9">
        <v>9.3699999999999992</v>
      </c>
      <c r="AA23" s="8">
        <v>9.1</v>
      </c>
      <c r="AB23" s="8">
        <v>9253</v>
      </c>
      <c r="AC23" s="22" t="s">
        <v>2559</v>
      </c>
      <c r="AD23" s="8" t="s">
        <v>3701</v>
      </c>
      <c r="AE23" s="8" t="s">
        <v>3701</v>
      </c>
      <c r="AF23" s="9">
        <f t="shared" si="0"/>
        <v>80.08</v>
      </c>
      <c r="AG23" s="9">
        <f t="shared" si="1"/>
        <v>87.51166666666667</v>
      </c>
      <c r="AH23" s="9">
        <f t="shared" si="2"/>
        <v>0.96439169139465875</v>
      </c>
      <c r="AI23" s="9">
        <f t="shared" si="3"/>
        <v>0.9300513344310507</v>
      </c>
      <c r="AJ23" s="9">
        <f t="shared" si="4"/>
        <v>2.2591187800532904</v>
      </c>
      <c r="AK23" s="9">
        <f t="shared" si="5"/>
        <v>5.1036176623894667</v>
      </c>
      <c r="AL23" s="9">
        <f t="shared" si="6"/>
        <v>3.4398811859653211</v>
      </c>
      <c r="AM23" s="9">
        <f t="shared" si="7"/>
        <v>11.832782573558184</v>
      </c>
      <c r="AN23" s="9" t="s">
        <v>2559</v>
      </c>
    </row>
    <row r="24" spans="13:40" ht="23">
      <c r="M24" s="9" t="s">
        <v>3221</v>
      </c>
      <c r="N24" s="8" t="s">
        <v>1902</v>
      </c>
      <c r="O24" s="8"/>
      <c r="P24" s="8"/>
      <c r="Q24" s="8"/>
      <c r="R24" s="8"/>
      <c r="S24" s="8"/>
      <c r="T24" s="8"/>
      <c r="U24" s="8"/>
      <c r="V24" s="8"/>
      <c r="W24" s="9" t="s">
        <v>3221</v>
      </c>
      <c r="X24" s="8">
        <v>6.3</v>
      </c>
      <c r="Y24" s="8">
        <v>12.89</v>
      </c>
      <c r="Z24" s="9">
        <v>9.08</v>
      </c>
      <c r="AA24" s="8">
        <v>7.5</v>
      </c>
      <c r="AB24" s="8">
        <v>8665</v>
      </c>
      <c r="AC24" s="22" t="s">
        <v>3221</v>
      </c>
      <c r="AD24" s="8" t="s">
        <v>3701</v>
      </c>
      <c r="AE24" s="8" t="s">
        <v>3701</v>
      </c>
      <c r="AF24" s="9">
        <f t="shared" si="0"/>
        <v>96.675000000000011</v>
      </c>
      <c r="AG24" s="9">
        <f t="shared" si="1"/>
        <v>68.5</v>
      </c>
      <c r="AH24" s="9">
        <f t="shared" si="2"/>
        <v>0.79482831708350998</v>
      </c>
      <c r="AI24" s="9">
        <f t="shared" si="3"/>
        <v>0.63175205363780473</v>
      </c>
      <c r="AJ24" s="9">
        <f t="shared" si="4"/>
        <v>2.727276574196452</v>
      </c>
      <c r="AK24" s="9">
        <f t="shared" si="5"/>
        <v>7.4380375121607356</v>
      </c>
      <c r="AL24" s="9">
        <f t="shared" si="6"/>
        <v>2.6925765468066101</v>
      </c>
      <c r="AM24" s="9">
        <f t="shared" si="7"/>
        <v>7.249968460413009</v>
      </c>
      <c r="AN24" s="9" t="s">
        <v>3221</v>
      </c>
    </row>
    <row r="25" spans="13:40" ht="23">
      <c r="M25" s="9" t="s">
        <v>4909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9" t="s">
        <v>4909</v>
      </c>
      <c r="X25" s="8">
        <v>49.98</v>
      </c>
      <c r="Y25" s="8">
        <v>1.95</v>
      </c>
      <c r="Z25" s="9">
        <v>1.28</v>
      </c>
      <c r="AA25" s="8">
        <v>7.4</v>
      </c>
      <c r="AB25" s="8">
        <v>19876</v>
      </c>
      <c r="AC25" s="22" t="s">
        <v>4909</v>
      </c>
      <c r="AD25" s="8" t="s">
        <v>3701</v>
      </c>
      <c r="AE25" s="8" t="s">
        <v>3701</v>
      </c>
      <c r="AF25" s="9">
        <f t="shared" si="0"/>
        <v>14.43</v>
      </c>
      <c r="AG25" s="9">
        <f t="shared" si="1"/>
        <v>10.853333333333335</v>
      </c>
      <c r="AH25" s="9">
        <f t="shared" si="2"/>
        <v>0.78423060618906315</v>
      </c>
      <c r="AI25" s="9">
        <f t="shared" si="3"/>
        <v>0.6150176436836654</v>
      </c>
      <c r="AJ25" s="9">
        <f t="shared" si="4"/>
        <v>0.40708146848362858</v>
      </c>
      <c r="AK25" s="9">
        <f t="shared" si="5"/>
        <v>0.16571532198278749</v>
      </c>
      <c r="AL25" s="9">
        <f t="shared" si="6"/>
        <v>0.42661942756215693</v>
      </c>
      <c r="AM25" s="9">
        <f t="shared" si="7"/>
        <v>0.18200413597346246</v>
      </c>
      <c r="AN25" s="9" t="s">
        <v>4909</v>
      </c>
    </row>
    <row r="26" spans="13:40" ht="23">
      <c r="M26" s="8" t="s">
        <v>1840</v>
      </c>
      <c r="N26" s="8" t="s">
        <v>1814</v>
      </c>
      <c r="O26" s="8"/>
      <c r="P26" s="8"/>
      <c r="Q26" s="8"/>
      <c r="R26" s="8"/>
      <c r="S26" s="8"/>
      <c r="T26" s="8"/>
      <c r="U26" s="8"/>
      <c r="V26" s="8"/>
      <c r="W26" s="8" t="s">
        <v>1840</v>
      </c>
      <c r="X26" s="8">
        <v>16.98</v>
      </c>
      <c r="Y26" s="8">
        <v>2.2799999999999998</v>
      </c>
      <c r="Z26" s="9">
        <v>2.35</v>
      </c>
      <c r="AA26" s="8">
        <v>6.1</v>
      </c>
      <c r="AB26" s="8">
        <v>20837</v>
      </c>
      <c r="AC26" s="21" t="s">
        <v>1840</v>
      </c>
      <c r="AD26" s="8" t="s">
        <v>3701</v>
      </c>
      <c r="AE26" s="8" t="s">
        <v>3701</v>
      </c>
      <c r="AF26" s="9">
        <f t="shared" si="0"/>
        <v>13.907999999999998</v>
      </c>
      <c r="AG26" s="9">
        <f t="shared" si="1"/>
        <v>15.758333333333333</v>
      </c>
      <c r="AH26" s="9">
        <f t="shared" si="2"/>
        <v>0.64646036456125466</v>
      </c>
      <c r="AI26" s="9">
        <f t="shared" si="3"/>
        <v>0.41791100294867028</v>
      </c>
      <c r="AJ26" s="9">
        <f t="shared" si="4"/>
        <v>0.39235544446779663</v>
      </c>
      <c r="AK26" s="9">
        <f t="shared" si="5"/>
        <v>0.15394279480352224</v>
      </c>
      <c r="AL26" s="9">
        <f t="shared" si="6"/>
        <v>0.61942363138823597</v>
      </c>
      <c r="AM26" s="9">
        <f t="shared" si="7"/>
        <v>0.38368563512218923</v>
      </c>
      <c r="AN26" s="8" t="s">
        <v>1840</v>
      </c>
    </row>
    <row r="27" spans="13:40" ht="23">
      <c r="M27" s="8" t="s">
        <v>4508</v>
      </c>
      <c r="N27" s="8"/>
      <c r="O27" s="8"/>
      <c r="P27" s="8" t="s">
        <v>3692</v>
      </c>
      <c r="Q27" s="8"/>
      <c r="R27" s="8"/>
      <c r="S27" s="8"/>
      <c r="T27" s="8"/>
      <c r="U27" s="8"/>
      <c r="V27" s="8"/>
      <c r="W27" s="8" t="s">
        <v>4508</v>
      </c>
      <c r="X27" s="8">
        <v>16.82</v>
      </c>
      <c r="Y27" s="8">
        <v>4.08</v>
      </c>
      <c r="Z27" s="9">
        <v>2.1800000000000002</v>
      </c>
      <c r="AA27" s="8">
        <v>6.1</v>
      </c>
      <c r="AB27" s="8">
        <v>14391</v>
      </c>
      <c r="AC27" s="21" t="s">
        <v>4508</v>
      </c>
      <c r="AD27" s="8" t="s">
        <v>3701</v>
      </c>
      <c r="AE27" s="8" t="s">
        <v>3701</v>
      </c>
      <c r="AF27" s="9">
        <f t="shared" si="0"/>
        <v>24.887999999999998</v>
      </c>
      <c r="AG27" s="9">
        <f t="shared" si="1"/>
        <v>14.029999999999998</v>
      </c>
      <c r="AH27" s="9">
        <f t="shared" si="2"/>
        <v>0.64646036456125466</v>
      </c>
      <c r="AI27" s="9">
        <f t="shared" si="3"/>
        <v>0.41791100294867028</v>
      </c>
      <c r="AJ27" s="9">
        <f t="shared" si="4"/>
        <v>0.70210974273184668</v>
      </c>
      <c r="AK27" s="9">
        <f t="shared" si="5"/>
        <v>0.4929580908389799</v>
      </c>
      <c r="AL27" s="9">
        <f t="shared" si="6"/>
        <v>0.55148684601017128</v>
      </c>
      <c r="AM27" s="9">
        <f t="shared" si="7"/>
        <v>0.30413774132224636</v>
      </c>
      <c r="AN27" s="8" t="s">
        <v>4508</v>
      </c>
    </row>
    <row r="28" spans="13:40" ht="23">
      <c r="M28" s="9" t="s">
        <v>2723</v>
      </c>
      <c r="N28" s="8" t="s">
        <v>1614</v>
      </c>
      <c r="O28" s="8"/>
      <c r="P28" s="8" t="s">
        <v>3691</v>
      </c>
      <c r="Q28" s="8"/>
      <c r="R28" s="8"/>
      <c r="S28" s="8"/>
      <c r="T28" s="8"/>
      <c r="U28" s="8"/>
      <c r="V28" s="8"/>
      <c r="W28" s="9" t="s">
        <v>2723</v>
      </c>
      <c r="X28" s="8">
        <v>15.59</v>
      </c>
      <c r="Y28" s="8">
        <v>7.08</v>
      </c>
      <c r="Z28" s="9">
        <v>7.09</v>
      </c>
      <c r="AA28" s="8">
        <v>5.8</v>
      </c>
      <c r="AB28" s="8">
        <v>20689</v>
      </c>
      <c r="AC28" s="22" t="s">
        <v>2723</v>
      </c>
      <c r="AD28" s="8" t="s">
        <v>3701</v>
      </c>
      <c r="AE28" s="8" t="s">
        <v>3701</v>
      </c>
      <c r="AF28" s="9">
        <f t="shared" si="0"/>
        <v>41.064</v>
      </c>
      <c r="AG28" s="9">
        <f t="shared" si="1"/>
        <v>41.47</v>
      </c>
      <c r="AH28" s="9">
        <f t="shared" si="2"/>
        <v>0.61466723187791439</v>
      </c>
      <c r="AI28" s="9">
        <f t="shared" si="3"/>
        <v>0.37781580594445779</v>
      </c>
      <c r="AJ28" s="9">
        <f t="shared" si="4"/>
        <v>1.1584472225787752</v>
      </c>
      <c r="AK28" s="9">
        <f t="shared" si="5"/>
        <v>1.3419999675004783</v>
      </c>
      <c r="AL28" s="9">
        <f t="shared" si="6"/>
        <v>1.6300897722054033</v>
      </c>
      <c r="AM28" s="9">
        <f t="shared" si="7"/>
        <v>2.6571926654486635</v>
      </c>
      <c r="AN28" s="9" t="s">
        <v>2723</v>
      </c>
    </row>
    <row r="29" spans="13:40" ht="23">
      <c r="M29" s="9" t="s">
        <v>4908</v>
      </c>
      <c r="N29" s="8" t="s">
        <v>1717</v>
      </c>
      <c r="O29" s="8"/>
      <c r="P29" s="8"/>
      <c r="Q29" s="8"/>
      <c r="R29" s="8"/>
      <c r="S29" s="8"/>
      <c r="T29" s="8"/>
      <c r="U29" s="8"/>
      <c r="V29" s="8"/>
      <c r="W29" s="9" t="s">
        <v>4908</v>
      </c>
      <c r="X29" s="8">
        <v>17.36</v>
      </c>
      <c r="Y29" s="8">
        <v>4.01</v>
      </c>
      <c r="Z29" s="9">
        <v>8</v>
      </c>
      <c r="AA29" s="8">
        <v>5.7</v>
      </c>
      <c r="AB29" s="8">
        <v>14356</v>
      </c>
      <c r="AC29" s="22" t="s">
        <v>4908</v>
      </c>
      <c r="AD29" s="8" t="s">
        <v>3701</v>
      </c>
      <c r="AE29" s="8" t="s">
        <v>3701</v>
      </c>
      <c r="AF29" s="9">
        <f t="shared" si="0"/>
        <v>22.856999999999999</v>
      </c>
      <c r="AG29" s="9">
        <f t="shared" si="1"/>
        <v>46.36</v>
      </c>
      <c r="AH29" s="9">
        <f t="shared" si="2"/>
        <v>0.60406952098346767</v>
      </c>
      <c r="AI29" s="9">
        <f t="shared" si="3"/>
        <v>0.36489998618119607</v>
      </c>
      <c r="AJ29" s="9">
        <f t="shared" si="4"/>
        <v>0.64481366078519042</v>
      </c>
      <c r="AK29" s="9">
        <f t="shared" si="5"/>
        <v>0.41578465713519863</v>
      </c>
      <c r="AL29" s="9">
        <f t="shared" si="6"/>
        <v>1.8223043607292619</v>
      </c>
      <c r="AM29" s="9">
        <f t="shared" si="7"/>
        <v>3.3207931831328841</v>
      </c>
      <c r="AN29" s="9" t="s">
        <v>4908</v>
      </c>
    </row>
    <row r="30" spans="13:40" ht="23">
      <c r="M30" s="24" t="s">
        <v>4911</v>
      </c>
      <c r="N30" s="24" t="s">
        <v>150</v>
      </c>
      <c r="O30" s="24"/>
      <c r="P30" s="24" t="s">
        <v>3691</v>
      </c>
      <c r="Q30" s="24"/>
      <c r="R30" s="24"/>
      <c r="S30" s="24"/>
      <c r="T30" s="24"/>
      <c r="U30" s="24"/>
      <c r="V30" s="24"/>
      <c r="W30" s="24" t="s">
        <v>4911</v>
      </c>
      <c r="X30" s="24">
        <v>39.49</v>
      </c>
      <c r="Y30" s="24">
        <v>3.37</v>
      </c>
      <c r="Z30" s="25">
        <v>5.26</v>
      </c>
      <c r="AA30" s="24">
        <v>5.6</v>
      </c>
      <c r="AB30" s="24">
        <v>16241</v>
      </c>
      <c r="AC30" s="21" t="s">
        <v>4911</v>
      </c>
      <c r="AD30" s="8" t="s">
        <v>3701</v>
      </c>
      <c r="AE30" s="8" t="s">
        <v>3701</v>
      </c>
      <c r="AF30" s="25">
        <f t="shared" si="0"/>
        <v>18.872</v>
      </c>
      <c r="AG30" s="25">
        <f t="shared" si="1"/>
        <v>30.426666666666666</v>
      </c>
      <c r="AH30" s="9">
        <f t="shared" si="2"/>
        <v>0.59347181008902072</v>
      </c>
      <c r="AI30" s="25">
        <f t="shared" si="3"/>
        <v>0.35220878937033867</v>
      </c>
      <c r="AJ30" s="9">
        <f t="shared" si="4"/>
        <v>0.53239372648808303</v>
      </c>
      <c r="AK30" s="25">
        <f t="shared" si="5"/>
        <v>0.28344308000386775</v>
      </c>
      <c r="AL30" s="9">
        <f t="shared" si="6"/>
        <v>1.1960018841484543</v>
      </c>
      <c r="AM30" s="25">
        <f t="shared" si="7"/>
        <v>1.4304205068866527</v>
      </c>
      <c r="AN30" s="24" t="s">
        <v>4911</v>
      </c>
    </row>
    <row r="31" spans="13:40" ht="23">
      <c r="M31" s="8" t="s">
        <v>1047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8" t="s">
        <v>1047</v>
      </c>
      <c r="X31" s="8">
        <v>31.43</v>
      </c>
      <c r="Y31" s="8">
        <v>3.05</v>
      </c>
      <c r="Z31" s="9">
        <v>2.25</v>
      </c>
      <c r="AA31" s="8">
        <v>4.9000000000000004</v>
      </c>
      <c r="AB31" s="8">
        <v>19281</v>
      </c>
      <c r="AC31" s="21" t="s">
        <v>1047</v>
      </c>
      <c r="AD31" s="8" t="s">
        <v>3701</v>
      </c>
      <c r="AE31" s="8" t="s">
        <v>3701</v>
      </c>
      <c r="AF31" s="9">
        <f t="shared" si="0"/>
        <v>14.945</v>
      </c>
      <c r="AG31" s="9">
        <f t="shared" si="1"/>
        <v>11.841666666666667</v>
      </c>
      <c r="AH31" s="9">
        <f t="shared" si="2"/>
        <v>0.51928783382789323</v>
      </c>
      <c r="AI31" s="9">
        <f t="shared" si="3"/>
        <v>0.26965985436166567</v>
      </c>
      <c r="AJ31" s="9">
        <f t="shared" si="4"/>
        <v>0.42161001708162366</v>
      </c>
      <c r="AK31" s="9">
        <f t="shared" si="5"/>
        <v>0.17775500650356699</v>
      </c>
      <c r="AL31" s="9">
        <f t="shared" si="6"/>
        <v>0.46546852469734706</v>
      </c>
      <c r="AM31" s="9">
        <f t="shared" si="7"/>
        <v>0.21666094748392478</v>
      </c>
      <c r="AN31" s="8" t="s">
        <v>1047</v>
      </c>
    </row>
    <row r="32" spans="13:40" ht="23">
      <c r="M32" s="8" t="s">
        <v>1826</v>
      </c>
      <c r="N32" s="8" t="s">
        <v>1814</v>
      </c>
      <c r="O32" s="8"/>
      <c r="P32" s="8" t="s">
        <v>3691</v>
      </c>
      <c r="Q32" s="8"/>
      <c r="R32" s="8"/>
      <c r="S32" s="8"/>
      <c r="T32" s="8"/>
      <c r="U32" s="8"/>
      <c r="V32" s="8"/>
      <c r="W32" s="8" t="s">
        <v>1826</v>
      </c>
      <c r="X32" s="8">
        <v>26.75</v>
      </c>
      <c r="Y32" s="8">
        <v>6.51</v>
      </c>
      <c r="Z32" s="9">
        <v>7.32</v>
      </c>
      <c r="AA32" s="8">
        <v>4.8</v>
      </c>
      <c r="AB32" s="8">
        <v>14545</v>
      </c>
      <c r="AC32" s="21" t="s">
        <v>1826</v>
      </c>
      <c r="AD32" s="8" t="s">
        <v>3701</v>
      </c>
      <c r="AE32" s="8" t="s">
        <v>3701</v>
      </c>
      <c r="AF32" s="9">
        <f t="shared" si="0"/>
        <v>31.247999999999998</v>
      </c>
      <c r="AG32" s="9">
        <f t="shared" si="1"/>
        <v>36.159999999999997</v>
      </c>
      <c r="AH32" s="9">
        <f t="shared" si="2"/>
        <v>0.50869012293344629</v>
      </c>
      <c r="AI32" s="9">
        <f t="shared" si="3"/>
        <v>0.25876564117004469</v>
      </c>
      <c r="AJ32" s="9">
        <f t="shared" si="4"/>
        <v>0.88153026522359146</v>
      </c>
      <c r="AK32" s="9">
        <f t="shared" si="5"/>
        <v>0.77709560850517545</v>
      </c>
      <c r="AL32" s="9">
        <f t="shared" si="6"/>
        <v>1.4213659552193725</v>
      </c>
      <c r="AM32" s="9">
        <f t="shared" si="7"/>
        <v>2.020281178656679</v>
      </c>
      <c r="AN32" s="8" t="s">
        <v>1826</v>
      </c>
    </row>
    <row r="33" spans="13:40" ht="23">
      <c r="M33" s="9" t="s">
        <v>2846</v>
      </c>
      <c r="N33" s="8" t="s">
        <v>1614</v>
      </c>
      <c r="O33" s="8"/>
      <c r="P33" s="8"/>
      <c r="Q33" s="8"/>
      <c r="R33" s="8"/>
      <c r="S33" s="8"/>
      <c r="T33" s="8"/>
      <c r="U33" s="8"/>
      <c r="V33" s="8"/>
      <c r="W33" s="9" t="s">
        <v>2846</v>
      </c>
      <c r="X33" s="8">
        <v>2.93</v>
      </c>
      <c r="Y33" s="8">
        <v>6.24</v>
      </c>
      <c r="Z33" s="9">
        <v>9.08</v>
      </c>
      <c r="AA33" s="8">
        <v>3.4</v>
      </c>
      <c r="AB33" s="8">
        <v>24772</v>
      </c>
      <c r="AC33" s="22" t="s">
        <v>2846</v>
      </c>
      <c r="AD33" s="8" t="s">
        <v>3701</v>
      </c>
      <c r="AE33" s="8" t="s">
        <v>3701</v>
      </c>
      <c r="AF33" s="9">
        <f t="shared" si="0"/>
        <v>21.216000000000001</v>
      </c>
      <c r="AG33" s="9">
        <f t="shared" si="1"/>
        <v>31.053333333333331</v>
      </c>
      <c r="AH33" s="9">
        <f t="shared" si="2"/>
        <v>0.36032217041119119</v>
      </c>
      <c r="AI33" s="9">
        <f t="shared" si="3"/>
        <v>0.1298320664898315</v>
      </c>
      <c r="AJ33" s="9">
        <f t="shared" si="4"/>
        <v>0.59851978068944323</v>
      </c>
      <c r="AK33" s="9">
        <f t="shared" si="5"/>
        <v>0.35822592787653923</v>
      </c>
      <c r="AL33" s="9">
        <f t="shared" si="6"/>
        <v>1.2206347012189966</v>
      </c>
      <c r="AM33" s="9">
        <f t="shared" si="7"/>
        <v>1.4899490738199892</v>
      </c>
      <c r="AN33" s="9" t="s">
        <v>2846</v>
      </c>
    </row>
    <row r="34" spans="13:40" ht="23">
      <c r="M34" s="8" t="s">
        <v>515</v>
      </c>
      <c r="N34" s="8" t="s">
        <v>150</v>
      </c>
      <c r="O34" s="8"/>
      <c r="P34" s="8" t="s">
        <v>3705</v>
      </c>
      <c r="Q34" s="8"/>
      <c r="R34" s="8"/>
      <c r="S34" s="8"/>
      <c r="T34" s="8"/>
      <c r="U34" s="8"/>
      <c r="V34" s="8"/>
      <c r="W34" s="8" t="s">
        <v>515</v>
      </c>
      <c r="X34" s="8">
        <v>17.32</v>
      </c>
      <c r="Y34" s="8">
        <v>3.24</v>
      </c>
      <c r="Z34" s="9">
        <v>2.19</v>
      </c>
      <c r="AA34" s="8">
        <v>3.1</v>
      </c>
      <c r="AB34" s="8">
        <v>31170</v>
      </c>
      <c r="AC34" s="21" t="s">
        <v>515</v>
      </c>
      <c r="AD34" s="8" t="s">
        <v>3701</v>
      </c>
      <c r="AE34" s="8" t="s">
        <v>3701</v>
      </c>
      <c r="AF34" s="9">
        <f t="shared" si="0"/>
        <v>10.044</v>
      </c>
      <c r="AG34" s="9">
        <f t="shared" si="1"/>
        <v>7.1816666666666658</v>
      </c>
      <c r="AH34" s="9">
        <f t="shared" si="2"/>
        <v>0.32852903772785075</v>
      </c>
      <c r="AI34" s="9">
        <f t="shared" si="3"/>
        <v>0.10793132863038758</v>
      </c>
      <c r="AJ34" s="9">
        <f t="shared" si="4"/>
        <v>0.28334901382186872</v>
      </c>
      <c r="AK34" s="9">
        <f t="shared" si="5"/>
        <v>8.0286663633825556E-2</v>
      </c>
      <c r="AL34" s="9">
        <f t="shared" si="6"/>
        <v>0.28229470414086816</v>
      </c>
      <c r="AM34" s="9">
        <f t="shared" si="7"/>
        <v>7.969029998598029E-2</v>
      </c>
      <c r="AN34" s="8" t="s">
        <v>515</v>
      </c>
    </row>
    <row r="35" spans="13:40" ht="23">
      <c r="M35" s="9" t="s">
        <v>2456</v>
      </c>
      <c r="N35" s="8" t="s">
        <v>150</v>
      </c>
      <c r="O35" s="8"/>
      <c r="P35" s="8"/>
      <c r="Q35" s="8"/>
      <c r="R35" s="8"/>
      <c r="S35" s="8"/>
      <c r="T35" s="8"/>
      <c r="U35" s="8"/>
      <c r="V35" s="8"/>
      <c r="W35" s="9" t="s">
        <v>2456</v>
      </c>
      <c r="X35" s="8">
        <v>31.24</v>
      </c>
      <c r="Y35" s="8">
        <v>4.3499999999999996</v>
      </c>
      <c r="Z35" s="9">
        <v>5.5</v>
      </c>
      <c r="AA35" s="8">
        <v>2.9</v>
      </c>
      <c r="AB35" s="8">
        <v>27019</v>
      </c>
      <c r="AC35" s="22" t="s">
        <v>2456</v>
      </c>
      <c r="AD35" s="8" t="s">
        <v>3701</v>
      </c>
      <c r="AE35" s="8" t="s">
        <v>3701</v>
      </c>
      <c r="AF35" s="9">
        <f t="shared" si="0"/>
        <v>12.614999999999998</v>
      </c>
      <c r="AG35" s="9">
        <f t="shared" si="1"/>
        <v>14.524166666666668</v>
      </c>
      <c r="AH35" s="9">
        <f t="shared" si="2"/>
        <v>0.30733361593895719</v>
      </c>
      <c r="AI35" s="9">
        <f t="shared" si="3"/>
        <v>9.4453951486114449E-2</v>
      </c>
      <c r="AJ35" s="9">
        <f t="shared" si="4"/>
        <v>0.35587891371593722</v>
      </c>
      <c r="AK35" s="9">
        <f t="shared" si="5"/>
        <v>0.1266498012276355</v>
      </c>
      <c r="AL35" s="9">
        <f t="shared" si="6"/>
        <v>0.57091139457776652</v>
      </c>
      <c r="AM35" s="9">
        <f t="shared" si="7"/>
        <v>0.32593982045873021</v>
      </c>
      <c r="AN35" s="9" t="s">
        <v>2456</v>
      </c>
    </row>
    <row r="36" spans="13:40" ht="23">
      <c r="M36" s="9" t="s">
        <v>2682</v>
      </c>
      <c r="N36" s="8" t="s">
        <v>150</v>
      </c>
      <c r="O36" s="8"/>
      <c r="P36" s="8" t="s">
        <v>3693</v>
      </c>
      <c r="Q36" s="8"/>
      <c r="R36" s="8"/>
      <c r="S36" s="8"/>
      <c r="T36" s="8"/>
      <c r="U36" s="8"/>
      <c r="V36" s="8"/>
      <c r="W36" s="9" t="s">
        <v>2682</v>
      </c>
      <c r="X36" s="8">
        <v>29.86</v>
      </c>
      <c r="Y36" s="8">
        <v>6.75</v>
      </c>
      <c r="Z36" s="9">
        <v>8.14</v>
      </c>
      <c r="AA36" s="8">
        <v>2.8</v>
      </c>
      <c r="AB36" s="8">
        <v>21715</v>
      </c>
      <c r="AC36" s="22" t="s">
        <v>2682</v>
      </c>
      <c r="AD36" s="8" t="s">
        <v>3701</v>
      </c>
      <c r="AE36" s="8" t="s">
        <v>3701</v>
      </c>
      <c r="AF36" s="9">
        <f t="shared" si="0"/>
        <v>18.899999999999999</v>
      </c>
      <c r="AG36" s="9">
        <f t="shared" si="1"/>
        <v>23.053333333333331</v>
      </c>
      <c r="AH36" s="9">
        <f t="shared" si="2"/>
        <v>0.29673590504451036</v>
      </c>
      <c r="AI36" s="9">
        <f t="shared" si="3"/>
        <v>8.8052197342584668E-2</v>
      </c>
      <c r="AJ36" s="9">
        <f t="shared" si="4"/>
        <v>0.53318362815943043</v>
      </c>
      <c r="AK36" s="9">
        <f t="shared" si="5"/>
        <v>0.28428478133725377</v>
      </c>
      <c r="AL36" s="9">
        <f t="shared" si="6"/>
        <v>0.9061732067014362</v>
      </c>
      <c r="AM36" s="9">
        <f t="shared" si="7"/>
        <v>0.82114988054356386</v>
      </c>
      <c r="AN36" s="9" t="s">
        <v>2682</v>
      </c>
    </row>
    <row r="37" spans="13:40" ht="23">
      <c r="M37" s="9" t="s">
        <v>3423</v>
      </c>
      <c r="N37" s="8" t="s">
        <v>2003</v>
      </c>
      <c r="O37" s="8"/>
      <c r="P37" s="8"/>
      <c r="Q37" s="8"/>
      <c r="R37" s="8"/>
      <c r="S37" s="8"/>
      <c r="T37" s="8"/>
      <c r="U37" s="8"/>
      <c r="V37" s="8"/>
      <c r="W37" s="9" t="s">
        <v>3423</v>
      </c>
      <c r="X37" s="8">
        <v>91.57</v>
      </c>
      <c r="Y37" s="8">
        <v>1.08</v>
      </c>
      <c r="Z37" s="9">
        <v>1.34</v>
      </c>
      <c r="AA37" s="8">
        <v>2.8</v>
      </c>
      <c r="AB37" s="8">
        <v>46709</v>
      </c>
      <c r="AC37" s="22" t="s">
        <v>3423</v>
      </c>
      <c r="AD37" s="8" t="s">
        <v>3701</v>
      </c>
      <c r="AE37" s="8" t="s">
        <v>3701</v>
      </c>
      <c r="AF37" s="9">
        <f t="shared" si="0"/>
        <v>3.024</v>
      </c>
      <c r="AG37" s="9">
        <f t="shared" si="1"/>
        <v>4.3866666666666667</v>
      </c>
      <c r="AH37" s="9">
        <f t="shared" si="2"/>
        <v>0.29673590504451036</v>
      </c>
      <c r="AI37" s="9">
        <f t="shared" si="3"/>
        <v>8.8052197342584668E-2</v>
      </c>
      <c r="AJ37" s="9">
        <f t="shared" si="4"/>
        <v>8.5309380505508861E-2</v>
      </c>
      <c r="AK37" s="9">
        <f t="shared" si="5"/>
        <v>7.277690402233695E-3</v>
      </c>
      <c r="AL37" s="9">
        <f t="shared" si="6"/>
        <v>0.17242971949379557</v>
      </c>
      <c r="AM37" s="9">
        <f t="shared" si="7"/>
        <v>2.9732008164709025E-2</v>
      </c>
      <c r="AN37" s="9" t="s">
        <v>3423</v>
      </c>
    </row>
    <row r="38" spans="13:40" ht="23">
      <c r="M38" s="24" t="s">
        <v>4914</v>
      </c>
      <c r="N38" s="24" t="s">
        <v>1814</v>
      </c>
      <c r="O38" s="24"/>
      <c r="P38" s="24"/>
      <c r="Q38" s="24"/>
      <c r="R38" s="24"/>
      <c r="S38" s="24"/>
      <c r="T38" s="24"/>
      <c r="U38" s="24"/>
      <c r="V38" s="24"/>
      <c r="W38" s="24" t="s">
        <v>4914</v>
      </c>
      <c r="X38" s="24">
        <v>25.6</v>
      </c>
      <c r="Y38" s="24">
        <v>2.04</v>
      </c>
      <c r="Z38" s="25">
        <v>0.59</v>
      </c>
      <c r="AA38" s="24">
        <v>2.6</v>
      </c>
      <c r="AB38" s="24">
        <v>38951</v>
      </c>
      <c r="AC38" s="21" t="s">
        <v>4914</v>
      </c>
      <c r="AD38" s="8" t="s">
        <v>3701</v>
      </c>
      <c r="AE38" s="8" t="s">
        <v>3701</v>
      </c>
      <c r="AF38" s="25">
        <f t="shared" si="0"/>
        <v>5.3040000000000003</v>
      </c>
      <c r="AG38" s="25">
        <f t="shared" si="1"/>
        <v>2.5566666666666666</v>
      </c>
      <c r="AH38" s="9">
        <f t="shared" si="2"/>
        <v>0.27554048325561681</v>
      </c>
      <c r="AI38" s="25">
        <f t="shared" si="3"/>
        <v>7.5922557912738844E-2</v>
      </c>
      <c r="AJ38" s="9">
        <f t="shared" si="4"/>
        <v>0.14962994517236081</v>
      </c>
      <c r="AK38" s="25">
        <f t="shared" si="5"/>
        <v>2.2389120492283702E-2</v>
      </c>
      <c r="AL38" s="9">
        <f t="shared" si="6"/>
        <v>0.10049665262290364</v>
      </c>
      <c r="AM38" s="25">
        <f t="shared" si="7"/>
        <v>1.0099577188408565E-2</v>
      </c>
      <c r="AN38" s="24" t="s">
        <v>4914</v>
      </c>
    </row>
    <row r="39" spans="13:40" ht="23">
      <c r="M39" s="9" t="s">
        <v>2693</v>
      </c>
      <c r="N39" s="8" t="s">
        <v>1614</v>
      </c>
      <c r="O39" s="8"/>
      <c r="P39" s="8"/>
      <c r="Q39" s="8"/>
      <c r="R39" s="8"/>
      <c r="S39" s="8"/>
      <c r="T39" s="8"/>
      <c r="U39" s="8"/>
      <c r="V39" s="8"/>
      <c r="W39" s="9" t="s">
        <v>2693</v>
      </c>
      <c r="X39" s="8">
        <v>39.67</v>
      </c>
      <c r="Y39" s="8">
        <v>2.3199999999999998</v>
      </c>
      <c r="Z39" s="9">
        <v>2.42</v>
      </c>
      <c r="AA39" s="8">
        <v>2.5</v>
      </c>
      <c r="AB39" s="8">
        <v>43421</v>
      </c>
      <c r="AC39" s="22" t="s">
        <v>2693</v>
      </c>
      <c r="AD39" s="8" t="s">
        <v>3701</v>
      </c>
      <c r="AE39" s="8" t="s">
        <v>3701</v>
      </c>
      <c r="AF39" s="9">
        <f t="shared" si="0"/>
        <v>5.8</v>
      </c>
      <c r="AG39" s="9">
        <f t="shared" si="1"/>
        <v>6.75</v>
      </c>
      <c r="AH39" s="9">
        <f t="shared" si="2"/>
        <v>0.26494277236116998</v>
      </c>
      <c r="AI39" s="9">
        <f t="shared" si="3"/>
        <v>7.0194672626422733E-2</v>
      </c>
      <c r="AJ39" s="9">
        <f t="shared" si="4"/>
        <v>0.16362248906479873</v>
      </c>
      <c r="AK39" s="9">
        <f t="shared" si="5"/>
        <v>2.6772318927760181E-2</v>
      </c>
      <c r="AL39" s="9">
        <f t="shared" si="6"/>
        <v>0.26532688599919152</v>
      </c>
      <c r="AM39" s="9">
        <f t="shared" si="7"/>
        <v>7.0398356434027975E-2</v>
      </c>
      <c r="AN39" s="9" t="s">
        <v>2693</v>
      </c>
    </row>
    <row r="40" spans="13:40" ht="23">
      <c r="M40" s="8" t="s">
        <v>4907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8" t="s">
        <v>4907</v>
      </c>
      <c r="X40" s="8">
        <v>13.75</v>
      </c>
      <c r="Y40" s="8">
        <v>5.79</v>
      </c>
      <c r="Z40" s="9">
        <v>7.14</v>
      </c>
      <c r="AA40" s="8">
        <v>2.4</v>
      </c>
      <c r="AB40" s="8">
        <v>25389</v>
      </c>
      <c r="AC40" s="21" t="s">
        <v>4907</v>
      </c>
      <c r="AD40" s="8" t="s">
        <v>3701</v>
      </c>
      <c r="AE40" s="8" t="s">
        <v>3701</v>
      </c>
      <c r="AF40" s="9">
        <f t="shared" si="0"/>
        <v>13.895999999999999</v>
      </c>
      <c r="AG40" s="9">
        <f t="shared" si="1"/>
        <v>17.36</v>
      </c>
      <c r="AH40" s="9">
        <f t="shared" si="2"/>
        <v>0.25434506146672314</v>
      </c>
      <c r="AI40" s="9">
        <f t="shared" si="3"/>
        <v>6.4691410292511173E-2</v>
      </c>
      <c r="AJ40" s="9">
        <f t="shared" si="4"/>
        <v>0.39201691518007642</v>
      </c>
      <c r="AK40" s="9">
        <f t="shared" si="5"/>
        <v>0.15367726178730323</v>
      </c>
      <c r="AL40" s="9">
        <f t="shared" si="6"/>
        <v>0.68238144310310589</v>
      </c>
      <c r="AM40" s="9">
        <f t="shared" si="7"/>
        <v>0.46564443389147736</v>
      </c>
      <c r="AN40" s="8" t="s">
        <v>4907</v>
      </c>
    </row>
    <row r="41" spans="13:40" ht="23">
      <c r="M41" s="24" t="s">
        <v>4913</v>
      </c>
      <c r="N41" s="24" t="s">
        <v>150</v>
      </c>
      <c r="O41" s="24"/>
      <c r="P41" s="24"/>
      <c r="Q41" s="24"/>
      <c r="R41" s="24"/>
      <c r="S41" s="24"/>
      <c r="T41" s="24"/>
      <c r="U41" s="24"/>
      <c r="V41" s="24"/>
      <c r="W41" s="24" t="s">
        <v>4913</v>
      </c>
      <c r="X41" s="24">
        <v>34.43</v>
      </c>
      <c r="Y41" s="24">
        <v>2.38</v>
      </c>
      <c r="Z41" s="25">
        <v>0.28000000000000003</v>
      </c>
      <c r="AA41" s="24">
        <v>2.4</v>
      </c>
      <c r="AB41" s="24">
        <v>49091</v>
      </c>
      <c r="AC41" s="21" t="s">
        <v>4913</v>
      </c>
      <c r="AD41" s="8" t="s">
        <v>3701</v>
      </c>
      <c r="AE41" s="8" t="s">
        <v>3701</v>
      </c>
      <c r="AF41" s="25">
        <f t="shared" si="0"/>
        <v>5.7119999999999997</v>
      </c>
      <c r="AG41" s="25">
        <f t="shared" si="1"/>
        <v>1.1199999999999999</v>
      </c>
      <c r="AH41" s="9">
        <f t="shared" si="2"/>
        <v>0.25434506146672314</v>
      </c>
      <c r="AI41" s="25">
        <f t="shared" si="3"/>
        <v>6.4691410292511173E-2</v>
      </c>
      <c r="AJ41" s="9">
        <f t="shared" si="4"/>
        <v>0.16113994095485007</v>
      </c>
      <c r="AK41" s="25">
        <f t="shared" si="5"/>
        <v>2.5966080570932568E-2</v>
      </c>
      <c r="AL41" s="9">
        <f t="shared" si="6"/>
        <v>4.4024609232458441E-2</v>
      </c>
      <c r="AM41" s="25">
        <f t="shared" si="7"/>
        <v>1.9381662180706649E-3</v>
      </c>
      <c r="AN41" s="24" t="s">
        <v>4913</v>
      </c>
    </row>
    <row r="42" spans="13:40" ht="23">
      <c r="M42" s="9" t="s">
        <v>3359</v>
      </c>
      <c r="N42" s="8" t="s">
        <v>1964</v>
      </c>
      <c r="O42" s="8"/>
      <c r="P42" s="8"/>
      <c r="Q42" s="8"/>
      <c r="R42" s="8"/>
      <c r="S42" s="8"/>
      <c r="T42" s="8"/>
      <c r="U42" s="8"/>
      <c r="V42" s="8"/>
      <c r="W42" s="9" t="s">
        <v>3359</v>
      </c>
      <c r="X42" s="8">
        <v>5.47</v>
      </c>
      <c r="Y42" s="8">
        <v>8.61</v>
      </c>
      <c r="Z42" s="9">
        <v>8.08</v>
      </c>
      <c r="AA42" s="8">
        <v>2.2999999999999998</v>
      </c>
      <c r="AB42" s="8">
        <v>25994</v>
      </c>
      <c r="AC42" s="22" t="s">
        <v>3359</v>
      </c>
      <c r="AD42" s="8" t="s">
        <v>3701</v>
      </c>
      <c r="AE42" s="8" t="s">
        <v>3701</v>
      </c>
      <c r="AF42" s="9">
        <f t="shared" si="0"/>
        <v>19.802999999999997</v>
      </c>
      <c r="AG42" s="9">
        <f t="shared" si="1"/>
        <v>18.706666666666663</v>
      </c>
      <c r="AH42" s="9">
        <f t="shared" si="2"/>
        <v>0.24374735057227634</v>
      </c>
      <c r="AI42" s="9">
        <f t="shared" si="3"/>
        <v>5.9412770911004185E-2</v>
      </c>
      <c r="AJ42" s="9">
        <f t="shared" si="4"/>
        <v>0.55865795706038091</v>
      </c>
      <c r="AK42" s="9">
        <f t="shared" si="5"/>
        <v>0.31209871298687841</v>
      </c>
      <c r="AL42" s="9">
        <f t="shared" si="6"/>
        <v>0.73531579468022845</v>
      </c>
      <c r="AM42" s="9">
        <f t="shared" si="7"/>
        <v>0.54068931790621588</v>
      </c>
      <c r="AN42" s="9" t="s">
        <v>3359</v>
      </c>
    </row>
    <row r="43" spans="13:40" ht="23">
      <c r="M43" s="8" t="s">
        <v>1660</v>
      </c>
      <c r="N43" s="8" t="s">
        <v>1614</v>
      </c>
      <c r="O43" s="8"/>
      <c r="P43" s="8"/>
      <c r="Q43" s="8"/>
      <c r="R43" s="8"/>
      <c r="S43" s="8"/>
      <c r="T43" s="8"/>
      <c r="U43" s="8"/>
      <c r="V43" s="8"/>
      <c r="W43" s="8" t="s">
        <v>1660</v>
      </c>
      <c r="X43" s="8">
        <v>9.49</v>
      </c>
      <c r="Y43" s="8">
        <v>9.3699999999999992</v>
      </c>
      <c r="Z43" s="9">
        <v>17.54</v>
      </c>
      <c r="AA43" s="8">
        <v>2.1</v>
      </c>
      <c r="AB43" s="8">
        <v>24291</v>
      </c>
      <c r="AC43" s="21" t="s">
        <v>1660</v>
      </c>
      <c r="AD43" s="8" t="s">
        <v>3701</v>
      </c>
      <c r="AE43" s="8" t="s">
        <v>3701</v>
      </c>
      <c r="AF43" s="9">
        <f t="shared" si="0"/>
        <v>19.677</v>
      </c>
      <c r="AG43" s="9">
        <f t="shared" si="1"/>
        <v>37.589999999999996</v>
      </c>
      <c r="AH43" s="9">
        <f t="shared" si="2"/>
        <v>0.22255192878338279</v>
      </c>
      <c r="AI43" s="9">
        <f t="shared" si="3"/>
        <v>4.952936100520388E-2</v>
      </c>
      <c r="AJ43" s="9">
        <f t="shared" si="4"/>
        <v>0.55510339953931809</v>
      </c>
      <c r="AK43" s="9">
        <f t="shared" si="5"/>
        <v>0.30813978418010779</v>
      </c>
      <c r="AL43" s="9">
        <f t="shared" si="6"/>
        <v>1.4775759473643864</v>
      </c>
      <c r="AM43" s="9">
        <f t="shared" si="7"/>
        <v>2.1832306802297636</v>
      </c>
      <c r="AN43" s="8" t="s">
        <v>1660</v>
      </c>
    </row>
    <row r="44" spans="13:40" ht="23">
      <c r="M44" s="9" t="s">
        <v>4906</v>
      </c>
      <c r="N44" s="8" t="s">
        <v>150</v>
      </c>
      <c r="O44" s="8"/>
      <c r="P44" s="8"/>
      <c r="Q44" s="8"/>
      <c r="R44" s="8"/>
      <c r="S44" s="8"/>
      <c r="T44" s="8"/>
      <c r="U44" s="8"/>
      <c r="V44" s="8"/>
      <c r="W44" s="9" t="s">
        <v>4906</v>
      </c>
      <c r="X44" s="8">
        <v>26.22</v>
      </c>
      <c r="Y44" s="8">
        <v>1.98</v>
      </c>
      <c r="Z44" s="9">
        <v>0.54</v>
      </c>
      <c r="AA44" s="8">
        <v>2.1</v>
      </c>
      <c r="AB44" s="8">
        <v>45253</v>
      </c>
      <c r="AC44" s="22" t="s">
        <v>4906</v>
      </c>
      <c r="AD44" s="8" t="s">
        <v>3701</v>
      </c>
      <c r="AE44" s="8" t="s">
        <v>3701</v>
      </c>
      <c r="AF44" s="9">
        <f t="shared" si="0"/>
        <v>4.1580000000000004</v>
      </c>
      <c r="AG44" s="9">
        <f t="shared" si="1"/>
        <v>1.8900000000000001</v>
      </c>
      <c r="AH44" s="9">
        <f t="shared" si="2"/>
        <v>0.22255192878338279</v>
      </c>
      <c r="AI44" s="9">
        <f t="shared" si="3"/>
        <v>4.952936100520388E-2</v>
      </c>
      <c r="AJ44" s="9">
        <f t="shared" si="4"/>
        <v>0.11730039819507471</v>
      </c>
      <c r="AK44" s="9">
        <f t="shared" si="5"/>
        <v>1.3759383416723085E-2</v>
      </c>
      <c r="AL44" s="9">
        <f t="shared" si="6"/>
        <v>7.4291528079773628E-2</v>
      </c>
      <c r="AM44" s="9">
        <f t="shared" si="7"/>
        <v>5.5192311444277938E-3</v>
      </c>
      <c r="AN44" s="9" t="s">
        <v>4906</v>
      </c>
    </row>
    <row r="45" spans="13:40" ht="23">
      <c r="M45" s="24" t="s">
        <v>4910</v>
      </c>
      <c r="N45" s="24" t="s">
        <v>150</v>
      </c>
      <c r="O45" s="24"/>
      <c r="P45" s="24"/>
      <c r="Q45" s="24"/>
      <c r="R45" s="24"/>
      <c r="S45" s="24"/>
      <c r="T45" s="24"/>
      <c r="U45" s="24"/>
      <c r="V45" s="24"/>
      <c r="W45" s="24" t="s">
        <v>4910</v>
      </c>
      <c r="X45" s="24">
        <v>15.88</v>
      </c>
      <c r="Y45" s="24">
        <v>2</v>
      </c>
      <c r="Z45" s="25">
        <v>0.32</v>
      </c>
      <c r="AA45" s="24">
        <v>1.9</v>
      </c>
      <c r="AB45" s="24">
        <v>76558</v>
      </c>
      <c r="AC45" s="21" t="s">
        <v>4910</v>
      </c>
      <c r="AD45" s="8" t="s">
        <v>3701</v>
      </c>
      <c r="AE45" s="8" t="s">
        <v>3701</v>
      </c>
      <c r="AF45" s="25">
        <f t="shared" si="0"/>
        <v>3.8</v>
      </c>
      <c r="AG45" s="25">
        <f t="shared" si="1"/>
        <v>1.0133333333333332</v>
      </c>
      <c r="AH45" s="9">
        <f t="shared" si="2"/>
        <v>0.20135650699448915</v>
      </c>
      <c r="AI45" s="25">
        <f t="shared" si="3"/>
        <v>4.0544442909021761E-2</v>
      </c>
      <c r="AJ45" s="9">
        <f t="shared" si="4"/>
        <v>0.10720094111141985</v>
      </c>
      <c r="AK45" s="25">
        <f t="shared" si="5"/>
        <v>1.1492041775174107E-2</v>
      </c>
      <c r="AL45" s="9">
        <f t="shared" si="6"/>
        <v>3.9831789305557634E-2</v>
      </c>
      <c r="AM45" s="25">
        <f t="shared" si="7"/>
        <v>1.5865714392823355E-3</v>
      </c>
      <c r="AN45" s="24" t="s">
        <v>4910</v>
      </c>
    </row>
    <row r="46" spans="13:40" ht="23">
      <c r="M46" s="8" t="s">
        <v>697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697</v>
      </c>
      <c r="X46" s="8">
        <v>9.52</v>
      </c>
      <c r="Y46" s="8">
        <v>3.72</v>
      </c>
      <c r="Z46" s="9">
        <v>2.11</v>
      </c>
      <c r="AA46" s="8">
        <v>1.7</v>
      </c>
      <c r="AB46" s="8">
        <v>48105</v>
      </c>
      <c r="AC46" s="21" t="s">
        <v>697</v>
      </c>
      <c r="AD46" s="8" t="s">
        <v>3701</v>
      </c>
      <c r="AE46" s="8" t="s">
        <v>3701</v>
      </c>
      <c r="AF46" s="9">
        <f t="shared" si="0"/>
        <v>6.3239999999999998</v>
      </c>
      <c r="AG46" s="9">
        <f t="shared" si="1"/>
        <v>3.711666666666666</v>
      </c>
      <c r="AH46" s="9">
        <f t="shared" si="2"/>
        <v>0.18016108520559559</v>
      </c>
      <c r="AI46" s="9">
        <f t="shared" si="3"/>
        <v>3.2458016622457876E-2</v>
      </c>
      <c r="AJ46" s="9">
        <f t="shared" si="4"/>
        <v>0.17840493462858401</v>
      </c>
      <c r="AK46" s="9">
        <f t="shared" si="5"/>
        <v>3.1828320699829334E-2</v>
      </c>
      <c r="AL46" s="9">
        <f t="shared" si="6"/>
        <v>0.1458970308938764</v>
      </c>
      <c r="AM46" s="9">
        <f t="shared" si="7"/>
        <v>2.1285943623648725E-2</v>
      </c>
      <c r="AN46" s="8" t="s">
        <v>697</v>
      </c>
    </row>
    <row r="47" spans="13:40" ht="23">
      <c r="M47" s="24" t="s">
        <v>4912</v>
      </c>
      <c r="N47" s="24" t="s">
        <v>150</v>
      </c>
      <c r="O47" s="24"/>
      <c r="P47" s="24"/>
      <c r="Q47" s="24"/>
      <c r="R47" s="24"/>
      <c r="S47" s="24"/>
      <c r="T47" s="24"/>
      <c r="U47" s="24"/>
      <c r="V47" s="24"/>
      <c r="W47" s="24" t="s">
        <v>4912</v>
      </c>
      <c r="X47" s="24">
        <v>7.26</v>
      </c>
      <c r="Y47" s="24">
        <v>11.24</v>
      </c>
      <c r="Z47" s="25">
        <v>16.32</v>
      </c>
      <c r="AA47" s="24">
        <v>1.6</v>
      </c>
      <c r="AB47" s="24">
        <v>32001</v>
      </c>
      <c r="AC47" s="21" t="s">
        <v>4912</v>
      </c>
      <c r="AD47" s="8" t="s">
        <v>3701</v>
      </c>
      <c r="AE47" s="8" t="s">
        <v>3701</v>
      </c>
      <c r="AF47" s="25">
        <f t="shared" si="0"/>
        <v>17.984000000000002</v>
      </c>
      <c r="AG47" s="25">
        <f t="shared" si="1"/>
        <v>26.453333333333337</v>
      </c>
      <c r="AH47" s="9">
        <f t="shared" si="2"/>
        <v>0.16956337431114879</v>
      </c>
      <c r="AI47" s="25">
        <f t="shared" si="3"/>
        <v>2.8751737907782755E-2</v>
      </c>
      <c r="AJ47" s="9">
        <f t="shared" si="4"/>
        <v>0.50734255919678295</v>
      </c>
      <c r="AK47" s="25">
        <f t="shared" si="5"/>
        <v>0.2573964723723412</v>
      </c>
      <c r="AL47" s="9">
        <f t="shared" si="6"/>
        <v>1.0398193418713997</v>
      </c>
      <c r="AM47" s="25">
        <f t="shared" si="7"/>
        <v>1.0812242637298708</v>
      </c>
      <c r="AN47" s="24" t="s">
        <v>4912</v>
      </c>
    </row>
    <row r="48" spans="13:40" ht="23">
      <c r="M48" s="8" t="s">
        <v>1592</v>
      </c>
      <c r="N48" s="8" t="s">
        <v>150</v>
      </c>
      <c r="O48" s="8"/>
      <c r="P48" s="8"/>
      <c r="Q48" s="8"/>
      <c r="R48" s="8"/>
      <c r="S48" s="8"/>
      <c r="T48" s="8"/>
      <c r="U48" s="8"/>
      <c r="V48" s="8"/>
      <c r="W48" s="8" t="s">
        <v>1592</v>
      </c>
      <c r="X48" s="8">
        <v>43.7</v>
      </c>
      <c r="Y48" s="8">
        <v>3</v>
      </c>
      <c r="Z48" s="9">
        <v>7.15</v>
      </c>
      <c r="AA48" s="8">
        <v>1.4</v>
      </c>
      <c r="AB48" s="8">
        <v>50343</v>
      </c>
      <c r="AC48" s="21" t="s">
        <v>1592</v>
      </c>
      <c r="AD48" s="8" t="s">
        <v>3701</v>
      </c>
      <c r="AE48" s="8" t="s">
        <v>3701</v>
      </c>
      <c r="AF48" s="9">
        <f t="shared" si="0"/>
        <v>4.1999999999999993</v>
      </c>
      <c r="AG48" s="9">
        <f t="shared" si="1"/>
        <v>10.149999999999999</v>
      </c>
      <c r="AH48" s="9">
        <f t="shared" si="2"/>
        <v>0.14836795252225518</v>
      </c>
      <c r="AI48" s="9">
        <f t="shared" si="3"/>
        <v>2.2013049335646167E-2</v>
      </c>
      <c r="AJ48" s="9">
        <f t="shared" si="4"/>
        <v>0.11848525070209562</v>
      </c>
      <c r="AK48" s="9">
        <f t="shared" si="5"/>
        <v>1.4038754633938451E-2</v>
      </c>
      <c r="AL48" s="9">
        <f t="shared" si="6"/>
        <v>0.39897302116915456</v>
      </c>
      <c r="AM48" s="9">
        <f t="shared" si="7"/>
        <v>0.15917947162084264</v>
      </c>
      <c r="AN48" s="8" t="s">
        <v>1592</v>
      </c>
    </row>
    <row r="49" spans="13:40" ht="23">
      <c r="M49" s="8" t="s">
        <v>748</v>
      </c>
      <c r="N49" s="8" t="s">
        <v>150</v>
      </c>
      <c r="O49" s="8"/>
      <c r="P49" s="8" t="s">
        <v>3692</v>
      </c>
      <c r="Q49" s="8"/>
      <c r="R49" s="8"/>
      <c r="S49" s="8"/>
      <c r="T49" s="8"/>
      <c r="U49" s="8"/>
      <c r="V49" s="8"/>
      <c r="W49" s="8" t="s">
        <v>748</v>
      </c>
      <c r="X49" s="8">
        <v>40.340000000000003</v>
      </c>
      <c r="Y49" s="8">
        <v>2.39</v>
      </c>
      <c r="Z49" s="9">
        <v>3.59</v>
      </c>
      <c r="AA49" s="8">
        <v>1.1000000000000001</v>
      </c>
      <c r="AB49" s="8">
        <v>64340</v>
      </c>
      <c r="AC49" s="21" t="s">
        <v>748</v>
      </c>
      <c r="AD49" s="8" t="s">
        <v>3701</v>
      </c>
      <c r="AE49" s="8" t="s">
        <v>3701</v>
      </c>
      <c r="AF49" s="9">
        <f t="shared" si="0"/>
        <v>2.6290000000000004</v>
      </c>
      <c r="AG49" s="9">
        <f t="shared" si="1"/>
        <v>4.3816666666666668</v>
      </c>
      <c r="AH49" s="9">
        <f t="shared" si="2"/>
        <v>0.11657481983891481</v>
      </c>
      <c r="AI49" s="9">
        <f t="shared" si="3"/>
        <v>1.3589688620475446E-2</v>
      </c>
      <c r="AJ49" s="9">
        <f t="shared" si="4"/>
        <v>7.4166124784716542E-2</v>
      </c>
      <c r="AK49" s="9">
        <f t="shared" si="5"/>
        <v>5.5006140655821456E-3</v>
      </c>
      <c r="AL49" s="9">
        <f t="shared" si="6"/>
        <v>0.1722331810597221</v>
      </c>
      <c r="AM49" s="9">
        <f t="shared" si="7"/>
        <v>2.9664268657951017E-2</v>
      </c>
      <c r="AN49" s="8" t="s">
        <v>748</v>
      </c>
    </row>
    <row r="50" spans="13:40" ht="23"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9"/>
      <c r="AA50" s="8">
        <f>SUBTOTAL(109,Table13626[ترافیک کل])</f>
        <v>943.6</v>
      </c>
      <c r="AB50" s="8"/>
      <c r="AC50" s="21"/>
      <c r="AD50" s="8"/>
      <c r="AE50" s="8"/>
      <c r="AF50" s="9">
        <f>SUBTOTAL(109,Table13626[[مجموع صفحات  مشاهده شده   ]])</f>
        <v>3544.7449999999999</v>
      </c>
      <c r="AG50" s="9">
        <f>SUBTOTAL(109,Table13626[[مجموع زمان حضور در سایت ]])</f>
        <v>2544.0316666666672</v>
      </c>
      <c r="AH50" s="9">
        <f>SUBTOTAL(109,Table13626[سهم سایت از کل ترافیک طبقه بندی])</f>
        <v>100</v>
      </c>
      <c r="AI50" s="9">
        <f>SUBTOTAL(109,Table13626[شاخص هرفیندال هیرشمن (ترافیک)])</f>
        <v>725.89782243321986</v>
      </c>
      <c r="AJ50" s="9">
        <f>SUBTOTAL(109,Table13626[سهم سایت از کل صفحات مشاهده شده در طبقه بندی])</f>
        <v>99.999999999999972</v>
      </c>
      <c r="AK50" s="9">
        <f>SUBTOTAL(109,Table13626[شاخص هرفیندال -هیرشمن (صفحات مشاهده شده )])</f>
        <v>556.87135251033624</v>
      </c>
      <c r="AL50" s="9">
        <f>SUBTOTAL(109,Table13626[سهم سایت از کل زمان حضور در طبقه بندی])</f>
        <v>99.999999999999972</v>
      </c>
      <c r="AM50" s="9">
        <f>SUBTOTAL(109,Table13626[شاخص هرفیندال هیرشمن (زمان حضور)])</f>
        <v>560.1635976181517</v>
      </c>
      <c r="AN50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{096A1B41-4F7C-4C1B-978A-C63F4533FEF4}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{83209F90-A9D0-479F-BFFA-EE0A345685F8}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{2E6571CF-8C52-4928-A14E-5FB77FF5E4C3}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{A1C1AFF9-B14C-4778-9869-529EB9F4D736}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{3446D131-FB57-4AEA-AAEA-618B48818C7D}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{F9FC6731-64A3-4343-B014-66F8328EE9FD}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96A1B41-4F7C-4C1B-978A-C63F4533FEF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3209F90-A9D0-479F-BFFA-EE0A345685F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E6571CF-8C52-4928-A14E-5FB77FF5E4C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1C1AFF9-B14C-4778-9869-529EB9F4D73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446D131-FB57-4AEA-AAEA-618B48818C7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F9FC6731-64A3-4343-B014-66F8328EE9F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33"/>
  <sheetViews>
    <sheetView showGridLines="0" rightToLeft="1" topLeftCell="T1" zoomScale="70" zoomScaleNormal="70" workbookViewId="0">
      <selection activeCell="AC1" sqref="AC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7.7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7.91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482</v>
      </c>
      <c r="N2" s="8" t="s">
        <v>150</v>
      </c>
      <c r="O2" s="8"/>
      <c r="P2" s="8" t="s">
        <v>3691</v>
      </c>
      <c r="Q2" s="8"/>
      <c r="R2" s="8"/>
      <c r="S2" s="8"/>
      <c r="T2" s="8"/>
      <c r="U2" s="8"/>
      <c r="V2" s="8"/>
      <c r="W2" s="8" t="s">
        <v>482</v>
      </c>
      <c r="X2" s="8">
        <v>54.47</v>
      </c>
      <c r="Y2" s="8">
        <v>1.92</v>
      </c>
      <c r="Z2" s="9">
        <v>0.59</v>
      </c>
      <c r="AA2" s="8">
        <v>103.4</v>
      </c>
      <c r="AB2" s="8">
        <v>2301</v>
      </c>
      <c r="AC2" s="21" t="s">
        <v>482</v>
      </c>
      <c r="AD2" s="8" t="s">
        <v>4573</v>
      </c>
      <c r="AE2" s="8"/>
      <c r="AF2" s="9">
        <f t="shared" ref="AF2:AF32" si="0">(AA2*Y2)</f>
        <v>198.52799999999999</v>
      </c>
      <c r="AG2" s="9">
        <f t="shared" ref="AG2:AG32" si="1">((((RIGHT(Z2,2))/60)+(LEFT(Z2,2)))*AA2)</f>
        <v>101.67666666666666</v>
      </c>
      <c r="AH2" s="9">
        <f t="shared" ref="AH2:AH32" si="2">(AA2/$AA$33)*100</f>
        <v>17.44558798717733</v>
      </c>
      <c r="AI2" s="9">
        <f t="shared" ref="AI2:AI32" si="3">(AH2*AH2)</f>
        <v>304.34854021834593</v>
      </c>
      <c r="AJ2" s="9">
        <f t="shared" ref="AJ2:AJ32" si="4">(AF2/$AF$33)*100</f>
        <v>12.133450352156581</v>
      </c>
      <c r="AK2" s="9">
        <f t="shared" ref="AK2:AK32" si="5">(AJ2*AJ2)</f>
        <v>147.22061744824867</v>
      </c>
      <c r="AL2" s="9">
        <f t="shared" ref="AL2:AL32" si="6">(AG2/$AG$33)*100</f>
        <v>8.7122255062019214</v>
      </c>
      <c r="AM2" s="9">
        <f t="shared" ref="AM2:AM32" si="7">(AL2*AL2)</f>
        <v>75.902873270915322</v>
      </c>
      <c r="AN2" s="8" t="s">
        <v>482</v>
      </c>
    </row>
    <row r="3" spans="8:40" ht="23">
      <c r="M3" s="8" t="s">
        <v>1397</v>
      </c>
      <c r="N3" s="8" t="s">
        <v>150</v>
      </c>
      <c r="O3" s="8"/>
      <c r="P3" s="8"/>
      <c r="Q3" s="8"/>
      <c r="R3" s="8"/>
      <c r="S3" s="8"/>
      <c r="T3" s="8"/>
      <c r="U3" s="8"/>
      <c r="V3" s="8"/>
      <c r="W3" s="8" t="s">
        <v>1397</v>
      </c>
      <c r="X3" s="8">
        <v>22.76</v>
      </c>
      <c r="Y3" s="8">
        <v>4.82</v>
      </c>
      <c r="Z3" s="9">
        <v>2.54</v>
      </c>
      <c r="AA3" s="8">
        <v>99.6</v>
      </c>
      <c r="AB3" s="8">
        <v>2281</v>
      </c>
      <c r="AC3" s="21" t="s">
        <v>1397</v>
      </c>
      <c r="AD3" s="8" t="s">
        <v>4573</v>
      </c>
      <c r="AE3" s="8"/>
      <c r="AF3" s="9">
        <f t="shared" si="0"/>
        <v>480.072</v>
      </c>
      <c r="AG3" s="9">
        <f t="shared" si="1"/>
        <v>288.83999999999997</v>
      </c>
      <c r="AH3" s="9">
        <f t="shared" si="2"/>
        <v>16.804454192677582</v>
      </c>
      <c r="AI3" s="9">
        <f t="shared" si="3"/>
        <v>282.38968071379918</v>
      </c>
      <c r="AJ3" s="9">
        <f t="shared" si="4"/>
        <v>29.340595671444405</v>
      </c>
      <c r="AK3" s="9">
        <f t="shared" si="5"/>
        <v>860.87055435518209</v>
      </c>
      <c r="AL3" s="9">
        <f t="shared" si="6"/>
        <v>24.749426763380946</v>
      </c>
      <c r="AM3" s="9">
        <f t="shared" si="7"/>
        <v>612.53412511595707</v>
      </c>
      <c r="AN3" s="8" t="s">
        <v>1397</v>
      </c>
    </row>
    <row r="4" spans="8:40" ht="23">
      <c r="M4" s="8" t="s">
        <v>327</v>
      </c>
      <c r="N4" s="8" t="s">
        <v>150</v>
      </c>
      <c r="O4" s="8"/>
      <c r="P4" s="8" t="s">
        <v>3696</v>
      </c>
      <c r="Q4" s="8"/>
      <c r="R4" s="8"/>
      <c r="S4" s="8"/>
      <c r="T4" s="8"/>
      <c r="U4" s="8"/>
      <c r="V4" s="8"/>
      <c r="W4" s="8" t="s">
        <v>327</v>
      </c>
      <c r="X4" s="8">
        <v>30.81</v>
      </c>
      <c r="Y4" s="8">
        <v>1.78</v>
      </c>
      <c r="Z4" s="9">
        <v>1.1200000000000001</v>
      </c>
      <c r="AA4" s="8">
        <v>76.400000000000006</v>
      </c>
      <c r="AB4" s="8">
        <v>4654</v>
      </c>
      <c r="AC4" s="21" t="s">
        <v>327</v>
      </c>
      <c r="AD4" s="8" t="s">
        <v>4573</v>
      </c>
      <c r="AE4" s="8"/>
      <c r="AF4" s="9">
        <f t="shared" si="0"/>
        <v>135.99200000000002</v>
      </c>
      <c r="AG4" s="9">
        <f t="shared" si="1"/>
        <v>91.68</v>
      </c>
      <c r="AH4" s="9">
        <f t="shared" si="2"/>
        <v>12.890163657837023</v>
      </c>
      <c r="AI4" s="9">
        <f t="shared" si="3"/>
        <v>166.15631912582234</v>
      </c>
      <c r="AJ4" s="9">
        <f t="shared" si="4"/>
        <v>8.3114330486907537</v>
      </c>
      <c r="AK4" s="9">
        <f t="shared" si="5"/>
        <v>69.079919322868875</v>
      </c>
      <c r="AL4" s="9">
        <f t="shared" si="6"/>
        <v>7.8556551920328399</v>
      </c>
      <c r="AM4" s="9">
        <f t="shared" si="7"/>
        <v>61.711318496112511</v>
      </c>
      <c r="AN4" s="8" t="s">
        <v>327</v>
      </c>
    </row>
    <row r="5" spans="8:40" ht="23">
      <c r="M5" s="8" t="s">
        <v>294</v>
      </c>
      <c r="N5" s="8" t="s">
        <v>150</v>
      </c>
      <c r="O5" s="8"/>
      <c r="P5" s="8" t="s">
        <v>3691</v>
      </c>
      <c r="Q5" s="8"/>
      <c r="R5" s="8"/>
      <c r="S5" s="8"/>
      <c r="T5" s="8"/>
      <c r="U5" s="8"/>
      <c r="V5" s="8"/>
      <c r="W5" s="8" t="s">
        <v>294</v>
      </c>
      <c r="X5" s="8">
        <v>31.41</v>
      </c>
      <c r="Y5" s="8">
        <v>1.47</v>
      </c>
      <c r="Z5" s="9">
        <v>0.4</v>
      </c>
      <c r="AA5" s="8">
        <v>75.8</v>
      </c>
      <c r="AB5" s="8">
        <v>6652</v>
      </c>
      <c r="AC5" s="21" t="s">
        <v>294</v>
      </c>
      <c r="AD5" s="8" t="s">
        <v>4573</v>
      </c>
      <c r="AE5" s="8"/>
      <c r="AF5" s="9">
        <f t="shared" si="0"/>
        <v>111.42599999999999</v>
      </c>
      <c r="AG5" s="9">
        <f t="shared" si="1"/>
        <v>0.5053333333333333</v>
      </c>
      <c r="AH5" s="9">
        <f t="shared" si="2"/>
        <v>12.788932006073903</v>
      </c>
      <c r="AI5" s="9">
        <f t="shared" si="3"/>
        <v>163.55678185598146</v>
      </c>
      <c r="AJ5" s="9">
        <f t="shared" si="4"/>
        <v>6.8100310230264709</v>
      </c>
      <c r="AK5" s="9">
        <f t="shared" si="5"/>
        <v>46.376522534582961</v>
      </c>
      <c r="AL5" s="9">
        <f t="shared" si="6"/>
        <v>4.3299786471501539E-2</v>
      </c>
      <c r="AM5" s="9">
        <f t="shared" si="7"/>
        <v>1.8748715084776278E-3</v>
      </c>
      <c r="AN5" s="8" t="s">
        <v>294</v>
      </c>
    </row>
    <row r="6" spans="8:40" ht="23">
      <c r="M6" s="9" t="s">
        <v>3078</v>
      </c>
      <c r="N6" s="8" t="s">
        <v>1814</v>
      </c>
      <c r="O6" s="8"/>
      <c r="P6" s="8"/>
      <c r="Q6" s="8"/>
      <c r="R6" s="8"/>
      <c r="S6" s="8"/>
      <c r="T6" s="8"/>
      <c r="U6" s="8"/>
      <c r="V6" s="8"/>
      <c r="W6" s="9" t="s">
        <v>3078</v>
      </c>
      <c r="X6" s="8">
        <v>54.54</v>
      </c>
      <c r="Y6" s="8">
        <v>2.33</v>
      </c>
      <c r="Z6" s="9">
        <v>2.17</v>
      </c>
      <c r="AA6" s="8">
        <v>71.099999999999994</v>
      </c>
      <c r="AB6" s="8">
        <v>4539</v>
      </c>
      <c r="AC6" s="22" t="s">
        <v>3078</v>
      </c>
      <c r="AD6" s="8" t="s">
        <v>4573</v>
      </c>
      <c r="AE6" s="8"/>
      <c r="AF6" s="9">
        <f t="shared" si="0"/>
        <v>165.66299999999998</v>
      </c>
      <c r="AG6" s="9">
        <f t="shared" si="1"/>
        <v>162.34499999999997</v>
      </c>
      <c r="AH6" s="9">
        <f t="shared" si="2"/>
        <v>11.995950733929478</v>
      </c>
      <c r="AI6" s="9">
        <f t="shared" si="3"/>
        <v>143.90283401086319</v>
      </c>
      <c r="AJ6" s="9">
        <f t="shared" si="4"/>
        <v>10.12483773417007</v>
      </c>
      <c r="AK6" s="9">
        <f t="shared" si="5"/>
        <v>102.51233914327412</v>
      </c>
      <c r="AL6" s="9">
        <f t="shared" si="6"/>
        <v>13.910627641258412</v>
      </c>
      <c r="AM6" s="9">
        <f t="shared" si="7"/>
        <v>193.50556137374255</v>
      </c>
      <c r="AN6" s="9" t="s">
        <v>3078</v>
      </c>
    </row>
    <row r="7" spans="8:40" ht="23">
      <c r="M7" s="8" t="s">
        <v>781</v>
      </c>
      <c r="N7" s="8" t="s">
        <v>150</v>
      </c>
      <c r="O7" s="8"/>
      <c r="P7" s="8" t="s">
        <v>3691</v>
      </c>
      <c r="Q7" s="8"/>
      <c r="R7" s="8"/>
      <c r="S7" s="8"/>
      <c r="T7" s="8"/>
      <c r="U7" s="8"/>
      <c r="V7" s="8"/>
      <c r="W7" s="8" t="s">
        <v>781</v>
      </c>
      <c r="X7" s="8">
        <v>30.63</v>
      </c>
      <c r="Y7" s="8">
        <v>4.2699999999999996</v>
      </c>
      <c r="Z7" s="9">
        <v>4.2300000000000004</v>
      </c>
      <c r="AA7" s="8">
        <v>25.6</v>
      </c>
      <c r="AB7" s="8">
        <v>4230</v>
      </c>
      <c r="AC7" s="21" t="s">
        <v>781</v>
      </c>
      <c r="AD7" s="8" t="s">
        <v>4573</v>
      </c>
      <c r="AE7" s="8"/>
      <c r="AF7" s="9">
        <f t="shared" si="0"/>
        <v>109.312</v>
      </c>
      <c r="AG7" s="9">
        <f t="shared" si="1"/>
        <v>112.21333333333335</v>
      </c>
      <c r="AH7" s="9">
        <f t="shared" si="2"/>
        <v>4.3192171418930334</v>
      </c>
      <c r="AI7" s="9">
        <f t="shared" si="3"/>
        <v>18.655636718822624</v>
      </c>
      <c r="AJ7" s="9">
        <f t="shared" si="4"/>
        <v>6.6808295298141331</v>
      </c>
      <c r="AK7" s="9">
        <f t="shared" si="5"/>
        <v>44.63348320643653</v>
      </c>
      <c r="AL7" s="9">
        <f t="shared" si="6"/>
        <v>9.6150660407429296</v>
      </c>
      <c r="AM7" s="9">
        <f t="shared" si="7"/>
        <v>92.449494967847912</v>
      </c>
      <c r="AN7" s="8" t="s">
        <v>781</v>
      </c>
    </row>
    <row r="8" spans="8:40" ht="23">
      <c r="M8" s="8" t="s">
        <v>87</v>
      </c>
      <c r="N8" s="8" t="s">
        <v>90</v>
      </c>
      <c r="O8" s="8"/>
      <c r="P8" s="8" t="s">
        <v>3694</v>
      </c>
      <c r="Q8" s="8"/>
      <c r="R8" s="8"/>
      <c r="S8" s="8"/>
      <c r="T8" s="8"/>
      <c r="U8" s="8"/>
      <c r="V8" s="8"/>
      <c r="W8" s="8" t="s">
        <v>87</v>
      </c>
      <c r="X8" s="8">
        <v>29.44</v>
      </c>
      <c r="Y8" s="8">
        <v>4.21</v>
      </c>
      <c r="Z8" s="9">
        <v>4.3600000000000003</v>
      </c>
      <c r="AA8" s="8">
        <v>13.5</v>
      </c>
      <c r="AB8" s="8">
        <v>7789</v>
      </c>
      <c r="AC8" s="21" t="s">
        <v>87</v>
      </c>
      <c r="AD8" s="8" t="s">
        <v>4573</v>
      </c>
      <c r="AE8" s="8"/>
      <c r="AF8" s="9">
        <f t="shared" si="0"/>
        <v>56.835000000000001</v>
      </c>
      <c r="AG8" s="9">
        <f t="shared" si="1"/>
        <v>62.099999999999994</v>
      </c>
      <c r="AH8" s="9">
        <f t="shared" si="2"/>
        <v>2.2777121646701546</v>
      </c>
      <c r="AI8" s="9">
        <f t="shared" si="3"/>
        <v>5.1879727050864011</v>
      </c>
      <c r="AJ8" s="9">
        <f t="shared" si="4"/>
        <v>3.4735888678917801</v>
      </c>
      <c r="AK8" s="9">
        <f t="shared" si="5"/>
        <v>12.065819623141699</v>
      </c>
      <c r="AL8" s="9">
        <f t="shared" si="6"/>
        <v>5.3210753427709339</v>
      </c>
      <c r="AM8" s="9">
        <f t="shared" si="7"/>
        <v>28.31384280344481</v>
      </c>
      <c r="AN8" s="8" t="s">
        <v>87</v>
      </c>
    </row>
    <row r="9" spans="8:40" ht="23">
      <c r="M9" s="9" t="s">
        <v>2274</v>
      </c>
      <c r="N9" s="8" t="s">
        <v>150</v>
      </c>
      <c r="O9" s="8"/>
      <c r="P9" s="8"/>
      <c r="Q9" s="8"/>
      <c r="R9" s="8"/>
      <c r="S9" s="8"/>
      <c r="T9" s="8"/>
      <c r="U9" s="8"/>
      <c r="V9" s="8"/>
      <c r="W9" s="9" t="s">
        <v>2274</v>
      </c>
      <c r="X9" s="8">
        <v>52.75</v>
      </c>
      <c r="Y9" s="8">
        <v>1.88</v>
      </c>
      <c r="Z9" s="9">
        <v>0.45</v>
      </c>
      <c r="AA9" s="8">
        <v>11.4</v>
      </c>
      <c r="AB9" s="8">
        <v>13844</v>
      </c>
      <c r="AC9" s="22" t="s">
        <v>2274</v>
      </c>
      <c r="AD9" s="8" t="s">
        <v>4573</v>
      </c>
      <c r="AE9" s="8"/>
      <c r="AF9" s="9">
        <f t="shared" si="0"/>
        <v>21.431999999999999</v>
      </c>
      <c r="AG9" s="9">
        <f t="shared" si="1"/>
        <v>8.5500000000000007</v>
      </c>
      <c r="AH9" s="9">
        <f t="shared" si="2"/>
        <v>1.9234013834992414</v>
      </c>
      <c r="AI9" s="9">
        <f t="shared" si="3"/>
        <v>3.6994728820467957</v>
      </c>
      <c r="AJ9" s="9">
        <f t="shared" si="4"/>
        <v>1.3098611175623582</v>
      </c>
      <c r="AK9" s="9">
        <f t="shared" si="5"/>
        <v>1.7157361473017101</v>
      </c>
      <c r="AL9" s="9">
        <f t="shared" si="6"/>
        <v>0.73261182255541857</v>
      </c>
      <c r="AM9" s="9">
        <f t="shared" si="7"/>
        <v>0.5367200825479721</v>
      </c>
      <c r="AN9" s="9" t="s">
        <v>2274</v>
      </c>
    </row>
    <row r="10" spans="8:40" ht="23">
      <c r="M10" s="8" t="s">
        <v>775</v>
      </c>
      <c r="N10" s="8" t="s">
        <v>150</v>
      </c>
      <c r="O10" s="8"/>
      <c r="P10" s="8" t="s">
        <v>3693</v>
      </c>
      <c r="Q10" s="8"/>
      <c r="R10" s="8"/>
      <c r="S10" s="8"/>
      <c r="T10" s="8"/>
      <c r="U10" s="8"/>
      <c r="V10" s="8"/>
      <c r="W10" s="8" t="s">
        <v>775</v>
      </c>
      <c r="X10" s="8">
        <v>22.61</v>
      </c>
      <c r="Y10" s="8">
        <v>3.21</v>
      </c>
      <c r="Z10" s="9">
        <v>2.5299999999999998</v>
      </c>
      <c r="AA10" s="8">
        <v>10.199999999999999</v>
      </c>
      <c r="AB10" s="8">
        <v>12102</v>
      </c>
      <c r="AC10" s="21" t="s">
        <v>775</v>
      </c>
      <c r="AD10" s="8" t="s">
        <v>4573</v>
      </c>
      <c r="AE10" s="8"/>
      <c r="AF10" s="9">
        <f t="shared" si="0"/>
        <v>32.741999999999997</v>
      </c>
      <c r="AG10" s="9">
        <f t="shared" si="1"/>
        <v>29.409999999999997</v>
      </c>
      <c r="AH10" s="9">
        <f t="shared" si="2"/>
        <v>1.7209380799730052</v>
      </c>
      <c r="AI10" s="9">
        <f t="shared" si="3"/>
        <v>2.9616278751011738</v>
      </c>
      <c r="AJ10" s="9">
        <f t="shared" si="4"/>
        <v>2.001095217955708</v>
      </c>
      <c r="AK10" s="9">
        <f t="shared" si="5"/>
        <v>4.0043820713252023</v>
      </c>
      <c r="AL10" s="9">
        <f t="shared" si="6"/>
        <v>2.5200132984040771</v>
      </c>
      <c r="AM10" s="9">
        <f t="shared" si="7"/>
        <v>6.3504670241333958</v>
      </c>
      <c r="AN10" s="8" t="s">
        <v>775</v>
      </c>
    </row>
    <row r="11" spans="8:40" ht="23">
      <c r="M11" s="8" t="s">
        <v>700</v>
      </c>
      <c r="N11" s="8" t="s">
        <v>150</v>
      </c>
      <c r="O11" s="8"/>
      <c r="P11" s="8"/>
      <c r="Q11" s="8"/>
      <c r="R11" s="8"/>
      <c r="S11" s="8"/>
      <c r="T11" s="8"/>
      <c r="U11" s="8"/>
      <c r="V11" s="8"/>
      <c r="W11" s="8" t="s">
        <v>700</v>
      </c>
      <c r="X11" s="8">
        <v>45.19</v>
      </c>
      <c r="Y11" s="8">
        <v>1.78</v>
      </c>
      <c r="Z11" s="9">
        <v>1.07</v>
      </c>
      <c r="AA11" s="8">
        <v>9.1999999999999993</v>
      </c>
      <c r="AB11" s="8">
        <v>16777</v>
      </c>
      <c r="AC11" s="21" t="s">
        <v>700</v>
      </c>
      <c r="AD11" s="8" t="s">
        <v>4573</v>
      </c>
      <c r="AE11" s="8"/>
      <c r="AF11" s="9">
        <f t="shared" si="0"/>
        <v>16.375999999999998</v>
      </c>
      <c r="AG11" s="9">
        <f t="shared" si="1"/>
        <v>10.273333333333333</v>
      </c>
      <c r="AH11" s="9">
        <f t="shared" si="2"/>
        <v>1.5522186603678088</v>
      </c>
      <c r="AI11" s="9">
        <f t="shared" si="3"/>
        <v>2.4093827695940346</v>
      </c>
      <c r="AJ11" s="9">
        <f t="shared" si="4"/>
        <v>1.0008531943449597</v>
      </c>
      <c r="AK11" s="9">
        <f t="shared" si="5"/>
        <v>1.0017071166305096</v>
      </c>
      <c r="AL11" s="9">
        <f t="shared" si="6"/>
        <v>0.88027666164358676</v>
      </c>
      <c r="AM11" s="9">
        <f t="shared" si="7"/>
        <v>0.77488700103437769</v>
      </c>
      <c r="AN11" s="8" t="s">
        <v>700</v>
      </c>
    </row>
    <row r="12" spans="8:40" ht="23">
      <c r="M12" s="8" t="s">
        <v>445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445</v>
      </c>
      <c r="X12" s="8">
        <v>34.799999999999997</v>
      </c>
      <c r="Y12" s="8">
        <v>1.6</v>
      </c>
      <c r="Z12" s="9">
        <v>0.21</v>
      </c>
      <c r="AA12" s="8">
        <v>8.5</v>
      </c>
      <c r="AB12" s="8">
        <v>24154</v>
      </c>
      <c r="AC12" s="21" t="s">
        <v>445</v>
      </c>
      <c r="AD12" s="8" t="s">
        <v>4573</v>
      </c>
      <c r="AE12" s="8"/>
      <c r="AF12" s="9">
        <f t="shared" si="0"/>
        <v>13.600000000000001</v>
      </c>
      <c r="AG12" s="9">
        <f t="shared" si="1"/>
        <v>2.9749999999999996</v>
      </c>
      <c r="AH12" s="9">
        <f t="shared" si="2"/>
        <v>1.4341150666441711</v>
      </c>
      <c r="AI12" s="9">
        <f t="shared" si="3"/>
        <v>2.0566860243758152</v>
      </c>
      <c r="AJ12" s="9">
        <f t="shared" si="4"/>
        <v>0.83119219852781245</v>
      </c>
      <c r="AK12" s="9">
        <f t="shared" si="5"/>
        <v>0.69088047089349836</v>
      </c>
      <c r="AL12" s="9">
        <f t="shared" si="6"/>
        <v>0.25491464001197306</v>
      </c>
      <c r="AM12" s="9">
        <f t="shared" si="7"/>
        <v>6.4981473692433817E-2</v>
      </c>
      <c r="AN12" s="8" t="s">
        <v>445</v>
      </c>
    </row>
    <row r="13" spans="8:40" ht="23">
      <c r="M13" s="8" t="s">
        <v>5082</v>
      </c>
      <c r="N13" s="8" t="s">
        <v>150</v>
      </c>
      <c r="O13" s="8"/>
      <c r="P13" s="8"/>
      <c r="Q13" s="8"/>
      <c r="R13" s="8"/>
      <c r="S13" s="8"/>
      <c r="T13" s="8"/>
      <c r="U13" s="8"/>
      <c r="V13" s="8"/>
      <c r="W13" s="8" t="s">
        <v>5082</v>
      </c>
      <c r="X13" s="8">
        <v>40.31</v>
      </c>
      <c r="Y13" s="8">
        <v>3.06</v>
      </c>
      <c r="Z13" s="9">
        <v>3.09</v>
      </c>
      <c r="AA13" s="8">
        <v>8.3000000000000007</v>
      </c>
      <c r="AB13" s="8">
        <v>15894</v>
      </c>
      <c r="AC13" s="21" t="s">
        <v>5082</v>
      </c>
      <c r="AD13" s="8" t="s">
        <v>4573</v>
      </c>
      <c r="AE13" s="8"/>
      <c r="AF13" s="9">
        <f t="shared" si="0"/>
        <v>25.398000000000003</v>
      </c>
      <c r="AG13" s="9">
        <f t="shared" si="1"/>
        <v>26.145000000000003</v>
      </c>
      <c r="AH13" s="9">
        <f t="shared" si="2"/>
        <v>1.400371182723132</v>
      </c>
      <c r="AI13" s="9">
        <f t="shared" si="3"/>
        <v>1.9610394494013834</v>
      </c>
      <c r="AJ13" s="9">
        <f t="shared" si="4"/>
        <v>1.5522514307506896</v>
      </c>
      <c r="AK13" s="9">
        <f t="shared" si="5"/>
        <v>2.4094845042675628</v>
      </c>
      <c r="AL13" s="9">
        <f t="shared" si="6"/>
        <v>2.2402498363405172</v>
      </c>
      <c r="AM13" s="9">
        <f t="shared" si="7"/>
        <v>5.018719329223714</v>
      </c>
      <c r="AN13" s="8" t="s">
        <v>5082</v>
      </c>
    </row>
    <row r="14" spans="8:40" ht="23">
      <c r="M14" s="9" t="s">
        <v>5140</v>
      </c>
      <c r="N14" s="8" t="s">
        <v>150</v>
      </c>
      <c r="O14" s="8"/>
      <c r="P14" s="8" t="s">
        <v>3693</v>
      </c>
      <c r="Q14" s="8"/>
      <c r="R14" s="8"/>
      <c r="S14" s="8"/>
      <c r="T14" s="8"/>
      <c r="U14" s="8"/>
      <c r="V14" s="8"/>
      <c r="W14" s="9" t="s">
        <v>5140</v>
      </c>
      <c r="X14" s="8">
        <v>23.48</v>
      </c>
      <c r="Y14" s="8">
        <v>4.04</v>
      </c>
      <c r="Z14" s="9">
        <v>2.4900000000000002</v>
      </c>
      <c r="AA14" s="8">
        <v>8.1</v>
      </c>
      <c r="AB14" s="8">
        <v>12095</v>
      </c>
      <c r="AC14" s="22" t="s">
        <v>5140</v>
      </c>
      <c r="AD14" s="8" t="s">
        <v>4573</v>
      </c>
      <c r="AE14" s="8"/>
      <c r="AF14" s="9">
        <f t="shared" si="0"/>
        <v>32.723999999999997</v>
      </c>
      <c r="AG14" s="9">
        <f t="shared" si="1"/>
        <v>22.814999999999998</v>
      </c>
      <c r="AH14" s="9">
        <f t="shared" si="2"/>
        <v>1.3666272988020927</v>
      </c>
      <c r="AI14" s="9">
        <f t="shared" si="3"/>
        <v>1.8676701738311043</v>
      </c>
      <c r="AJ14" s="9">
        <f t="shared" si="4"/>
        <v>1.9999951106341272</v>
      </c>
      <c r="AK14" s="9">
        <f t="shared" si="5"/>
        <v>3.9999804425604144</v>
      </c>
      <c r="AL14" s="9">
        <f t="shared" si="6"/>
        <v>1.9549168107136694</v>
      </c>
      <c r="AM14" s="9">
        <f t="shared" si="7"/>
        <v>3.8216997368109049</v>
      </c>
      <c r="AN14" s="9" t="s">
        <v>5140</v>
      </c>
    </row>
    <row r="15" spans="8:40" ht="23">
      <c r="M15" s="8" t="s">
        <v>1830</v>
      </c>
      <c r="N15" s="8" t="s">
        <v>1814</v>
      </c>
      <c r="O15" s="8"/>
      <c r="P15" s="8"/>
      <c r="Q15" s="8"/>
      <c r="R15" s="8"/>
      <c r="S15" s="8"/>
      <c r="T15" s="8"/>
      <c r="U15" s="8"/>
      <c r="V15" s="8"/>
      <c r="W15" s="8" t="s">
        <v>1830</v>
      </c>
      <c r="X15" s="8">
        <v>67.849999999999994</v>
      </c>
      <c r="Y15" s="8">
        <v>1.6</v>
      </c>
      <c r="Z15" s="9">
        <v>1.08</v>
      </c>
      <c r="AA15" s="8">
        <v>7.7</v>
      </c>
      <c r="AB15" s="8">
        <v>18056</v>
      </c>
      <c r="AC15" s="21" t="s">
        <v>1830</v>
      </c>
      <c r="AD15" s="8" t="s">
        <v>4573</v>
      </c>
      <c r="AE15" s="8"/>
      <c r="AF15" s="9">
        <f t="shared" si="0"/>
        <v>12.32</v>
      </c>
      <c r="AG15" s="9">
        <f t="shared" si="1"/>
        <v>8.7266666666666666</v>
      </c>
      <c r="AH15" s="9">
        <f t="shared" si="2"/>
        <v>1.299139530960014</v>
      </c>
      <c r="AI15" s="9">
        <f t="shared" si="3"/>
        <v>1.6877635209030051</v>
      </c>
      <c r="AJ15" s="9">
        <f t="shared" si="4"/>
        <v>0.75296234454872413</v>
      </c>
      <c r="AK15" s="9">
        <f t="shared" si="5"/>
        <v>0.56695229230831157</v>
      </c>
      <c r="AL15" s="9">
        <f t="shared" si="6"/>
        <v>0.7477496107017878</v>
      </c>
      <c r="AM15" s="9">
        <f t="shared" si="7"/>
        <v>0.55912948030467524</v>
      </c>
      <c r="AN15" s="8" t="s">
        <v>1830</v>
      </c>
    </row>
    <row r="16" spans="8:40" ht="23">
      <c r="M16" s="9" t="s">
        <v>2792</v>
      </c>
      <c r="N16" s="8" t="s">
        <v>1614</v>
      </c>
      <c r="O16" s="8"/>
      <c r="P16" s="8" t="s">
        <v>3691</v>
      </c>
      <c r="Q16" s="8"/>
      <c r="R16" s="8"/>
      <c r="S16" s="8"/>
      <c r="T16" s="8"/>
      <c r="U16" s="8"/>
      <c r="V16" s="8"/>
      <c r="W16" s="9" t="s">
        <v>2792</v>
      </c>
      <c r="X16" s="8">
        <v>17.21</v>
      </c>
      <c r="Y16" s="8">
        <v>5.68</v>
      </c>
      <c r="Z16" s="9">
        <v>7.53</v>
      </c>
      <c r="AA16" s="8">
        <v>6.9</v>
      </c>
      <c r="AB16" s="8">
        <v>11903</v>
      </c>
      <c r="AC16" s="22" t="s">
        <v>2792</v>
      </c>
      <c r="AD16" s="8" t="s">
        <v>4573</v>
      </c>
      <c r="AE16" s="8"/>
      <c r="AF16" s="9">
        <f t="shared" si="0"/>
        <v>39.192</v>
      </c>
      <c r="AG16" s="9">
        <f t="shared" si="1"/>
        <v>54.394999999999996</v>
      </c>
      <c r="AH16" s="9">
        <f t="shared" si="2"/>
        <v>1.1641639952758567</v>
      </c>
      <c r="AI16" s="9">
        <f t="shared" si="3"/>
        <v>1.3552778078966448</v>
      </c>
      <c r="AJ16" s="9">
        <f t="shared" si="4"/>
        <v>2.3953003415222072</v>
      </c>
      <c r="AK16" s="9">
        <f t="shared" si="5"/>
        <v>5.7374637260964025</v>
      </c>
      <c r="AL16" s="9">
        <f t="shared" si="6"/>
        <v>4.6608678465382445</v>
      </c>
      <c r="AM16" s="9">
        <f t="shared" si="7"/>
        <v>21.723689082894051</v>
      </c>
      <c r="AN16" s="9" t="s">
        <v>2792</v>
      </c>
    </row>
    <row r="17" spans="13:40" ht="23">
      <c r="M17" s="8" t="s">
        <v>154</v>
      </c>
      <c r="N17" s="8" t="s">
        <v>150</v>
      </c>
      <c r="O17" s="8"/>
      <c r="P17" s="8" t="s">
        <v>3691</v>
      </c>
      <c r="Q17" s="8"/>
      <c r="R17" s="8"/>
      <c r="S17" s="8"/>
      <c r="T17" s="8"/>
      <c r="U17" s="8"/>
      <c r="V17" s="8"/>
      <c r="W17" s="8" t="s">
        <v>154</v>
      </c>
      <c r="X17" s="8">
        <v>28.79</v>
      </c>
      <c r="Y17" s="8">
        <v>3.07</v>
      </c>
      <c r="Z17" s="9">
        <v>4.47</v>
      </c>
      <c r="AA17" s="8">
        <v>6.6</v>
      </c>
      <c r="AB17" s="8">
        <v>17222</v>
      </c>
      <c r="AC17" s="21" t="s">
        <v>154</v>
      </c>
      <c r="AD17" s="8" t="s">
        <v>4573</v>
      </c>
      <c r="AE17" s="8"/>
      <c r="AF17" s="9">
        <f t="shared" si="0"/>
        <v>20.261999999999997</v>
      </c>
      <c r="AG17" s="9">
        <f t="shared" si="1"/>
        <v>31.569999999999997</v>
      </c>
      <c r="AH17" s="9">
        <f t="shared" si="2"/>
        <v>1.1135481693942975</v>
      </c>
      <c r="AI17" s="9">
        <f t="shared" si="3"/>
        <v>1.2399895255613911</v>
      </c>
      <c r="AJ17" s="9">
        <f t="shared" si="4"/>
        <v>1.2383541416595978</v>
      </c>
      <c r="AK17" s="9">
        <f t="shared" si="5"/>
        <v>1.5335209801654792</v>
      </c>
      <c r="AL17" s="9">
        <f t="shared" si="6"/>
        <v>2.7050941798917614</v>
      </c>
      <c r="AM17" s="9">
        <f t="shared" si="7"/>
        <v>7.3175345220842809</v>
      </c>
      <c r="AN17" s="8" t="s">
        <v>154</v>
      </c>
    </row>
    <row r="18" spans="13:40" ht="23">
      <c r="M18" s="8" t="s">
        <v>16</v>
      </c>
      <c r="N18" s="8" t="s">
        <v>13</v>
      </c>
      <c r="O18" s="8"/>
      <c r="P18" s="8" t="s">
        <v>3691</v>
      </c>
      <c r="Q18" s="8"/>
      <c r="R18" s="8"/>
      <c r="S18" s="8"/>
      <c r="T18" s="8"/>
      <c r="U18" s="8"/>
      <c r="V18" s="8"/>
      <c r="W18" s="8" t="s">
        <v>16</v>
      </c>
      <c r="X18" s="8">
        <v>29.19</v>
      </c>
      <c r="Y18" s="8">
        <v>4.5199999999999996</v>
      </c>
      <c r="Z18" s="9">
        <v>5.43</v>
      </c>
      <c r="AA18" s="8">
        <v>6</v>
      </c>
      <c r="AB18" s="8">
        <v>15480</v>
      </c>
      <c r="AC18" s="21" t="s">
        <v>16</v>
      </c>
      <c r="AD18" s="8" t="s">
        <v>4573</v>
      </c>
      <c r="AE18" s="8"/>
      <c r="AF18" s="9">
        <f t="shared" si="0"/>
        <v>27.119999999999997</v>
      </c>
      <c r="AG18" s="9">
        <f t="shared" si="1"/>
        <v>34.299999999999997</v>
      </c>
      <c r="AH18" s="9">
        <f t="shared" si="2"/>
        <v>1.0123165176311797</v>
      </c>
      <c r="AI18" s="9">
        <f t="shared" si="3"/>
        <v>1.0247847318689185</v>
      </c>
      <c r="AJ18" s="9">
        <f t="shared" si="4"/>
        <v>1.6574950311819314</v>
      </c>
      <c r="AK18" s="9">
        <f t="shared" si="5"/>
        <v>2.7472897783927919</v>
      </c>
      <c r="AL18" s="9">
        <f t="shared" si="6"/>
        <v>2.9390158495498073</v>
      </c>
      <c r="AM18" s="9">
        <f t="shared" si="7"/>
        <v>8.6378141639049755</v>
      </c>
      <c r="AN18" s="8" t="s">
        <v>16</v>
      </c>
    </row>
    <row r="19" spans="13:40" ht="23">
      <c r="M19" s="8" t="s">
        <v>753</v>
      </c>
      <c r="N19" s="8" t="s">
        <v>150</v>
      </c>
      <c r="O19" s="8"/>
      <c r="P19" s="8" t="s">
        <v>3691</v>
      </c>
      <c r="Q19" s="8"/>
      <c r="R19" s="8"/>
      <c r="S19" s="8"/>
      <c r="T19" s="8"/>
      <c r="U19" s="8"/>
      <c r="V19" s="8"/>
      <c r="W19" s="8" t="s">
        <v>753</v>
      </c>
      <c r="X19" s="8">
        <v>15.98</v>
      </c>
      <c r="Y19" s="8">
        <v>4.03</v>
      </c>
      <c r="Z19" s="9">
        <v>4.1100000000000003</v>
      </c>
      <c r="AA19" s="8">
        <v>5.9</v>
      </c>
      <c r="AB19" s="8">
        <v>18815</v>
      </c>
      <c r="AC19" s="21" t="s">
        <v>753</v>
      </c>
      <c r="AD19" s="8" t="s">
        <v>4573</v>
      </c>
      <c r="AE19" s="8"/>
      <c r="AF19" s="9">
        <f t="shared" si="0"/>
        <v>23.777000000000005</v>
      </c>
      <c r="AG19" s="9">
        <f t="shared" si="1"/>
        <v>24.681666666666668</v>
      </c>
      <c r="AH19" s="9">
        <f t="shared" si="2"/>
        <v>0.99544457567066014</v>
      </c>
      <c r="AI19" s="9">
        <f t="shared" si="3"/>
        <v>0.99090990323214057</v>
      </c>
      <c r="AJ19" s="9">
        <f t="shared" si="4"/>
        <v>1.453180654734985</v>
      </c>
      <c r="AK19" s="9">
        <f t="shared" si="5"/>
        <v>2.1117340152959998</v>
      </c>
      <c r="AL19" s="9">
        <f t="shared" si="6"/>
        <v>2.1148632515054957</v>
      </c>
      <c r="AM19" s="9">
        <f t="shared" si="7"/>
        <v>4.4726465725683973</v>
      </c>
      <c r="AN19" s="8" t="s">
        <v>753</v>
      </c>
    </row>
    <row r="20" spans="13:40" ht="23">
      <c r="M20" s="8" t="s">
        <v>1567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1567</v>
      </c>
      <c r="X20" s="8">
        <v>33.950000000000003</v>
      </c>
      <c r="Y20" s="8">
        <v>1.92</v>
      </c>
      <c r="Z20" s="9">
        <v>0.54</v>
      </c>
      <c r="AA20" s="8">
        <v>5.5</v>
      </c>
      <c r="AB20" s="8">
        <v>23658</v>
      </c>
      <c r="AC20" s="21" t="s">
        <v>1567</v>
      </c>
      <c r="AD20" s="8" t="s">
        <v>4573</v>
      </c>
      <c r="AE20" s="8"/>
      <c r="AF20" s="9">
        <f t="shared" si="0"/>
        <v>10.559999999999999</v>
      </c>
      <c r="AG20" s="9">
        <f t="shared" si="1"/>
        <v>4.95</v>
      </c>
      <c r="AH20" s="9">
        <f t="shared" si="2"/>
        <v>0.92795680782858136</v>
      </c>
      <c r="AI20" s="9">
        <f t="shared" si="3"/>
        <v>0.86110383719541073</v>
      </c>
      <c r="AJ20" s="9">
        <f t="shared" si="4"/>
        <v>0.64539629532747778</v>
      </c>
      <c r="AK20" s="9">
        <f t="shared" si="5"/>
        <v>0.41653637802243293</v>
      </c>
      <c r="AL20" s="9">
        <f t="shared" si="6"/>
        <v>0.42414368674261077</v>
      </c>
      <c r="AM20" s="9">
        <f t="shared" si="7"/>
        <v>0.17989786700361393</v>
      </c>
      <c r="AN20" s="8" t="s">
        <v>1567</v>
      </c>
    </row>
    <row r="21" spans="13:40" ht="23">
      <c r="M21" s="8" t="s">
        <v>1711</v>
      </c>
      <c r="N21" s="8" t="s">
        <v>1614</v>
      </c>
      <c r="O21" s="8"/>
      <c r="P21" s="8"/>
      <c r="Q21" s="8"/>
      <c r="R21" s="8"/>
      <c r="S21" s="8"/>
      <c r="T21" s="8"/>
      <c r="U21" s="8"/>
      <c r="V21" s="8"/>
      <c r="W21" s="8" t="s">
        <v>1711</v>
      </c>
      <c r="X21" s="8">
        <v>33.69</v>
      </c>
      <c r="Y21" s="8">
        <v>4.46</v>
      </c>
      <c r="Z21" s="9">
        <v>5.54</v>
      </c>
      <c r="AA21" s="8">
        <v>4.9000000000000004</v>
      </c>
      <c r="AB21" s="8">
        <v>26236</v>
      </c>
      <c r="AC21" s="21" t="s">
        <v>1711</v>
      </c>
      <c r="AD21" s="8" t="s">
        <v>4573</v>
      </c>
      <c r="AE21" s="8"/>
      <c r="AF21" s="9">
        <f t="shared" si="0"/>
        <v>21.854000000000003</v>
      </c>
      <c r="AG21" s="9">
        <f t="shared" si="1"/>
        <v>28.910000000000004</v>
      </c>
      <c r="AH21" s="9">
        <f t="shared" si="2"/>
        <v>0.82672515606546348</v>
      </c>
      <c r="AI21" s="9">
        <f t="shared" si="3"/>
        <v>0.68347448367146491</v>
      </c>
      <c r="AJ21" s="9">
        <f t="shared" si="4"/>
        <v>1.3356525225460891</v>
      </c>
      <c r="AK21" s="9">
        <f t="shared" si="5"/>
        <v>1.7839676609837312</v>
      </c>
      <c r="AL21" s="9">
        <f t="shared" si="6"/>
        <v>2.4771705017634096</v>
      </c>
      <c r="AM21" s="9">
        <f t="shared" si="7"/>
        <v>6.1363736948067826</v>
      </c>
      <c r="AN21" s="8" t="s">
        <v>1711</v>
      </c>
    </row>
    <row r="22" spans="13:40" ht="23">
      <c r="M22" s="8" t="s">
        <v>398</v>
      </c>
      <c r="N22" s="8" t="s">
        <v>150</v>
      </c>
      <c r="O22" s="8"/>
      <c r="P22" s="8" t="s">
        <v>3693</v>
      </c>
      <c r="Q22" s="8"/>
      <c r="R22" s="8"/>
      <c r="S22" s="8"/>
      <c r="T22" s="8"/>
      <c r="U22" s="8"/>
      <c r="V22" s="8"/>
      <c r="W22" s="8" t="s">
        <v>398</v>
      </c>
      <c r="X22" s="8">
        <v>59.75</v>
      </c>
      <c r="Y22" s="8">
        <v>1.9</v>
      </c>
      <c r="Z22" s="9">
        <v>1.4</v>
      </c>
      <c r="AA22" s="8">
        <v>4.9000000000000004</v>
      </c>
      <c r="AB22" s="8">
        <v>23402</v>
      </c>
      <c r="AC22" s="21" t="s">
        <v>398</v>
      </c>
      <c r="AD22" s="8" t="s">
        <v>4573</v>
      </c>
      <c r="AE22" s="8"/>
      <c r="AF22" s="9">
        <f t="shared" si="0"/>
        <v>9.31</v>
      </c>
      <c r="AG22" s="9">
        <f t="shared" si="1"/>
        <v>4.932666666666667</v>
      </c>
      <c r="AH22" s="9">
        <f t="shared" si="2"/>
        <v>0.82672515606546348</v>
      </c>
      <c r="AI22" s="9">
        <f t="shared" si="3"/>
        <v>0.68347448367146491</v>
      </c>
      <c r="AJ22" s="9">
        <f t="shared" si="4"/>
        <v>0.56899995355102451</v>
      </c>
      <c r="AK22" s="9">
        <f t="shared" si="5"/>
        <v>0.32376094714106807</v>
      </c>
      <c r="AL22" s="9">
        <f t="shared" si="6"/>
        <v>0.42265846979240096</v>
      </c>
      <c r="AM22" s="9">
        <f t="shared" si="7"/>
        <v>0.17864018208725391</v>
      </c>
      <c r="AN22" s="8" t="s">
        <v>398</v>
      </c>
    </row>
    <row r="23" spans="13:40" ht="23">
      <c r="M23" s="8" t="s">
        <v>555</v>
      </c>
      <c r="N23" s="8" t="s">
        <v>150</v>
      </c>
      <c r="O23" s="8"/>
      <c r="P23" s="8" t="s">
        <v>3693</v>
      </c>
      <c r="Q23" s="8"/>
      <c r="R23" s="8"/>
      <c r="S23" s="8"/>
      <c r="T23" s="8"/>
      <c r="U23" s="8"/>
      <c r="V23" s="8"/>
      <c r="W23" s="8" t="s">
        <v>555</v>
      </c>
      <c r="X23" s="8">
        <v>15.7</v>
      </c>
      <c r="Y23" s="8">
        <v>5.14</v>
      </c>
      <c r="Z23" s="9">
        <v>5.28</v>
      </c>
      <c r="AA23" s="8">
        <v>3.8</v>
      </c>
      <c r="AB23" s="8">
        <v>22188</v>
      </c>
      <c r="AC23" s="21" t="s">
        <v>555</v>
      </c>
      <c r="AD23" s="8" t="s">
        <v>4573</v>
      </c>
      <c r="AE23" s="8"/>
      <c r="AF23" s="9">
        <f t="shared" si="0"/>
        <v>19.531999999999996</v>
      </c>
      <c r="AG23" s="9">
        <f t="shared" si="1"/>
        <v>20.773333333333333</v>
      </c>
      <c r="AH23" s="9">
        <f t="shared" si="2"/>
        <v>0.64113379449974706</v>
      </c>
      <c r="AI23" s="9">
        <f t="shared" si="3"/>
        <v>0.4110525424496439</v>
      </c>
      <c r="AJ23" s="9">
        <f t="shared" si="4"/>
        <v>1.1937386780621491</v>
      </c>
      <c r="AK23" s="9">
        <f t="shared" si="5"/>
        <v>1.4250120315015671</v>
      </c>
      <c r="AL23" s="9">
        <f t="shared" si="6"/>
        <v>1.7799753910976095</v>
      </c>
      <c r="AM23" s="9">
        <f t="shared" si="7"/>
        <v>3.1683123929130881</v>
      </c>
      <c r="AN23" s="8" t="s">
        <v>555</v>
      </c>
    </row>
    <row r="24" spans="13:40" ht="23">
      <c r="M24" s="9" t="s">
        <v>3575</v>
      </c>
      <c r="N24" s="8" t="s">
        <v>2074</v>
      </c>
      <c r="O24" s="8"/>
      <c r="P24" s="8" t="s">
        <v>3691</v>
      </c>
      <c r="Q24" s="8"/>
      <c r="R24" s="8"/>
      <c r="S24" s="8"/>
      <c r="T24" s="8"/>
      <c r="U24" s="8"/>
      <c r="V24" s="8"/>
      <c r="W24" s="9" t="s">
        <v>3575</v>
      </c>
      <c r="X24" s="8">
        <v>22.5</v>
      </c>
      <c r="Y24" s="8">
        <v>3.16</v>
      </c>
      <c r="Z24" s="9">
        <v>3.02</v>
      </c>
      <c r="AA24" s="8">
        <v>3</v>
      </c>
      <c r="AB24" s="8">
        <v>33526</v>
      </c>
      <c r="AC24" s="22" t="s">
        <v>3575</v>
      </c>
      <c r="AD24" s="8" t="s">
        <v>4573</v>
      </c>
      <c r="AE24" s="8"/>
      <c r="AF24" s="9">
        <f t="shared" si="0"/>
        <v>9.48</v>
      </c>
      <c r="AG24" s="9">
        <f t="shared" si="1"/>
        <v>9.1</v>
      </c>
      <c r="AH24" s="9">
        <f t="shared" si="2"/>
        <v>0.50615825881558985</v>
      </c>
      <c r="AI24" s="9">
        <f t="shared" si="3"/>
        <v>0.25619618296722962</v>
      </c>
      <c r="AJ24" s="9">
        <f t="shared" si="4"/>
        <v>0.57938985603262216</v>
      </c>
      <c r="AK24" s="9">
        <f t="shared" si="5"/>
        <v>0.33569260527350264</v>
      </c>
      <c r="AL24" s="9">
        <f t="shared" si="6"/>
        <v>0.77973889886015302</v>
      </c>
      <c r="AM24" s="9">
        <f t="shared" si="7"/>
        <v>0.60799275039564393</v>
      </c>
      <c r="AN24" s="9" t="s">
        <v>3575</v>
      </c>
    </row>
    <row r="25" spans="13:40" ht="23">
      <c r="M25" s="9" t="s">
        <v>2686</v>
      </c>
      <c r="N25" s="8" t="s">
        <v>150</v>
      </c>
      <c r="O25" s="8"/>
      <c r="P25" s="8" t="s">
        <v>3700</v>
      </c>
      <c r="Q25" s="8"/>
      <c r="R25" s="8"/>
      <c r="S25" s="8"/>
      <c r="T25" s="8"/>
      <c r="U25" s="8"/>
      <c r="V25" s="8"/>
      <c r="W25" s="9" t="s">
        <v>2686</v>
      </c>
      <c r="X25" s="8">
        <v>34.17</v>
      </c>
      <c r="Y25" s="8">
        <v>4.18</v>
      </c>
      <c r="Z25" s="9">
        <v>3.15</v>
      </c>
      <c r="AA25" s="8">
        <v>2.8</v>
      </c>
      <c r="AB25" s="8">
        <v>26194</v>
      </c>
      <c r="AC25" s="22" t="s">
        <v>2686</v>
      </c>
      <c r="AD25" s="8" t="s">
        <v>4573</v>
      </c>
      <c r="AE25" s="8"/>
      <c r="AF25" s="9">
        <f t="shared" si="0"/>
        <v>11.703999999999999</v>
      </c>
      <c r="AG25" s="9">
        <f t="shared" si="1"/>
        <v>9.1</v>
      </c>
      <c r="AH25" s="9">
        <f t="shared" si="2"/>
        <v>0.47241437489455046</v>
      </c>
      <c r="AI25" s="9">
        <f t="shared" si="3"/>
        <v>0.22317534160700886</v>
      </c>
      <c r="AJ25" s="9">
        <f t="shared" si="4"/>
        <v>0.7153142273212878</v>
      </c>
      <c r="AK25" s="9">
        <f t="shared" si="5"/>
        <v>0.511674443808251</v>
      </c>
      <c r="AL25" s="9">
        <f t="shared" si="6"/>
        <v>0.77973889886015302</v>
      </c>
      <c r="AM25" s="9">
        <f t="shared" si="7"/>
        <v>0.60799275039564393</v>
      </c>
      <c r="AN25" s="9" t="s">
        <v>2686</v>
      </c>
    </row>
    <row r="26" spans="13:40" ht="23">
      <c r="M26" s="9" t="s">
        <v>2211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9" t="s">
        <v>2211</v>
      </c>
      <c r="X26" s="8">
        <v>26.35</v>
      </c>
      <c r="Y26" s="8">
        <v>1.96</v>
      </c>
      <c r="Z26" s="9">
        <v>0.41</v>
      </c>
      <c r="AA26" s="8">
        <v>2.7</v>
      </c>
      <c r="AB26" s="8">
        <v>42324</v>
      </c>
      <c r="AC26" s="22" t="s">
        <v>2211</v>
      </c>
      <c r="AD26" s="8" t="s">
        <v>4573</v>
      </c>
      <c r="AE26" s="8"/>
      <c r="AF26" s="9">
        <f t="shared" si="0"/>
        <v>5.2919999999999998</v>
      </c>
      <c r="AG26" s="9">
        <f t="shared" si="1"/>
        <v>1.8450000000000002</v>
      </c>
      <c r="AH26" s="9">
        <f t="shared" si="2"/>
        <v>0.45554243293403091</v>
      </c>
      <c r="AI26" s="9">
        <f t="shared" si="3"/>
        <v>0.20751890820345603</v>
      </c>
      <c r="AJ26" s="9">
        <f t="shared" si="4"/>
        <v>0.32343155254479283</v>
      </c>
      <c r="AK26" s="9">
        <f t="shared" si="5"/>
        <v>0.10460796918153509</v>
      </c>
      <c r="AL26" s="9">
        <f t="shared" si="6"/>
        <v>0.15808991960406402</v>
      </c>
      <c r="AM26" s="9">
        <f t="shared" si="7"/>
        <v>2.4992422680419426E-2</v>
      </c>
      <c r="AN26" s="9" t="s">
        <v>2211</v>
      </c>
    </row>
    <row r="27" spans="13:40" ht="23">
      <c r="M27" s="8" t="s">
        <v>1439</v>
      </c>
      <c r="N27" s="8" t="s">
        <v>150</v>
      </c>
      <c r="O27" s="8"/>
      <c r="P27" s="8"/>
      <c r="Q27" s="8"/>
      <c r="R27" s="8"/>
      <c r="S27" s="8"/>
      <c r="T27" s="8"/>
      <c r="U27" s="8"/>
      <c r="V27" s="8"/>
      <c r="W27" s="8" t="s">
        <v>1439</v>
      </c>
      <c r="X27" s="8">
        <v>46.63</v>
      </c>
      <c r="Y27" s="8">
        <v>1.72</v>
      </c>
      <c r="Z27" s="9">
        <v>0.19</v>
      </c>
      <c r="AA27" s="8">
        <v>2.4</v>
      </c>
      <c r="AB27" s="8">
        <v>41021</v>
      </c>
      <c r="AC27" s="21" t="s">
        <v>1439</v>
      </c>
      <c r="AD27" s="8" t="s">
        <v>4573</v>
      </c>
      <c r="AE27" s="8"/>
      <c r="AF27" s="9">
        <f t="shared" si="0"/>
        <v>4.1280000000000001</v>
      </c>
      <c r="AG27" s="9">
        <f t="shared" si="1"/>
        <v>0.7599999999999999</v>
      </c>
      <c r="AH27" s="9">
        <f t="shared" si="2"/>
        <v>0.4049266070524718</v>
      </c>
      <c r="AI27" s="9">
        <f t="shared" si="3"/>
        <v>0.16396555709902691</v>
      </c>
      <c r="AJ27" s="9">
        <f t="shared" si="4"/>
        <v>0.25229127908255949</v>
      </c>
      <c r="AK27" s="9">
        <f t="shared" si="5"/>
        <v>6.3650889501113916E-2</v>
      </c>
      <c r="AL27" s="9">
        <f t="shared" si="6"/>
        <v>6.5121050893814966E-2</v>
      </c>
      <c r="AM27" s="9">
        <f t="shared" si="7"/>
        <v>4.2407512695148393E-3</v>
      </c>
      <c r="AN27" s="8" t="s">
        <v>1439</v>
      </c>
    </row>
    <row r="28" spans="13:40" ht="23">
      <c r="M28" s="8" t="s">
        <v>889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889</v>
      </c>
      <c r="X28" s="8">
        <v>27.97</v>
      </c>
      <c r="Y28" s="8">
        <v>2.62</v>
      </c>
      <c r="Z28" s="9">
        <v>2.2000000000000002</v>
      </c>
      <c r="AA28" s="8">
        <v>2.2999999999999998</v>
      </c>
      <c r="AB28" s="8">
        <v>46330</v>
      </c>
      <c r="AC28" s="21" t="s">
        <v>889</v>
      </c>
      <c r="AD28" s="8" t="s">
        <v>4573</v>
      </c>
      <c r="AE28" s="8"/>
      <c r="AF28" s="9">
        <f t="shared" si="0"/>
        <v>6.0259999999999998</v>
      </c>
      <c r="AG28" s="9">
        <f t="shared" si="1"/>
        <v>4.6076666666666668</v>
      </c>
      <c r="AH28" s="9">
        <f t="shared" si="2"/>
        <v>0.38805466509195219</v>
      </c>
      <c r="AI28" s="9">
        <f t="shared" si="3"/>
        <v>0.15058642309962716</v>
      </c>
      <c r="AJ28" s="9">
        <f t="shared" si="4"/>
        <v>0.36829148443592624</v>
      </c>
      <c r="AK28" s="9">
        <f t="shared" si="5"/>
        <v>0.13563861750801809</v>
      </c>
      <c r="AL28" s="9">
        <f t="shared" si="6"/>
        <v>0.39481065197596693</v>
      </c>
      <c r="AM28" s="9">
        <f t="shared" si="7"/>
        <v>0.15587545091368807</v>
      </c>
      <c r="AN28" s="8" t="s">
        <v>889</v>
      </c>
    </row>
    <row r="29" spans="13:40" ht="23">
      <c r="M29" s="8" t="s">
        <v>312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312</v>
      </c>
      <c r="X29" s="8">
        <v>59.8</v>
      </c>
      <c r="Y29" s="8">
        <v>1.56</v>
      </c>
      <c r="Z29" s="9">
        <v>0.31</v>
      </c>
      <c r="AA29" s="8">
        <v>2.1</v>
      </c>
      <c r="AB29" s="8">
        <v>51021</v>
      </c>
      <c r="AC29" s="21" t="s">
        <v>312</v>
      </c>
      <c r="AD29" s="8" t="s">
        <v>4573</v>
      </c>
      <c r="AE29" s="8"/>
      <c r="AF29" s="9">
        <f t="shared" si="0"/>
        <v>3.2760000000000002</v>
      </c>
      <c r="AG29" s="9">
        <f t="shared" si="1"/>
        <v>1.0850000000000002</v>
      </c>
      <c r="AH29" s="9">
        <f t="shared" si="2"/>
        <v>0.35431078117091291</v>
      </c>
      <c r="AI29" s="9">
        <f t="shared" si="3"/>
        <v>0.12553612965394254</v>
      </c>
      <c r="AJ29" s="9">
        <f t="shared" si="4"/>
        <v>0.20021953252772889</v>
      </c>
      <c r="AK29" s="9">
        <f t="shared" si="5"/>
        <v>4.0087861205622285E-2</v>
      </c>
      <c r="AL29" s="9">
        <f t="shared" si="6"/>
        <v>9.2968868710249036E-2</v>
      </c>
      <c r="AM29" s="9">
        <f t="shared" si="7"/>
        <v>8.6432105492635219E-3</v>
      </c>
      <c r="AN29" s="8" t="s">
        <v>312</v>
      </c>
    </row>
    <row r="30" spans="13:40" ht="23">
      <c r="M30" s="9" t="s">
        <v>2505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9" t="s">
        <v>2505</v>
      </c>
      <c r="X30" s="8">
        <v>40.82</v>
      </c>
      <c r="Y30" s="8">
        <v>2.79</v>
      </c>
      <c r="Z30" s="9">
        <v>1.42</v>
      </c>
      <c r="AA30" s="8">
        <v>1.8</v>
      </c>
      <c r="AB30" s="8">
        <v>51028</v>
      </c>
      <c r="AC30" s="22" t="s">
        <v>2505</v>
      </c>
      <c r="AD30" s="8" t="s">
        <v>4573</v>
      </c>
      <c r="AE30" s="8"/>
      <c r="AF30" s="9">
        <f t="shared" si="0"/>
        <v>5.0220000000000002</v>
      </c>
      <c r="AG30" s="9">
        <f t="shared" si="1"/>
        <v>3.06</v>
      </c>
      <c r="AH30" s="9">
        <f t="shared" si="2"/>
        <v>0.30369495528935386</v>
      </c>
      <c r="AI30" s="9">
        <f t="shared" si="3"/>
        <v>9.2230625868202645E-2</v>
      </c>
      <c r="AJ30" s="9">
        <f t="shared" si="4"/>
        <v>0.30692994272107893</v>
      </c>
      <c r="AK30" s="9">
        <f t="shared" si="5"/>
        <v>9.4205989738764789E-2</v>
      </c>
      <c r="AL30" s="9">
        <f t="shared" si="6"/>
        <v>0.26219791544088661</v>
      </c>
      <c r="AM30" s="9">
        <f t="shared" si="7"/>
        <v>6.8747746861546319E-2</v>
      </c>
      <c r="AN30" s="9" t="s">
        <v>2505</v>
      </c>
    </row>
    <row r="31" spans="13:40" ht="23">
      <c r="M31" s="9" t="s">
        <v>2935</v>
      </c>
      <c r="N31" s="8" t="s">
        <v>1717</v>
      </c>
      <c r="O31" s="8"/>
      <c r="P31" s="8"/>
      <c r="Q31" s="8"/>
      <c r="R31" s="8"/>
      <c r="S31" s="8"/>
      <c r="T31" s="8"/>
      <c r="U31" s="8"/>
      <c r="V31" s="8"/>
      <c r="W31" s="9" t="s">
        <v>2935</v>
      </c>
      <c r="X31" s="8">
        <v>36.86</v>
      </c>
      <c r="Y31" s="8">
        <v>1.98</v>
      </c>
      <c r="Z31" s="9">
        <v>0.34</v>
      </c>
      <c r="AA31" s="8">
        <v>1.2</v>
      </c>
      <c r="AB31" s="8">
        <v>69110</v>
      </c>
      <c r="AC31" s="22" t="s">
        <v>2935</v>
      </c>
      <c r="AD31" s="8" t="s">
        <v>4573</v>
      </c>
      <c r="AE31" s="8"/>
      <c r="AF31" s="9">
        <f t="shared" si="0"/>
        <v>2.3759999999999999</v>
      </c>
      <c r="AG31" s="9">
        <f t="shared" si="1"/>
        <v>0.67999999999999994</v>
      </c>
      <c r="AH31" s="9">
        <f t="shared" si="2"/>
        <v>0.2024633035262359</v>
      </c>
      <c r="AI31" s="9">
        <f t="shared" si="3"/>
        <v>4.0991389274756727E-2</v>
      </c>
      <c r="AJ31" s="9">
        <f t="shared" si="4"/>
        <v>0.14521416644868251</v>
      </c>
      <c r="AK31" s="9">
        <f t="shared" si="5"/>
        <v>2.1087154137385669E-2</v>
      </c>
      <c r="AL31" s="9">
        <f t="shared" si="6"/>
        <v>5.8266203431308131E-2</v>
      </c>
      <c r="AM31" s="9">
        <f t="shared" si="7"/>
        <v>3.3949504622985834E-3</v>
      </c>
      <c r="AN31" s="9" t="s">
        <v>2935</v>
      </c>
    </row>
    <row r="32" spans="13:40" ht="23">
      <c r="M32" s="9" t="s">
        <v>5111</v>
      </c>
      <c r="N32" s="8"/>
      <c r="O32" s="8"/>
      <c r="P32" s="8" t="s">
        <v>3693</v>
      </c>
      <c r="Q32" s="8"/>
      <c r="R32" s="8"/>
      <c r="S32" s="8"/>
      <c r="T32" s="8"/>
      <c r="U32" s="8"/>
      <c r="V32" s="8"/>
      <c r="W32" s="9" t="s">
        <v>5111</v>
      </c>
      <c r="X32" s="8">
        <v>15.24</v>
      </c>
      <c r="Y32" s="8">
        <v>4.43</v>
      </c>
      <c r="Z32" s="9">
        <v>3.41</v>
      </c>
      <c r="AA32" s="8">
        <v>1.1000000000000001</v>
      </c>
      <c r="AB32" s="8">
        <v>49487</v>
      </c>
      <c r="AC32" s="22" t="s">
        <v>5111</v>
      </c>
      <c r="AD32" s="8" t="s">
        <v>4573</v>
      </c>
      <c r="AE32" s="8"/>
      <c r="AF32" s="9">
        <f t="shared" si="0"/>
        <v>4.8730000000000002</v>
      </c>
      <c r="AG32" s="9">
        <f t="shared" si="1"/>
        <v>4.0516666666666676</v>
      </c>
      <c r="AH32" s="9">
        <f t="shared" si="2"/>
        <v>0.18559136156571629</v>
      </c>
      <c r="AI32" s="9">
        <f t="shared" si="3"/>
        <v>3.4444153487816431E-2</v>
      </c>
      <c r="AJ32" s="9">
        <f t="shared" si="4"/>
        <v>0.29782349878132569</v>
      </c>
      <c r="AK32" s="9">
        <f t="shared" si="5"/>
        <v>8.8698836426350305E-2</v>
      </c>
      <c r="AL32" s="9">
        <f t="shared" si="6"/>
        <v>0.34716946211154442</v>
      </c>
      <c r="AM32" s="9">
        <f t="shared" si="7"/>
        <v>0.12052663542281908</v>
      </c>
      <c r="AN32" s="9" t="s">
        <v>5111</v>
      </c>
    </row>
    <row r="33" spans="13:40" ht="23"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9"/>
      <c r="AA33" s="8">
        <f>SUBTOTAL(109,Table13686[ترافیک کل])</f>
        <v>592.69999999999982</v>
      </c>
      <c r="AB33" s="8"/>
      <c r="AC33" s="21"/>
      <c r="AD33" s="8"/>
      <c r="AE33" s="8"/>
      <c r="AF33" s="9">
        <f>SUBTOTAL(109,Table13686[[مجموع صفحات  مشاهده شده   ]])</f>
        <v>1636.2039999999993</v>
      </c>
      <c r="AG33" s="9">
        <f>SUBTOTAL(109,Table13686[[مجموع زمان حضور در سایت ]])</f>
        <v>1167.0573333333334</v>
      </c>
      <c r="AH33" s="9">
        <f>SUBTOTAL(109,Table13686[سهم سایت از کل ترافیک طبقه بندی])</f>
        <v>100.00000000000003</v>
      </c>
      <c r="AI33" s="9">
        <f>SUBTOTAL(109,Table13686[شاخص هرفیندال هیرشمن (ترافیک)])</f>
        <v>1109.3861200707831</v>
      </c>
      <c r="AJ33" s="9">
        <f>SUBTOTAL(109,Table13686[سهم سایت از کل صفحات مشاهده شده در طبقه بندی])</f>
        <v>100.00000000000001</v>
      </c>
      <c r="AK33" s="9">
        <f>SUBTOTAL(109,Table13686[شاخص هرفیندال -هیرشمن (صفحات مشاهده شده )])</f>
        <v>1314.6230085634027</v>
      </c>
      <c r="AL33" s="9">
        <f>SUBTOTAL(109,Table13686[سهم سایت از کل زمان حضور در طبقه بندی])</f>
        <v>100</v>
      </c>
      <c r="AM33" s="9">
        <f>SUBTOTAL(109,Table13686[شاخص هرفیندال هیرشمن (زمان حضور)])</f>
        <v>1134.9630101744895</v>
      </c>
      <c r="AN33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{3C83AD89-6C47-4C38-B3DE-611E90D2E8C2}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{63D87B31-D4A9-46DE-BE5F-B20022399475}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{24636319-0CF4-4921-9BFB-6B0239D24249}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{78FD2CDF-0F26-4EF2-A4E0-C3D9F42EBC67}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{2D3A262D-4EB3-42A2-BF11-FDDAAE8308C5}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{9EE4DD4E-0812-4459-9286-9EA7C6673558}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C83AD89-6C47-4C38-B3DE-611E90D2E8C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63D87B31-D4A9-46DE-BE5F-B200223994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4636319-0CF4-4921-9BFB-6B0239D2424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8FD2CDF-0F26-4EF2-A4E0-C3D9F42EBC6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D3A262D-4EB3-42A2-BF11-FDDAAE8308C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9EE4DD4E-0812-4459-9286-9EA7C667355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64"/>
  <sheetViews>
    <sheetView showGridLines="0" rightToLeft="1" topLeftCell="V1" zoomScale="70" zoomScaleNormal="70" workbookViewId="0">
      <selection activeCell="AC1" sqref="AC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35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2643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9" t="s">
        <v>2643</v>
      </c>
      <c r="X2" s="8">
        <v>78.11</v>
      </c>
      <c r="Y2" s="8">
        <v>1.47</v>
      </c>
      <c r="Z2" s="9">
        <v>0.5</v>
      </c>
      <c r="AA2" s="8">
        <v>1257.5</v>
      </c>
      <c r="AB2" s="8">
        <v>2552</v>
      </c>
      <c r="AC2" s="22" t="s">
        <v>2643</v>
      </c>
      <c r="AD2" s="8" t="s">
        <v>4205</v>
      </c>
      <c r="AE2" s="8" t="s">
        <v>4649</v>
      </c>
      <c r="AF2" s="9">
        <f t="shared" ref="AF2:AF33" si="0">(AA2*Y2)</f>
        <v>1848.5249999999999</v>
      </c>
      <c r="AG2" s="9">
        <f t="shared" ref="AG2:AG33" si="1">((((RIGHT(Z2,2))/60)+(LEFT(Z2,2)))*AA2)</f>
        <v>10.479166666666666</v>
      </c>
      <c r="AH2" s="9">
        <f t="shared" ref="AH2:AH33" si="2">(AA2/$AA$64)*100</f>
        <v>29.873616192331436</v>
      </c>
      <c r="AI2" s="9">
        <f t="shared" ref="AI2:AI33" si="3">(AH2*AH2)</f>
        <v>892.43294440672696</v>
      </c>
      <c r="AJ2" s="9">
        <f t="shared" ref="AJ2:AJ33" si="4">(AF2/$AF$64)*100</f>
        <v>18.421474854055266</v>
      </c>
      <c r="AK2" s="9">
        <f t="shared" ref="AK2:AK33" si="5">(AJ2*AJ2)</f>
        <v>339.35073579859045</v>
      </c>
      <c r="AL2" s="9">
        <f t="shared" ref="AL2:AL33" si="6">(AG2/$AG$64)*100</f>
        <v>0.20622637355046633</v>
      </c>
      <c r="AM2" s="9">
        <f t="shared" ref="AM2:AM33" si="7">(AL2*AL2)</f>
        <v>4.2529317147776476E-2</v>
      </c>
      <c r="AN2" s="9" t="s">
        <v>2643</v>
      </c>
    </row>
    <row r="3" spans="8:40" ht="23">
      <c r="M3" s="8" t="s">
        <v>86</v>
      </c>
      <c r="N3" s="8" t="s">
        <v>90</v>
      </c>
      <c r="O3" s="8"/>
      <c r="P3" s="8"/>
      <c r="Q3" s="8"/>
      <c r="R3" s="8"/>
      <c r="S3" s="8"/>
      <c r="T3" s="8"/>
      <c r="U3" s="8"/>
      <c r="V3" s="8"/>
      <c r="W3" s="8" t="s">
        <v>86</v>
      </c>
      <c r="X3" s="8">
        <v>79.95</v>
      </c>
      <c r="Y3" s="8">
        <v>1.1000000000000001</v>
      </c>
      <c r="Z3" s="9">
        <v>0.19</v>
      </c>
      <c r="AA3" s="8">
        <v>637.20000000000005</v>
      </c>
      <c r="AB3" s="8">
        <v>4872</v>
      </c>
      <c r="AC3" s="21" t="s">
        <v>86</v>
      </c>
      <c r="AD3" s="8" t="s">
        <v>4366</v>
      </c>
      <c r="AE3" s="8" t="s">
        <v>4649</v>
      </c>
      <c r="AF3" s="9">
        <f t="shared" si="0"/>
        <v>700.92000000000007</v>
      </c>
      <c r="AG3" s="9">
        <f t="shared" si="1"/>
        <v>201.78</v>
      </c>
      <c r="AH3" s="9">
        <f t="shared" si="2"/>
        <v>15.137549294436258</v>
      </c>
      <c r="AI3" s="9">
        <f t="shared" si="3"/>
        <v>229.14539864148767</v>
      </c>
      <c r="AJ3" s="9">
        <f t="shared" si="4"/>
        <v>6.9850178681405017</v>
      </c>
      <c r="AK3" s="9">
        <f t="shared" si="5"/>
        <v>48.790474618242079</v>
      </c>
      <c r="AL3" s="9">
        <f t="shared" si="6"/>
        <v>3.970960571452542</v>
      </c>
      <c r="AM3" s="9">
        <f t="shared" si="7"/>
        <v>15.7685278600307</v>
      </c>
      <c r="AN3" s="8" t="s">
        <v>86</v>
      </c>
    </row>
    <row r="4" spans="8:40" ht="23">
      <c r="M4" s="8" t="s">
        <v>1926</v>
      </c>
      <c r="N4" s="8" t="s">
        <v>1902</v>
      </c>
      <c r="O4" s="8"/>
      <c r="P4" s="8" t="s">
        <v>3700</v>
      </c>
      <c r="Q4" s="8"/>
      <c r="R4" s="8"/>
      <c r="S4" s="8"/>
      <c r="T4" s="8"/>
      <c r="U4" s="8"/>
      <c r="V4" s="8"/>
      <c r="W4" s="8" t="s">
        <v>1926</v>
      </c>
      <c r="X4" s="8">
        <v>34.74</v>
      </c>
      <c r="Y4" s="8">
        <v>2.41</v>
      </c>
      <c r="Z4" s="9">
        <v>2.35</v>
      </c>
      <c r="AA4" s="8">
        <v>538.20000000000005</v>
      </c>
      <c r="AB4" s="8">
        <v>1493</v>
      </c>
      <c r="AC4" s="21" t="s">
        <v>1926</v>
      </c>
      <c r="AD4" s="8" t="s">
        <v>4199</v>
      </c>
      <c r="AE4" s="8" t="s">
        <v>4649</v>
      </c>
      <c r="AF4" s="9">
        <f t="shared" si="0"/>
        <v>1297.0620000000001</v>
      </c>
      <c r="AG4" s="9">
        <f t="shared" si="1"/>
        <v>1390.3500000000001</v>
      </c>
      <c r="AH4" s="9">
        <f t="shared" si="2"/>
        <v>12.785670166769608</v>
      </c>
      <c r="AI4" s="9">
        <f t="shared" si="3"/>
        <v>163.47336161342236</v>
      </c>
      <c r="AJ4" s="9">
        <f t="shared" si="4"/>
        <v>12.925870635858663</v>
      </c>
      <c r="AK4" s="9">
        <f t="shared" si="5"/>
        <v>167.07813169495324</v>
      </c>
      <c r="AL4" s="9">
        <f t="shared" si="6"/>
        <v>27.361606851615832</v>
      </c>
      <c r="AM4" s="9">
        <f t="shared" si="7"/>
        <v>748.6575295023905</v>
      </c>
      <c r="AN4" s="8" t="s">
        <v>1926</v>
      </c>
    </row>
    <row r="5" spans="8:40" ht="23">
      <c r="M5" s="8" t="s">
        <v>771</v>
      </c>
      <c r="N5" s="8" t="s">
        <v>150</v>
      </c>
      <c r="O5" s="8"/>
      <c r="P5" s="8" t="s">
        <v>4676</v>
      </c>
      <c r="Q5" s="8"/>
      <c r="R5" s="8"/>
      <c r="S5" s="8"/>
      <c r="T5" s="8"/>
      <c r="U5" s="8"/>
      <c r="V5" s="8"/>
      <c r="W5" s="8" t="s">
        <v>771</v>
      </c>
      <c r="X5" s="8">
        <v>28.19</v>
      </c>
      <c r="Y5" s="8">
        <v>2.56</v>
      </c>
      <c r="Z5" s="9">
        <v>1.0900000000000001</v>
      </c>
      <c r="AA5" s="8">
        <v>237.4</v>
      </c>
      <c r="AB5" s="8">
        <v>1373</v>
      </c>
      <c r="AC5" s="21" t="s">
        <v>771</v>
      </c>
      <c r="AD5" s="8" t="s">
        <v>4199</v>
      </c>
      <c r="AE5" s="8" t="s">
        <v>4649</v>
      </c>
      <c r="AF5" s="9">
        <f t="shared" si="0"/>
        <v>607.74400000000003</v>
      </c>
      <c r="AG5" s="9">
        <f t="shared" si="1"/>
        <v>273.01</v>
      </c>
      <c r="AH5" s="9">
        <f t="shared" si="2"/>
        <v>5.6397586354349771</v>
      </c>
      <c r="AI5" s="9">
        <f t="shared" si="3"/>
        <v>31.806877465963396</v>
      </c>
      <c r="AJ5" s="9">
        <f t="shared" si="4"/>
        <v>6.0564724922318964</v>
      </c>
      <c r="AK5" s="9">
        <f t="shared" si="5"/>
        <v>36.68085904916164</v>
      </c>
      <c r="AL5" s="9">
        <f t="shared" si="6"/>
        <v>5.3727423214008247</v>
      </c>
      <c r="AM5" s="9">
        <f t="shared" si="7"/>
        <v>28.866360052171522</v>
      </c>
      <c r="AN5" s="8" t="s">
        <v>771</v>
      </c>
    </row>
    <row r="6" spans="8:40" ht="23">
      <c r="M6" s="8" t="s">
        <v>1332</v>
      </c>
      <c r="N6" s="8" t="s">
        <v>150</v>
      </c>
      <c r="O6" s="8"/>
      <c r="P6" s="8" t="s">
        <v>3691</v>
      </c>
      <c r="Q6" s="8"/>
      <c r="R6" s="8"/>
      <c r="S6" s="8"/>
      <c r="T6" s="8"/>
      <c r="U6" s="8"/>
      <c r="V6" s="8"/>
      <c r="W6" s="8" t="s">
        <v>1332</v>
      </c>
      <c r="X6" s="8">
        <v>9.36</v>
      </c>
      <c r="Y6" s="8">
        <v>2.69</v>
      </c>
      <c r="Z6" s="9">
        <v>0.09</v>
      </c>
      <c r="AA6" s="8">
        <v>232</v>
      </c>
      <c r="AB6" s="8">
        <v>20973</v>
      </c>
      <c r="AC6" s="21" t="s">
        <v>1332</v>
      </c>
      <c r="AD6" s="8" t="s">
        <v>4027</v>
      </c>
      <c r="AE6" s="8" t="s">
        <v>4649</v>
      </c>
      <c r="AF6" s="9">
        <f t="shared" si="0"/>
        <v>624.08000000000004</v>
      </c>
      <c r="AG6" s="9">
        <f t="shared" si="1"/>
        <v>34.799999999999997</v>
      </c>
      <c r="AH6" s="9">
        <f t="shared" si="2"/>
        <v>5.5114743193804321</v>
      </c>
      <c r="AI6" s="9">
        <f t="shared" si="3"/>
        <v>30.376349173189997</v>
      </c>
      <c r="AJ6" s="9">
        <f t="shared" si="4"/>
        <v>6.2192688910990181</v>
      </c>
      <c r="AK6" s="9">
        <f t="shared" si="5"/>
        <v>38.679305539792011</v>
      </c>
      <c r="AL6" s="9">
        <f t="shared" si="6"/>
        <v>0.68485195701530599</v>
      </c>
      <c r="AM6" s="9">
        <f t="shared" si="7"/>
        <v>0.46902220302769454</v>
      </c>
      <c r="AN6" s="8" t="s">
        <v>1332</v>
      </c>
    </row>
    <row r="7" spans="8:40" ht="23">
      <c r="M7" s="8" t="s">
        <v>1009</v>
      </c>
      <c r="N7" s="8" t="s">
        <v>150</v>
      </c>
      <c r="O7" s="8"/>
      <c r="P7" s="8"/>
      <c r="Q7" s="8"/>
      <c r="R7" s="8"/>
      <c r="S7" s="8"/>
      <c r="T7" s="8"/>
      <c r="U7" s="8"/>
      <c r="V7" s="8"/>
      <c r="W7" s="8" t="s">
        <v>1009</v>
      </c>
      <c r="X7" s="8">
        <v>27.51</v>
      </c>
      <c r="Y7" s="8">
        <v>1.31</v>
      </c>
      <c r="Z7" s="9">
        <v>0.39</v>
      </c>
      <c r="AA7" s="8">
        <v>207.5</v>
      </c>
      <c r="AB7" s="8">
        <v>5752</v>
      </c>
      <c r="AC7" s="21" t="s">
        <v>1009</v>
      </c>
      <c r="AD7" s="8" t="s">
        <v>4039</v>
      </c>
      <c r="AE7" s="8" t="s">
        <v>4649</v>
      </c>
      <c r="AF7" s="9">
        <f t="shared" si="0"/>
        <v>271.82499999999999</v>
      </c>
      <c r="AG7" s="9">
        <f t="shared" si="1"/>
        <v>134.875</v>
      </c>
      <c r="AH7" s="9">
        <f t="shared" si="2"/>
        <v>4.9294436261699985</v>
      </c>
      <c r="AI7" s="9">
        <f t="shared" si="3"/>
        <v>24.299414463588025</v>
      </c>
      <c r="AJ7" s="9">
        <f t="shared" si="4"/>
        <v>2.7088718855322882</v>
      </c>
      <c r="AK7" s="9">
        <f t="shared" si="5"/>
        <v>7.3379868922272546</v>
      </c>
      <c r="AL7" s="9">
        <f t="shared" si="6"/>
        <v>2.6542933247827416</v>
      </c>
      <c r="AM7" s="9">
        <f t="shared" si="7"/>
        <v>7.0452730539862207</v>
      </c>
      <c r="AN7" s="8" t="s">
        <v>1009</v>
      </c>
    </row>
    <row r="8" spans="8:40" ht="23">
      <c r="M8" s="9" t="s">
        <v>3277</v>
      </c>
      <c r="N8" s="8" t="s">
        <v>1939</v>
      </c>
      <c r="O8" s="8"/>
      <c r="P8" s="8"/>
      <c r="Q8" s="8"/>
      <c r="R8" s="8"/>
      <c r="S8" s="8"/>
      <c r="T8" s="8"/>
      <c r="U8" s="8"/>
      <c r="V8" s="8"/>
      <c r="W8" s="9" t="s">
        <v>3277</v>
      </c>
      <c r="X8" s="8">
        <v>17.420000000000002</v>
      </c>
      <c r="Y8" s="8">
        <v>1.86</v>
      </c>
      <c r="Z8" s="9">
        <v>0.06</v>
      </c>
      <c r="AA8" s="8">
        <v>128.19999999999999</v>
      </c>
      <c r="AB8" s="8">
        <v>7915</v>
      </c>
      <c r="AC8" s="22" t="s">
        <v>3277</v>
      </c>
      <c r="AD8" s="8" t="s">
        <v>4199</v>
      </c>
      <c r="AE8" s="8" t="s">
        <v>4649</v>
      </c>
      <c r="AF8" s="9">
        <f t="shared" si="0"/>
        <v>238.452</v>
      </c>
      <c r="AG8" s="9">
        <f t="shared" si="1"/>
        <v>12.82</v>
      </c>
      <c r="AH8" s="9">
        <f t="shared" si="2"/>
        <v>3.0455646885541867</v>
      </c>
      <c r="AI8" s="9">
        <f t="shared" si="3"/>
        <v>9.2754642721681595</v>
      </c>
      <c r="AJ8" s="9">
        <f t="shared" si="4"/>
        <v>2.3762932726899484</v>
      </c>
      <c r="AK8" s="9">
        <f t="shared" si="5"/>
        <v>5.6467697178315053</v>
      </c>
      <c r="AL8" s="9">
        <f t="shared" si="6"/>
        <v>0.25229316347517888</v>
      </c>
      <c r="AM8" s="9">
        <f t="shared" si="7"/>
        <v>6.3651840336313339E-2</v>
      </c>
      <c r="AN8" s="9" t="s">
        <v>3277</v>
      </c>
    </row>
    <row r="9" spans="8:40" ht="23">
      <c r="M9" s="9" t="s">
        <v>3285</v>
      </c>
      <c r="N9" s="8" t="s">
        <v>1939</v>
      </c>
      <c r="O9" s="8"/>
      <c r="P9" s="8"/>
      <c r="Q9" s="8"/>
      <c r="R9" s="8"/>
      <c r="S9" s="8"/>
      <c r="T9" s="8"/>
      <c r="U9" s="8"/>
      <c r="V9" s="8"/>
      <c r="W9" s="9" t="s">
        <v>3285</v>
      </c>
      <c r="X9" s="8">
        <v>23.93</v>
      </c>
      <c r="Y9" s="8">
        <v>2.12</v>
      </c>
      <c r="Z9" s="9">
        <v>0.45</v>
      </c>
      <c r="AA9" s="8">
        <v>104.9</v>
      </c>
      <c r="AB9" s="8">
        <v>5858</v>
      </c>
      <c r="AC9" s="22" t="s">
        <v>3285</v>
      </c>
      <c r="AD9" s="8" t="s">
        <v>4181</v>
      </c>
      <c r="AE9" s="8" t="s">
        <v>4649</v>
      </c>
      <c r="AF9" s="9">
        <f t="shared" si="0"/>
        <v>222.38800000000003</v>
      </c>
      <c r="AG9" s="9">
        <f t="shared" si="1"/>
        <v>78.675000000000011</v>
      </c>
      <c r="AH9" s="9">
        <f t="shared" si="2"/>
        <v>2.4920416211336525</v>
      </c>
      <c r="AI9" s="9">
        <f t="shared" si="3"/>
        <v>6.2102714414624423</v>
      </c>
      <c r="AJ9" s="9">
        <f t="shared" si="4"/>
        <v>2.2162074896707611</v>
      </c>
      <c r="AK9" s="9">
        <f t="shared" si="5"/>
        <v>4.9115756372727768</v>
      </c>
      <c r="AL9" s="9">
        <f t="shared" si="6"/>
        <v>1.548296773510897</v>
      </c>
      <c r="AM9" s="9">
        <f t="shared" si="7"/>
        <v>2.3972228988642539</v>
      </c>
      <c r="AN9" s="9" t="s">
        <v>3285</v>
      </c>
    </row>
    <row r="10" spans="8:40" ht="23">
      <c r="M10" s="9" t="s">
        <v>2752</v>
      </c>
      <c r="N10" s="8" t="s">
        <v>1614</v>
      </c>
      <c r="O10" s="8"/>
      <c r="P10" s="8" t="s">
        <v>3691</v>
      </c>
      <c r="Q10" s="8"/>
      <c r="R10" s="8"/>
      <c r="S10" s="8"/>
      <c r="T10" s="8"/>
      <c r="U10" s="8"/>
      <c r="V10" s="8"/>
      <c r="W10" s="9" t="s">
        <v>2752</v>
      </c>
      <c r="X10" s="8">
        <v>35.22</v>
      </c>
      <c r="Y10" s="8">
        <v>1.19</v>
      </c>
      <c r="Z10" s="9">
        <v>0.22</v>
      </c>
      <c r="AA10" s="8">
        <v>91.7</v>
      </c>
      <c r="AB10" s="8">
        <v>24346</v>
      </c>
      <c r="AC10" s="22" t="s">
        <v>2752</v>
      </c>
      <c r="AD10" s="8" t="s">
        <v>4199</v>
      </c>
      <c r="AE10" s="8" t="s">
        <v>4649</v>
      </c>
      <c r="AF10" s="9">
        <f t="shared" si="0"/>
        <v>109.123</v>
      </c>
      <c r="AG10" s="9">
        <f t="shared" si="1"/>
        <v>33.623333333333335</v>
      </c>
      <c r="AH10" s="9">
        <f t="shared" si="2"/>
        <v>2.1784577374447656</v>
      </c>
      <c r="AI10" s="9">
        <f t="shared" si="3"/>
        <v>4.7456781138329669</v>
      </c>
      <c r="AJ10" s="9">
        <f t="shared" si="4"/>
        <v>1.0874651954932031</v>
      </c>
      <c r="AK10" s="9">
        <f t="shared" si="5"/>
        <v>1.1825805514090704</v>
      </c>
      <c r="AL10" s="9">
        <f t="shared" si="6"/>
        <v>0.6616955642158423</v>
      </c>
      <c r="AM10" s="9">
        <f t="shared" si="7"/>
        <v>0.43784101970292189</v>
      </c>
      <c r="AN10" s="9" t="s">
        <v>2752</v>
      </c>
    </row>
    <row r="11" spans="8:40" ht="23">
      <c r="M11" s="8" t="s">
        <v>387</v>
      </c>
      <c r="N11" s="8" t="s">
        <v>150</v>
      </c>
      <c r="O11" s="8"/>
      <c r="P11" s="8" t="s">
        <v>3691</v>
      </c>
      <c r="Q11" s="8"/>
      <c r="R11" s="8"/>
      <c r="S11" s="8"/>
      <c r="T11" s="8"/>
      <c r="U11" s="8"/>
      <c r="V11" s="8"/>
      <c r="W11" s="8" t="s">
        <v>387</v>
      </c>
      <c r="X11" s="8">
        <v>30.7</v>
      </c>
      <c r="Y11" s="8">
        <v>1.82</v>
      </c>
      <c r="Z11" s="9">
        <v>1.56</v>
      </c>
      <c r="AA11" s="8">
        <v>85.4</v>
      </c>
      <c r="AB11" s="8">
        <v>4358</v>
      </c>
      <c r="AC11" s="21" t="s">
        <v>387</v>
      </c>
      <c r="AD11" s="8" t="s">
        <v>4039</v>
      </c>
      <c r="AE11" s="8" t="s">
        <v>4649</v>
      </c>
      <c r="AF11" s="9">
        <f t="shared" si="0"/>
        <v>155.42800000000003</v>
      </c>
      <c r="AG11" s="9">
        <f t="shared" si="1"/>
        <v>165.10666666666668</v>
      </c>
      <c r="AH11" s="9">
        <f t="shared" si="2"/>
        <v>2.0287927020477969</v>
      </c>
      <c r="AI11" s="9">
        <f t="shared" si="3"/>
        <v>4.1159998278824013</v>
      </c>
      <c r="AJ11" s="9">
        <f t="shared" si="4"/>
        <v>1.5489176471057209</v>
      </c>
      <c r="AK11" s="9">
        <f t="shared" si="5"/>
        <v>2.3991458775155223</v>
      </c>
      <c r="AL11" s="9">
        <f t="shared" si="6"/>
        <v>3.2492420627281748</v>
      </c>
      <c r="AM11" s="9">
        <f t="shared" si="7"/>
        <v>10.557573982202044</v>
      </c>
      <c r="AN11" s="8" t="s">
        <v>387</v>
      </c>
    </row>
    <row r="12" spans="8:40" ht="23">
      <c r="M12" s="8" t="s">
        <v>1134</v>
      </c>
      <c r="N12" s="8" t="s">
        <v>150</v>
      </c>
      <c r="O12" s="8"/>
      <c r="P12" s="8"/>
      <c r="Q12" s="8"/>
      <c r="R12" s="8"/>
      <c r="S12" s="8"/>
      <c r="T12" s="8"/>
      <c r="U12" s="8"/>
      <c r="V12" s="8"/>
      <c r="W12" s="8" t="s">
        <v>1134</v>
      </c>
      <c r="X12" s="8">
        <v>45.67</v>
      </c>
      <c r="Y12" s="8">
        <v>1.0900000000000001</v>
      </c>
      <c r="Z12" s="9">
        <v>0.08</v>
      </c>
      <c r="AA12" s="8">
        <v>73</v>
      </c>
      <c r="AB12" s="8">
        <v>19538</v>
      </c>
      <c r="AC12" s="21" t="s">
        <v>1134</v>
      </c>
      <c r="AD12" s="8" t="s">
        <v>4199</v>
      </c>
      <c r="AE12" s="8" t="s">
        <v>4649</v>
      </c>
      <c r="AF12" s="9">
        <f t="shared" si="0"/>
        <v>79.570000000000007</v>
      </c>
      <c r="AG12" s="9">
        <f t="shared" si="1"/>
        <v>9.7333333333333325</v>
      </c>
      <c r="AH12" s="9">
        <f t="shared" si="2"/>
        <v>1.7342139022188432</v>
      </c>
      <c r="AI12" s="9">
        <f t="shared" si="3"/>
        <v>3.0074978586491072</v>
      </c>
      <c r="AJ12" s="9">
        <f t="shared" si="4"/>
        <v>0.79295479051523665</v>
      </c>
      <c r="AK12" s="9">
        <f t="shared" si="5"/>
        <v>0.62877729980106289</v>
      </c>
      <c r="AL12" s="9">
        <f t="shared" si="6"/>
        <v>0.191548631655622</v>
      </c>
      <c r="AM12" s="9">
        <f t="shared" si="7"/>
        <v>3.6690878289141152E-2</v>
      </c>
      <c r="AN12" s="8" t="s">
        <v>1134</v>
      </c>
    </row>
    <row r="13" spans="8:40" ht="23">
      <c r="M13" s="9" t="s">
        <v>3241</v>
      </c>
      <c r="N13" s="8" t="s">
        <v>1902</v>
      </c>
      <c r="O13" s="8"/>
      <c r="P13" s="8"/>
      <c r="Q13" s="8"/>
      <c r="R13" s="8"/>
      <c r="S13" s="8"/>
      <c r="T13" s="8"/>
      <c r="U13" s="8"/>
      <c r="V13" s="8"/>
      <c r="W13" s="9" t="s">
        <v>3241</v>
      </c>
      <c r="X13" s="8">
        <v>12.63</v>
      </c>
      <c r="Y13" s="8">
        <v>5.53</v>
      </c>
      <c r="Z13" s="9">
        <v>2.56</v>
      </c>
      <c r="AA13" s="8">
        <v>71.2</v>
      </c>
      <c r="AB13" s="8">
        <v>5608</v>
      </c>
      <c r="AC13" s="22" t="s">
        <v>3241</v>
      </c>
      <c r="AD13" s="8" t="s">
        <v>4199</v>
      </c>
      <c r="AE13" s="8" t="s">
        <v>4649</v>
      </c>
      <c r="AF13" s="9">
        <f t="shared" si="0"/>
        <v>393.73600000000005</v>
      </c>
      <c r="AG13" s="9">
        <f t="shared" si="1"/>
        <v>208.85333333333335</v>
      </c>
      <c r="AH13" s="9">
        <f t="shared" si="2"/>
        <v>1.6914524635339947</v>
      </c>
      <c r="AI13" s="9">
        <f t="shared" si="3"/>
        <v>2.8610114363952195</v>
      </c>
      <c r="AJ13" s="9">
        <f t="shared" si="4"/>
        <v>3.9237758878761748</v>
      </c>
      <c r="AK13" s="9">
        <f t="shared" si="5"/>
        <v>15.396017218278464</v>
      </c>
      <c r="AL13" s="9">
        <f t="shared" si="6"/>
        <v>4.1101613236351549</v>
      </c>
      <c r="AM13" s="9">
        <f t="shared" si="7"/>
        <v>16.89342610630629</v>
      </c>
      <c r="AN13" s="9" t="s">
        <v>3241</v>
      </c>
    </row>
    <row r="14" spans="8:40" ht="23">
      <c r="M14" s="9" t="s">
        <v>2674</v>
      </c>
      <c r="N14" s="8" t="s">
        <v>150</v>
      </c>
      <c r="O14" s="8"/>
      <c r="P14" s="8"/>
      <c r="Q14" s="8"/>
      <c r="R14" s="8"/>
      <c r="S14" s="8"/>
      <c r="T14" s="8"/>
      <c r="U14" s="8"/>
      <c r="V14" s="8"/>
      <c r="W14" s="9" t="s">
        <v>2674</v>
      </c>
      <c r="X14" s="8">
        <v>42.95</v>
      </c>
      <c r="Y14" s="8">
        <v>1.1399999999999999</v>
      </c>
      <c r="Z14" s="9">
        <v>0.19</v>
      </c>
      <c r="AA14" s="8">
        <v>53.7</v>
      </c>
      <c r="AB14" s="8">
        <v>21496</v>
      </c>
      <c r="AC14" s="22" t="s">
        <v>2674</v>
      </c>
      <c r="AD14" s="8" t="s">
        <v>4039</v>
      </c>
      <c r="AE14" s="8" t="s">
        <v>4649</v>
      </c>
      <c r="AF14" s="9">
        <f t="shared" si="0"/>
        <v>61.217999999999996</v>
      </c>
      <c r="AG14" s="9">
        <f t="shared" si="1"/>
        <v>17.004999999999999</v>
      </c>
      <c r="AH14" s="9">
        <f t="shared" si="2"/>
        <v>1.2757162540979707</v>
      </c>
      <c r="AI14" s="9">
        <f t="shared" si="3"/>
        <v>1.6274519609697582</v>
      </c>
      <c r="AJ14" s="9">
        <f t="shared" si="4"/>
        <v>0.61006794477518855</v>
      </c>
      <c r="AK14" s="9">
        <f t="shared" si="5"/>
        <v>0.37218289724222253</v>
      </c>
      <c r="AL14" s="9">
        <f t="shared" si="6"/>
        <v>0.3346525152024506</v>
      </c>
      <c r="AM14" s="9">
        <f t="shared" si="7"/>
        <v>0.11199230593132643</v>
      </c>
      <c r="AN14" s="9" t="s">
        <v>2674</v>
      </c>
    </row>
    <row r="15" spans="8:40" ht="23">
      <c r="M15" s="9" t="s">
        <v>3339</v>
      </c>
      <c r="N15" s="8" t="s">
        <v>1964</v>
      </c>
      <c r="O15" s="8"/>
      <c r="P15" s="8"/>
      <c r="Q15" s="8"/>
      <c r="R15" s="8"/>
      <c r="S15" s="8"/>
      <c r="T15" s="8"/>
      <c r="U15" s="8"/>
      <c r="V15" s="8"/>
      <c r="W15" s="9" t="s">
        <v>3339</v>
      </c>
      <c r="X15" s="8">
        <v>8.1</v>
      </c>
      <c r="Y15" s="8">
        <v>2.63</v>
      </c>
      <c r="Z15" s="9">
        <v>0.44</v>
      </c>
      <c r="AA15" s="8">
        <v>45.5</v>
      </c>
      <c r="AB15" s="8">
        <v>9760</v>
      </c>
      <c r="AC15" s="22" t="s">
        <v>3339</v>
      </c>
      <c r="AD15" s="8" t="s">
        <v>4181</v>
      </c>
      <c r="AE15" s="8" t="s">
        <v>4649</v>
      </c>
      <c r="AF15" s="9">
        <f t="shared" si="0"/>
        <v>119.66499999999999</v>
      </c>
      <c r="AG15" s="9">
        <f t="shared" si="1"/>
        <v>33.366666666666667</v>
      </c>
      <c r="AH15" s="9">
        <f t="shared" si="2"/>
        <v>1.0809141445336623</v>
      </c>
      <c r="AI15" s="9">
        <f t="shared" si="3"/>
        <v>1.168375387852939</v>
      </c>
      <c r="AJ15" s="9">
        <f t="shared" si="4"/>
        <v>1.1925214905995449</v>
      </c>
      <c r="AK15" s="9">
        <f t="shared" si="5"/>
        <v>1.4221075055417605</v>
      </c>
      <c r="AL15" s="9">
        <f t="shared" si="6"/>
        <v>0.65664445303862207</v>
      </c>
      <c r="AM15" s="9">
        <f t="shared" si="7"/>
        <v>0.43118193770639113</v>
      </c>
      <c r="AN15" s="9" t="s">
        <v>3339</v>
      </c>
    </row>
    <row r="16" spans="8:40" ht="23">
      <c r="M16" s="8" t="s">
        <v>916</v>
      </c>
      <c r="N16" s="8" t="s">
        <v>150</v>
      </c>
      <c r="O16" s="8"/>
      <c r="P16" s="8" t="s">
        <v>3691</v>
      </c>
      <c r="Q16" s="8"/>
      <c r="R16" s="8"/>
      <c r="S16" s="8"/>
      <c r="T16" s="8"/>
      <c r="U16" s="8"/>
      <c r="V16" s="8"/>
      <c r="W16" s="8" t="s">
        <v>916</v>
      </c>
      <c r="X16" s="8">
        <v>11.7</v>
      </c>
      <c r="Y16" s="8">
        <v>36.42</v>
      </c>
      <c r="Z16" s="9">
        <v>22.15</v>
      </c>
      <c r="AA16" s="8">
        <v>37.1</v>
      </c>
      <c r="AB16" s="8">
        <v>1751</v>
      </c>
      <c r="AC16" s="21" t="s">
        <v>916</v>
      </c>
      <c r="AD16" s="8" t="s">
        <v>4127</v>
      </c>
      <c r="AE16" s="8" t="s">
        <v>4649</v>
      </c>
      <c r="AF16" s="9">
        <f t="shared" si="0"/>
        <v>1351.182</v>
      </c>
      <c r="AG16" s="9">
        <f t="shared" si="1"/>
        <v>825.47500000000002</v>
      </c>
      <c r="AH16" s="9">
        <f t="shared" si="2"/>
        <v>0.8813607640043708</v>
      </c>
      <c r="AI16" s="9">
        <f t="shared" si="3"/>
        <v>0.77679679632636822</v>
      </c>
      <c r="AJ16" s="9">
        <f t="shared" si="4"/>
        <v>13.465203465602091</v>
      </c>
      <c r="AK16" s="9">
        <f t="shared" si="5"/>
        <v>181.31170437006256</v>
      </c>
      <c r="AL16" s="9">
        <f t="shared" si="6"/>
        <v>16.245062333827867</v>
      </c>
      <c r="AM16" s="9">
        <f t="shared" si="7"/>
        <v>263.90205022995292</v>
      </c>
      <c r="AN16" s="8" t="s">
        <v>916</v>
      </c>
    </row>
    <row r="17" spans="13:40" ht="23">
      <c r="M17" s="8" t="s">
        <v>384</v>
      </c>
      <c r="N17" s="8" t="s">
        <v>150</v>
      </c>
      <c r="O17" s="8"/>
      <c r="P17" s="8" t="s">
        <v>3705</v>
      </c>
      <c r="Q17" s="8"/>
      <c r="R17" s="8"/>
      <c r="S17" s="8"/>
      <c r="T17" s="8"/>
      <c r="U17" s="8"/>
      <c r="V17" s="8"/>
      <c r="W17" s="8" t="s">
        <v>384</v>
      </c>
      <c r="X17" s="8">
        <v>34.56</v>
      </c>
      <c r="Y17" s="8">
        <v>5.94</v>
      </c>
      <c r="Z17" s="9">
        <v>4.34</v>
      </c>
      <c r="AA17" s="8">
        <v>27.5</v>
      </c>
      <c r="AB17" s="8">
        <v>3832</v>
      </c>
      <c r="AC17" s="21" t="s">
        <v>384</v>
      </c>
      <c r="AD17" s="8" t="s">
        <v>4199</v>
      </c>
      <c r="AE17" s="8" t="s">
        <v>4649</v>
      </c>
      <c r="AF17" s="9">
        <f t="shared" si="0"/>
        <v>163.35000000000002</v>
      </c>
      <c r="AG17" s="9">
        <f t="shared" si="1"/>
        <v>125.58333333333333</v>
      </c>
      <c r="AH17" s="9">
        <f t="shared" si="2"/>
        <v>0.65329975768518056</v>
      </c>
      <c r="AI17" s="9">
        <f t="shared" si="3"/>
        <v>0.42680057339151561</v>
      </c>
      <c r="AJ17" s="9">
        <f t="shared" si="4"/>
        <v>1.6278643336768119</v>
      </c>
      <c r="AK17" s="9">
        <f t="shared" si="5"/>
        <v>2.649942288857051</v>
      </c>
      <c r="AL17" s="9">
        <f t="shared" si="6"/>
        <v>2.4714365402827254</v>
      </c>
      <c r="AM17" s="9">
        <f t="shared" si="7"/>
        <v>6.1079985726446475</v>
      </c>
      <c r="AN17" s="8" t="s">
        <v>384</v>
      </c>
    </row>
    <row r="18" spans="13:40" ht="23">
      <c r="M18" s="8" t="s">
        <v>1378</v>
      </c>
      <c r="N18" s="8" t="s">
        <v>150</v>
      </c>
      <c r="O18" s="8"/>
      <c r="P18" s="8"/>
      <c r="Q18" s="8"/>
      <c r="R18" s="8"/>
      <c r="S18" s="8"/>
      <c r="T18" s="8"/>
      <c r="U18" s="8"/>
      <c r="V18" s="8"/>
      <c r="W18" s="8" t="s">
        <v>1378</v>
      </c>
      <c r="X18" s="8">
        <v>41.91</v>
      </c>
      <c r="Y18" s="8">
        <v>2.4900000000000002</v>
      </c>
      <c r="Z18" s="9">
        <v>4.1900000000000004</v>
      </c>
      <c r="AA18" s="8">
        <v>24.8</v>
      </c>
      <c r="AB18" s="8">
        <v>6733</v>
      </c>
      <c r="AC18" s="21" t="s">
        <v>1378</v>
      </c>
      <c r="AD18" s="8" t="s">
        <v>4044</v>
      </c>
      <c r="AE18" s="8" t="s">
        <v>4649</v>
      </c>
      <c r="AF18" s="9">
        <f t="shared" si="0"/>
        <v>61.75200000000001</v>
      </c>
      <c r="AG18" s="9">
        <f t="shared" si="1"/>
        <v>107.05333333333333</v>
      </c>
      <c r="AH18" s="9">
        <f t="shared" si="2"/>
        <v>0.58915759965790826</v>
      </c>
      <c r="AI18" s="9">
        <f t="shared" si="3"/>
        <v>0.34710667723466809</v>
      </c>
      <c r="AJ18" s="9">
        <f t="shared" si="4"/>
        <v>0.61538952147664816</v>
      </c>
      <c r="AK18" s="9">
        <f t="shared" si="5"/>
        <v>0.378704263143258</v>
      </c>
      <c r="AL18" s="9">
        <f t="shared" si="6"/>
        <v>2.1067725528260124</v>
      </c>
      <c r="AM18" s="9">
        <f t="shared" si="7"/>
        <v>4.4384905893410336</v>
      </c>
      <c r="AN18" s="8" t="s">
        <v>1378</v>
      </c>
    </row>
    <row r="19" spans="13:40" ht="23">
      <c r="M19" s="9" t="s">
        <v>2967</v>
      </c>
      <c r="N19" s="8" t="s">
        <v>1717</v>
      </c>
      <c r="O19" s="8"/>
      <c r="P19" s="8" t="s">
        <v>3691</v>
      </c>
      <c r="Q19" s="8"/>
      <c r="R19" s="8"/>
      <c r="S19" s="8"/>
      <c r="T19" s="8"/>
      <c r="U19" s="8"/>
      <c r="V19" s="8"/>
      <c r="W19" s="9" t="s">
        <v>2967</v>
      </c>
      <c r="X19" s="8">
        <v>20.36</v>
      </c>
      <c r="Y19" s="8">
        <v>5.74</v>
      </c>
      <c r="Z19" s="9">
        <v>6.17</v>
      </c>
      <c r="AA19" s="8">
        <v>24.6</v>
      </c>
      <c r="AB19" s="8">
        <v>4458</v>
      </c>
      <c r="AC19" s="22" t="s">
        <v>2967</v>
      </c>
      <c r="AD19" s="8" t="s">
        <v>4181</v>
      </c>
      <c r="AE19" s="8" t="s">
        <v>4649</v>
      </c>
      <c r="AF19" s="9">
        <f t="shared" si="0"/>
        <v>141.20400000000001</v>
      </c>
      <c r="AG19" s="9">
        <f t="shared" si="1"/>
        <v>154.57</v>
      </c>
      <c r="AH19" s="9">
        <f t="shared" si="2"/>
        <v>0.58440632869292519</v>
      </c>
      <c r="AI19" s="9">
        <f t="shared" si="3"/>
        <v>0.34153075701634333</v>
      </c>
      <c r="AJ19" s="9">
        <f t="shared" si="4"/>
        <v>1.4071683830578545</v>
      </c>
      <c r="AK19" s="9">
        <f t="shared" si="5"/>
        <v>1.9801228582776569</v>
      </c>
      <c r="AL19" s="9">
        <f t="shared" si="6"/>
        <v>3.0418841090763178</v>
      </c>
      <c r="AM19" s="9">
        <f t="shared" si="7"/>
        <v>9.2530589330510242</v>
      </c>
      <c r="AN19" s="9" t="s">
        <v>2967</v>
      </c>
    </row>
    <row r="20" spans="13:40" ht="23">
      <c r="M20" s="9" t="s">
        <v>2450</v>
      </c>
      <c r="N20" s="8" t="s">
        <v>150</v>
      </c>
      <c r="O20" s="8"/>
      <c r="P20" s="8" t="s">
        <v>3691</v>
      </c>
      <c r="Q20" s="8"/>
      <c r="R20" s="8"/>
      <c r="S20" s="8"/>
      <c r="T20" s="8"/>
      <c r="U20" s="8"/>
      <c r="V20" s="8"/>
      <c r="W20" s="9" t="s">
        <v>2450</v>
      </c>
      <c r="X20" s="8">
        <v>21.48</v>
      </c>
      <c r="Y20" s="8">
        <v>4.88</v>
      </c>
      <c r="Z20" s="9">
        <v>3.11</v>
      </c>
      <c r="AA20" s="8">
        <v>21.8</v>
      </c>
      <c r="AB20" s="8">
        <v>4856</v>
      </c>
      <c r="AC20" s="22" t="s">
        <v>2450</v>
      </c>
      <c r="AD20" s="8" t="s">
        <v>4199</v>
      </c>
      <c r="AE20" s="8" t="s">
        <v>4649</v>
      </c>
      <c r="AF20" s="9">
        <f t="shared" si="0"/>
        <v>106.384</v>
      </c>
      <c r="AG20" s="9">
        <f t="shared" si="1"/>
        <v>69.396666666666661</v>
      </c>
      <c r="AH20" s="9">
        <f t="shared" si="2"/>
        <v>0.51788853518316136</v>
      </c>
      <c r="AI20" s="9">
        <f t="shared" si="3"/>
        <v>0.26820853487416058</v>
      </c>
      <c r="AJ20" s="9">
        <f t="shared" si="4"/>
        <v>1.0601696925244808</v>
      </c>
      <c r="AK20" s="9">
        <f t="shared" si="5"/>
        <v>1.1239597769474521</v>
      </c>
      <c r="AL20" s="9">
        <f t="shared" si="6"/>
        <v>1.3657023843967104</v>
      </c>
      <c r="AM20" s="9">
        <f t="shared" si="7"/>
        <v>1.8651430027468603</v>
      </c>
      <c r="AN20" s="9" t="s">
        <v>2450</v>
      </c>
    </row>
    <row r="21" spans="13:40" ht="23">
      <c r="M21" s="8" t="s">
        <v>500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500</v>
      </c>
      <c r="X21" s="8">
        <v>2.77</v>
      </c>
      <c r="Y21" s="8">
        <v>3.05</v>
      </c>
      <c r="Z21" s="9">
        <v>0.41</v>
      </c>
      <c r="AA21" s="8">
        <v>21.4</v>
      </c>
      <c r="AB21" s="8">
        <v>25002</v>
      </c>
      <c r="AC21" s="21" t="s">
        <v>500</v>
      </c>
      <c r="AD21" s="8" t="s">
        <v>4044</v>
      </c>
      <c r="AE21" s="8" t="s">
        <v>4649</v>
      </c>
      <c r="AF21" s="9">
        <f t="shared" si="0"/>
        <v>65.27</v>
      </c>
      <c r="AG21" s="9">
        <f t="shared" si="1"/>
        <v>14.623333333333333</v>
      </c>
      <c r="AH21" s="9">
        <f t="shared" si="2"/>
        <v>0.50838599325319511</v>
      </c>
      <c r="AI21" s="9">
        <f t="shared" si="3"/>
        <v>0.25845631813603775</v>
      </c>
      <c r="AJ21" s="9">
        <f t="shared" si="4"/>
        <v>0.6504481485098591</v>
      </c>
      <c r="AK21" s="9">
        <f t="shared" si="5"/>
        <v>0.42308279389990372</v>
      </c>
      <c r="AL21" s="9">
        <f t="shared" si="6"/>
        <v>0.28778213940863484</v>
      </c>
      <c r="AM21" s="9">
        <f t="shared" si="7"/>
        <v>8.2818559762610933E-2</v>
      </c>
      <c r="AN21" s="8" t="s">
        <v>500</v>
      </c>
    </row>
    <row r="22" spans="13:40" ht="23">
      <c r="M22" s="8" t="s">
        <v>656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8" t="s">
        <v>656</v>
      </c>
      <c r="X22" s="8">
        <v>7.49</v>
      </c>
      <c r="Y22" s="8">
        <v>2.2000000000000002</v>
      </c>
      <c r="Z22" s="9">
        <v>0.15</v>
      </c>
      <c r="AA22" s="8">
        <v>19.899999999999999</v>
      </c>
      <c r="AB22" s="8">
        <v>25072</v>
      </c>
      <c r="AC22" s="21" t="s">
        <v>656</v>
      </c>
      <c r="AD22" s="8" t="s">
        <v>4113</v>
      </c>
      <c r="AE22" s="8" t="s">
        <v>4649</v>
      </c>
      <c r="AF22" s="9">
        <f t="shared" si="0"/>
        <v>43.78</v>
      </c>
      <c r="AG22" s="9">
        <f t="shared" si="1"/>
        <v>4.9749999999999996</v>
      </c>
      <c r="AH22" s="9">
        <f t="shared" si="2"/>
        <v>0.47275146101582149</v>
      </c>
      <c r="AI22" s="9">
        <f t="shared" si="3"/>
        <v>0.22349394389259378</v>
      </c>
      <c r="AJ22" s="9">
        <f t="shared" si="4"/>
        <v>0.4362895655241556</v>
      </c>
      <c r="AK22" s="9">
        <f t="shared" si="5"/>
        <v>0.19034858498525647</v>
      </c>
      <c r="AL22" s="9">
        <f t="shared" si="6"/>
        <v>9.7906278337676664E-2</v>
      </c>
      <c r="AM22" s="9">
        <f t="shared" si="7"/>
        <v>9.5856393379346143E-3</v>
      </c>
      <c r="AN22" s="8" t="s">
        <v>656</v>
      </c>
    </row>
    <row r="23" spans="13:40" ht="23">
      <c r="M23" s="8" t="s">
        <v>962</v>
      </c>
      <c r="N23" s="8" t="s">
        <v>150</v>
      </c>
      <c r="O23" s="8"/>
      <c r="P23" s="8"/>
      <c r="Q23" s="8"/>
      <c r="R23" s="8"/>
      <c r="S23" s="8"/>
      <c r="T23" s="8"/>
      <c r="U23" s="8"/>
      <c r="V23" s="8"/>
      <c r="W23" s="8" t="s">
        <v>962</v>
      </c>
      <c r="X23" s="8">
        <v>43.15</v>
      </c>
      <c r="Y23" s="8">
        <v>1.66</v>
      </c>
      <c r="Z23" s="9">
        <v>1.55</v>
      </c>
      <c r="AA23" s="8">
        <v>16.899999999999999</v>
      </c>
      <c r="AB23" s="8"/>
      <c r="AC23" s="21" t="s">
        <v>962</v>
      </c>
      <c r="AD23" s="8" t="s">
        <v>4199</v>
      </c>
      <c r="AE23" s="8" t="s">
        <v>4649</v>
      </c>
      <c r="AF23" s="9">
        <f t="shared" si="0"/>
        <v>28.053999999999995</v>
      </c>
      <c r="AG23" s="9">
        <f t="shared" si="1"/>
        <v>32.391666666666659</v>
      </c>
      <c r="AH23" s="9">
        <f t="shared" si="2"/>
        <v>0.40148239654107459</v>
      </c>
      <c r="AI23" s="9">
        <f t="shared" si="3"/>
        <v>0.16118811473236466</v>
      </c>
      <c r="AJ23" s="9">
        <f t="shared" si="4"/>
        <v>0.27957212131600406</v>
      </c>
      <c r="AK23" s="9">
        <f t="shared" si="5"/>
        <v>7.816057101713049E-2</v>
      </c>
      <c r="AL23" s="9">
        <f t="shared" si="6"/>
        <v>0.63745679044983095</v>
      </c>
      <c r="AM23" s="9">
        <f t="shared" si="7"/>
        <v>0.40635115969059971</v>
      </c>
      <c r="AN23" s="8" t="s">
        <v>962</v>
      </c>
    </row>
    <row r="24" spans="13:40" ht="23">
      <c r="M24" s="8" t="s">
        <v>591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591</v>
      </c>
      <c r="X24" s="8">
        <v>23.56</v>
      </c>
      <c r="Y24" s="8">
        <v>7.48</v>
      </c>
      <c r="Z24" s="9">
        <v>5.15</v>
      </c>
      <c r="AA24" s="8">
        <v>16.2</v>
      </c>
      <c r="AB24" s="8">
        <v>4586</v>
      </c>
      <c r="AC24" s="21" t="s">
        <v>591</v>
      </c>
      <c r="AD24" s="8" t="s">
        <v>4039</v>
      </c>
      <c r="AE24" s="8" t="s">
        <v>4649</v>
      </c>
      <c r="AF24" s="9">
        <f t="shared" si="0"/>
        <v>121.176</v>
      </c>
      <c r="AG24" s="9">
        <f t="shared" si="1"/>
        <v>85.05</v>
      </c>
      <c r="AH24" s="9">
        <f t="shared" si="2"/>
        <v>0.38485294816363363</v>
      </c>
      <c r="AI24" s="9">
        <f t="shared" si="3"/>
        <v>0.14811179171024047</v>
      </c>
      <c r="AJ24" s="9">
        <f t="shared" si="4"/>
        <v>1.2075793602547984</v>
      </c>
      <c r="AK24" s="9">
        <f t="shared" si="5"/>
        <v>1.4582479113133882</v>
      </c>
      <c r="AL24" s="9">
        <f t="shared" si="6"/>
        <v>1.6737545673606833</v>
      </c>
      <c r="AM24" s="9">
        <f t="shared" si="7"/>
        <v>2.8014543517607482</v>
      </c>
      <c r="AN24" s="8" t="s">
        <v>591</v>
      </c>
    </row>
    <row r="25" spans="13:40" ht="23">
      <c r="M25" s="9" t="s">
        <v>3251</v>
      </c>
      <c r="N25" s="8" t="s">
        <v>1902</v>
      </c>
      <c r="O25" s="8"/>
      <c r="P25" s="8" t="s">
        <v>4676</v>
      </c>
      <c r="Q25" s="8"/>
      <c r="R25" s="8"/>
      <c r="S25" s="8"/>
      <c r="T25" s="8"/>
      <c r="U25" s="8"/>
      <c r="V25" s="8"/>
      <c r="W25" s="9" t="s">
        <v>3251</v>
      </c>
      <c r="X25" s="8">
        <v>14.64</v>
      </c>
      <c r="Y25" s="8">
        <v>6.28</v>
      </c>
      <c r="Z25" s="9">
        <v>12.45</v>
      </c>
      <c r="AA25" s="8">
        <v>16</v>
      </c>
      <c r="AB25" s="8">
        <v>7041</v>
      </c>
      <c r="AC25" s="22" t="s">
        <v>3251</v>
      </c>
      <c r="AD25" s="8" t="s">
        <v>4199</v>
      </c>
      <c r="AE25" s="8" t="s">
        <v>4649</v>
      </c>
      <c r="AF25" s="9">
        <f t="shared" si="0"/>
        <v>100.48</v>
      </c>
      <c r="AG25" s="9">
        <f t="shared" si="1"/>
        <v>204</v>
      </c>
      <c r="AH25" s="9">
        <f t="shared" si="2"/>
        <v>0.38010167719865051</v>
      </c>
      <c r="AI25" s="9">
        <f t="shared" si="3"/>
        <v>0.1444772850092271</v>
      </c>
      <c r="AJ25" s="9">
        <f t="shared" si="4"/>
        <v>1.0013333838251977</v>
      </c>
      <c r="AK25" s="9">
        <f t="shared" si="5"/>
        <v>1.0026685455628206</v>
      </c>
      <c r="AL25" s="9">
        <f t="shared" si="6"/>
        <v>4.0146494031931743</v>
      </c>
      <c r="AM25" s="9">
        <f t="shared" si="7"/>
        <v>16.117409830559311</v>
      </c>
      <c r="AN25" s="9" t="s">
        <v>3251</v>
      </c>
    </row>
    <row r="26" spans="13:40" ht="23">
      <c r="M26" s="8" t="s">
        <v>927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8" t="s">
        <v>927</v>
      </c>
      <c r="X26" s="8">
        <v>28.57</v>
      </c>
      <c r="Y26" s="8">
        <v>9.06</v>
      </c>
      <c r="Z26" s="9">
        <v>8.2200000000000006</v>
      </c>
      <c r="AA26" s="8">
        <v>14.6</v>
      </c>
      <c r="AB26" s="8">
        <v>5411</v>
      </c>
      <c r="AC26" s="21" t="s">
        <v>927</v>
      </c>
      <c r="AD26" s="8" t="s">
        <v>4039</v>
      </c>
      <c r="AE26" s="8" t="s">
        <v>4649</v>
      </c>
      <c r="AF26" s="9">
        <f t="shared" si="0"/>
        <v>132.27600000000001</v>
      </c>
      <c r="AG26" s="9">
        <f t="shared" si="1"/>
        <v>122.15333333333334</v>
      </c>
      <c r="AH26" s="9">
        <f t="shared" si="2"/>
        <v>0.34684278044376859</v>
      </c>
      <c r="AI26" s="9">
        <f t="shared" si="3"/>
        <v>0.12029991434596427</v>
      </c>
      <c r="AJ26" s="9">
        <f t="shared" si="4"/>
        <v>1.3181964040491825</v>
      </c>
      <c r="AK26" s="9">
        <f t="shared" si="5"/>
        <v>1.7376417596481954</v>
      </c>
      <c r="AL26" s="9">
        <f t="shared" si="6"/>
        <v>2.4039353272780564</v>
      </c>
      <c r="AM26" s="9">
        <f t="shared" si="7"/>
        <v>5.7789050577354564</v>
      </c>
      <c r="AN26" s="8" t="s">
        <v>927</v>
      </c>
    </row>
    <row r="27" spans="13:40" ht="23">
      <c r="M27" s="9" t="s">
        <v>3394</v>
      </c>
      <c r="N27" s="8" t="s">
        <v>1990</v>
      </c>
      <c r="O27" s="8"/>
      <c r="P27" s="8" t="s">
        <v>3691</v>
      </c>
      <c r="Q27" s="8"/>
      <c r="R27" s="8"/>
      <c r="S27" s="8"/>
      <c r="T27" s="8"/>
      <c r="U27" s="8"/>
      <c r="V27" s="8"/>
      <c r="W27" s="9" t="s">
        <v>3394</v>
      </c>
      <c r="X27" s="8">
        <v>34.369999999999997</v>
      </c>
      <c r="Y27" s="8">
        <v>4.1500000000000004</v>
      </c>
      <c r="Z27" s="9">
        <v>3.24</v>
      </c>
      <c r="AA27" s="8">
        <v>12.6</v>
      </c>
      <c r="AB27" s="8">
        <v>7113</v>
      </c>
      <c r="AC27" s="22" t="s">
        <v>3394</v>
      </c>
      <c r="AD27" s="8" t="s">
        <v>4039</v>
      </c>
      <c r="AE27" s="8" t="s">
        <v>4649</v>
      </c>
      <c r="AF27" s="9">
        <f t="shared" si="0"/>
        <v>52.290000000000006</v>
      </c>
      <c r="AG27" s="9">
        <f t="shared" si="1"/>
        <v>42.839999999999996</v>
      </c>
      <c r="AH27" s="9">
        <f t="shared" si="2"/>
        <v>0.29933007079393731</v>
      </c>
      <c r="AI27" s="9">
        <f t="shared" si="3"/>
        <v>8.9598491281503517E-2</v>
      </c>
      <c r="AJ27" s="9">
        <f t="shared" si="4"/>
        <v>0.52109596576651662</v>
      </c>
      <c r="AK27" s="9">
        <f t="shared" si="5"/>
        <v>0.27154100553813865</v>
      </c>
      <c r="AL27" s="9">
        <f t="shared" si="6"/>
        <v>0.84307637467056629</v>
      </c>
      <c r="AM27" s="9">
        <f t="shared" si="7"/>
        <v>0.71077777352766502</v>
      </c>
      <c r="AN27" s="9" t="s">
        <v>3394</v>
      </c>
    </row>
    <row r="28" spans="13:40" ht="23">
      <c r="M28" s="8" t="s">
        <v>1372</v>
      </c>
      <c r="N28" s="8" t="s">
        <v>150</v>
      </c>
      <c r="O28" s="8"/>
      <c r="P28" s="8"/>
      <c r="Q28" s="8"/>
      <c r="R28" s="8"/>
      <c r="S28" s="8"/>
      <c r="T28" s="8"/>
      <c r="U28" s="8"/>
      <c r="V28" s="8"/>
      <c r="W28" s="8" t="s">
        <v>1372</v>
      </c>
      <c r="X28" s="8">
        <v>4.21</v>
      </c>
      <c r="Y28" s="8">
        <v>20.010000000000002</v>
      </c>
      <c r="Z28" s="9">
        <v>15.09</v>
      </c>
      <c r="AA28" s="8">
        <v>12.1</v>
      </c>
      <c r="AB28" s="8">
        <v>68556</v>
      </c>
      <c r="AC28" s="21" t="s">
        <v>1372</v>
      </c>
      <c r="AD28" s="8" t="s">
        <v>4044</v>
      </c>
      <c r="AE28" s="8" t="s">
        <v>4649</v>
      </c>
      <c r="AF28" s="9">
        <f t="shared" si="0"/>
        <v>242.12100000000001</v>
      </c>
      <c r="AG28" s="9">
        <f t="shared" si="1"/>
        <v>183.315</v>
      </c>
      <c r="AH28" s="9">
        <f t="shared" si="2"/>
        <v>0.28745189338147947</v>
      </c>
      <c r="AI28" s="9">
        <f t="shared" si="3"/>
        <v>8.2628591008597443E-2</v>
      </c>
      <c r="AJ28" s="9">
        <f t="shared" si="4"/>
        <v>2.4128566901387409</v>
      </c>
      <c r="AK28" s="9">
        <f t="shared" si="5"/>
        <v>5.8218774071472801</v>
      </c>
      <c r="AL28" s="9">
        <f t="shared" si="6"/>
        <v>3.6075757615017481</v>
      </c>
      <c r="AM28" s="9">
        <f t="shared" si="7"/>
        <v>13.014602874974917</v>
      </c>
      <c r="AN28" s="8" t="s">
        <v>1372</v>
      </c>
    </row>
    <row r="29" spans="13:40" ht="23">
      <c r="M29" s="8" t="s">
        <v>645</v>
      </c>
      <c r="N29" s="8" t="s">
        <v>150</v>
      </c>
      <c r="O29" s="8"/>
      <c r="P29" s="8"/>
      <c r="Q29" s="8"/>
      <c r="R29" s="8"/>
      <c r="S29" s="8"/>
      <c r="T29" s="8"/>
      <c r="U29" s="8"/>
      <c r="V29" s="8"/>
      <c r="W29" s="8" t="s">
        <v>645</v>
      </c>
      <c r="X29" s="8">
        <v>3.06</v>
      </c>
      <c r="Y29" s="8">
        <v>6.41</v>
      </c>
      <c r="Z29" s="9">
        <v>3.28</v>
      </c>
      <c r="AA29" s="8">
        <v>12</v>
      </c>
      <c r="AB29" s="8">
        <v>14864</v>
      </c>
      <c r="AC29" s="21" t="s">
        <v>645</v>
      </c>
      <c r="AD29" s="8" t="s">
        <v>4127</v>
      </c>
      <c r="AE29" s="8" t="s">
        <v>4649</v>
      </c>
      <c r="AF29" s="9">
        <f t="shared" si="0"/>
        <v>76.92</v>
      </c>
      <c r="AG29" s="9">
        <f t="shared" si="1"/>
        <v>41.6</v>
      </c>
      <c r="AH29" s="9">
        <f t="shared" si="2"/>
        <v>0.28507625789898788</v>
      </c>
      <c r="AI29" s="9">
        <f t="shared" si="3"/>
        <v>8.1268472817690257E-2</v>
      </c>
      <c r="AJ29" s="9">
        <f t="shared" si="4"/>
        <v>0.76654621699675762</v>
      </c>
      <c r="AK29" s="9">
        <f t="shared" si="5"/>
        <v>0.58759310279204024</v>
      </c>
      <c r="AL29" s="9">
        <f t="shared" si="6"/>
        <v>0.81867360378841192</v>
      </c>
      <c r="AM29" s="9">
        <f t="shared" si="7"/>
        <v>0.67022646953990561</v>
      </c>
      <c r="AN29" s="8" t="s">
        <v>645</v>
      </c>
    </row>
    <row r="30" spans="13:40" ht="23">
      <c r="M30" s="8" t="s">
        <v>1992</v>
      </c>
      <c r="N30" s="8" t="s">
        <v>1990</v>
      </c>
      <c r="O30" s="8"/>
      <c r="P30" s="8"/>
      <c r="Q30" s="8"/>
      <c r="R30" s="8"/>
      <c r="S30" s="8"/>
      <c r="T30" s="8"/>
      <c r="U30" s="8"/>
      <c r="V30" s="8"/>
      <c r="W30" s="8" t="s">
        <v>1992</v>
      </c>
      <c r="X30" s="8">
        <v>24.09</v>
      </c>
      <c r="Y30" s="8">
        <v>4.01</v>
      </c>
      <c r="Z30" s="9">
        <v>2.2599999999999998</v>
      </c>
      <c r="AA30" s="8">
        <v>12</v>
      </c>
      <c r="AB30" s="8">
        <v>9014</v>
      </c>
      <c r="AC30" s="21" t="s">
        <v>1992</v>
      </c>
      <c r="AD30" s="8" t="s">
        <v>4199</v>
      </c>
      <c r="AE30" s="8" t="s">
        <v>4649</v>
      </c>
      <c r="AF30" s="9">
        <f t="shared" si="0"/>
        <v>48.12</v>
      </c>
      <c r="AG30" s="9">
        <f t="shared" si="1"/>
        <v>29.200000000000003</v>
      </c>
      <c r="AH30" s="9">
        <f t="shared" si="2"/>
        <v>0.28507625789898788</v>
      </c>
      <c r="AI30" s="9">
        <f t="shared" si="3"/>
        <v>8.1268472817690257E-2</v>
      </c>
      <c r="AJ30" s="9">
        <f t="shared" si="4"/>
        <v>0.47953983309781556</v>
      </c>
      <c r="AK30" s="9">
        <f t="shared" si="5"/>
        <v>0.22995845152748082</v>
      </c>
      <c r="AL30" s="9">
        <f t="shared" si="6"/>
        <v>0.57464589496686613</v>
      </c>
      <c r="AM30" s="9">
        <f t="shared" si="7"/>
        <v>0.33021790460227052</v>
      </c>
      <c r="AN30" s="8" t="s">
        <v>1992</v>
      </c>
    </row>
    <row r="31" spans="13:40" ht="23">
      <c r="M31" s="8" t="s">
        <v>1952</v>
      </c>
      <c r="N31" s="8" t="s">
        <v>1939</v>
      </c>
      <c r="O31" s="8"/>
      <c r="P31" s="8"/>
      <c r="Q31" s="8"/>
      <c r="R31" s="8"/>
      <c r="S31" s="8"/>
      <c r="T31" s="8"/>
      <c r="U31" s="8"/>
      <c r="V31" s="8"/>
      <c r="W31" s="8" t="s">
        <v>1952</v>
      </c>
      <c r="X31" s="8">
        <v>11.49</v>
      </c>
      <c r="Y31" s="8">
        <v>3.49</v>
      </c>
      <c r="Z31" s="9">
        <v>1.51</v>
      </c>
      <c r="AA31" s="8">
        <v>9.8000000000000007</v>
      </c>
      <c r="AB31" s="8">
        <v>15148</v>
      </c>
      <c r="AC31" s="21" t="s">
        <v>1952</v>
      </c>
      <c r="AD31" s="8" t="s">
        <v>4199</v>
      </c>
      <c r="AE31" s="8" t="s">
        <v>4649</v>
      </c>
      <c r="AF31" s="9">
        <f t="shared" si="0"/>
        <v>34.202000000000005</v>
      </c>
      <c r="AG31" s="9">
        <f t="shared" si="1"/>
        <v>18.130000000000003</v>
      </c>
      <c r="AH31" s="9">
        <f t="shared" si="2"/>
        <v>0.23281227728417345</v>
      </c>
      <c r="AI31" s="9">
        <f t="shared" si="3"/>
        <v>5.4201556454242864E-2</v>
      </c>
      <c r="AJ31" s="9">
        <f t="shared" si="4"/>
        <v>0.34084001187887558</v>
      </c>
      <c r="AK31" s="9">
        <f t="shared" si="5"/>
        <v>0.11617191369759204</v>
      </c>
      <c r="AL31" s="9">
        <f t="shared" si="6"/>
        <v>0.35679212588182474</v>
      </c>
      <c r="AM31" s="9">
        <f t="shared" si="7"/>
        <v>0.12730062109127188</v>
      </c>
      <c r="AN31" s="8" t="s">
        <v>1952</v>
      </c>
    </row>
    <row r="32" spans="13:40" ht="23">
      <c r="M32" s="9" t="s">
        <v>2454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9" t="s">
        <v>2454</v>
      </c>
      <c r="X32" s="8">
        <v>19</v>
      </c>
      <c r="Y32" s="8">
        <v>2.25</v>
      </c>
      <c r="Z32" s="9">
        <v>0.56000000000000005</v>
      </c>
      <c r="AA32" s="8">
        <v>9.6999999999999993</v>
      </c>
      <c r="AB32" s="8">
        <v>19404</v>
      </c>
      <c r="AC32" s="22" t="s">
        <v>2454</v>
      </c>
      <c r="AD32" s="8" t="s">
        <v>4181</v>
      </c>
      <c r="AE32" s="8" t="s">
        <v>4649</v>
      </c>
      <c r="AF32" s="9">
        <f t="shared" si="0"/>
        <v>21.824999999999999</v>
      </c>
      <c r="AG32" s="9">
        <f t="shared" si="1"/>
        <v>9.0533333333333328</v>
      </c>
      <c r="AH32" s="9">
        <f t="shared" si="2"/>
        <v>0.23043664180168186</v>
      </c>
      <c r="AI32" s="9">
        <f t="shared" si="3"/>
        <v>5.3101045884836627E-2</v>
      </c>
      <c r="AJ32" s="9">
        <f t="shared" si="4"/>
        <v>0.21749702529841697</v>
      </c>
      <c r="AK32" s="9">
        <f t="shared" si="5"/>
        <v>4.7304956013660228E-2</v>
      </c>
      <c r="AL32" s="9">
        <f t="shared" si="6"/>
        <v>0.17816646697831143</v>
      </c>
      <c r="AM32" s="9">
        <f t="shared" si="7"/>
        <v>3.1743289955533736E-2</v>
      </c>
      <c r="AN32" s="9" t="s">
        <v>2454</v>
      </c>
    </row>
    <row r="33" spans="13:40" ht="23">
      <c r="M33" s="8" t="s">
        <v>1136</v>
      </c>
      <c r="N33" s="8" t="s">
        <v>150</v>
      </c>
      <c r="O33" s="8"/>
      <c r="P33" s="8" t="s">
        <v>3691</v>
      </c>
      <c r="Q33" s="8"/>
      <c r="R33" s="8"/>
      <c r="S33" s="8"/>
      <c r="T33" s="8"/>
      <c r="U33" s="8"/>
      <c r="V33" s="8"/>
      <c r="W33" s="8" t="s">
        <v>1136</v>
      </c>
      <c r="X33" s="8">
        <v>29.88</v>
      </c>
      <c r="Y33" s="8">
        <v>4.25</v>
      </c>
      <c r="Z33" s="9">
        <v>4.05</v>
      </c>
      <c r="AA33" s="8">
        <v>8.6</v>
      </c>
      <c r="AB33" s="8">
        <v>13873</v>
      </c>
      <c r="AC33" s="21" t="s">
        <v>1136</v>
      </c>
      <c r="AD33" s="8" t="s">
        <v>4017</v>
      </c>
      <c r="AE33" s="8" t="s">
        <v>4649</v>
      </c>
      <c r="AF33" s="9">
        <f t="shared" si="0"/>
        <v>36.549999999999997</v>
      </c>
      <c r="AG33" s="9">
        <f t="shared" si="1"/>
        <v>35.11666666666666</v>
      </c>
      <c r="AH33" s="9">
        <f t="shared" si="2"/>
        <v>0.20430465149427463</v>
      </c>
      <c r="AI33" s="9">
        <f t="shared" si="3"/>
        <v>4.1740390622197011E-2</v>
      </c>
      <c r="AJ33" s="9">
        <f t="shared" si="4"/>
        <v>0.36423900456619196</v>
      </c>
      <c r="AK33" s="9">
        <f t="shared" si="5"/>
        <v>0.1326700524473704</v>
      </c>
      <c r="AL33" s="9">
        <f t="shared" si="6"/>
        <v>0.69108384742875939</v>
      </c>
      <c r="AM33" s="9">
        <f t="shared" si="7"/>
        <v>0.4775968841769368</v>
      </c>
      <c r="AN33" s="8" t="s">
        <v>1136</v>
      </c>
    </row>
    <row r="34" spans="13:40" ht="23">
      <c r="M34" s="9" t="s">
        <v>2769</v>
      </c>
      <c r="N34" s="8" t="s">
        <v>1614</v>
      </c>
      <c r="O34" s="8"/>
      <c r="P34" s="8" t="s">
        <v>3691</v>
      </c>
      <c r="Q34" s="8"/>
      <c r="R34" s="8"/>
      <c r="S34" s="8"/>
      <c r="T34" s="8"/>
      <c r="U34" s="8"/>
      <c r="V34" s="8"/>
      <c r="W34" s="9" t="s">
        <v>2769</v>
      </c>
      <c r="X34" s="8">
        <v>49.97</v>
      </c>
      <c r="Y34" s="8">
        <v>2.93</v>
      </c>
      <c r="Z34" s="9">
        <v>2.36</v>
      </c>
      <c r="AA34" s="8">
        <v>8.3000000000000007</v>
      </c>
      <c r="AB34" s="8">
        <v>14377</v>
      </c>
      <c r="AC34" s="22" t="s">
        <v>2769</v>
      </c>
      <c r="AD34" s="8" t="s">
        <v>4199</v>
      </c>
      <c r="AE34" s="8" t="s">
        <v>4649</v>
      </c>
      <c r="AF34" s="9">
        <f t="shared" ref="AF34:AF63" si="8">(AA34*Y34)</f>
        <v>24.319000000000003</v>
      </c>
      <c r="AG34" s="9">
        <f t="shared" ref="AG34:AG63" si="9">((((RIGHT(Z34,2))/60)+(LEFT(Z34,2)))*AA34)</f>
        <v>21.580000000000002</v>
      </c>
      <c r="AH34" s="9">
        <f t="shared" ref="AH34:AH63" si="10">(AA34/$AA$64)*100</f>
        <v>0.19717774504679997</v>
      </c>
      <c r="AI34" s="9">
        <f t="shared" ref="AI34:AI63" si="11">(AH34*AH34)</f>
        <v>3.8879063141740847E-2</v>
      </c>
      <c r="AJ34" s="9">
        <f t="shared" ref="AJ34:AJ63" si="12">(AF34/$AF$64)*100</f>
        <v>0.24235098090411009</v>
      </c>
      <c r="AK34" s="9">
        <f t="shared" ref="AK34:AK63" si="13">(AJ34*AJ34)</f>
        <v>5.873399794518433E-2</v>
      </c>
      <c r="AL34" s="9">
        <f t="shared" ref="AL34:AL63" si="14">(AG34/$AG$64)*100</f>
        <v>0.42468693196523871</v>
      </c>
      <c r="AM34" s="9">
        <f t="shared" ref="AM34:AM63" si="15">(AL34*AL34)</f>
        <v>0.18035899018204729</v>
      </c>
      <c r="AN34" s="9" t="s">
        <v>2769</v>
      </c>
    </row>
    <row r="35" spans="13:40" ht="23">
      <c r="M35" s="9" t="s">
        <v>2748</v>
      </c>
      <c r="N35" s="8" t="s">
        <v>1614</v>
      </c>
      <c r="O35" s="8"/>
      <c r="P35" s="8" t="s">
        <v>4161</v>
      </c>
      <c r="Q35" s="8"/>
      <c r="R35" s="8"/>
      <c r="S35" s="8"/>
      <c r="T35" s="8"/>
      <c r="U35" s="8"/>
      <c r="V35" s="8"/>
      <c r="W35" s="9" t="s">
        <v>2748</v>
      </c>
      <c r="X35" s="8">
        <v>36.44</v>
      </c>
      <c r="Y35" s="8">
        <v>2.58</v>
      </c>
      <c r="Z35" s="9">
        <v>1.38</v>
      </c>
      <c r="AA35" s="8">
        <v>8.1</v>
      </c>
      <c r="AB35" s="8">
        <v>15810</v>
      </c>
      <c r="AC35" s="22" t="s">
        <v>2748</v>
      </c>
      <c r="AD35" s="8" t="s">
        <v>4199</v>
      </c>
      <c r="AE35" s="8" t="s">
        <v>4649</v>
      </c>
      <c r="AF35" s="9">
        <f t="shared" si="8"/>
        <v>20.898</v>
      </c>
      <c r="AG35" s="9">
        <f t="shared" si="9"/>
        <v>13.229999999999999</v>
      </c>
      <c r="AH35" s="9">
        <f t="shared" si="10"/>
        <v>0.19242647408181682</v>
      </c>
      <c r="AI35" s="9">
        <f t="shared" si="11"/>
        <v>3.7027947927560118E-2</v>
      </c>
      <c r="AJ35" s="9">
        <f t="shared" si="12"/>
        <v>0.2082590073166698</v>
      </c>
      <c r="AK35" s="9">
        <f t="shared" si="13"/>
        <v>4.3371814128524727E-2</v>
      </c>
      <c r="AL35" s="9">
        <f t="shared" si="14"/>
        <v>0.26036182158943966</v>
      </c>
      <c r="AM35" s="9">
        <f t="shared" si="15"/>
        <v>6.77882781413712E-2</v>
      </c>
      <c r="AN35" s="9" t="s">
        <v>2748</v>
      </c>
    </row>
    <row r="36" spans="13:40" ht="23">
      <c r="M36" s="8" t="s">
        <v>1692</v>
      </c>
      <c r="N36" s="8" t="s">
        <v>1614</v>
      </c>
      <c r="O36" s="8"/>
      <c r="P36" s="8" t="s">
        <v>3691</v>
      </c>
      <c r="Q36" s="8"/>
      <c r="R36" s="8"/>
      <c r="S36" s="8"/>
      <c r="T36" s="8"/>
      <c r="U36" s="8"/>
      <c r="V36" s="8"/>
      <c r="W36" s="8" t="s">
        <v>1692</v>
      </c>
      <c r="X36" s="8">
        <v>12.06</v>
      </c>
      <c r="Y36" s="8">
        <v>4.45</v>
      </c>
      <c r="Z36" s="9">
        <v>3.19</v>
      </c>
      <c r="AA36" s="8">
        <v>7.9</v>
      </c>
      <c r="AB36" s="8">
        <v>17173</v>
      </c>
      <c r="AC36" s="21" t="s">
        <v>1692</v>
      </c>
      <c r="AD36" s="8" t="s">
        <v>4199</v>
      </c>
      <c r="AE36" s="8" t="s">
        <v>4649</v>
      </c>
      <c r="AF36" s="9">
        <f t="shared" si="8"/>
        <v>35.155000000000001</v>
      </c>
      <c r="AG36" s="9">
        <f t="shared" si="9"/>
        <v>26.201666666666664</v>
      </c>
      <c r="AH36" s="9">
        <f t="shared" si="10"/>
        <v>0.18767520311683369</v>
      </c>
      <c r="AI36" s="9">
        <f t="shared" si="11"/>
        <v>3.5221981864944782E-2</v>
      </c>
      <c r="AJ36" s="9">
        <f t="shared" si="12"/>
        <v>0.35033713284608703</v>
      </c>
      <c r="AK36" s="9">
        <f t="shared" si="13"/>
        <v>0.12273610665081683</v>
      </c>
      <c r="AL36" s="9">
        <f t="shared" si="14"/>
        <v>0.51563973257843043</v>
      </c>
      <c r="AM36" s="9">
        <f t="shared" si="15"/>
        <v>0.26588433381355525</v>
      </c>
      <c r="AN36" s="8" t="s">
        <v>1692</v>
      </c>
    </row>
    <row r="37" spans="13:40" ht="23">
      <c r="M37" s="8" t="s">
        <v>2088</v>
      </c>
      <c r="N37" s="8" t="s">
        <v>2084</v>
      </c>
      <c r="O37" s="8"/>
      <c r="P37" s="8"/>
      <c r="Q37" s="8"/>
      <c r="R37" s="8"/>
      <c r="S37" s="8"/>
      <c r="T37" s="8"/>
      <c r="U37" s="8"/>
      <c r="V37" s="8"/>
      <c r="W37" s="8" t="s">
        <v>2088</v>
      </c>
      <c r="X37" s="8">
        <v>36.409999999999997</v>
      </c>
      <c r="Y37" s="8">
        <v>2.11</v>
      </c>
      <c r="Z37" s="9">
        <v>2.16</v>
      </c>
      <c r="AA37" s="8">
        <v>7.9</v>
      </c>
      <c r="AB37" s="8">
        <v>17602</v>
      </c>
      <c r="AC37" s="21" t="s">
        <v>2088</v>
      </c>
      <c r="AD37" s="8" t="s">
        <v>4027</v>
      </c>
      <c r="AE37" s="8" t="s">
        <v>4649</v>
      </c>
      <c r="AF37" s="9">
        <f t="shared" si="8"/>
        <v>16.669</v>
      </c>
      <c r="AG37" s="9">
        <f t="shared" si="9"/>
        <v>17.906666666666666</v>
      </c>
      <c r="AH37" s="9">
        <f t="shared" si="10"/>
        <v>0.18767520311683369</v>
      </c>
      <c r="AI37" s="9">
        <f t="shared" si="11"/>
        <v>3.5221981864944782E-2</v>
      </c>
      <c r="AJ37" s="9">
        <f t="shared" si="12"/>
        <v>0.16611491018095362</v>
      </c>
      <c r="AK37" s="9">
        <f t="shared" si="13"/>
        <v>2.7594163384426287E-2</v>
      </c>
      <c r="AL37" s="9">
        <f t="shared" si="14"/>
        <v>0.3523970031691786</v>
      </c>
      <c r="AM37" s="9">
        <f t="shared" si="15"/>
        <v>0.12418364784261807</v>
      </c>
      <c r="AN37" s="8" t="s">
        <v>2088</v>
      </c>
    </row>
    <row r="38" spans="13:40" ht="23">
      <c r="M38" s="9" t="s">
        <v>3164</v>
      </c>
      <c r="N38" s="8" t="s">
        <v>1869</v>
      </c>
      <c r="O38" s="8"/>
      <c r="P38" s="8"/>
      <c r="Q38" s="8"/>
      <c r="R38" s="8"/>
      <c r="S38" s="8"/>
      <c r="T38" s="8"/>
      <c r="U38" s="8"/>
      <c r="V38" s="8"/>
      <c r="W38" s="9" t="s">
        <v>3164</v>
      </c>
      <c r="X38" s="8">
        <v>60.12</v>
      </c>
      <c r="Y38" s="8">
        <v>1.42</v>
      </c>
      <c r="Z38" s="9">
        <v>0.16</v>
      </c>
      <c r="AA38" s="8">
        <v>6.7</v>
      </c>
      <c r="AB38" s="8">
        <v>24856</v>
      </c>
      <c r="AC38" s="22" t="s">
        <v>3164</v>
      </c>
      <c r="AD38" s="8" t="s">
        <v>4199</v>
      </c>
      <c r="AE38" s="8" t="s">
        <v>4649</v>
      </c>
      <c r="AF38" s="9">
        <f t="shared" si="8"/>
        <v>9.5139999999999993</v>
      </c>
      <c r="AG38" s="9">
        <f t="shared" si="9"/>
        <v>1.7866666666666666</v>
      </c>
      <c r="AH38" s="9">
        <f t="shared" si="10"/>
        <v>0.1591675773269349</v>
      </c>
      <c r="AI38" s="9">
        <f t="shared" si="11"/>
        <v>2.5334317672125801E-2</v>
      </c>
      <c r="AJ38" s="9">
        <f t="shared" si="12"/>
        <v>9.4811761681060217E-2</v>
      </c>
      <c r="AK38" s="9">
        <f t="shared" si="13"/>
        <v>8.9892701530661576E-3</v>
      </c>
      <c r="AL38" s="9">
        <f t="shared" si="14"/>
        <v>3.5160981701168971E-2</v>
      </c>
      <c r="AM38" s="9">
        <f t="shared" si="15"/>
        <v>1.2362946341899393E-3</v>
      </c>
      <c r="AN38" s="9" t="s">
        <v>3164</v>
      </c>
    </row>
    <row r="39" spans="13:40" ht="23">
      <c r="M39" s="9" t="s">
        <v>3481</v>
      </c>
      <c r="N39" s="8" t="s">
        <v>2017</v>
      </c>
      <c r="O39" s="8"/>
      <c r="P39" s="8"/>
      <c r="Q39" s="8"/>
      <c r="R39" s="8"/>
      <c r="S39" s="8"/>
      <c r="T39" s="8"/>
      <c r="U39" s="8"/>
      <c r="V39" s="8"/>
      <c r="W39" s="9" t="s">
        <v>3481</v>
      </c>
      <c r="X39" s="8">
        <v>41.96</v>
      </c>
      <c r="Y39" s="8">
        <v>4.26</v>
      </c>
      <c r="Z39" s="9">
        <v>3.44</v>
      </c>
      <c r="AA39" s="8">
        <v>6.6</v>
      </c>
      <c r="AB39" s="8">
        <v>14881</v>
      </c>
      <c r="AC39" s="22" t="s">
        <v>3481</v>
      </c>
      <c r="AD39" s="8" t="s">
        <v>4027</v>
      </c>
      <c r="AE39" s="8" t="s">
        <v>4649</v>
      </c>
      <c r="AF39" s="9">
        <f t="shared" si="8"/>
        <v>28.115999999999996</v>
      </c>
      <c r="AG39" s="9">
        <f t="shared" si="9"/>
        <v>24.64</v>
      </c>
      <c r="AH39" s="9">
        <f t="shared" si="10"/>
        <v>0.15679194184444334</v>
      </c>
      <c r="AI39" s="9">
        <f t="shared" si="11"/>
        <v>2.4583713027351302E-2</v>
      </c>
      <c r="AJ39" s="9">
        <f t="shared" si="12"/>
        <v>0.28018998228134206</v>
      </c>
      <c r="AK39" s="9">
        <f t="shared" si="13"/>
        <v>7.850642617081878E-2</v>
      </c>
      <c r="AL39" s="9">
        <f t="shared" si="14"/>
        <v>0.48490667301313622</v>
      </c>
      <c r="AM39" s="9">
        <f t="shared" si="15"/>
        <v>0.23513448153266861</v>
      </c>
      <c r="AN39" s="9" t="s">
        <v>3481</v>
      </c>
    </row>
    <row r="40" spans="13:40" ht="23">
      <c r="M40" s="9" t="s">
        <v>2288</v>
      </c>
      <c r="N40" s="8" t="s">
        <v>150</v>
      </c>
      <c r="O40" s="8"/>
      <c r="P40" s="8"/>
      <c r="Q40" s="8"/>
      <c r="R40" s="8"/>
      <c r="S40" s="8"/>
      <c r="T40" s="8"/>
      <c r="U40" s="8"/>
      <c r="V40" s="8"/>
      <c r="W40" s="9" t="s">
        <v>2288</v>
      </c>
      <c r="X40" s="8">
        <v>24.71</v>
      </c>
      <c r="Y40" s="8">
        <v>8.59</v>
      </c>
      <c r="Z40" s="9">
        <v>6.09</v>
      </c>
      <c r="AA40" s="8">
        <v>6.2</v>
      </c>
      <c r="AB40" s="8">
        <v>21163</v>
      </c>
      <c r="AC40" s="22" t="s">
        <v>2288</v>
      </c>
      <c r="AD40" s="8" t="s">
        <v>4362</v>
      </c>
      <c r="AE40" s="8" t="s">
        <v>4649</v>
      </c>
      <c r="AF40" s="9">
        <f t="shared" si="8"/>
        <v>53.258000000000003</v>
      </c>
      <c r="AG40" s="9">
        <f t="shared" si="9"/>
        <v>38.130000000000003</v>
      </c>
      <c r="AH40" s="9">
        <f t="shared" si="10"/>
        <v>0.14728939991447706</v>
      </c>
      <c r="AI40" s="9">
        <f t="shared" si="11"/>
        <v>2.1694167327166756E-2</v>
      </c>
      <c r="AJ40" s="9">
        <f t="shared" si="12"/>
        <v>0.53074256922534213</v>
      </c>
      <c r="AK40" s="9">
        <f t="shared" si="13"/>
        <v>0.28168767478791706</v>
      </c>
      <c r="AL40" s="9">
        <f t="shared" si="14"/>
        <v>0.75038520462625358</v>
      </c>
      <c r="AM40" s="9">
        <f t="shared" si="15"/>
        <v>0.56307795532198446</v>
      </c>
      <c r="AN40" s="9" t="s">
        <v>2288</v>
      </c>
    </row>
    <row r="41" spans="13:40" ht="23">
      <c r="M41" s="8" t="s">
        <v>987</v>
      </c>
      <c r="N41" s="8" t="s">
        <v>150</v>
      </c>
      <c r="O41" s="8"/>
      <c r="P41" s="8" t="s">
        <v>3693</v>
      </c>
      <c r="Q41" s="8"/>
      <c r="R41" s="8"/>
      <c r="S41" s="8"/>
      <c r="T41" s="8"/>
      <c r="U41" s="8"/>
      <c r="V41" s="8"/>
      <c r="W41" s="8" t="s">
        <v>987</v>
      </c>
      <c r="X41" s="8">
        <v>69.819999999999993</v>
      </c>
      <c r="Y41" s="8">
        <v>2.85</v>
      </c>
      <c r="Z41" s="9">
        <v>2.2799999999999998</v>
      </c>
      <c r="AA41" s="8">
        <v>5.7</v>
      </c>
      <c r="AB41" s="8">
        <v>17218</v>
      </c>
      <c r="AC41" s="21" t="s">
        <v>987</v>
      </c>
      <c r="AD41" s="8" t="s">
        <v>4199</v>
      </c>
      <c r="AE41" s="8" t="s">
        <v>4649</v>
      </c>
      <c r="AF41" s="9">
        <f t="shared" si="8"/>
        <v>16.245000000000001</v>
      </c>
      <c r="AG41" s="9">
        <f t="shared" si="9"/>
        <v>14.06</v>
      </c>
      <c r="AH41" s="9">
        <f t="shared" si="10"/>
        <v>0.13541122250201926</v>
      </c>
      <c r="AI41" s="9">
        <f t="shared" si="11"/>
        <v>1.8336199179491367E-2</v>
      </c>
      <c r="AJ41" s="9">
        <f t="shared" si="12"/>
        <v>0.16188953841799697</v>
      </c>
      <c r="AK41" s="9">
        <f t="shared" si="13"/>
        <v>2.6208222649192116E-2</v>
      </c>
      <c r="AL41" s="9">
        <f t="shared" si="14"/>
        <v>0.27669593435733347</v>
      </c>
      <c r="AM41" s="9">
        <f t="shared" si="15"/>
        <v>7.6560640089877799E-2</v>
      </c>
      <c r="AN41" s="8" t="s">
        <v>987</v>
      </c>
    </row>
    <row r="42" spans="13:40" ht="23">
      <c r="M42" s="8" t="s">
        <v>148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8" t="s">
        <v>148</v>
      </c>
      <c r="X42" s="8">
        <v>36.21</v>
      </c>
      <c r="Y42" s="8">
        <v>2.67</v>
      </c>
      <c r="Z42" s="9">
        <v>1.45</v>
      </c>
      <c r="AA42" s="8">
        <v>5.6</v>
      </c>
      <c r="AB42" s="8">
        <v>28708</v>
      </c>
      <c r="AC42" s="21" t="s">
        <v>148</v>
      </c>
      <c r="AD42" s="8" t="s">
        <v>4039</v>
      </c>
      <c r="AE42" s="8" t="s">
        <v>4649</v>
      </c>
      <c r="AF42" s="9">
        <f t="shared" si="8"/>
        <v>14.951999999999998</v>
      </c>
      <c r="AG42" s="9">
        <f t="shared" si="9"/>
        <v>9.7999999999999989</v>
      </c>
      <c r="AH42" s="9">
        <f t="shared" si="10"/>
        <v>0.13303558701952767</v>
      </c>
      <c r="AI42" s="9">
        <f t="shared" si="11"/>
        <v>1.769846741363032E-2</v>
      </c>
      <c r="AJ42" s="9">
        <f t="shared" si="12"/>
        <v>0.14900414764086736</v>
      </c>
      <c r="AK42" s="9">
        <f t="shared" si="13"/>
        <v>2.2202236014181399E-2</v>
      </c>
      <c r="AL42" s="9">
        <f t="shared" si="14"/>
        <v>0.19286060858477008</v>
      </c>
      <c r="AM42" s="9">
        <f t="shared" si="15"/>
        <v>3.7195214343687895E-2</v>
      </c>
      <c r="AN42" s="8" t="s">
        <v>148</v>
      </c>
    </row>
    <row r="43" spans="13:40" ht="23">
      <c r="M43" s="9" t="s">
        <v>3089</v>
      </c>
      <c r="N43" s="8" t="s">
        <v>1814</v>
      </c>
      <c r="O43" s="8"/>
      <c r="P43" s="8"/>
      <c r="Q43" s="8"/>
      <c r="R43" s="8"/>
      <c r="S43" s="8"/>
      <c r="T43" s="8"/>
      <c r="U43" s="8"/>
      <c r="V43" s="8"/>
      <c r="W43" s="9" t="s">
        <v>3089</v>
      </c>
      <c r="X43" s="8">
        <v>22.08</v>
      </c>
      <c r="Y43" s="8">
        <v>6.41</v>
      </c>
      <c r="Z43" s="9">
        <v>7.37</v>
      </c>
      <c r="AA43" s="8">
        <v>5.5</v>
      </c>
      <c r="AB43" s="8">
        <v>14453</v>
      </c>
      <c r="AC43" s="22" t="s">
        <v>3089</v>
      </c>
      <c r="AD43" s="8" t="s">
        <v>4181</v>
      </c>
      <c r="AE43" s="8" t="s">
        <v>4649</v>
      </c>
      <c r="AF43" s="9">
        <f t="shared" si="8"/>
        <v>35.255000000000003</v>
      </c>
      <c r="AG43" s="9">
        <f t="shared" si="9"/>
        <v>41.891666666666666</v>
      </c>
      <c r="AH43" s="9">
        <f t="shared" si="10"/>
        <v>0.13065995153703611</v>
      </c>
      <c r="AI43" s="9">
        <f t="shared" si="11"/>
        <v>1.7072022935660625E-2</v>
      </c>
      <c r="AJ43" s="9">
        <f t="shared" si="12"/>
        <v>0.35133368279018057</v>
      </c>
      <c r="AK43" s="9">
        <f t="shared" si="13"/>
        <v>0.12343535666291122</v>
      </c>
      <c r="AL43" s="9">
        <f t="shared" si="14"/>
        <v>0.82441350285343484</v>
      </c>
      <c r="AM43" s="9">
        <f t="shared" si="15"/>
        <v>0.67965762368707039</v>
      </c>
      <c r="AN43" s="9" t="s">
        <v>3089</v>
      </c>
    </row>
    <row r="44" spans="13:40" ht="23">
      <c r="M44" s="9" t="s">
        <v>3071</v>
      </c>
      <c r="N44" s="8" t="s">
        <v>1814</v>
      </c>
      <c r="O44" s="8"/>
      <c r="P44" s="8"/>
      <c r="Q44" s="8"/>
      <c r="R44" s="8"/>
      <c r="S44" s="8"/>
      <c r="T44" s="8"/>
      <c r="U44" s="8"/>
      <c r="V44" s="8"/>
      <c r="W44" s="9" t="s">
        <v>3071</v>
      </c>
      <c r="X44" s="8">
        <v>14.97</v>
      </c>
      <c r="Y44" s="8">
        <v>2.34</v>
      </c>
      <c r="Z44" s="9">
        <v>1.1299999999999999</v>
      </c>
      <c r="AA44" s="8">
        <v>5.4</v>
      </c>
      <c r="AB44" s="8">
        <v>27998</v>
      </c>
      <c r="AC44" s="22" t="s">
        <v>3071</v>
      </c>
      <c r="AD44" s="8" t="s">
        <v>4181</v>
      </c>
      <c r="AE44" s="8" t="s">
        <v>4649</v>
      </c>
      <c r="AF44" s="9">
        <f t="shared" si="8"/>
        <v>12.635999999999999</v>
      </c>
      <c r="AG44" s="9">
        <f t="shared" si="9"/>
        <v>6.5700000000000012</v>
      </c>
      <c r="AH44" s="9">
        <f t="shared" si="10"/>
        <v>0.12828431605454454</v>
      </c>
      <c r="AI44" s="9">
        <f t="shared" si="11"/>
        <v>1.6456865745582274E-2</v>
      </c>
      <c r="AJ44" s="9">
        <f t="shared" si="12"/>
        <v>0.12592405093566078</v>
      </c>
      <c r="AK44" s="9">
        <f t="shared" si="13"/>
        <v>1.585686660404689E-2</v>
      </c>
      <c r="AL44" s="9">
        <f t="shared" si="14"/>
        <v>0.12929532636754487</v>
      </c>
      <c r="AM44" s="9">
        <f t="shared" si="15"/>
        <v>1.6717281420489945E-2</v>
      </c>
      <c r="AN44" s="9" t="s">
        <v>3071</v>
      </c>
    </row>
    <row r="45" spans="13:40" ht="23">
      <c r="M45" s="8" t="s">
        <v>696</v>
      </c>
      <c r="N45" s="8" t="s">
        <v>150</v>
      </c>
      <c r="O45" s="8"/>
      <c r="P45" s="8" t="s">
        <v>3693</v>
      </c>
      <c r="Q45" s="8"/>
      <c r="R45" s="8"/>
      <c r="S45" s="8"/>
      <c r="T45" s="8"/>
      <c r="U45" s="8"/>
      <c r="V45" s="8"/>
      <c r="W45" s="8" t="s">
        <v>696</v>
      </c>
      <c r="X45" s="8">
        <v>23.73</v>
      </c>
      <c r="Y45" s="8">
        <v>4.8099999999999996</v>
      </c>
      <c r="Z45" s="9">
        <v>4.17</v>
      </c>
      <c r="AA45" s="8">
        <v>5.3</v>
      </c>
      <c r="AB45" s="8">
        <v>15591</v>
      </c>
      <c r="AC45" s="21" t="s">
        <v>696</v>
      </c>
      <c r="AD45" s="8" t="s">
        <v>4129</v>
      </c>
      <c r="AE45" s="8" t="s">
        <v>4649</v>
      </c>
      <c r="AF45" s="9">
        <f t="shared" si="8"/>
        <v>25.492999999999999</v>
      </c>
      <c r="AG45" s="9">
        <f t="shared" si="9"/>
        <v>22.701666666666664</v>
      </c>
      <c r="AH45" s="9">
        <f t="shared" si="10"/>
        <v>0.12590868057205298</v>
      </c>
      <c r="AI45" s="9">
        <f t="shared" si="11"/>
        <v>1.5852995843395272E-2</v>
      </c>
      <c r="AJ45" s="9">
        <f t="shared" si="12"/>
        <v>0.2540504772477683</v>
      </c>
      <c r="AK45" s="9">
        <f t="shared" si="13"/>
        <v>6.4541644989818833E-2</v>
      </c>
      <c r="AL45" s="9">
        <f t="shared" si="14"/>
        <v>0.4467609437981554</v>
      </c>
      <c r="AM45" s="9">
        <f t="shared" si="15"/>
        <v>0.19959534090341857</v>
      </c>
      <c r="AN45" s="8" t="s">
        <v>696</v>
      </c>
    </row>
    <row r="46" spans="13:40" ht="23">
      <c r="M46" s="8" t="s">
        <v>1401</v>
      </c>
      <c r="N46" s="8" t="s">
        <v>150</v>
      </c>
      <c r="O46" s="8"/>
      <c r="P46" s="8"/>
      <c r="Q46" s="8"/>
      <c r="R46" s="8"/>
      <c r="S46" s="8"/>
      <c r="T46" s="8"/>
      <c r="U46" s="8"/>
      <c r="V46" s="8"/>
      <c r="W46" s="8" t="s">
        <v>1401</v>
      </c>
      <c r="X46" s="8">
        <v>18.71</v>
      </c>
      <c r="Y46" s="8">
        <v>2.86</v>
      </c>
      <c r="Z46" s="9">
        <v>2.15</v>
      </c>
      <c r="AA46" s="8">
        <v>5.0999999999999996</v>
      </c>
      <c r="AB46" s="8">
        <v>19685</v>
      </c>
      <c r="AC46" s="21" t="s">
        <v>1401</v>
      </c>
      <c r="AD46" s="8" t="s">
        <v>4199</v>
      </c>
      <c r="AE46" s="8" t="s">
        <v>4649</v>
      </c>
      <c r="AF46" s="9">
        <f t="shared" si="8"/>
        <v>14.585999999999999</v>
      </c>
      <c r="AG46" s="9">
        <f t="shared" si="9"/>
        <v>11.475</v>
      </c>
      <c r="AH46" s="9">
        <f t="shared" si="10"/>
        <v>0.12115740960706985</v>
      </c>
      <c r="AI46" s="9">
        <f t="shared" si="11"/>
        <v>1.4679117902695301E-2</v>
      </c>
      <c r="AJ46" s="9">
        <f t="shared" si="12"/>
        <v>0.14535677484548498</v>
      </c>
      <c r="AK46" s="9">
        <f t="shared" si="13"/>
        <v>2.1128591993481015E-2</v>
      </c>
      <c r="AL46" s="9">
        <f t="shared" si="14"/>
        <v>0.22582402892961603</v>
      </c>
      <c r="AM46" s="9">
        <f t="shared" si="15"/>
        <v>5.0996492042004057E-2</v>
      </c>
      <c r="AN46" s="8" t="s">
        <v>1401</v>
      </c>
    </row>
    <row r="47" spans="13:40" ht="23">
      <c r="M47" s="8" t="s">
        <v>1790</v>
      </c>
      <c r="N47" s="8" t="s">
        <v>1717</v>
      </c>
      <c r="O47" s="8"/>
      <c r="P47" s="8"/>
      <c r="Q47" s="8"/>
      <c r="R47" s="8"/>
      <c r="S47" s="8"/>
      <c r="T47" s="8"/>
      <c r="U47" s="8"/>
      <c r="V47" s="8"/>
      <c r="W47" s="8" t="s">
        <v>1790</v>
      </c>
      <c r="X47" s="8">
        <v>53.56</v>
      </c>
      <c r="Y47" s="8">
        <v>2.2799999999999998</v>
      </c>
      <c r="Z47" s="9">
        <v>1.42</v>
      </c>
      <c r="AA47" s="8">
        <v>5.0999999999999996</v>
      </c>
      <c r="AB47" s="8">
        <v>24875</v>
      </c>
      <c r="AC47" s="21" t="s">
        <v>1790</v>
      </c>
      <c r="AD47" s="8" t="s">
        <v>4027</v>
      </c>
      <c r="AE47" s="8" t="s">
        <v>4649</v>
      </c>
      <c r="AF47" s="9">
        <f t="shared" si="8"/>
        <v>11.627999999999998</v>
      </c>
      <c r="AG47" s="9">
        <f t="shared" si="9"/>
        <v>8.67</v>
      </c>
      <c r="AH47" s="9">
        <f t="shared" si="10"/>
        <v>0.12115740960706985</v>
      </c>
      <c r="AI47" s="9">
        <f t="shared" si="11"/>
        <v>1.4679117902695301E-2</v>
      </c>
      <c r="AJ47" s="9">
        <f t="shared" si="12"/>
        <v>0.11587882749919783</v>
      </c>
      <c r="AK47" s="9">
        <f t="shared" si="13"/>
        <v>1.3427902662588847E-2</v>
      </c>
      <c r="AL47" s="9">
        <f t="shared" si="14"/>
        <v>0.17062259963570989</v>
      </c>
      <c r="AM47" s="9">
        <f t="shared" si="15"/>
        <v>2.9112071506447748E-2</v>
      </c>
      <c r="AN47" s="8" t="s">
        <v>1790</v>
      </c>
    </row>
    <row r="48" spans="13:40" ht="23">
      <c r="M48" s="9" t="s">
        <v>3518</v>
      </c>
      <c r="N48" s="8" t="s">
        <v>2041</v>
      </c>
      <c r="O48" s="8"/>
      <c r="P48" s="8"/>
      <c r="Q48" s="8"/>
      <c r="R48" s="8"/>
      <c r="S48" s="8"/>
      <c r="T48" s="8"/>
      <c r="U48" s="8"/>
      <c r="V48" s="8"/>
      <c r="W48" s="9" t="s">
        <v>3518</v>
      </c>
      <c r="X48" s="8">
        <v>46.52</v>
      </c>
      <c r="Y48" s="8">
        <v>2.88</v>
      </c>
      <c r="Z48" s="9">
        <v>1.5</v>
      </c>
      <c r="AA48" s="8">
        <v>5.0999999999999996</v>
      </c>
      <c r="AB48" s="8">
        <v>17253</v>
      </c>
      <c r="AC48" s="22" t="s">
        <v>3518</v>
      </c>
      <c r="AD48" s="8" t="s">
        <v>4181</v>
      </c>
      <c r="AE48" s="8" t="s">
        <v>4649</v>
      </c>
      <c r="AF48" s="9">
        <f t="shared" si="8"/>
        <v>14.687999999999999</v>
      </c>
      <c r="AG48" s="9">
        <f t="shared" si="9"/>
        <v>5.1424999999999992</v>
      </c>
      <c r="AH48" s="9">
        <f t="shared" si="10"/>
        <v>0.12115740960706985</v>
      </c>
      <c r="AI48" s="9">
        <f t="shared" si="11"/>
        <v>1.4679117902695301E-2</v>
      </c>
      <c r="AJ48" s="9">
        <f t="shared" si="12"/>
        <v>0.14637325578846042</v>
      </c>
      <c r="AK48" s="9">
        <f t="shared" si="13"/>
        <v>2.1425130010114059E-2</v>
      </c>
      <c r="AL48" s="9">
        <f t="shared" si="14"/>
        <v>0.10120262037216124</v>
      </c>
      <c r="AM48" s="9">
        <f t="shared" si="15"/>
        <v>1.0241970370191785E-2</v>
      </c>
      <c r="AN48" s="9" t="s">
        <v>3518</v>
      </c>
    </row>
    <row r="49" spans="13:40" ht="23">
      <c r="M49" s="8" t="s">
        <v>834</v>
      </c>
      <c r="N49" s="8" t="s">
        <v>150</v>
      </c>
      <c r="O49" s="8"/>
      <c r="P49" s="8" t="s">
        <v>3691</v>
      </c>
      <c r="Q49" s="8"/>
      <c r="R49" s="8"/>
      <c r="S49" s="8"/>
      <c r="T49" s="8"/>
      <c r="U49" s="8"/>
      <c r="V49" s="8"/>
      <c r="W49" s="8" t="s">
        <v>834</v>
      </c>
      <c r="X49" s="8">
        <v>16.72</v>
      </c>
      <c r="Y49" s="8">
        <v>4.28</v>
      </c>
      <c r="Z49" s="9">
        <v>4.3899999999999997</v>
      </c>
      <c r="AA49" s="8">
        <v>4.3</v>
      </c>
      <c r="AB49" s="8">
        <v>19088</v>
      </c>
      <c r="AC49" s="21" t="s">
        <v>834</v>
      </c>
      <c r="AD49" s="8" t="s">
        <v>4039</v>
      </c>
      <c r="AE49" s="8" t="s">
        <v>4649</v>
      </c>
      <c r="AF49" s="9">
        <f t="shared" si="8"/>
        <v>18.404</v>
      </c>
      <c r="AG49" s="9">
        <f t="shared" si="9"/>
        <v>19.995000000000001</v>
      </c>
      <c r="AH49" s="9">
        <f t="shared" si="10"/>
        <v>0.10215232574713731</v>
      </c>
      <c r="AI49" s="9">
        <f t="shared" si="11"/>
        <v>1.0435097655549253E-2</v>
      </c>
      <c r="AJ49" s="9">
        <f t="shared" si="12"/>
        <v>0.18340505171097668</v>
      </c>
      <c r="AK49" s="9">
        <f t="shared" si="13"/>
        <v>3.3637412993106033E-2</v>
      </c>
      <c r="AL49" s="9">
        <f t="shared" si="14"/>
        <v>0.39349468047474273</v>
      </c>
      <c r="AM49" s="9">
        <f t="shared" si="15"/>
        <v>0.15483806356191987</v>
      </c>
      <c r="AN49" s="8" t="s">
        <v>834</v>
      </c>
    </row>
    <row r="50" spans="13:40" ht="23">
      <c r="M50" s="9" t="s">
        <v>2869</v>
      </c>
      <c r="N50" s="8" t="s">
        <v>1717</v>
      </c>
      <c r="O50" s="8"/>
      <c r="P50" s="8"/>
      <c r="Q50" s="8"/>
      <c r="R50" s="8"/>
      <c r="S50" s="8"/>
      <c r="T50" s="8"/>
      <c r="U50" s="8"/>
      <c r="V50" s="8"/>
      <c r="W50" s="9" t="s">
        <v>2869</v>
      </c>
      <c r="X50" s="8">
        <v>60.04</v>
      </c>
      <c r="Y50" s="8">
        <v>1.64</v>
      </c>
      <c r="Z50" s="9">
        <v>0.31</v>
      </c>
      <c r="AA50" s="8">
        <v>3.3</v>
      </c>
      <c r="AB50" s="8">
        <v>35878</v>
      </c>
      <c r="AC50" s="22" t="s">
        <v>2869</v>
      </c>
      <c r="AD50" s="8" t="s">
        <v>4199</v>
      </c>
      <c r="AE50" s="8" t="s">
        <v>4649</v>
      </c>
      <c r="AF50" s="9">
        <f t="shared" si="8"/>
        <v>5.411999999999999</v>
      </c>
      <c r="AG50" s="9">
        <f t="shared" si="9"/>
        <v>1.7050000000000001</v>
      </c>
      <c r="AH50" s="9">
        <f t="shared" si="10"/>
        <v>7.8395970922221669E-2</v>
      </c>
      <c r="AI50" s="9">
        <f t="shared" si="11"/>
        <v>6.1459282568378255E-3</v>
      </c>
      <c r="AJ50" s="9">
        <f t="shared" si="12"/>
        <v>5.3933282974342835E-2</v>
      </c>
      <c r="AK50" s="9">
        <f t="shared" si="13"/>
        <v>2.9087990123905388E-3</v>
      </c>
      <c r="AL50" s="9">
        <f t="shared" si="14"/>
        <v>3.3553809962962554E-2</v>
      </c>
      <c r="AM50" s="9">
        <f t="shared" si="15"/>
        <v>1.1258581630306051E-3</v>
      </c>
      <c r="AN50" s="9" t="s">
        <v>2869</v>
      </c>
    </row>
    <row r="51" spans="13:40" ht="23">
      <c r="M51" s="8" t="s">
        <v>46</v>
      </c>
      <c r="N51" s="8" t="s">
        <v>19</v>
      </c>
      <c r="O51" s="8"/>
      <c r="P51" s="8"/>
      <c r="Q51" s="8"/>
      <c r="R51" s="8"/>
      <c r="S51" s="8"/>
      <c r="T51" s="8"/>
      <c r="U51" s="8"/>
      <c r="V51" s="8"/>
      <c r="W51" s="8" t="s">
        <v>46</v>
      </c>
      <c r="X51" s="8">
        <v>36.85</v>
      </c>
      <c r="Y51" s="8">
        <v>8.26</v>
      </c>
      <c r="Z51" s="9">
        <v>7.38</v>
      </c>
      <c r="AA51" s="8">
        <v>3.2</v>
      </c>
      <c r="AB51" s="8">
        <v>20193</v>
      </c>
      <c r="AC51" s="21" t="s">
        <v>46</v>
      </c>
      <c r="AD51" s="8" t="s">
        <v>4171</v>
      </c>
      <c r="AE51" s="8" t="s">
        <v>4649</v>
      </c>
      <c r="AF51" s="9">
        <f t="shared" si="8"/>
        <v>26.432000000000002</v>
      </c>
      <c r="AG51" s="9">
        <f t="shared" si="9"/>
        <v>24.426666666666666</v>
      </c>
      <c r="AH51" s="9">
        <f t="shared" si="10"/>
        <v>7.6020335439730108E-2</v>
      </c>
      <c r="AI51" s="9">
        <f t="shared" si="11"/>
        <v>5.7790914003690852E-3</v>
      </c>
      <c r="AJ51" s="9">
        <f t="shared" si="12"/>
        <v>0.26340808122280679</v>
      </c>
      <c r="AK51" s="9">
        <f t="shared" si="13"/>
        <v>6.9383817253480778E-2</v>
      </c>
      <c r="AL51" s="9">
        <f t="shared" si="14"/>
        <v>0.48070834683986241</v>
      </c>
      <c r="AM51" s="9">
        <f t="shared" si="15"/>
        <v>0.23108051472151345</v>
      </c>
      <c r="AN51" s="8" t="s">
        <v>46</v>
      </c>
    </row>
    <row r="52" spans="13:40" ht="23">
      <c r="M52" s="9" t="s">
        <v>3290</v>
      </c>
      <c r="N52" s="8" t="s">
        <v>1939</v>
      </c>
      <c r="O52" s="8"/>
      <c r="P52" s="8"/>
      <c r="Q52" s="8"/>
      <c r="R52" s="8"/>
      <c r="S52" s="8"/>
      <c r="T52" s="8"/>
      <c r="U52" s="8"/>
      <c r="V52" s="8"/>
      <c r="W52" s="9" t="s">
        <v>3290</v>
      </c>
      <c r="X52" s="8">
        <v>36.130000000000003</v>
      </c>
      <c r="Y52" s="8">
        <v>4.49</v>
      </c>
      <c r="Z52" s="9">
        <v>0.55000000000000004</v>
      </c>
      <c r="AA52" s="8">
        <v>3</v>
      </c>
      <c r="AB52" s="8">
        <v>25654</v>
      </c>
      <c r="AC52" s="22" t="s">
        <v>3290</v>
      </c>
      <c r="AD52" s="8" t="s">
        <v>4181</v>
      </c>
      <c r="AE52" s="8" t="s">
        <v>4649</v>
      </c>
      <c r="AF52" s="9">
        <f t="shared" si="8"/>
        <v>13.47</v>
      </c>
      <c r="AG52" s="9">
        <f t="shared" si="9"/>
        <v>2.75</v>
      </c>
      <c r="AH52" s="9">
        <f t="shared" si="10"/>
        <v>7.1269064474746971E-2</v>
      </c>
      <c r="AI52" s="9">
        <f t="shared" si="11"/>
        <v>5.0792795511056411E-3</v>
      </c>
      <c r="AJ52" s="9">
        <f t="shared" si="12"/>
        <v>0.134235277469401</v>
      </c>
      <c r="AK52" s="9">
        <f t="shared" si="13"/>
        <v>1.8019109717287075E-2</v>
      </c>
      <c r="AL52" s="9">
        <f t="shared" si="14"/>
        <v>5.4119048327358962E-2</v>
      </c>
      <c r="AM52" s="9">
        <f t="shared" si="15"/>
        <v>2.9288713918590148E-3</v>
      </c>
      <c r="AN52" s="9" t="s">
        <v>3290</v>
      </c>
    </row>
    <row r="53" spans="13:40" ht="23">
      <c r="M53" s="9" t="s">
        <v>2835</v>
      </c>
      <c r="N53" s="8" t="s">
        <v>1614</v>
      </c>
      <c r="O53" s="8"/>
      <c r="P53" s="8"/>
      <c r="Q53" s="8"/>
      <c r="R53" s="8"/>
      <c r="S53" s="8"/>
      <c r="T53" s="8"/>
      <c r="U53" s="8"/>
      <c r="V53" s="8"/>
      <c r="W53" s="9" t="s">
        <v>2835</v>
      </c>
      <c r="X53" s="8">
        <v>23.15</v>
      </c>
      <c r="Y53" s="8">
        <v>4.0999999999999996</v>
      </c>
      <c r="Z53" s="9">
        <v>4.3</v>
      </c>
      <c r="AA53" s="8">
        <v>2.7</v>
      </c>
      <c r="AB53" s="8">
        <v>26754</v>
      </c>
      <c r="AC53" s="22" t="s">
        <v>2835</v>
      </c>
      <c r="AD53" s="8" t="s">
        <v>4199</v>
      </c>
      <c r="AE53" s="8" t="s">
        <v>4649</v>
      </c>
      <c r="AF53" s="9">
        <f t="shared" si="8"/>
        <v>11.07</v>
      </c>
      <c r="AG53" s="9">
        <f t="shared" si="9"/>
        <v>10.813500000000001</v>
      </c>
      <c r="AH53" s="9">
        <f t="shared" si="10"/>
        <v>6.4142158027272272E-2</v>
      </c>
      <c r="AI53" s="9">
        <f t="shared" si="11"/>
        <v>4.1142164363955685E-3</v>
      </c>
      <c r="AJ53" s="9">
        <f t="shared" si="12"/>
        <v>0.11031807881115582</v>
      </c>
      <c r="AK53" s="9">
        <f t="shared" si="13"/>
        <v>1.2170078512584387E-2</v>
      </c>
      <c r="AL53" s="9">
        <f t="shared" si="14"/>
        <v>0.21280593785014407</v>
      </c>
      <c r="AM53" s="9">
        <f t="shared" si="15"/>
        <v>4.5286367184279377E-2</v>
      </c>
      <c r="AN53" s="9" t="s">
        <v>2835</v>
      </c>
    </row>
    <row r="54" spans="13:40" ht="23">
      <c r="M54" s="9" t="s">
        <v>2808</v>
      </c>
      <c r="N54" s="8" t="s">
        <v>1614</v>
      </c>
      <c r="O54" s="8"/>
      <c r="P54" s="8" t="s">
        <v>4662</v>
      </c>
      <c r="Q54" s="8"/>
      <c r="R54" s="8"/>
      <c r="S54" s="8"/>
      <c r="T54" s="8"/>
      <c r="U54" s="8"/>
      <c r="V54" s="8"/>
      <c r="W54" s="9" t="s">
        <v>2808</v>
      </c>
      <c r="X54" s="8">
        <v>12.61</v>
      </c>
      <c r="Y54" s="8">
        <v>12.19</v>
      </c>
      <c r="Z54" s="9">
        <v>5.35</v>
      </c>
      <c r="AA54" s="8">
        <v>2.5</v>
      </c>
      <c r="AB54" s="8">
        <v>18269</v>
      </c>
      <c r="AC54" s="22" t="s">
        <v>2808</v>
      </c>
      <c r="AD54" s="8" t="s">
        <v>4017</v>
      </c>
      <c r="AE54" s="8" t="s">
        <v>4649</v>
      </c>
      <c r="AF54" s="9">
        <f t="shared" si="8"/>
        <v>30.474999999999998</v>
      </c>
      <c r="AG54" s="9">
        <f t="shared" si="9"/>
        <v>13.958333333333332</v>
      </c>
      <c r="AH54" s="9">
        <f t="shared" si="10"/>
        <v>5.9390887062289149E-2</v>
      </c>
      <c r="AI54" s="9">
        <f t="shared" si="11"/>
        <v>3.5272774660455846E-3</v>
      </c>
      <c r="AJ54" s="9">
        <f t="shared" si="12"/>
        <v>0.30369859546250894</v>
      </c>
      <c r="AK54" s="9">
        <f t="shared" si="13"/>
        <v>9.2232836885900657E-2</v>
      </c>
      <c r="AL54" s="9">
        <f t="shared" si="14"/>
        <v>0.27469516954038259</v>
      </c>
      <c r="AM54" s="9">
        <f t="shared" si="15"/>
        <v>7.5457436168819531E-2</v>
      </c>
      <c r="AN54" s="9" t="s">
        <v>2808</v>
      </c>
    </row>
    <row r="55" spans="13:40" ht="23">
      <c r="M55" s="8" t="s">
        <v>991</v>
      </c>
      <c r="N55" s="8" t="s">
        <v>150</v>
      </c>
      <c r="O55" s="8"/>
      <c r="P55" s="8"/>
      <c r="Q55" s="8"/>
      <c r="R55" s="8"/>
      <c r="S55" s="8"/>
      <c r="T55" s="8"/>
      <c r="U55" s="8"/>
      <c r="V55" s="8"/>
      <c r="W55" s="8" t="s">
        <v>991</v>
      </c>
      <c r="X55" s="8">
        <v>35.07</v>
      </c>
      <c r="Y55" s="8">
        <v>2.3199999999999998</v>
      </c>
      <c r="Z55" s="9">
        <v>0.56999999999999995</v>
      </c>
      <c r="AA55" s="8">
        <v>2.1</v>
      </c>
      <c r="AB55" s="8">
        <v>65012</v>
      </c>
      <c r="AC55" s="21" t="s">
        <v>991</v>
      </c>
      <c r="AD55" s="8" t="s">
        <v>4199</v>
      </c>
      <c r="AE55" s="8" t="s">
        <v>4649</v>
      </c>
      <c r="AF55" s="9">
        <f t="shared" si="8"/>
        <v>4.8719999999999999</v>
      </c>
      <c r="AG55" s="9">
        <f t="shared" si="9"/>
        <v>1.9949999999999999</v>
      </c>
      <c r="AH55" s="9">
        <f t="shared" si="10"/>
        <v>4.9888345132322875E-2</v>
      </c>
      <c r="AI55" s="9">
        <f t="shared" si="11"/>
        <v>2.4888469800417637E-3</v>
      </c>
      <c r="AJ55" s="9">
        <f t="shared" si="12"/>
        <v>4.8551913276237688E-2</v>
      </c>
      <c r="AK55" s="9">
        <f t="shared" si="13"/>
        <v>2.3572882827833054E-3</v>
      </c>
      <c r="AL55" s="9">
        <f t="shared" si="14"/>
        <v>3.9260909604756769E-2</v>
      </c>
      <c r="AM55" s="9">
        <f t="shared" si="15"/>
        <v>1.5414190229928824E-3</v>
      </c>
      <c r="AN55" s="8" t="s">
        <v>991</v>
      </c>
    </row>
    <row r="56" spans="13:40" ht="23">
      <c r="M56" s="8" t="s">
        <v>1596</v>
      </c>
      <c r="N56" s="8" t="s">
        <v>150</v>
      </c>
      <c r="O56" s="8"/>
      <c r="P56" s="8"/>
      <c r="Q56" s="8"/>
      <c r="R56" s="8"/>
      <c r="S56" s="8"/>
      <c r="T56" s="8"/>
      <c r="U56" s="8"/>
      <c r="V56" s="8"/>
      <c r="W56" s="8" t="s">
        <v>1596</v>
      </c>
      <c r="X56" s="8">
        <v>35.11</v>
      </c>
      <c r="Y56" s="8">
        <v>3</v>
      </c>
      <c r="Z56" s="9">
        <v>2.5499999999999998</v>
      </c>
      <c r="AA56" s="8">
        <v>2</v>
      </c>
      <c r="AB56" s="8">
        <v>53882</v>
      </c>
      <c r="AC56" s="21" t="s">
        <v>1596</v>
      </c>
      <c r="AD56" s="8" t="s">
        <v>4044</v>
      </c>
      <c r="AE56" s="8" t="s">
        <v>4649</v>
      </c>
      <c r="AF56" s="9">
        <f t="shared" si="8"/>
        <v>6</v>
      </c>
      <c r="AG56" s="9">
        <f t="shared" si="9"/>
        <v>5.833333333333333</v>
      </c>
      <c r="AH56" s="9">
        <f t="shared" si="10"/>
        <v>4.7512709649831314E-2</v>
      </c>
      <c r="AI56" s="9">
        <f t="shared" si="11"/>
        <v>2.2574575782691735E-3</v>
      </c>
      <c r="AJ56" s="9">
        <f t="shared" si="12"/>
        <v>5.9792996645612918E-2</v>
      </c>
      <c r="AK56" s="9">
        <f t="shared" si="13"/>
        <v>3.5752024478622776E-3</v>
      </c>
      <c r="AL56" s="9">
        <f t="shared" si="14"/>
        <v>0.11479798130045839</v>
      </c>
      <c r="AM56" s="9">
        <f t="shared" si="15"/>
        <v>1.3178576510660393E-2</v>
      </c>
      <c r="AN56" s="8" t="s">
        <v>1596</v>
      </c>
    </row>
    <row r="57" spans="13:40" ht="23">
      <c r="M57" s="9" t="s">
        <v>2174</v>
      </c>
      <c r="N57" s="8" t="s">
        <v>150</v>
      </c>
      <c r="O57" s="8"/>
      <c r="P57" s="8"/>
      <c r="Q57" s="8"/>
      <c r="R57" s="8"/>
      <c r="S57" s="8"/>
      <c r="T57" s="8"/>
      <c r="U57" s="8"/>
      <c r="V57" s="8"/>
      <c r="W57" s="9" t="s">
        <v>2174</v>
      </c>
      <c r="X57" s="8">
        <v>43.44</v>
      </c>
      <c r="Y57" s="8">
        <v>2.2799999999999998</v>
      </c>
      <c r="Z57" s="9">
        <v>0.5</v>
      </c>
      <c r="AA57" s="8">
        <v>1.8</v>
      </c>
      <c r="AB57" s="8">
        <v>45123</v>
      </c>
      <c r="AC57" s="22" t="s">
        <v>2174</v>
      </c>
      <c r="AD57" s="8" t="s">
        <v>4039</v>
      </c>
      <c r="AE57" s="8" t="s">
        <v>4649</v>
      </c>
      <c r="AF57" s="9">
        <f t="shared" si="8"/>
        <v>4.1040000000000001</v>
      </c>
      <c r="AG57" s="9">
        <f t="shared" si="9"/>
        <v>1.4999999999999999E-2</v>
      </c>
      <c r="AH57" s="9">
        <f t="shared" si="10"/>
        <v>4.2761438684848184E-2</v>
      </c>
      <c r="AI57" s="9">
        <f t="shared" si="11"/>
        <v>1.8285406383980309E-3</v>
      </c>
      <c r="AJ57" s="9">
        <f t="shared" si="12"/>
        <v>4.0898409705599235E-2</v>
      </c>
      <c r="AK57" s="9">
        <f t="shared" si="13"/>
        <v>1.6726799164470537E-3</v>
      </c>
      <c r="AL57" s="9">
        <f t="shared" si="14"/>
        <v>2.9519480905832157E-4</v>
      </c>
      <c r="AM57" s="9">
        <f t="shared" si="15"/>
        <v>8.7139975294978933E-8</v>
      </c>
      <c r="AN57" s="9" t="s">
        <v>2174</v>
      </c>
    </row>
    <row r="58" spans="13:40" ht="23">
      <c r="M58" s="8" t="s">
        <v>655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8" t="s">
        <v>655</v>
      </c>
      <c r="X58" s="8">
        <v>27.38</v>
      </c>
      <c r="Y58" s="8">
        <v>4.21</v>
      </c>
      <c r="Z58" s="9">
        <v>7.53</v>
      </c>
      <c r="AA58" s="8">
        <v>1.7</v>
      </c>
      <c r="AB58" s="8">
        <v>47399</v>
      </c>
      <c r="AC58" s="21" t="s">
        <v>655</v>
      </c>
      <c r="AD58" s="8" t="s">
        <v>4356</v>
      </c>
      <c r="AE58" s="8" t="s">
        <v>4649</v>
      </c>
      <c r="AF58" s="9">
        <f t="shared" si="8"/>
        <v>7.157</v>
      </c>
      <c r="AG58" s="9">
        <f t="shared" si="9"/>
        <v>13.401666666666666</v>
      </c>
      <c r="AH58" s="9">
        <f t="shared" si="10"/>
        <v>4.0385803202356615E-2</v>
      </c>
      <c r="AI58" s="9">
        <f t="shared" si="11"/>
        <v>1.6310131002994779E-3</v>
      </c>
      <c r="AJ58" s="9">
        <f t="shared" si="12"/>
        <v>7.1323079498775269E-2</v>
      </c>
      <c r="AK58" s="9">
        <f t="shared" si="13"/>
        <v>5.0869816691886168E-3</v>
      </c>
      <c r="AL58" s="9">
        <f t="shared" si="14"/>
        <v>0.26374016218199597</v>
      </c>
      <c r="AM58" s="9">
        <f t="shared" si="15"/>
        <v>6.9558873147785541E-2</v>
      </c>
      <c r="AN58" s="8" t="s">
        <v>655</v>
      </c>
    </row>
    <row r="59" spans="13:40" ht="23">
      <c r="M59" s="8" t="s">
        <v>109</v>
      </c>
      <c r="N59" s="8" t="s">
        <v>90</v>
      </c>
      <c r="O59" s="8"/>
      <c r="P59" s="8"/>
      <c r="Q59" s="8"/>
      <c r="R59" s="8"/>
      <c r="S59" s="8"/>
      <c r="T59" s="8"/>
      <c r="U59" s="8"/>
      <c r="V59" s="8"/>
      <c r="W59" s="8" t="s">
        <v>109</v>
      </c>
      <c r="X59" s="8">
        <v>42.01</v>
      </c>
      <c r="Y59" s="8">
        <v>2.09</v>
      </c>
      <c r="Z59" s="9">
        <v>1.1499999999999999</v>
      </c>
      <c r="AA59" s="8">
        <v>1.6</v>
      </c>
      <c r="AB59" s="8">
        <v>56515</v>
      </c>
      <c r="AC59" s="21" t="s">
        <v>109</v>
      </c>
      <c r="AD59" s="8" t="s">
        <v>4199</v>
      </c>
      <c r="AE59" s="8" t="s">
        <v>4649</v>
      </c>
      <c r="AF59" s="9">
        <f t="shared" si="8"/>
        <v>3.3439999999999999</v>
      </c>
      <c r="AG59" s="9">
        <f t="shared" si="9"/>
        <v>2</v>
      </c>
      <c r="AH59" s="9">
        <f t="shared" si="10"/>
        <v>3.8010167719865054E-2</v>
      </c>
      <c r="AI59" s="9">
        <f t="shared" si="11"/>
        <v>1.4447728500922713E-3</v>
      </c>
      <c r="AJ59" s="9">
        <f t="shared" si="12"/>
        <v>3.332463013048826E-2</v>
      </c>
      <c r="AK59" s="9">
        <f t="shared" si="13"/>
        <v>1.110530973333846E-3</v>
      </c>
      <c r="AL59" s="9">
        <f t="shared" si="14"/>
        <v>3.9359307874442882E-2</v>
      </c>
      <c r="AM59" s="9">
        <f t="shared" si="15"/>
        <v>1.5491551163551815E-3</v>
      </c>
      <c r="AN59" s="8" t="s">
        <v>109</v>
      </c>
    </row>
    <row r="60" spans="13:40" ht="23">
      <c r="M60" s="8" t="s">
        <v>918</v>
      </c>
      <c r="N60" s="8" t="s">
        <v>150</v>
      </c>
      <c r="O60" s="8"/>
      <c r="P60" s="8"/>
      <c r="Q60" s="8"/>
      <c r="R60" s="8"/>
      <c r="S60" s="8"/>
      <c r="T60" s="8"/>
      <c r="U60" s="8"/>
      <c r="V60" s="8"/>
      <c r="W60" s="8" t="s">
        <v>918</v>
      </c>
      <c r="X60" s="8">
        <v>15.53</v>
      </c>
      <c r="Y60" s="8">
        <v>2.0699999999999998</v>
      </c>
      <c r="Z60" s="9">
        <v>0.42</v>
      </c>
      <c r="AA60" s="8">
        <v>1.6</v>
      </c>
      <c r="AB60" s="8">
        <v>48712</v>
      </c>
      <c r="AC60" s="21" t="s">
        <v>918</v>
      </c>
      <c r="AD60" s="8" t="s">
        <v>4039</v>
      </c>
      <c r="AE60" s="8" t="s">
        <v>4649</v>
      </c>
      <c r="AF60" s="9">
        <f t="shared" si="8"/>
        <v>3.3119999999999998</v>
      </c>
      <c r="AG60" s="9">
        <f t="shared" si="9"/>
        <v>1.1199999999999999</v>
      </c>
      <c r="AH60" s="9">
        <f t="shared" si="10"/>
        <v>3.8010167719865054E-2</v>
      </c>
      <c r="AI60" s="9">
        <f t="shared" si="11"/>
        <v>1.4447728500922713E-3</v>
      </c>
      <c r="AJ60" s="9">
        <f t="shared" si="12"/>
        <v>3.3005734148378325E-2</v>
      </c>
      <c r="AK60" s="9">
        <f t="shared" si="13"/>
        <v>1.089378486673427E-3</v>
      </c>
      <c r="AL60" s="9">
        <f t="shared" si="14"/>
        <v>2.204121240968801E-2</v>
      </c>
      <c r="AM60" s="9">
        <f t="shared" si="15"/>
        <v>4.8581504448898472E-4</v>
      </c>
      <c r="AN60" s="8" t="s">
        <v>918</v>
      </c>
    </row>
    <row r="61" spans="13:40" ht="23">
      <c r="M61" s="9" t="s">
        <v>2783</v>
      </c>
      <c r="N61" s="8" t="s">
        <v>1614</v>
      </c>
      <c r="O61" s="8"/>
      <c r="P61" s="8"/>
      <c r="Q61" s="8"/>
      <c r="R61" s="8"/>
      <c r="S61" s="8"/>
      <c r="T61" s="8"/>
      <c r="U61" s="8"/>
      <c r="V61" s="8"/>
      <c r="W61" s="9" t="s">
        <v>2783</v>
      </c>
      <c r="X61" s="8">
        <v>11.52</v>
      </c>
      <c r="Y61" s="8">
        <v>1.34</v>
      </c>
      <c r="Z61" s="9">
        <v>0.09</v>
      </c>
      <c r="AA61" s="8">
        <v>1.6</v>
      </c>
      <c r="AB61" s="8"/>
      <c r="AC61" s="22" t="s">
        <v>2783</v>
      </c>
      <c r="AD61" s="8" t="s">
        <v>4017</v>
      </c>
      <c r="AE61" s="8" t="s">
        <v>4649</v>
      </c>
      <c r="AF61" s="9">
        <f t="shared" si="8"/>
        <v>2.1440000000000001</v>
      </c>
      <c r="AG61" s="9">
        <f t="shared" si="9"/>
        <v>0.24</v>
      </c>
      <c r="AH61" s="9">
        <f t="shared" si="10"/>
        <v>3.8010167719865054E-2</v>
      </c>
      <c r="AI61" s="9">
        <f t="shared" si="11"/>
        <v>1.4447728500922713E-3</v>
      </c>
      <c r="AJ61" s="9">
        <f t="shared" si="12"/>
        <v>2.1366030801365683E-2</v>
      </c>
      <c r="AK61" s="9">
        <f t="shared" si="13"/>
        <v>4.5650727220490709E-4</v>
      </c>
      <c r="AL61" s="9">
        <f t="shared" si="14"/>
        <v>4.723116944933145E-3</v>
      </c>
      <c r="AM61" s="9">
        <f t="shared" si="15"/>
        <v>2.2307833675514607E-5</v>
      </c>
      <c r="AN61" s="9" t="s">
        <v>2783</v>
      </c>
    </row>
    <row r="62" spans="13:40" ht="23">
      <c r="M62" s="9" t="s">
        <v>3511</v>
      </c>
      <c r="N62" s="8" t="s">
        <v>2041</v>
      </c>
      <c r="O62" s="8"/>
      <c r="P62" s="8"/>
      <c r="Q62" s="8"/>
      <c r="R62" s="8"/>
      <c r="S62" s="8"/>
      <c r="T62" s="8"/>
      <c r="U62" s="8"/>
      <c r="V62" s="8"/>
      <c r="W62" s="9" t="s">
        <v>3511</v>
      </c>
      <c r="X62" s="8">
        <v>9.09</v>
      </c>
      <c r="Y62" s="8">
        <v>3.05</v>
      </c>
      <c r="Z62" s="9">
        <v>3.34</v>
      </c>
      <c r="AA62" s="8">
        <v>1.4</v>
      </c>
      <c r="AB62" s="8">
        <v>67425</v>
      </c>
      <c r="AC62" s="22" t="s">
        <v>3511</v>
      </c>
      <c r="AD62" s="8" t="s">
        <v>4039</v>
      </c>
      <c r="AE62" s="8" t="s">
        <v>4649</v>
      </c>
      <c r="AF62" s="9">
        <f t="shared" si="8"/>
        <v>4.2699999999999996</v>
      </c>
      <c r="AG62" s="9">
        <f t="shared" si="9"/>
        <v>4.9933333333333323</v>
      </c>
      <c r="AH62" s="9">
        <f t="shared" si="10"/>
        <v>3.3258896754881917E-2</v>
      </c>
      <c r="AI62" s="9">
        <f t="shared" si="11"/>
        <v>1.106154213351895E-3</v>
      </c>
      <c r="AJ62" s="9">
        <f t="shared" si="12"/>
        <v>4.2552682612794518E-2</v>
      </c>
      <c r="AK62" s="9">
        <f t="shared" si="13"/>
        <v>1.8107307975452249E-3</v>
      </c>
      <c r="AL62" s="9">
        <f t="shared" si="14"/>
        <v>9.8267071993192373E-2</v>
      </c>
      <c r="AM62" s="9">
        <f t="shared" si="15"/>
        <v>9.6564174381152529E-3</v>
      </c>
      <c r="AN62" s="9" t="s">
        <v>3511</v>
      </c>
    </row>
    <row r="63" spans="13:40" ht="23">
      <c r="M63" s="9" t="s">
        <v>3015</v>
      </c>
      <c r="N63" s="8" t="s">
        <v>1814</v>
      </c>
      <c r="O63" s="8"/>
      <c r="P63" s="8"/>
      <c r="Q63" s="8"/>
      <c r="R63" s="8"/>
      <c r="S63" s="8"/>
      <c r="T63" s="8"/>
      <c r="U63" s="8"/>
      <c r="V63" s="8"/>
      <c r="W63" s="9" t="s">
        <v>3015</v>
      </c>
      <c r="X63" s="8">
        <v>22.13</v>
      </c>
      <c r="Y63" s="8">
        <v>3.7</v>
      </c>
      <c r="Z63" s="9">
        <v>4.5199999999999996</v>
      </c>
      <c r="AA63" s="8">
        <v>1.1000000000000001</v>
      </c>
      <c r="AB63" s="8">
        <v>53690</v>
      </c>
      <c r="AC63" s="22" t="s">
        <v>3015</v>
      </c>
      <c r="AD63" s="8" t="s">
        <v>4199</v>
      </c>
      <c r="AE63" s="8" t="s">
        <v>4649</v>
      </c>
      <c r="AF63" s="9">
        <f t="shared" si="8"/>
        <v>4.07</v>
      </c>
      <c r="AG63" s="9">
        <f t="shared" si="9"/>
        <v>5.3533333333333344</v>
      </c>
      <c r="AH63" s="9">
        <f t="shared" si="10"/>
        <v>2.6131990307407225E-2</v>
      </c>
      <c r="AI63" s="9">
        <f t="shared" si="11"/>
        <v>6.8288091742642516E-4</v>
      </c>
      <c r="AJ63" s="9">
        <f t="shared" si="12"/>
        <v>4.0559582724607426E-2</v>
      </c>
      <c r="AK63" s="9">
        <f t="shared" si="13"/>
        <v>1.6450797507942731E-3</v>
      </c>
      <c r="AL63" s="9">
        <f t="shared" si="14"/>
        <v>0.10535174741059213</v>
      </c>
      <c r="AM63" s="9">
        <f t="shared" si="15"/>
        <v>1.1098990682465205E-2</v>
      </c>
      <c r="AN63" s="9" t="s">
        <v>3015</v>
      </c>
    </row>
    <row r="64" spans="13:40" ht="23"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9"/>
      <c r="AA64" s="8">
        <f>SUBTOTAL(109,Table13683107[ترافیک کل])</f>
        <v>4209.4000000000015</v>
      </c>
      <c r="AB64" s="8"/>
      <c r="AC64" s="21"/>
      <c r="AD64" s="8"/>
      <c r="AE64" s="8"/>
      <c r="AF64" s="9">
        <f>SUBTOTAL(109,Table13683107[[مجموع صفحات  مشاهده شده   ]])</f>
        <v>10034.619999999995</v>
      </c>
      <c r="AG64" s="9">
        <f>SUBTOTAL(109,Table13683107[[مجموع زمان حضور در سایت ]])</f>
        <v>5081.3901666666679</v>
      </c>
      <c r="AH64" s="12">
        <f>SUBTOTAL(109,Table13683107[سهم سایت از کل ترافیک طبقه بندی])</f>
        <v>99.999999999999943</v>
      </c>
      <c r="AI64" s="12">
        <f>SUBTOTAL(109,Table13683107[شاخص هرفیندال هیرشمن (ترافیک)])</f>
        <v>1408.6432009715443</v>
      </c>
      <c r="AJ64" s="12">
        <f>SUBTOTAL(109,Table13683107[سهم سایت از کل صفحات مشاهده شده در طبقه بندی])</f>
        <v>100.00000000000004</v>
      </c>
      <c r="AK64" s="12">
        <f>SUBTOTAL(109,Table13683107[شاخص هرفیندال -هیرشمن (صفحات مشاهده شده )])</f>
        <v>870.595352749516</v>
      </c>
      <c r="AL64" s="12">
        <f>SUBTOTAL(109,Table13683107[سهم سایت از کل زمان حضور در طبقه بندی])</f>
        <v>100</v>
      </c>
      <c r="AM64" s="12">
        <f>SUBTOTAL(109,Table13683107[شاخص هرفیندال هیرشمن (زمان حضور)])</f>
        <v>1161.0601040715044</v>
      </c>
      <c r="AN64" s="9"/>
    </row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{07864A11-542D-41B3-8728-3ADC3FE26FB0}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{836F0AED-96C3-4FCF-8674-BCF11CF4224B}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{87A7C98F-E397-4ACC-9908-CBB9EE61AC15}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{7DF7CA2C-D9B6-4948-8DAD-48A73EE33D35}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{ECF37BB7-A025-436F-A206-3F3BA727B28A}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{B6D5B59C-EC4F-4C3D-88F0-92B6F3C174BD}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7864A11-542D-41B3-8728-3ADC3FE26FB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836F0AED-96C3-4FCF-8674-BCF11CF422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87A7C98F-E397-4ACC-9908-CBB9EE61AC1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DF7CA2C-D9B6-4948-8DAD-48A73EE33D3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CF37BB7-A025-436F-A206-3F3BA727B28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B6D5B59C-EC4F-4C3D-88F0-92B6F3C174B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9"/>
  <sheetViews>
    <sheetView showGridLines="0" rightToLeft="1" topLeftCell="T1" zoomScale="70" zoomScaleNormal="70" workbookViewId="0">
      <selection activeCell="AC1" sqref="AC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16406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9" t="s">
        <v>2561</v>
      </c>
      <c r="N2" s="8" t="s">
        <v>150</v>
      </c>
      <c r="O2" s="8"/>
      <c r="P2" s="8" t="s">
        <v>3693</v>
      </c>
      <c r="Q2" s="8"/>
      <c r="R2" s="8"/>
      <c r="S2" s="8"/>
      <c r="T2" s="8"/>
      <c r="U2" s="8"/>
      <c r="V2" s="8"/>
      <c r="W2" s="9" t="s">
        <v>2561</v>
      </c>
      <c r="X2" s="8">
        <v>18.04</v>
      </c>
      <c r="Y2" s="8">
        <v>3.93</v>
      </c>
      <c r="Z2" s="9">
        <v>1.36</v>
      </c>
      <c r="AA2" s="8">
        <v>108.9</v>
      </c>
      <c r="AB2" s="8">
        <v>4114</v>
      </c>
      <c r="AC2" s="22" t="s">
        <v>2561</v>
      </c>
      <c r="AD2" s="8" t="s">
        <v>4076</v>
      </c>
      <c r="AE2" s="8"/>
      <c r="AF2" s="9">
        <f t="shared" ref="AF2:AF8" si="0">(AA2*Y2)</f>
        <v>427.97700000000003</v>
      </c>
      <c r="AG2" s="9">
        <f t="shared" ref="AG2:AG8" si="1">((((RIGHT(Z2,2))/60)+(LEFT(Z2,2)))*AA2)</f>
        <v>174.24</v>
      </c>
      <c r="AH2" s="9">
        <f t="shared" ref="AH2:AH8" si="2">(AA2/$AA$9)*100</f>
        <v>60.165745856353595</v>
      </c>
      <c r="AI2" s="9">
        <f t="shared" ref="AI2:AI8" si="3">(AH2*AH2)</f>
        <v>3619.9169744513297</v>
      </c>
      <c r="AJ2" s="9">
        <f t="shared" ref="AJ2:AJ8" si="4">(AF2/$AF$9)*100</f>
        <v>69.440712616822424</v>
      </c>
      <c r="AK2" s="9">
        <f t="shared" ref="AK2:AK8" si="5">(AJ2*AJ2)</f>
        <v>4822.0125687321206</v>
      </c>
      <c r="AL2" s="9">
        <f t="shared" ref="AL2:AL8" si="6">(AG2/$AG$9)*100</f>
        <v>62.803522725907399</v>
      </c>
      <c r="AM2" s="9">
        <f t="shared" ref="AM2:AM8" si="7">(AL2*AL2)</f>
        <v>3944.2824667835671</v>
      </c>
      <c r="AN2" s="9" t="s">
        <v>2561</v>
      </c>
    </row>
    <row r="3" spans="8:40" ht="23">
      <c r="M3" s="9" t="s">
        <v>3473</v>
      </c>
      <c r="N3" s="8" t="s">
        <v>2017</v>
      </c>
      <c r="O3" s="8"/>
      <c r="P3" s="8" t="s">
        <v>3696</v>
      </c>
      <c r="Q3" s="8"/>
      <c r="R3" s="8"/>
      <c r="S3" s="8"/>
      <c r="T3" s="8"/>
      <c r="U3" s="8"/>
      <c r="V3" s="8"/>
      <c r="W3" s="9" t="s">
        <v>3473</v>
      </c>
      <c r="X3" s="8">
        <v>21.67</v>
      </c>
      <c r="Y3" s="8">
        <v>2.23</v>
      </c>
      <c r="Z3" s="9">
        <v>1.07</v>
      </c>
      <c r="AA3" s="8">
        <v>53.1</v>
      </c>
      <c r="AB3" s="8">
        <v>5824</v>
      </c>
      <c r="AC3" s="22" t="s">
        <v>3473</v>
      </c>
      <c r="AD3" s="8" t="s">
        <v>4076</v>
      </c>
      <c r="AE3" s="8"/>
      <c r="AF3" s="9">
        <f t="shared" si="0"/>
        <v>118.413</v>
      </c>
      <c r="AG3" s="9">
        <f t="shared" si="1"/>
        <v>59.295000000000002</v>
      </c>
      <c r="AH3" s="9">
        <f t="shared" si="2"/>
        <v>29.337016574585633</v>
      </c>
      <c r="AI3" s="9">
        <f t="shared" si="3"/>
        <v>860.6605414975121</v>
      </c>
      <c r="AJ3" s="9">
        <f t="shared" si="4"/>
        <v>19.21290887850467</v>
      </c>
      <c r="AK3" s="9">
        <f t="shared" si="5"/>
        <v>369.1358675737236</v>
      </c>
      <c r="AL3" s="9">
        <f t="shared" si="6"/>
        <v>21.372445362905644</v>
      </c>
      <c r="AM3" s="9">
        <f t="shared" si="7"/>
        <v>456.78142079038696</v>
      </c>
      <c r="AN3" s="9" t="s">
        <v>3473</v>
      </c>
    </row>
    <row r="4" spans="8:40" ht="23">
      <c r="M4" s="8" t="s">
        <v>369</v>
      </c>
      <c r="N4" s="8" t="s">
        <v>150</v>
      </c>
      <c r="O4" s="8"/>
      <c r="P4" s="8" t="s">
        <v>3693</v>
      </c>
      <c r="Q4" s="8"/>
      <c r="R4" s="8"/>
      <c r="S4" s="8"/>
      <c r="T4" s="8"/>
      <c r="U4" s="8"/>
      <c r="V4" s="8"/>
      <c r="W4" s="8" t="s">
        <v>369</v>
      </c>
      <c r="X4" s="8">
        <v>19.170000000000002</v>
      </c>
      <c r="Y4" s="8">
        <v>3.64</v>
      </c>
      <c r="Z4" s="9">
        <v>2.5</v>
      </c>
      <c r="AA4" s="8">
        <v>6.4</v>
      </c>
      <c r="AB4" s="8">
        <v>15116</v>
      </c>
      <c r="AC4" s="21" t="s">
        <v>369</v>
      </c>
      <c r="AD4" s="8" t="s">
        <v>4076</v>
      </c>
      <c r="AE4" s="8"/>
      <c r="AF4" s="9">
        <f t="shared" si="0"/>
        <v>23.296000000000003</v>
      </c>
      <c r="AG4" s="9">
        <f t="shared" si="1"/>
        <v>12.853333333333333</v>
      </c>
      <c r="AH4" s="9">
        <f t="shared" si="2"/>
        <v>3.535911602209945</v>
      </c>
      <c r="AI4" s="9">
        <f t="shared" si="3"/>
        <v>12.502670858642901</v>
      </c>
      <c r="AJ4" s="9">
        <f t="shared" si="4"/>
        <v>3.7798546209761161</v>
      </c>
      <c r="AK4" s="9">
        <f t="shared" si="5"/>
        <v>14.287300955714498</v>
      </c>
      <c r="AL4" s="9">
        <f t="shared" si="6"/>
        <v>4.6328891879227685</v>
      </c>
      <c r="AM4" s="9">
        <f t="shared" si="7"/>
        <v>21.463662227571689</v>
      </c>
      <c r="AN4" s="8" t="s">
        <v>369</v>
      </c>
    </row>
    <row r="5" spans="8:40" ht="23">
      <c r="M5" s="9" t="s">
        <v>2995</v>
      </c>
      <c r="N5" s="8" t="s">
        <v>1717</v>
      </c>
      <c r="O5" s="8"/>
      <c r="P5" s="8" t="s">
        <v>3700</v>
      </c>
      <c r="Q5" s="8"/>
      <c r="R5" s="8"/>
      <c r="S5" s="8"/>
      <c r="T5" s="8"/>
      <c r="U5" s="8"/>
      <c r="V5" s="8"/>
      <c r="W5" s="9" t="s">
        <v>2995</v>
      </c>
      <c r="X5" s="8">
        <v>15.77</v>
      </c>
      <c r="Y5" s="8">
        <v>5.18</v>
      </c>
      <c r="Z5" s="9">
        <v>3.38</v>
      </c>
      <c r="AA5" s="8">
        <v>4.8</v>
      </c>
      <c r="AB5" s="8">
        <v>17081</v>
      </c>
      <c r="AC5" s="22" t="s">
        <v>2995</v>
      </c>
      <c r="AD5" s="8" t="s">
        <v>4076</v>
      </c>
      <c r="AE5" s="8"/>
      <c r="AF5" s="9">
        <f t="shared" si="0"/>
        <v>24.863999999999997</v>
      </c>
      <c r="AG5" s="9">
        <f t="shared" si="1"/>
        <v>17.439999999999998</v>
      </c>
      <c r="AH5" s="9">
        <f t="shared" si="2"/>
        <v>2.6519337016574585</v>
      </c>
      <c r="AI5" s="9">
        <f t="shared" si="3"/>
        <v>7.03275235798663</v>
      </c>
      <c r="AJ5" s="9">
        <f t="shared" si="4"/>
        <v>4.0342679127725853</v>
      </c>
      <c r="AK5" s="9">
        <f t="shared" si="5"/>
        <v>16.275317592026472</v>
      </c>
      <c r="AL5" s="9">
        <f t="shared" si="6"/>
        <v>6.2861193545674068</v>
      </c>
      <c r="AM5" s="9">
        <f t="shared" si="7"/>
        <v>39.515296539866952</v>
      </c>
      <c r="AN5" s="9" t="s">
        <v>2995</v>
      </c>
    </row>
    <row r="6" spans="8:40" ht="23">
      <c r="M6" s="8" t="s">
        <v>1498</v>
      </c>
      <c r="N6" s="8" t="s">
        <v>150</v>
      </c>
      <c r="O6" s="8"/>
      <c r="P6" s="8"/>
      <c r="Q6" s="8"/>
      <c r="R6" s="8"/>
      <c r="S6" s="8"/>
      <c r="T6" s="8"/>
      <c r="U6" s="8"/>
      <c r="V6" s="8"/>
      <c r="W6" s="8" t="s">
        <v>1498</v>
      </c>
      <c r="X6" s="8">
        <v>10.93</v>
      </c>
      <c r="Y6" s="8">
        <v>4.17</v>
      </c>
      <c r="Z6" s="9">
        <v>3.05</v>
      </c>
      <c r="AA6" s="8">
        <v>3.2</v>
      </c>
      <c r="AB6" s="8">
        <v>25231</v>
      </c>
      <c r="AC6" s="21" t="s">
        <v>1498</v>
      </c>
      <c r="AD6" s="8" t="s">
        <v>4076</v>
      </c>
      <c r="AE6" s="8"/>
      <c r="AF6" s="9">
        <f t="shared" si="0"/>
        <v>13.344000000000001</v>
      </c>
      <c r="AG6" s="9">
        <f t="shared" si="1"/>
        <v>9.8666666666666671</v>
      </c>
      <c r="AH6" s="9">
        <f t="shared" si="2"/>
        <v>1.7679558011049725</v>
      </c>
      <c r="AI6" s="9">
        <f t="shared" si="3"/>
        <v>3.1256677146607252</v>
      </c>
      <c r="AJ6" s="9">
        <f t="shared" si="4"/>
        <v>2.1651090342679131</v>
      </c>
      <c r="AK6" s="9">
        <f t="shared" si="5"/>
        <v>4.6876971302685355</v>
      </c>
      <c r="AL6" s="9">
        <f t="shared" si="6"/>
        <v>3.5563672189448634</v>
      </c>
      <c r="AM6" s="9">
        <f t="shared" si="7"/>
        <v>12.647747795985621</v>
      </c>
      <c r="AN6" s="8" t="s">
        <v>1498</v>
      </c>
    </row>
    <row r="7" spans="8:40" ht="23">
      <c r="M7" s="8" t="s">
        <v>4320</v>
      </c>
      <c r="N7" s="8"/>
      <c r="O7" s="8"/>
      <c r="P7" s="8" t="s">
        <v>4662</v>
      </c>
      <c r="Q7" s="8"/>
      <c r="R7" s="8"/>
      <c r="S7" s="8"/>
      <c r="T7" s="8"/>
      <c r="U7" s="8"/>
      <c r="V7" s="8"/>
      <c r="W7" s="8" t="s">
        <v>4320</v>
      </c>
      <c r="X7" s="8">
        <v>46.74</v>
      </c>
      <c r="Y7" s="8">
        <v>1.84</v>
      </c>
      <c r="Z7" s="9">
        <v>1.1399999999999999</v>
      </c>
      <c r="AA7" s="8">
        <v>2.7</v>
      </c>
      <c r="AB7" s="8">
        <v>47621</v>
      </c>
      <c r="AC7" s="21" t="s">
        <v>4320</v>
      </c>
      <c r="AD7" s="8" t="s">
        <v>4076</v>
      </c>
      <c r="AE7" s="8"/>
      <c r="AF7" s="9">
        <f t="shared" si="0"/>
        <v>4.9680000000000009</v>
      </c>
      <c r="AG7" s="9">
        <f t="shared" si="1"/>
        <v>3.3300000000000005</v>
      </c>
      <c r="AH7" s="9">
        <f t="shared" si="2"/>
        <v>1.4917127071823206</v>
      </c>
      <c r="AI7" s="9">
        <f t="shared" si="3"/>
        <v>2.2252068007692078</v>
      </c>
      <c r="AJ7" s="9">
        <f t="shared" si="4"/>
        <v>0.8060747663551403</v>
      </c>
      <c r="AK7" s="9">
        <f t="shared" si="5"/>
        <v>0.64975652895449398</v>
      </c>
      <c r="AL7" s="9">
        <f t="shared" si="6"/>
        <v>1.2002739363938915</v>
      </c>
      <c r="AM7" s="9">
        <f t="shared" si="7"/>
        <v>1.4406575223864875</v>
      </c>
      <c r="AN7" s="8" t="s">
        <v>4320</v>
      </c>
    </row>
    <row r="8" spans="8:40" ht="23">
      <c r="M8" s="8" t="s">
        <v>4321</v>
      </c>
      <c r="N8" s="8"/>
      <c r="O8" s="8"/>
      <c r="P8" s="8"/>
      <c r="Q8" s="8"/>
      <c r="R8" s="8"/>
      <c r="S8" s="8"/>
      <c r="T8" s="8"/>
      <c r="U8" s="8"/>
      <c r="V8" s="8"/>
      <c r="W8" s="8" t="s">
        <v>4321</v>
      </c>
      <c r="X8" s="8">
        <v>52.27</v>
      </c>
      <c r="Y8" s="8">
        <v>1.82</v>
      </c>
      <c r="Z8" s="9">
        <v>0.13</v>
      </c>
      <c r="AA8" s="8">
        <v>1.9</v>
      </c>
      <c r="AB8" s="8">
        <v>49170</v>
      </c>
      <c r="AC8" s="21" t="s">
        <v>4321</v>
      </c>
      <c r="AD8" s="8" t="s">
        <v>4076</v>
      </c>
      <c r="AE8" s="8"/>
      <c r="AF8" s="9">
        <f t="shared" si="0"/>
        <v>3.4579999999999997</v>
      </c>
      <c r="AG8" s="9">
        <f t="shared" si="1"/>
        <v>0.41166666666666668</v>
      </c>
      <c r="AH8" s="9">
        <f t="shared" si="2"/>
        <v>1.0497237569060773</v>
      </c>
      <c r="AI8" s="9">
        <f t="shared" si="3"/>
        <v>1.1019199658130094</v>
      </c>
      <c r="AJ8" s="9">
        <f t="shared" si="4"/>
        <v>0.5610721703011422</v>
      </c>
      <c r="AK8" s="9">
        <f t="shared" si="5"/>
        <v>0.31480198028643391</v>
      </c>
      <c r="AL8" s="9">
        <f t="shared" si="6"/>
        <v>0.14838221335800361</v>
      </c>
      <c r="AM8" s="9">
        <f t="shared" si="7"/>
        <v>2.2017281241020106E-2</v>
      </c>
      <c r="AN8" s="8" t="s">
        <v>4321</v>
      </c>
    </row>
    <row r="9" spans="8:40" ht="23"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9"/>
      <c r="AA9" s="8">
        <f>SUBTOTAL(109,Table13687[ترافیک کل])</f>
        <v>181</v>
      </c>
      <c r="AB9" s="8"/>
      <c r="AC9" s="8"/>
      <c r="AD9" s="8"/>
      <c r="AE9" s="8"/>
      <c r="AF9" s="9">
        <f>SUBTOTAL(109,Table13687[[مجموع صفحات  مشاهده شده   ]])</f>
        <v>616.32000000000005</v>
      </c>
      <c r="AG9" s="9">
        <f>SUBTOTAL(109,Table13687[[مجموع زمان حضور در سایت ]])</f>
        <v>277.43666666666672</v>
      </c>
      <c r="AH9" s="9">
        <f>SUBTOTAL(109,Table13687[سهم سایت از کل ترافیک طبقه بندی])</f>
        <v>100</v>
      </c>
      <c r="AI9" s="9">
        <f>SUBTOTAL(109,Table13687[شاخص هرفیندال هیرشمن (ترافیک)])</f>
        <v>4506.5657336467148</v>
      </c>
      <c r="AJ9" s="9">
        <f>SUBTOTAL(109,Table13687[سهم سایت از کل صفحات مشاهده شده در طبقه بندی])</f>
        <v>99.999999999999986</v>
      </c>
      <c r="AK9" s="9">
        <f>SUBTOTAL(109,Table13687[شاخص هرفیندال -هیرشمن (صفحات مشاهده شده )])</f>
        <v>5227.3633104930941</v>
      </c>
      <c r="AL9" s="9">
        <f>SUBTOTAL(109,Table13687[سهم سایت از کل زمان حضور در طبقه بندی])</f>
        <v>99.999999999999986</v>
      </c>
      <c r="AM9" s="9">
        <f>SUBTOTAL(109,Table13687[شاخص هرفیندال هیرشمن (زمان حضور)])</f>
        <v>4476.153268941006</v>
      </c>
      <c r="AN9" s="9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{15AC06C1-ACD3-4CDA-BD19-521E0C7A93E9}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{742B1936-021F-45AC-80AA-4F6697BF9577}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{CC051661-9CEF-428A-AF76-0A7CBA2BF3C1}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{EE37DF5C-BB36-4507-A49D-B5C20F5ABFF9}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{28AB8EAA-BDAE-4934-AF71-31578C54AB56}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{33F41307-F63C-4A82-8640-28A0E59743C8}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5AC06C1-ACD3-4CDA-BD19-521E0C7A93E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42B1936-021F-45AC-80AA-4F6697BF957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CC051661-9CEF-428A-AF76-0A7CBA2BF3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EE37DF5C-BB36-4507-A49D-B5C20F5ABF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28AB8EAA-BDAE-4934-AF71-31578C54AB5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33F41307-F63C-4A82-8640-28A0E59743C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3"/>
  <sheetViews>
    <sheetView showGridLines="0" rightToLeft="1" topLeftCell="V1" zoomScale="85" zoomScaleNormal="85" workbookViewId="0">
      <selection activeCell="AB1" sqref="AB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4.83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22" t="s">
        <v>5338</v>
      </c>
      <c r="N2" s="8"/>
      <c r="O2" s="8"/>
      <c r="P2" s="8"/>
      <c r="Q2" s="8"/>
      <c r="R2" s="8"/>
      <c r="S2" s="8"/>
      <c r="T2" s="8"/>
      <c r="U2" s="8"/>
      <c r="V2" s="8"/>
      <c r="W2" s="22" t="s">
        <v>5338</v>
      </c>
      <c r="X2" s="8">
        <v>20.84</v>
      </c>
      <c r="Y2" s="8">
        <v>1.56</v>
      </c>
      <c r="Z2" s="9">
        <v>1.55</v>
      </c>
      <c r="AA2" s="8">
        <v>125.7</v>
      </c>
      <c r="AB2" s="8">
        <v>48578</v>
      </c>
      <c r="AC2" s="22" t="s">
        <v>5338</v>
      </c>
      <c r="AD2" s="8" t="s">
        <v>4866</v>
      </c>
      <c r="AE2" s="8"/>
      <c r="AF2" s="9">
        <f t="shared" ref="AF2:AF12" si="0">(AA2*Y2)</f>
        <v>196.09200000000001</v>
      </c>
      <c r="AG2" s="9">
        <f t="shared" ref="AG2:AG12" si="1">((((RIGHT(Z2,2))/60)+(LEFT(Z2,2)))*AA2)</f>
        <v>240.92499999999998</v>
      </c>
      <c r="AH2" s="9">
        <f t="shared" ref="AH2:AH12" si="2">(AA2/$AA$13)*100</f>
        <v>61.257309941520468</v>
      </c>
      <c r="AI2" s="9">
        <f t="shared" ref="AI2:AI12" si="3">(AH2*AH2)</f>
        <v>3752.4580212715023</v>
      </c>
      <c r="AJ2" s="9">
        <f t="shared" ref="AJ2:AJ12" si="4">(AF2/$AF$13)*100</f>
        <v>57.143190182976426</v>
      </c>
      <c r="AK2" s="9">
        <f t="shared" ref="AK2:AK12" si="5">(AJ2*AJ2)</f>
        <v>3265.3441842878133</v>
      </c>
      <c r="AL2" s="9">
        <f t="shared" ref="AL2:AL12" si="6">(AG2/$AG$13)*100</f>
        <v>71.019286805313669</v>
      </c>
      <c r="AM2" s="9">
        <f t="shared" ref="AM2:AM12" si="7">(AL2*AL2)</f>
        <v>5043.7390983353998</v>
      </c>
      <c r="AN2" s="22" t="s">
        <v>5338</v>
      </c>
    </row>
    <row r="3" spans="8:40" ht="23">
      <c r="H3" s="8"/>
      <c r="I3" s="8"/>
      <c r="J3" s="8"/>
      <c r="K3" s="8"/>
      <c r="L3" s="8"/>
      <c r="M3" s="8" t="s">
        <v>4867</v>
      </c>
      <c r="N3" s="8"/>
      <c r="O3" s="8"/>
      <c r="P3" s="8"/>
      <c r="Q3" s="8"/>
      <c r="R3" s="8"/>
      <c r="S3" s="8"/>
      <c r="T3" s="8"/>
      <c r="U3" s="8"/>
      <c r="V3" s="8"/>
      <c r="W3" s="8" t="s">
        <v>4867</v>
      </c>
      <c r="X3" s="8">
        <v>38.229999999999997</v>
      </c>
      <c r="Y3" s="8">
        <v>1.1499999999999999</v>
      </c>
      <c r="Z3" s="9">
        <v>0.15</v>
      </c>
      <c r="AA3" s="8">
        <v>53.2</v>
      </c>
      <c r="AB3" s="8">
        <v>18033</v>
      </c>
      <c r="AC3" s="21" t="s">
        <v>4867</v>
      </c>
      <c r="AD3" s="8" t="s">
        <v>4866</v>
      </c>
      <c r="AE3" s="8"/>
      <c r="AF3" s="9">
        <f t="shared" si="0"/>
        <v>61.18</v>
      </c>
      <c r="AG3" s="9">
        <f t="shared" si="1"/>
        <v>13.3</v>
      </c>
      <c r="AH3" s="9">
        <f t="shared" si="2"/>
        <v>25.925925925925924</v>
      </c>
      <c r="AI3" s="9">
        <f t="shared" si="3"/>
        <v>672.15363511659802</v>
      </c>
      <c r="AJ3" s="9">
        <f t="shared" si="4"/>
        <v>17.828470184375174</v>
      </c>
      <c r="AK3" s="9">
        <f t="shared" si="5"/>
        <v>317.85434911515455</v>
      </c>
      <c r="AL3" s="9">
        <f t="shared" si="6"/>
        <v>3.9205417225720538</v>
      </c>
      <c r="AM3" s="9">
        <f t="shared" si="7"/>
        <v>15.370647398428247</v>
      </c>
      <c r="AN3" s="8" t="s">
        <v>4867</v>
      </c>
    </row>
    <row r="4" spans="8:40" ht="23">
      <c r="H4" s="8"/>
      <c r="I4" s="8"/>
      <c r="J4" s="8"/>
      <c r="K4" s="8"/>
      <c r="L4" s="8"/>
      <c r="M4" s="8" t="s">
        <v>4868</v>
      </c>
      <c r="N4" s="8"/>
      <c r="O4" s="8"/>
      <c r="P4" s="8"/>
      <c r="Q4" s="8"/>
      <c r="R4" s="8"/>
      <c r="S4" s="8"/>
      <c r="T4" s="8"/>
      <c r="U4" s="8"/>
      <c r="V4" s="8"/>
      <c r="W4" s="8" t="s">
        <v>4868</v>
      </c>
      <c r="X4" s="8">
        <v>39.17</v>
      </c>
      <c r="Y4" s="8">
        <v>3.28</v>
      </c>
      <c r="Z4" s="9">
        <v>3.09</v>
      </c>
      <c r="AA4" s="8">
        <v>7.2</v>
      </c>
      <c r="AB4" s="8">
        <v>15828</v>
      </c>
      <c r="AC4" s="21" t="s">
        <v>4868</v>
      </c>
      <c r="AD4" s="8" t="s">
        <v>4866</v>
      </c>
      <c r="AE4" s="8"/>
      <c r="AF4" s="9">
        <f t="shared" si="0"/>
        <v>23.616</v>
      </c>
      <c r="AG4" s="9">
        <f t="shared" si="1"/>
        <v>22.68</v>
      </c>
      <c r="AH4" s="9">
        <f t="shared" si="2"/>
        <v>3.5087719298245612</v>
      </c>
      <c r="AI4" s="9">
        <f t="shared" si="3"/>
        <v>12.311480455524775</v>
      </c>
      <c r="AJ4" s="9">
        <f t="shared" si="4"/>
        <v>6.8819410244230816</v>
      </c>
      <c r="AK4" s="9">
        <f t="shared" si="5"/>
        <v>47.361112263637416</v>
      </c>
      <c r="AL4" s="9">
        <f t="shared" si="6"/>
        <v>6.6855553584912908</v>
      </c>
      <c r="AM4" s="9">
        <f t="shared" si="7"/>
        <v>44.69665045145161</v>
      </c>
      <c r="AN4" s="8" t="s">
        <v>4868</v>
      </c>
    </row>
    <row r="5" spans="8:40" ht="23">
      <c r="H5" s="8"/>
      <c r="I5" s="8"/>
      <c r="J5" s="8"/>
      <c r="K5" s="8"/>
      <c r="L5" s="8"/>
      <c r="M5" s="8" t="s">
        <v>4869</v>
      </c>
      <c r="N5" s="8"/>
      <c r="O5" s="8"/>
      <c r="P5" s="8"/>
      <c r="Q5" s="8"/>
      <c r="R5" s="8"/>
      <c r="S5" s="8"/>
      <c r="T5" s="8"/>
      <c r="U5" s="8"/>
      <c r="V5" s="8"/>
      <c r="W5" s="8" t="s">
        <v>4869</v>
      </c>
      <c r="X5" s="8">
        <v>31.76</v>
      </c>
      <c r="Y5" s="8">
        <v>3.95</v>
      </c>
      <c r="Z5" s="9">
        <v>4.0999999999999996</v>
      </c>
      <c r="AA5" s="8">
        <v>3.5</v>
      </c>
      <c r="AB5" s="8">
        <v>26596</v>
      </c>
      <c r="AC5" s="21" t="s">
        <v>4869</v>
      </c>
      <c r="AD5" s="8" t="s">
        <v>4866</v>
      </c>
      <c r="AE5" s="8"/>
      <c r="AF5" s="9">
        <f t="shared" si="0"/>
        <v>13.825000000000001</v>
      </c>
      <c r="AG5" s="9">
        <f t="shared" si="1"/>
        <v>14.005833333333335</v>
      </c>
      <c r="AH5" s="9">
        <f t="shared" si="2"/>
        <v>1.705653021442495</v>
      </c>
      <c r="AI5" s="9">
        <f t="shared" si="3"/>
        <v>2.9092522295559125</v>
      </c>
      <c r="AJ5" s="9">
        <f t="shared" si="4"/>
        <v>4.0287446926934756</v>
      </c>
      <c r="AK5" s="9">
        <f t="shared" si="5"/>
        <v>16.230783798905847</v>
      </c>
      <c r="AL5" s="9">
        <f t="shared" si="6"/>
        <v>4.1286055596032902</v>
      </c>
      <c r="AM5" s="9">
        <f t="shared" si="7"/>
        <v>17.045383866787198</v>
      </c>
      <c r="AN5" s="8" t="s">
        <v>4869</v>
      </c>
    </row>
    <row r="6" spans="8:40" ht="23">
      <c r="H6" s="24"/>
      <c r="I6" s="24"/>
      <c r="J6" s="24"/>
      <c r="K6" s="24"/>
      <c r="L6" s="24"/>
      <c r="M6" s="25" t="s">
        <v>4946</v>
      </c>
      <c r="N6" s="24"/>
      <c r="O6" s="24"/>
      <c r="P6" s="24" t="s">
        <v>3700</v>
      </c>
      <c r="Q6" s="24"/>
      <c r="R6" s="24"/>
      <c r="S6" s="24"/>
      <c r="T6" s="24"/>
      <c r="U6" s="24"/>
      <c r="V6" s="24"/>
      <c r="W6" s="25" t="s">
        <v>4946</v>
      </c>
      <c r="X6" s="24">
        <v>57.88</v>
      </c>
      <c r="Y6" s="24">
        <v>3.04</v>
      </c>
      <c r="Z6" s="25">
        <v>5.1100000000000003</v>
      </c>
      <c r="AA6" s="24">
        <v>3.2</v>
      </c>
      <c r="AB6" s="24">
        <v>25396</v>
      </c>
      <c r="AC6" s="22" t="s">
        <v>4946</v>
      </c>
      <c r="AD6" s="8" t="s">
        <v>4866</v>
      </c>
      <c r="AE6" s="24"/>
      <c r="AF6" s="25">
        <f t="shared" si="0"/>
        <v>9.7280000000000015</v>
      </c>
      <c r="AG6" s="9">
        <f t="shared" si="1"/>
        <v>16.58666666666667</v>
      </c>
      <c r="AH6" s="9">
        <f t="shared" si="2"/>
        <v>1.5594541910331383</v>
      </c>
      <c r="AI6" s="25">
        <f t="shared" si="3"/>
        <v>2.4318973739308198</v>
      </c>
      <c r="AJ6" s="9">
        <f t="shared" si="4"/>
        <v>2.8348374951553077</v>
      </c>
      <c r="AK6" s="25">
        <f t="shared" si="5"/>
        <v>8.0363036239384193</v>
      </c>
      <c r="AL6" s="9">
        <f t="shared" si="6"/>
        <v>4.889377346245249</v>
      </c>
      <c r="AM6" s="25">
        <f t="shared" si="7"/>
        <v>23.906010833976232</v>
      </c>
      <c r="AN6" s="25" t="s">
        <v>4946</v>
      </c>
    </row>
    <row r="7" spans="8:40" ht="23">
      <c r="H7" s="8"/>
      <c r="I7" s="8"/>
      <c r="J7" s="8"/>
      <c r="K7" s="8"/>
      <c r="L7" s="8"/>
      <c r="M7" s="9" t="s">
        <v>4871</v>
      </c>
      <c r="N7" s="8"/>
      <c r="O7" s="8"/>
      <c r="P7" s="8"/>
      <c r="Q7" s="8"/>
      <c r="R7" s="8"/>
      <c r="S7" s="8"/>
      <c r="T7" s="8"/>
      <c r="U7" s="8"/>
      <c r="V7" s="8"/>
      <c r="W7" s="9" t="s">
        <v>4871</v>
      </c>
      <c r="X7" s="8">
        <v>31.61</v>
      </c>
      <c r="Y7" s="8">
        <v>1.49</v>
      </c>
      <c r="Z7" s="9">
        <v>0.2</v>
      </c>
      <c r="AA7" s="8">
        <v>2.9</v>
      </c>
      <c r="AB7" s="8">
        <v>57655</v>
      </c>
      <c r="AC7" s="22" t="s">
        <v>4871</v>
      </c>
      <c r="AD7" s="8" t="s">
        <v>4866</v>
      </c>
      <c r="AE7" s="8"/>
      <c r="AF7" s="9">
        <f t="shared" si="0"/>
        <v>4.3209999999999997</v>
      </c>
      <c r="AG7" s="9">
        <f t="shared" si="1"/>
        <v>9.6666666666666672E-3</v>
      </c>
      <c r="AH7" s="9">
        <f t="shared" si="2"/>
        <v>1.4132553606237817</v>
      </c>
      <c r="AI7" s="9">
        <f t="shared" si="3"/>
        <v>1.9972907143318552</v>
      </c>
      <c r="AJ7" s="9">
        <f t="shared" si="4"/>
        <v>1.2591830609134542</v>
      </c>
      <c r="AK7" s="9">
        <f t="shared" si="5"/>
        <v>1.5855419808913758</v>
      </c>
      <c r="AL7" s="9">
        <f t="shared" si="6"/>
        <v>2.8495165402152769E-3</v>
      </c>
      <c r="AM7" s="9">
        <f t="shared" si="7"/>
        <v>8.1197445129604422E-6</v>
      </c>
      <c r="AN7" s="9" t="s">
        <v>4871</v>
      </c>
    </row>
    <row r="8" spans="8:40" ht="23">
      <c r="H8" s="24"/>
      <c r="I8" s="24"/>
      <c r="J8" s="24"/>
      <c r="K8" s="24"/>
      <c r="L8" s="24"/>
      <c r="M8" s="25" t="s">
        <v>4945</v>
      </c>
      <c r="N8" s="24"/>
      <c r="O8" s="24"/>
      <c r="P8" s="24"/>
      <c r="Q8" s="24"/>
      <c r="R8" s="24"/>
      <c r="S8" s="24"/>
      <c r="T8" s="24"/>
      <c r="U8" s="24"/>
      <c r="V8" s="24"/>
      <c r="W8" s="25" t="s">
        <v>4945</v>
      </c>
      <c r="X8" s="24">
        <v>55.72</v>
      </c>
      <c r="Y8" s="24">
        <v>2.1</v>
      </c>
      <c r="Z8" s="25">
        <v>1.44</v>
      </c>
      <c r="AA8" s="24">
        <v>2.6</v>
      </c>
      <c r="AB8" s="24">
        <v>42505</v>
      </c>
      <c r="AC8" s="22" t="s">
        <v>4945</v>
      </c>
      <c r="AD8" s="8" t="s">
        <v>4866</v>
      </c>
      <c r="AE8" s="24"/>
      <c r="AF8" s="25">
        <f t="shared" si="0"/>
        <v>5.4600000000000009</v>
      </c>
      <c r="AG8" s="9">
        <f t="shared" si="1"/>
        <v>4.5066666666666668</v>
      </c>
      <c r="AH8" s="9">
        <f t="shared" si="2"/>
        <v>1.267056530214425</v>
      </c>
      <c r="AI8" s="25">
        <f t="shared" si="3"/>
        <v>1.605432250759018</v>
      </c>
      <c r="AJ8" s="9">
        <f t="shared" si="4"/>
        <v>1.5910991697726133</v>
      </c>
      <c r="AK8" s="25">
        <f t="shared" si="5"/>
        <v>2.5315965680510994</v>
      </c>
      <c r="AL8" s="9">
        <f t="shared" si="6"/>
        <v>1.3284642628865706</v>
      </c>
      <c r="AM8" s="25">
        <f t="shared" si="7"/>
        <v>1.7648172977667593</v>
      </c>
      <c r="AN8" s="25" t="s">
        <v>4945</v>
      </c>
    </row>
    <row r="9" spans="8:40" ht="23">
      <c r="H9" s="24"/>
      <c r="I9" s="24"/>
      <c r="J9" s="24"/>
      <c r="K9" s="24"/>
      <c r="L9" s="24"/>
      <c r="M9" s="25" t="s">
        <v>4874</v>
      </c>
      <c r="N9" s="24"/>
      <c r="O9" s="24"/>
      <c r="P9" s="24"/>
      <c r="Q9" s="24"/>
      <c r="R9" s="24"/>
      <c r="S9" s="24"/>
      <c r="T9" s="24"/>
      <c r="U9" s="24"/>
      <c r="V9" s="24"/>
      <c r="W9" s="25" t="s">
        <v>4874</v>
      </c>
      <c r="X9" s="24">
        <v>5.17</v>
      </c>
      <c r="Y9" s="24">
        <v>2.4700000000000002</v>
      </c>
      <c r="Z9" s="25">
        <v>2.0699999999999998</v>
      </c>
      <c r="AA9" s="24">
        <v>2.4</v>
      </c>
      <c r="AB9" s="24"/>
      <c r="AC9" s="22" t="s">
        <v>4874</v>
      </c>
      <c r="AD9" s="8" t="s">
        <v>4866</v>
      </c>
      <c r="AE9" s="24"/>
      <c r="AF9" s="9">
        <f t="shared" si="0"/>
        <v>5.9279999999999999</v>
      </c>
      <c r="AG9" s="9">
        <f t="shared" si="1"/>
        <v>5.08</v>
      </c>
      <c r="AH9" s="9">
        <f t="shared" si="2"/>
        <v>1.1695906432748537</v>
      </c>
      <c r="AI9" s="9">
        <f t="shared" si="3"/>
        <v>1.3679422728360862</v>
      </c>
      <c r="AJ9" s="9">
        <f t="shared" si="4"/>
        <v>1.7274790986102655</v>
      </c>
      <c r="AK9" s="9">
        <f t="shared" si="5"/>
        <v>2.9841840361353356</v>
      </c>
      <c r="AL9" s="9">
        <f t="shared" si="6"/>
        <v>1.4974700714786491</v>
      </c>
      <c r="AM9" s="9">
        <f t="shared" si="7"/>
        <v>2.2424166149742706</v>
      </c>
      <c r="AN9" s="25" t="s">
        <v>4874</v>
      </c>
    </row>
    <row r="10" spans="8:40" ht="23">
      <c r="H10" s="8"/>
      <c r="I10" s="8"/>
      <c r="J10" s="8"/>
      <c r="K10" s="8"/>
      <c r="L10" s="8"/>
      <c r="M10" s="9" t="s">
        <v>4870</v>
      </c>
      <c r="N10" s="8"/>
      <c r="O10" s="8"/>
      <c r="P10" s="8"/>
      <c r="Q10" s="8"/>
      <c r="R10" s="8"/>
      <c r="S10" s="8"/>
      <c r="T10" s="8"/>
      <c r="U10" s="8"/>
      <c r="V10" s="8"/>
      <c r="W10" s="9" t="s">
        <v>4870</v>
      </c>
      <c r="X10" s="8">
        <v>21.08</v>
      </c>
      <c r="Y10" s="8">
        <v>4.45</v>
      </c>
      <c r="Z10" s="9">
        <v>3.56</v>
      </c>
      <c r="AA10" s="8">
        <v>1.8</v>
      </c>
      <c r="AB10" s="8">
        <v>38902</v>
      </c>
      <c r="AC10" s="22" t="s">
        <v>4870</v>
      </c>
      <c r="AD10" s="8" t="s">
        <v>4866</v>
      </c>
      <c r="AE10" s="8"/>
      <c r="AF10" s="9">
        <f t="shared" si="0"/>
        <v>8.01</v>
      </c>
      <c r="AG10" s="9">
        <f t="shared" si="1"/>
        <v>7.080000000000001</v>
      </c>
      <c r="AH10" s="9">
        <f t="shared" si="2"/>
        <v>0.8771929824561403</v>
      </c>
      <c r="AI10" s="9">
        <f t="shared" si="3"/>
        <v>0.76946752847029842</v>
      </c>
      <c r="AJ10" s="9">
        <f t="shared" si="4"/>
        <v>2.3341949358752072</v>
      </c>
      <c r="AK10" s="9">
        <f t="shared" si="5"/>
        <v>5.4484659986654629</v>
      </c>
      <c r="AL10" s="9">
        <f t="shared" si="6"/>
        <v>2.0870252177300861</v>
      </c>
      <c r="AM10" s="9">
        <f t="shared" si="7"/>
        <v>4.3556742594413134</v>
      </c>
      <c r="AN10" s="9" t="s">
        <v>4870</v>
      </c>
    </row>
    <row r="11" spans="8:40" ht="23">
      <c r="H11" s="24"/>
      <c r="I11" s="24"/>
      <c r="J11" s="24"/>
      <c r="K11" s="24"/>
      <c r="L11" s="24"/>
      <c r="M11" s="25" t="s">
        <v>4873</v>
      </c>
      <c r="N11" s="24"/>
      <c r="O11" s="24"/>
      <c r="P11" s="24"/>
      <c r="Q11" s="24"/>
      <c r="R11" s="24"/>
      <c r="S11" s="24"/>
      <c r="T11" s="24"/>
      <c r="U11" s="24"/>
      <c r="V11" s="24"/>
      <c r="W11" s="25" t="s">
        <v>4873</v>
      </c>
      <c r="X11" s="24">
        <v>9.0399999999999991</v>
      </c>
      <c r="Y11" s="24">
        <v>6.47</v>
      </c>
      <c r="Z11" s="25">
        <v>6.08</v>
      </c>
      <c r="AA11" s="24">
        <v>1.4</v>
      </c>
      <c r="AB11" s="24">
        <v>41898</v>
      </c>
      <c r="AC11" s="22" t="s">
        <v>4873</v>
      </c>
      <c r="AD11" s="8" t="s">
        <v>4866</v>
      </c>
      <c r="AE11" s="24"/>
      <c r="AF11" s="9">
        <f t="shared" si="0"/>
        <v>9.0579999999999998</v>
      </c>
      <c r="AG11" s="9">
        <f t="shared" si="1"/>
        <v>8.586666666666666</v>
      </c>
      <c r="AH11" s="9">
        <f t="shared" si="2"/>
        <v>0.6822612085769979</v>
      </c>
      <c r="AI11" s="9">
        <f t="shared" si="3"/>
        <v>0.46548035672894583</v>
      </c>
      <c r="AJ11" s="9">
        <f t="shared" si="4"/>
        <v>2.6395927252381552</v>
      </c>
      <c r="AK11" s="9">
        <f t="shared" si="5"/>
        <v>6.9674497551301915</v>
      </c>
      <c r="AL11" s="9">
        <f t="shared" si="6"/>
        <v>2.531156761239501</v>
      </c>
      <c r="AM11" s="9">
        <f t="shared" si="7"/>
        <v>6.40675454996844</v>
      </c>
      <c r="AN11" s="25" t="s">
        <v>4873</v>
      </c>
    </row>
    <row r="12" spans="8:40" ht="23">
      <c r="H12" s="24"/>
      <c r="I12" s="24"/>
      <c r="J12" s="24"/>
      <c r="K12" s="24"/>
      <c r="L12" s="24"/>
      <c r="M12" s="25" t="s">
        <v>4872</v>
      </c>
      <c r="N12" s="24"/>
      <c r="O12" s="24"/>
      <c r="P12" s="24"/>
      <c r="Q12" s="24"/>
      <c r="R12" s="24"/>
      <c r="S12" s="24"/>
      <c r="T12" s="24"/>
      <c r="U12" s="24"/>
      <c r="V12" s="24"/>
      <c r="W12" s="25" t="s">
        <v>4872</v>
      </c>
      <c r="X12" s="24">
        <v>33.119999999999997</v>
      </c>
      <c r="Y12" s="24">
        <v>4.57</v>
      </c>
      <c r="Z12" s="25">
        <v>4.59</v>
      </c>
      <c r="AA12" s="24">
        <v>1.3</v>
      </c>
      <c r="AB12" s="24">
        <v>48673</v>
      </c>
      <c r="AC12" s="22" t="s">
        <v>4872</v>
      </c>
      <c r="AD12" s="8" t="s">
        <v>4866</v>
      </c>
      <c r="AE12" s="24"/>
      <c r="AF12" s="9">
        <f t="shared" si="0"/>
        <v>5.9410000000000007</v>
      </c>
      <c r="AG12" s="9">
        <f t="shared" si="1"/>
        <v>6.4783333333333335</v>
      </c>
      <c r="AH12" s="9">
        <f t="shared" si="2"/>
        <v>0.6335282651072125</v>
      </c>
      <c r="AI12" s="9">
        <f t="shared" si="3"/>
        <v>0.40135806268975449</v>
      </c>
      <c r="AJ12" s="9">
        <f t="shared" si="4"/>
        <v>1.7312674299668671</v>
      </c>
      <c r="AK12" s="9">
        <f t="shared" si="5"/>
        <v>2.9972869140640812</v>
      </c>
      <c r="AL12" s="9">
        <f t="shared" si="6"/>
        <v>1.9096673778994451</v>
      </c>
      <c r="AM12" s="9">
        <f t="shared" si="7"/>
        <v>3.6468294942133421</v>
      </c>
      <c r="AN12" s="25" t="s">
        <v>4872</v>
      </c>
    </row>
    <row r="13" spans="8:40" ht="23">
      <c r="H13" s="8"/>
      <c r="I13" s="8"/>
      <c r="J13" s="8"/>
      <c r="K13" s="8"/>
      <c r="L13" s="8"/>
      <c r="M13" s="9"/>
      <c r="N13" s="8"/>
      <c r="O13" s="8"/>
      <c r="P13" s="8"/>
      <c r="Q13" s="8"/>
      <c r="R13" s="8"/>
      <c r="S13" s="8"/>
      <c r="T13" s="8"/>
      <c r="U13" s="8"/>
      <c r="V13" s="8"/>
      <c r="W13" s="9"/>
      <c r="X13" s="8"/>
      <c r="Y13" s="8"/>
      <c r="Z13" s="9"/>
      <c r="AA13" s="8">
        <f>SUBTOTAL(109,Table136104293109[ترافیک کل])</f>
        <v>205.20000000000002</v>
      </c>
      <c r="AB13" s="8"/>
      <c r="AC13" s="9"/>
      <c r="AD13" s="8"/>
      <c r="AE13" s="8"/>
      <c r="AF13" s="9">
        <f>SUBTOTAL(109,Table136104293109[[مجموع صفحات  مشاهده شده   ]])</f>
        <v>343.15899999999993</v>
      </c>
      <c r="AG13" s="9">
        <f>SUBTOTAL(109,Table136104293109[[مجموع زمان حضور در سایت ]])</f>
        <v>339.23883333333322</v>
      </c>
      <c r="AH13" s="9">
        <f>SUBTOTAL(109,Table136104293109[سهم سایت از کل ترافیک طبقه بندی])</f>
        <v>100.00000000000001</v>
      </c>
      <c r="AI13" s="9">
        <f>SUBTOTAL(109,Table136104293109[شاخص هرفیندال هیرشمن (ترافیک)])</f>
        <v>4448.8712576329281</v>
      </c>
      <c r="AJ13" s="9">
        <f>SUBTOTAL(109,Table136104293109[سهم سایت از کل صفحات مشاهده شده در طبقه بندی])</f>
        <v>100.00000000000004</v>
      </c>
      <c r="AK13" s="9">
        <f>SUBTOTAL(109,Table136104293109[شاخص هرفیندال -هیرشمن (صفحات مشاهده شده )])</f>
        <v>3677.3412583423874</v>
      </c>
      <c r="AL13" s="9">
        <f>SUBTOTAL(109,Table136104293109[سهم سایت از کل زمان حضور در طبقه بندی])</f>
        <v>100</v>
      </c>
      <c r="AM13" s="9">
        <f>SUBTOTAL(109,Table136104293109[شاخص هرفیندال هیرشمن (زمان حضور)])</f>
        <v>5163.1742912221516</v>
      </c>
      <c r="AN13" s="9"/>
    </row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{D0CD06AD-605D-437F-A263-1D7D627250A7}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{0B4B4414-2812-43E7-AF4D-A8068107BD7D}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{6129E3C6-CD37-41ED-97E1-9F6AAF429C3F}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{D10E3CEE-DA6A-4AA8-AA0F-F32CFB8922E0}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{DB4B115F-2FBC-405D-B1CB-5F0F32FFEE71}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{E1A0F02A-F371-4A25-8FD7-611F28206E85}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CD06AD-605D-437F-A263-1D7D627250A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0B4B4414-2812-43E7-AF4D-A8068107BD7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129E3C6-CD37-41ED-97E1-9F6AAF429C3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D10E3CEE-DA6A-4AA8-AA0F-F32CFB8922E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B4B115F-2FBC-405D-B1CB-5F0F32FFEE7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E1A0F02A-F371-4A25-8FD7-611F28206E8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9"/>
  <sheetViews>
    <sheetView showGridLines="0" rightToLeft="1" topLeftCell="S1" zoomScale="85" zoomScaleNormal="85" workbookViewId="0">
      <selection activeCell="AB1" sqref="AB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6.5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8" t="s">
        <v>550</v>
      </c>
      <c r="N2" s="8"/>
      <c r="O2" s="8"/>
      <c r="P2" s="8"/>
      <c r="Q2" s="8"/>
      <c r="R2" s="8"/>
      <c r="S2" s="8"/>
      <c r="T2" s="8"/>
      <c r="U2" s="8"/>
      <c r="V2" s="8"/>
      <c r="W2" s="8" t="s">
        <v>550</v>
      </c>
      <c r="X2" s="8">
        <v>41.66</v>
      </c>
      <c r="Y2" s="8">
        <v>1.81</v>
      </c>
      <c r="Z2" s="9">
        <v>1.0900000000000001</v>
      </c>
      <c r="AA2" s="8">
        <v>409.1</v>
      </c>
      <c r="AB2" s="8">
        <v>1637</v>
      </c>
      <c r="AC2" s="21" t="s">
        <v>550</v>
      </c>
      <c r="AD2" s="8" t="s">
        <v>4865</v>
      </c>
      <c r="AE2" s="8"/>
      <c r="AF2" s="9">
        <f t="shared" ref="AF2:AF8" si="0">(AA2*Y2)</f>
        <v>740.47100000000012</v>
      </c>
      <c r="AG2" s="9">
        <f t="shared" ref="AG2:AG8" si="1">((((RIGHT(Z2,2))/60)+(LEFT(Z2,2)))*AA2)</f>
        <v>470.46499999999997</v>
      </c>
      <c r="AH2" s="9">
        <f t="shared" ref="AH2:AH8" si="2">(AA2/$AA$9)*100</f>
        <v>41.732122819545033</v>
      </c>
      <c r="AI2" s="9">
        <f t="shared" ref="AI2:AI8" si="3">(AH2*AH2)</f>
        <v>1741.5700750255912</v>
      </c>
      <c r="AJ2" s="9">
        <f t="shared" ref="AJ2:AJ8" si="4">(AF2/$AF$9)*100</f>
        <v>30.01455185161165</v>
      </c>
      <c r="AK2" s="9">
        <f t="shared" ref="AK2:AK8" si="5">(AJ2*AJ2)</f>
        <v>900.87332285308435</v>
      </c>
      <c r="AL2" s="9">
        <f t="shared" ref="AL2:AL8" si="6">(AG2/$AG$9)*100</f>
        <v>29.026267487236439</v>
      </c>
      <c r="AM2" s="9">
        <f t="shared" ref="AM2:AM8" si="7">(AL2*AL2)</f>
        <v>842.52420424059915</v>
      </c>
      <c r="AN2" s="8" t="s">
        <v>550</v>
      </c>
    </row>
    <row r="3" spans="8:40" ht="23">
      <c r="H3" s="8"/>
      <c r="I3" s="8"/>
      <c r="J3" s="8"/>
      <c r="K3" s="8"/>
      <c r="L3" s="8"/>
      <c r="M3" s="9" t="s">
        <v>4862</v>
      </c>
      <c r="N3" s="8"/>
      <c r="O3" s="8"/>
      <c r="P3" s="8"/>
      <c r="Q3" s="8"/>
      <c r="R3" s="8"/>
      <c r="S3" s="8"/>
      <c r="T3" s="8"/>
      <c r="U3" s="8"/>
      <c r="V3" s="8"/>
      <c r="W3" s="9" t="s">
        <v>4862</v>
      </c>
      <c r="X3" s="8">
        <v>32.43</v>
      </c>
      <c r="Y3" s="8">
        <v>2.91</v>
      </c>
      <c r="Z3" s="9">
        <v>1.57</v>
      </c>
      <c r="AA3" s="8">
        <v>316.5</v>
      </c>
      <c r="AB3" s="8">
        <v>4780</v>
      </c>
      <c r="AC3" s="22" t="s">
        <v>4862</v>
      </c>
      <c r="AD3" s="8" t="s">
        <v>4865</v>
      </c>
      <c r="AE3" s="8"/>
      <c r="AF3" s="9">
        <f t="shared" si="0"/>
        <v>921.0150000000001</v>
      </c>
      <c r="AG3" s="9">
        <f t="shared" si="1"/>
        <v>617.17499999999995</v>
      </c>
      <c r="AH3" s="9">
        <f t="shared" si="2"/>
        <v>32.286034887279399</v>
      </c>
      <c r="AI3" s="9">
        <f t="shared" si="3"/>
        <v>1042.3880487426225</v>
      </c>
      <c r="AJ3" s="9">
        <f t="shared" si="4"/>
        <v>37.332795576885658</v>
      </c>
      <c r="AK3" s="9">
        <f t="shared" si="5"/>
        <v>1393.7376255855334</v>
      </c>
      <c r="AL3" s="9">
        <f t="shared" si="6"/>
        <v>38.077830734348254</v>
      </c>
      <c r="AM3" s="9">
        <f t="shared" si="7"/>
        <v>1449.9211934336765</v>
      </c>
      <c r="AN3" s="9" t="s">
        <v>4862</v>
      </c>
    </row>
    <row r="4" spans="8:40" ht="23">
      <c r="H4" s="8"/>
      <c r="I4" s="8"/>
      <c r="J4" s="8"/>
      <c r="K4" s="8"/>
      <c r="L4" s="8"/>
      <c r="M4" s="8" t="s">
        <v>870</v>
      </c>
      <c r="N4" s="8"/>
      <c r="O4" s="8"/>
      <c r="P4" s="8"/>
      <c r="Q4" s="8"/>
      <c r="R4" s="8"/>
      <c r="S4" s="8"/>
      <c r="T4" s="8"/>
      <c r="U4" s="8"/>
      <c r="V4" s="8"/>
      <c r="W4" s="8" t="s">
        <v>870</v>
      </c>
      <c r="X4" s="8">
        <v>22.97</v>
      </c>
      <c r="Y4" s="8">
        <v>2.38</v>
      </c>
      <c r="Z4" s="9">
        <v>1.0900000000000001</v>
      </c>
      <c r="AA4" s="8">
        <v>188.3</v>
      </c>
      <c r="AB4" s="8">
        <v>2488</v>
      </c>
      <c r="AC4" s="21" t="s">
        <v>870</v>
      </c>
      <c r="AD4" s="8" t="s">
        <v>4865</v>
      </c>
      <c r="AE4" s="8"/>
      <c r="AF4" s="9">
        <f t="shared" si="0"/>
        <v>448.154</v>
      </c>
      <c r="AG4" s="9">
        <f t="shared" si="1"/>
        <v>216.54499999999999</v>
      </c>
      <c r="AH4" s="9">
        <f t="shared" si="2"/>
        <v>19.208405590125469</v>
      </c>
      <c r="AI4" s="9">
        <f t="shared" si="3"/>
        <v>368.9628453147634</v>
      </c>
      <c r="AJ4" s="9">
        <f t="shared" si="4"/>
        <v>18.165656008820282</v>
      </c>
      <c r="AK4" s="9">
        <f t="shared" si="5"/>
        <v>329.99105823078838</v>
      </c>
      <c r="AL4" s="9">
        <f t="shared" si="6"/>
        <v>13.360171517591352</v>
      </c>
      <c r="AM4" s="9">
        <f t="shared" si="7"/>
        <v>178.49418297945923</v>
      </c>
      <c r="AN4" s="8" t="s">
        <v>870</v>
      </c>
    </row>
    <row r="5" spans="8:40" ht="23">
      <c r="H5" s="8"/>
      <c r="I5" s="8"/>
      <c r="J5" s="8"/>
      <c r="K5" s="8"/>
      <c r="L5" s="8"/>
      <c r="M5" s="9" t="s">
        <v>4861</v>
      </c>
      <c r="N5" s="8"/>
      <c r="O5" s="8"/>
      <c r="P5" s="8" t="s">
        <v>4653</v>
      </c>
      <c r="Q5" s="8"/>
      <c r="R5" s="8"/>
      <c r="S5" s="8"/>
      <c r="T5" s="8"/>
      <c r="U5" s="8"/>
      <c r="V5" s="8"/>
      <c r="W5" s="9" t="s">
        <v>4861</v>
      </c>
      <c r="X5" s="8">
        <v>62.49</v>
      </c>
      <c r="Y5" s="8">
        <v>7.04</v>
      </c>
      <c r="Z5" s="9">
        <v>7.45</v>
      </c>
      <c r="AA5" s="8">
        <v>29.2</v>
      </c>
      <c r="AB5" s="8">
        <v>8406</v>
      </c>
      <c r="AC5" s="22" t="s">
        <v>4861</v>
      </c>
      <c r="AD5" s="8" t="s">
        <v>4865</v>
      </c>
      <c r="AE5" s="8"/>
      <c r="AF5" s="9">
        <f t="shared" si="0"/>
        <v>205.56799999999998</v>
      </c>
      <c r="AG5" s="9">
        <f t="shared" si="1"/>
        <v>226.29999999999998</v>
      </c>
      <c r="AH5" s="9">
        <f t="shared" si="2"/>
        <v>2.9786799959196157</v>
      </c>
      <c r="AI5" s="9">
        <f t="shared" si="3"/>
        <v>8.8725345180916815</v>
      </c>
      <c r="AJ5" s="9">
        <f t="shared" si="4"/>
        <v>8.3325766910954009</v>
      </c>
      <c r="AK5" s="9">
        <f t="shared" si="5"/>
        <v>69.431834312986382</v>
      </c>
      <c r="AL5" s="9">
        <f t="shared" si="6"/>
        <v>13.962025511699288</v>
      </c>
      <c r="AM5" s="9">
        <f t="shared" si="7"/>
        <v>194.93815638934177</v>
      </c>
      <c r="AN5" s="9" t="s">
        <v>4861</v>
      </c>
    </row>
    <row r="6" spans="8:40" ht="23">
      <c r="H6" s="8"/>
      <c r="I6" s="8"/>
      <c r="J6" s="8"/>
      <c r="K6" s="8"/>
      <c r="L6" s="8"/>
      <c r="M6" s="8" t="s">
        <v>4860</v>
      </c>
      <c r="N6" s="8"/>
      <c r="O6" s="8"/>
      <c r="P6" s="8"/>
      <c r="Q6" s="8"/>
      <c r="R6" s="8"/>
      <c r="S6" s="8"/>
      <c r="T6" s="8"/>
      <c r="U6" s="8"/>
      <c r="V6" s="8"/>
      <c r="W6" s="8" t="s">
        <v>4860</v>
      </c>
      <c r="X6" s="8">
        <v>29.18</v>
      </c>
      <c r="Y6" s="8">
        <v>2.78</v>
      </c>
      <c r="Z6" s="9">
        <v>0.38</v>
      </c>
      <c r="AA6" s="8">
        <v>22.2</v>
      </c>
      <c r="AB6" s="8">
        <v>12169</v>
      </c>
      <c r="AC6" s="21" t="s">
        <v>4860</v>
      </c>
      <c r="AD6" s="8" t="s">
        <v>4865</v>
      </c>
      <c r="AE6" s="8"/>
      <c r="AF6" s="9">
        <f t="shared" si="0"/>
        <v>61.715999999999994</v>
      </c>
      <c r="AG6" s="9">
        <f t="shared" si="1"/>
        <v>14.059999999999999</v>
      </c>
      <c r="AH6" s="9">
        <f t="shared" si="2"/>
        <v>2.264612873610119</v>
      </c>
      <c r="AI6" s="9">
        <f t="shared" si="3"/>
        <v>5.128471467320681</v>
      </c>
      <c r="AJ6" s="9">
        <f t="shared" si="4"/>
        <v>2.5016213762241382</v>
      </c>
      <c r="AK6" s="9">
        <f t="shared" si="5"/>
        <v>6.2581095099815514</v>
      </c>
      <c r="AL6" s="9">
        <f t="shared" si="6"/>
        <v>0.86745947279934599</v>
      </c>
      <c r="AM6" s="9">
        <f t="shared" si="7"/>
        <v>0.75248593694931931</v>
      </c>
      <c r="AN6" s="8" t="s">
        <v>4860</v>
      </c>
    </row>
    <row r="7" spans="8:40" ht="23">
      <c r="H7" s="24"/>
      <c r="I7" s="24"/>
      <c r="J7" s="24"/>
      <c r="K7" s="24"/>
      <c r="L7" s="24"/>
      <c r="M7" s="25" t="s">
        <v>4863</v>
      </c>
      <c r="N7" s="24"/>
      <c r="O7" s="24"/>
      <c r="P7" s="24"/>
      <c r="Q7" s="24"/>
      <c r="R7" s="24"/>
      <c r="S7" s="24"/>
      <c r="T7" s="24"/>
      <c r="U7" s="24"/>
      <c r="V7" s="24"/>
      <c r="W7" s="25" t="s">
        <v>4863</v>
      </c>
      <c r="X7" s="8">
        <v>45.66</v>
      </c>
      <c r="Y7" s="8">
        <v>5.0999999999999996</v>
      </c>
      <c r="Z7" s="9">
        <v>3.46</v>
      </c>
      <c r="AA7" s="8">
        <v>10.4</v>
      </c>
      <c r="AB7" s="8">
        <v>8057</v>
      </c>
      <c r="AC7" s="22" t="s">
        <v>4863</v>
      </c>
      <c r="AD7" s="8" t="s">
        <v>4865</v>
      </c>
      <c r="AE7" s="24"/>
      <c r="AF7" s="9">
        <f t="shared" si="0"/>
        <v>53.04</v>
      </c>
      <c r="AG7" s="9">
        <f t="shared" si="1"/>
        <v>39.173333333333332</v>
      </c>
      <c r="AH7" s="9">
        <f t="shared" si="2"/>
        <v>1.0608997245741099</v>
      </c>
      <c r="AI7" s="9">
        <f t="shared" si="3"/>
        <v>1.1255082256014222</v>
      </c>
      <c r="AJ7" s="9">
        <f t="shared" si="4"/>
        <v>2.149944873208379</v>
      </c>
      <c r="AK7" s="9">
        <f t="shared" si="5"/>
        <v>4.6222629578349927</v>
      </c>
      <c r="AL7" s="9">
        <f t="shared" si="6"/>
        <v>2.4168761793119762</v>
      </c>
      <c r="AM7" s="9">
        <f t="shared" si="7"/>
        <v>5.8412904661256553</v>
      </c>
      <c r="AN7" s="25" t="s">
        <v>4863</v>
      </c>
    </row>
    <row r="8" spans="8:40" ht="23">
      <c r="H8" s="24"/>
      <c r="I8" s="24"/>
      <c r="J8" s="24"/>
      <c r="K8" s="24"/>
      <c r="L8" s="24"/>
      <c r="M8" s="25" t="s">
        <v>4864</v>
      </c>
      <c r="N8" s="24"/>
      <c r="O8" s="24"/>
      <c r="P8" s="24"/>
      <c r="Q8" s="24"/>
      <c r="R8" s="24"/>
      <c r="S8" s="24"/>
      <c r="T8" s="24"/>
      <c r="U8" s="24"/>
      <c r="V8" s="24"/>
      <c r="W8" s="25" t="s">
        <v>4864</v>
      </c>
      <c r="X8" s="8">
        <v>13.92</v>
      </c>
      <c r="Y8" s="8">
        <v>8.06</v>
      </c>
      <c r="Z8" s="9">
        <v>8.0399999999999991</v>
      </c>
      <c r="AA8" s="8">
        <v>4.5999999999999996</v>
      </c>
      <c r="AB8" s="8">
        <v>15966</v>
      </c>
      <c r="AC8" s="22" t="s">
        <v>4864</v>
      </c>
      <c r="AD8" s="8" t="s">
        <v>4865</v>
      </c>
      <c r="AE8" s="24"/>
      <c r="AF8" s="9">
        <f t="shared" si="0"/>
        <v>37.076000000000001</v>
      </c>
      <c r="AG8" s="9">
        <f t="shared" si="1"/>
        <v>37.106666666666662</v>
      </c>
      <c r="AH8" s="9">
        <f t="shared" si="2"/>
        <v>0.4692441089462408</v>
      </c>
      <c r="AI8" s="9">
        <f t="shared" si="3"/>
        <v>0.2201900337807515</v>
      </c>
      <c r="AJ8" s="9">
        <f t="shared" si="4"/>
        <v>1.5028536221544846</v>
      </c>
      <c r="AK8" s="9">
        <f t="shared" si="5"/>
        <v>2.2585690096228546</v>
      </c>
      <c r="AL8" s="9">
        <f t="shared" si="6"/>
        <v>2.2893690970133522</v>
      </c>
      <c r="AM8" s="9">
        <f t="shared" si="7"/>
        <v>5.2412108623597318</v>
      </c>
      <c r="AN8" s="25" t="s">
        <v>4864</v>
      </c>
    </row>
    <row r="9" spans="8:40" ht="23">
      <c r="H9" s="8"/>
      <c r="I9" s="8"/>
      <c r="J9" s="8"/>
      <c r="K9" s="8"/>
      <c r="L9" s="8"/>
      <c r="M9" s="9"/>
      <c r="N9" s="8"/>
      <c r="O9" s="8"/>
      <c r="P9" s="8"/>
      <c r="Q9" s="8"/>
      <c r="R9" s="8"/>
      <c r="S9" s="8"/>
      <c r="T9" s="8"/>
      <c r="U9" s="8"/>
      <c r="V9" s="8"/>
      <c r="W9" s="9"/>
      <c r="X9" s="8"/>
      <c r="Y9" s="8"/>
      <c r="Z9" s="9"/>
      <c r="AA9" s="8">
        <f>SUBTOTAL(109,Table136104293[ترافیک کل])</f>
        <v>980.30000000000018</v>
      </c>
      <c r="AB9" s="8"/>
      <c r="AC9" s="9"/>
      <c r="AD9" s="8"/>
      <c r="AE9" s="8"/>
      <c r="AF9" s="9">
        <f>SUBTOTAL(109,Table136104293[[مجموع صفحات  مشاهده شده   ]])</f>
        <v>2467.0400000000004</v>
      </c>
      <c r="AG9" s="9">
        <f>SUBTOTAL(109,Table136104293[[مجموع زمان حضور در سایت ]])</f>
        <v>1620.8249999999998</v>
      </c>
      <c r="AH9" s="9">
        <f>SUBTOTAL(109,Table136104293[سهم سایت از کل ترافیک طبقه بندی])</f>
        <v>100</v>
      </c>
      <c r="AI9" s="9">
        <f>SUBTOTAL(109,Table136104293[شاخص هرفیندال هیرشمن (ترافیک)])</f>
        <v>3168.2676733277717</v>
      </c>
      <c r="AJ9" s="9">
        <f>SUBTOTAL(109,Table136104293[سهم سایت از کل صفحات مشاهده شده در طبقه بندی])</f>
        <v>99.999999999999986</v>
      </c>
      <c r="AK9" s="9">
        <f>SUBTOTAL(109,Table136104293[شاخص هرفیندال -هیرشمن (صفحات مشاهده شده )])</f>
        <v>2707.1727824598324</v>
      </c>
      <c r="AL9" s="9">
        <f>SUBTOTAL(109,Table136104293[سهم سایت از کل زمان حضور در طبقه بندی])</f>
        <v>100</v>
      </c>
      <c r="AM9" s="9">
        <f>SUBTOTAL(109,Table136104293[شاخص هرفیندال هیرشمن (زمان حضور)])</f>
        <v>2677.712724308511</v>
      </c>
      <c r="AN9" s="9"/>
    </row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{365D7025-4E61-416A-B16E-980548FF7832}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{A2D87A9C-F1C9-4052-814F-53BA142F5847}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{35CBD633-8B03-4711-921D-D5BE67088B00}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{F8E782E6-D266-4055-947B-C0ABCD72DA75}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{A6B01B59-6EC8-45B3-9DD7-B6C861FB5C8C}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{8A0867B1-4D09-411A-9ED7-410D7975E43D}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5D7025-4E61-416A-B16E-980548FF783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2D87A9C-F1C9-4052-814F-53BA142F584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35CBD633-8B03-4711-921D-D5BE67088B0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8E782E6-D266-4055-947B-C0ABCD72DA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6B01B59-6EC8-45B3-9DD7-B6C861FB5C8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8A0867B1-4D09-411A-9ED7-410D7975E43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7"/>
  <sheetViews>
    <sheetView showGridLines="0" rightToLeft="1" topLeftCell="S1" zoomScale="85" zoomScaleNormal="85" workbookViewId="0">
      <selection activeCell="W11" sqref="W1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1.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9" t="s">
        <v>4859</v>
      </c>
      <c r="N2" s="8"/>
      <c r="O2" s="8"/>
      <c r="P2" s="8"/>
      <c r="Q2" s="8"/>
      <c r="R2" s="8"/>
      <c r="S2" s="8"/>
      <c r="T2" s="8"/>
      <c r="U2" s="8"/>
      <c r="V2" s="8"/>
      <c r="W2" s="9" t="s">
        <v>4859</v>
      </c>
      <c r="X2" s="8">
        <v>62.86</v>
      </c>
      <c r="Y2" s="8">
        <v>1.22</v>
      </c>
      <c r="Z2" s="9">
        <v>0.1</v>
      </c>
      <c r="AA2" s="8">
        <v>27</v>
      </c>
      <c r="AB2" s="8">
        <v>37176</v>
      </c>
      <c r="AC2" s="22" t="s">
        <v>4859</v>
      </c>
      <c r="AD2" s="8" t="s">
        <v>5304</v>
      </c>
      <c r="AE2" s="8"/>
      <c r="AF2" s="9">
        <f>(AA2*Y2)</f>
        <v>32.94</v>
      </c>
      <c r="AG2" s="9">
        <f>((((RIGHT(Z2,2))/60)+(LEFT(Z2,2)))*AA2)</f>
        <v>4.5000000000000005E-2</v>
      </c>
      <c r="AH2" s="9">
        <f>(AA2/$AA$7)*100</f>
        <v>31.431897555296857</v>
      </c>
      <c r="AI2" s="9">
        <f>(AH2*AH2)</f>
        <v>987.96418392667647</v>
      </c>
      <c r="AJ2" s="9">
        <f>(AF2/$AF$7)*100</f>
        <v>4.7538778596869991</v>
      </c>
      <c r="AK2" s="9">
        <f>(AJ2*AJ2)</f>
        <v>22.599354704822243</v>
      </c>
      <c r="AL2" s="9">
        <f>(AG2/$AG$7)*100</f>
        <v>1.268892397924656E-2</v>
      </c>
      <c r="AM2" s="9">
        <f>(AL2*AL2)</f>
        <v>1.6100879175109836E-4</v>
      </c>
      <c r="AN2" s="9" t="s">
        <v>4859</v>
      </c>
    </row>
    <row r="3" spans="8:40" ht="23">
      <c r="H3" s="8"/>
      <c r="I3" s="8"/>
      <c r="J3" s="8"/>
      <c r="K3" s="8"/>
      <c r="L3" s="8"/>
      <c r="M3" s="8" t="s">
        <v>2377</v>
      </c>
      <c r="N3" s="8"/>
      <c r="O3" s="8"/>
      <c r="P3" s="8"/>
      <c r="Q3" s="8"/>
      <c r="R3" s="8"/>
      <c r="S3" s="8"/>
      <c r="T3" s="8"/>
      <c r="U3" s="8"/>
      <c r="V3" s="8"/>
      <c r="W3" s="8" t="s">
        <v>2377</v>
      </c>
      <c r="X3" s="8">
        <v>25.69</v>
      </c>
      <c r="Y3" s="8">
        <v>2.14</v>
      </c>
      <c r="Z3" s="9">
        <v>0.46</v>
      </c>
      <c r="AA3" s="8">
        <v>23.4</v>
      </c>
      <c r="AB3" s="8">
        <v>12800</v>
      </c>
      <c r="AC3" s="21" t="s">
        <v>2377</v>
      </c>
      <c r="AD3" s="8" t="s">
        <v>5304</v>
      </c>
      <c r="AE3" s="8"/>
      <c r="AF3" s="9">
        <f>(AA3*Y3)</f>
        <v>50.076000000000001</v>
      </c>
      <c r="AG3" s="9">
        <f>((((RIGHT(Z3,2))/60)+(LEFT(Z3,2)))*AA3)</f>
        <v>17.940000000000001</v>
      </c>
      <c r="AH3" s="9">
        <f>(AA3/$AA$7)*100</f>
        <v>27.240977881257272</v>
      </c>
      <c r="AI3" s="9">
        <f>(AH3*AH3)</f>
        <v>742.07087592714799</v>
      </c>
      <c r="AJ3" s="9">
        <f>(AF3/$AF$7)*100</f>
        <v>7.226933445709963</v>
      </c>
      <c r="AK3" s="9">
        <f>(AJ3*AJ3)</f>
        <v>52.22856702872128</v>
      </c>
      <c r="AL3" s="9">
        <f>(AG3/$AG$7)*100</f>
        <v>5.0586510263929618</v>
      </c>
      <c r="AM3" s="9">
        <f>(AL3*AL3)</f>
        <v>25.589950206826565</v>
      </c>
      <c r="AN3" s="8" t="s">
        <v>2377</v>
      </c>
    </row>
    <row r="4" spans="8:40" ht="23">
      <c r="H4" s="8"/>
      <c r="I4" s="8"/>
      <c r="J4" s="8"/>
      <c r="K4" s="8"/>
      <c r="L4" s="8"/>
      <c r="M4" s="8" t="s">
        <v>4858</v>
      </c>
      <c r="N4" s="8"/>
      <c r="O4" s="8"/>
      <c r="P4" s="8"/>
      <c r="Q4" s="8"/>
      <c r="R4" s="8"/>
      <c r="S4" s="8"/>
      <c r="T4" s="8"/>
      <c r="U4" s="8"/>
      <c r="V4" s="8"/>
      <c r="W4" s="8" t="s">
        <v>4858</v>
      </c>
      <c r="X4" s="8">
        <v>5.69</v>
      </c>
      <c r="Y4" s="8">
        <v>29</v>
      </c>
      <c r="Z4" s="9">
        <v>14.51</v>
      </c>
      <c r="AA4" s="8">
        <v>18.600000000000001</v>
      </c>
      <c r="AB4" s="8">
        <v>9697</v>
      </c>
      <c r="AC4" s="21" t="s">
        <v>4858</v>
      </c>
      <c r="AD4" s="8" t="s">
        <v>5304</v>
      </c>
      <c r="AE4" s="8"/>
      <c r="AF4" s="9">
        <f>(AA4*Y4)</f>
        <v>539.40000000000009</v>
      </c>
      <c r="AG4" s="9">
        <f>((((RIGHT(Z4,2))/60)+(LEFT(Z4,2)))*AA4)</f>
        <v>276.21000000000004</v>
      </c>
      <c r="AH4" s="9">
        <f>(AA4/$AA$7)*100</f>
        <v>21.653084982537834</v>
      </c>
      <c r="AI4" s="9">
        <f>(AH4*AH4)</f>
        <v>468.85608926100548</v>
      </c>
      <c r="AJ4" s="9">
        <f>(AF4/$AF$7)*100</f>
        <v>77.845832347151429</v>
      </c>
      <c r="AK4" s="9">
        <f>(AJ4*AJ4)</f>
        <v>6059.9736138208082</v>
      </c>
      <c r="AL4" s="9">
        <f>(AG4/$AG$7)*100</f>
        <v>77.884615384615387</v>
      </c>
      <c r="AM4" s="9">
        <f>(AL4*AL4)</f>
        <v>6066.0133136094682</v>
      </c>
      <c r="AN4" s="8" t="s">
        <v>4858</v>
      </c>
    </row>
    <row r="5" spans="8:40" ht="23">
      <c r="H5" s="8"/>
      <c r="I5" s="8"/>
      <c r="J5" s="8"/>
      <c r="K5" s="8"/>
      <c r="L5" s="8"/>
      <c r="M5" s="8" t="s">
        <v>4857</v>
      </c>
      <c r="N5" s="8"/>
      <c r="O5" s="8"/>
      <c r="P5" s="8"/>
      <c r="Q5" s="8"/>
      <c r="R5" s="8"/>
      <c r="S5" s="8"/>
      <c r="T5" s="8"/>
      <c r="U5" s="8"/>
      <c r="V5" s="8"/>
      <c r="W5" s="8" t="s">
        <v>4857</v>
      </c>
      <c r="X5" s="8">
        <v>43.65</v>
      </c>
      <c r="Y5" s="8">
        <v>3.18</v>
      </c>
      <c r="Z5" s="9">
        <v>4.1900000000000004</v>
      </c>
      <c r="AA5" s="8">
        <v>10.199999999999999</v>
      </c>
      <c r="AB5" s="8">
        <v>13944</v>
      </c>
      <c r="AC5" s="21" t="s">
        <v>4857</v>
      </c>
      <c r="AD5" s="8" t="s">
        <v>5304</v>
      </c>
      <c r="AE5" s="8"/>
      <c r="AF5" s="9">
        <f>(AA5*Y5)</f>
        <v>32.436</v>
      </c>
      <c r="AG5" s="9">
        <f>((((RIGHT(Z5,2))/60)+(LEFT(Z5,2)))*AA5)</f>
        <v>44.029999999999994</v>
      </c>
      <c r="AH5" s="9">
        <f>(AA5/$AA$7)*100</f>
        <v>11.874272409778811</v>
      </c>
      <c r="AI5" s="9">
        <f>(AH5*AH5)</f>
        <v>140.99834526163428</v>
      </c>
      <c r="AJ5" s="9">
        <f>(AF5/$AF$7)*100</f>
        <v>4.6811409306863245</v>
      </c>
      <c r="AK5" s="9">
        <f>(AJ5*AJ5)</f>
        <v>21.91308041294683</v>
      </c>
      <c r="AL5" s="9">
        <f>(AG5/$AG$7)*100</f>
        <v>12.415407173471687</v>
      </c>
      <c r="AM5" s="9">
        <f>(AL5*AL5)</f>
        <v>154.14233528309222</v>
      </c>
      <c r="AN5" s="8" t="s">
        <v>4857</v>
      </c>
    </row>
    <row r="6" spans="8:40" ht="23">
      <c r="H6" s="8"/>
      <c r="I6" s="8"/>
      <c r="J6" s="8"/>
      <c r="K6" s="8"/>
      <c r="L6" s="8"/>
      <c r="M6" s="9" t="s">
        <v>4921</v>
      </c>
      <c r="N6" s="8"/>
      <c r="O6" s="8"/>
      <c r="P6" s="8"/>
      <c r="Q6" s="8"/>
      <c r="R6" s="8"/>
      <c r="S6" s="8"/>
      <c r="T6" s="8"/>
      <c r="U6" s="8"/>
      <c r="V6" s="8"/>
      <c r="W6" s="9" t="s">
        <v>4921</v>
      </c>
      <c r="X6" s="8">
        <v>36.42</v>
      </c>
      <c r="Y6" s="8">
        <v>5.68</v>
      </c>
      <c r="Z6" s="9">
        <v>2.27</v>
      </c>
      <c r="AA6" s="8">
        <v>6.7</v>
      </c>
      <c r="AB6" s="8">
        <v>10910</v>
      </c>
      <c r="AC6" s="22" t="s">
        <v>4921</v>
      </c>
      <c r="AD6" s="8" t="s">
        <v>5304</v>
      </c>
      <c r="AE6" s="8"/>
      <c r="AF6" s="9">
        <f>(AA6*Y6)</f>
        <v>38.055999999999997</v>
      </c>
      <c r="AG6" s="9">
        <f>((((RIGHT(Z6,2))/60)+(LEFT(Z6,2)))*AA6)</f>
        <v>16.415000000000003</v>
      </c>
      <c r="AH6" s="9">
        <f>(AA6/$AA$7)*100</f>
        <v>7.7997671711292194</v>
      </c>
      <c r="AI6" s="9">
        <f>(AH6*AH6)</f>
        <v>60.836367923825108</v>
      </c>
      <c r="AJ6" s="9">
        <f>(AF6/$AF$7)*100</f>
        <v>5.4922154167652835</v>
      </c>
      <c r="AK6" s="9">
        <f>(AJ6*AJ6)</f>
        <v>30.164430184154256</v>
      </c>
      <c r="AL6" s="9">
        <f>(AG6/$AG$7)*100</f>
        <v>4.6286374915407178</v>
      </c>
      <c r="AM6" s="9">
        <f>(AL6*AL6)</f>
        <v>21.424285028096349</v>
      </c>
      <c r="AN6" s="9" t="s">
        <v>4921</v>
      </c>
    </row>
    <row r="7" spans="8:40" ht="23">
      <c r="H7" s="24"/>
      <c r="I7" s="24"/>
      <c r="J7" s="24"/>
      <c r="K7" s="24"/>
      <c r="L7" s="24"/>
      <c r="M7" s="25"/>
      <c r="N7" s="24"/>
      <c r="O7" s="24"/>
      <c r="P7" s="24"/>
      <c r="Q7" s="24"/>
      <c r="R7" s="24"/>
      <c r="S7" s="24"/>
      <c r="T7" s="24"/>
      <c r="U7" s="24"/>
      <c r="V7" s="24"/>
      <c r="W7" s="25"/>
      <c r="X7" s="24"/>
      <c r="Y7" s="24"/>
      <c r="Z7" s="25"/>
      <c r="AA7" s="24">
        <f>SUBTOTAL(109,Table1361042[ترافیک کل])</f>
        <v>85.9</v>
      </c>
      <c r="AB7" s="24"/>
      <c r="AC7" s="25"/>
      <c r="AD7" s="24"/>
      <c r="AE7" s="24"/>
      <c r="AF7" s="25">
        <f>SUBTOTAL(109,Table1361042[[مجموع صفحات  مشاهده شده   ]])</f>
        <v>692.90800000000013</v>
      </c>
      <c r="AG7" s="25">
        <f>SUBTOTAL(109,Table1361042[[مجموع زمان حضور در سایت ]])</f>
        <v>354.64000000000004</v>
      </c>
      <c r="AH7" s="25">
        <f>SUBTOTAL(109,Table1361042[سهم سایت از کل ترافیک طبقه بندی])</f>
        <v>99.999999999999986</v>
      </c>
      <c r="AI7" s="25">
        <f>SUBTOTAL(109,Table1361042[شاخص هرفیندال هیرشمن (ترافیک)])</f>
        <v>2400.725862300289</v>
      </c>
      <c r="AJ7" s="25">
        <f>SUBTOTAL(109,Table1361042[سهم سایت از کل صفحات مشاهده شده در طبقه بندی])</f>
        <v>100</v>
      </c>
      <c r="AK7" s="25">
        <f>SUBTOTAL(109,Table1361042[شاخص هرفیندال -هیرشمن (صفحات مشاهده شده )])</f>
        <v>6186.8790461514536</v>
      </c>
      <c r="AL7" s="25">
        <f>SUBTOTAL(109,Table1361042[سهم سایت از کل زمان حضور در طبقه بندی])</f>
        <v>100</v>
      </c>
      <c r="AM7" s="25">
        <f>SUBTOTAL(109,Table1361042[شاخص هرفیندال هیرشمن (زمان حضور)])</f>
        <v>6267.1700451362749</v>
      </c>
      <c r="AN7" s="25"/>
    </row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{85F262B4-6574-4866-867C-F43C91C6FFA7}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{A49ED28E-5F41-4DD6-9EB8-ED0625EA281F}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{DC28569A-F6BF-4173-91A7-CC86171345A6}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{2AD7B417-1F3D-4A77-880F-F78D33F24F44}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{ED1652A7-EE2C-424C-853D-B191F872815B}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{3589C61F-C9F6-4A74-9E86-CBE676E25615}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F262B4-6574-4866-867C-F43C91C6FFA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A49ED28E-5F41-4DD6-9EB8-ED0625EA281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DC28569A-F6BF-4173-91A7-CC86171345A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2AD7B417-1F3D-4A77-880F-F78D33F24F4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D1652A7-EE2C-424C-853D-B191F872815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3589C61F-C9F6-4A74-9E86-CBE676E2561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5"/>
  <sheetViews>
    <sheetView showGridLines="0" rightToLeft="1" topLeftCell="V1" zoomScale="85" zoomScaleNormal="85" workbookViewId="0">
      <selection activeCell="X1" sqref="X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24.5820312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8" t="s">
        <v>328</v>
      </c>
      <c r="N2" s="8" t="s">
        <v>150</v>
      </c>
      <c r="O2" s="8"/>
      <c r="P2" s="8"/>
      <c r="Q2" s="8"/>
      <c r="R2" s="8"/>
      <c r="S2" s="8"/>
      <c r="T2" s="8"/>
      <c r="U2" s="8"/>
      <c r="V2" s="8"/>
      <c r="W2" s="8" t="s">
        <v>328</v>
      </c>
      <c r="X2" s="8">
        <v>19.329999999999998</v>
      </c>
      <c r="Y2" s="8">
        <v>3.14</v>
      </c>
      <c r="Z2" s="9">
        <v>2.4</v>
      </c>
      <c r="AA2" s="8">
        <v>51.9</v>
      </c>
      <c r="AB2" s="8">
        <v>5300</v>
      </c>
      <c r="AC2" s="21" t="s">
        <v>328</v>
      </c>
      <c r="AD2" s="8" t="s">
        <v>5303</v>
      </c>
      <c r="AE2" s="8"/>
      <c r="AF2" s="9">
        <f>(AA2*Y2)</f>
        <v>162.96600000000001</v>
      </c>
      <c r="AG2" s="9">
        <f>((((RIGHT(Z2,2))/60)+(LEFT(Z2,2)))*AA2)</f>
        <v>104.146</v>
      </c>
      <c r="AH2" s="9">
        <f>(AA2/$AA$5)*100</f>
        <v>74.891774891774901</v>
      </c>
      <c r="AI2" s="9">
        <f>(AH2*AH2)</f>
        <v>5608.7779464402856</v>
      </c>
      <c r="AJ2" s="9">
        <f>(AF2/$AF$5)*100</f>
        <v>62.732311956270692</v>
      </c>
      <c r="AK2" s="9">
        <f>(AJ2*AJ2)</f>
        <v>3935.3429633788628</v>
      </c>
      <c r="AL2" s="9">
        <f>(AG2/$AG$5)*100</f>
        <v>31.50567517202991</v>
      </c>
      <c r="AM2" s="9">
        <f>(AL2*AL2)</f>
        <v>992.6075680454619</v>
      </c>
      <c r="AN2" s="8" t="s">
        <v>328</v>
      </c>
    </row>
    <row r="3" spans="8:40" ht="23">
      <c r="H3" s="8"/>
      <c r="I3" s="8"/>
      <c r="J3" s="8"/>
      <c r="K3" s="8"/>
      <c r="L3" s="8"/>
      <c r="M3" s="8" t="s">
        <v>5227</v>
      </c>
      <c r="N3" s="8" t="s">
        <v>150</v>
      </c>
      <c r="O3" s="8"/>
      <c r="P3" s="8" t="s">
        <v>5228</v>
      </c>
      <c r="Q3" s="8"/>
      <c r="R3" s="8"/>
      <c r="S3" s="8"/>
      <c r="T3" s="8"/>
      <c r="U3" s="8"/>
      <c r="V3" s="8"/>
      <c r="W3" s="8" t="s">
        <v>5227</v>
      </c>
      <c r="X3" s="8">
        <v>42.02</v>
      </c>
      <c r="Y3" s="8">
        <v>5.35</v>
      </c>
      <c r="Z3" s="9">
        <v>11.43</v>
      </c>
      <c r="AA3" s="8">
        <v>9.8000000000000007</v>
      </c>
      <c r="AB3" s="8">
        <v>11560</v>
      </c>
      <c r="AC3" s="21" t="s">
        <v>5227</v>
      </c>
      <c r="AD3" s="8" t="s">
        <v>5303</v>
      </c>
      <c r="AE3" s="8"/>
      <c r="AF3" s="9">
        <f>(AA3*Y3)</f>
        <v>52.43</v>
      </c>
      <c r="AG3" s="9">
        <f>((((RIGHT(Z3,2))/60)+(LEFT(Z3,2)))*AA3)</f>
        <v>114.82333333333334</v>
      </c>
      <c r="AH3" s="9">
        <f>(AA3/$AA$5)*100</f>
        <v>14.141414141414144</v>
      </c>
      <c r="AI3" s="9">
        <f>(AH3*AH3)</f>
        <v>199.97959391898792</v>
      </c>
      <c r="AJ3" s="9">
        <f>(AF3/$AF$5)*100</f>
        <v>20.182462083301253</v>
      </c>
      <c r="AK3" s="9">
        <f>(AJ3*AJ3)</f>
        <v>407.33177574389276</v>
      </c>
      <c r="AL3" s="9">
        <f>(AG3/$AG$5)*100</f>
        <v>34.735723332338395</v>
      </c>
      <c r="AM3" s="9">
        <f>(AL3*AL3)</f>
        <v>1206.5704754207579</v>
      </c>
      <c r="AN3" s="8" t="s">
        <v>5227</v>
      </c>
    </row>
    <row r="4" spans="8:40" ht="23">
      <c r="H4" s="8"/>
      <c r="I4" s="8"/>
      <c r="J4" s="8"/>
      <c r="K4" s="8"/>
      <c r="L4" s="8"/>
      <c r="M4" s="8" t="s">
        <v>5229</v>
      </c>
      <c r="N4" s="8" t="s">
        <v>150</v>
      </c>
      <c r="O4" s="8"/>
      <c r="P4" s="8" t="s">
        <v>3702</v>
      </c>
      <c r="Q4" s="8"/>
      <c r="R4" s="8"/>
      <c r="S4" s="8"/>
      <c r="T4" s="8"/>
      <c r="U4" s="8"/>
      <c r="V4" s="8"/>
      <c r="W4" s="8" t="s">
        <v>5229</v>
      </c>
      <c r="X4" s="8">
        <v>15.55</v>
      </c>
      <c r="Y4" s="8">
        <v>5.84</v>
      </c>
      <c r="Z4" s="9">
        <v>14.41</v>
      </c>
      <c r="AA4" s="8">
        <v>7.6</v>
      </c>
      <c r="AB4" s="8">
        <v>10595</v>
      </c>
      <c r="AC4" s="21" t="s">
        <v>5229</v>
      </c>
      <c r="AD4" s="8" t="s">
        <v>5303</v>
      </c>
      <c r="AE4" s="8"/>
      <c r="AF4" s="9">
        <f>(AA4*Y4)</f>
        <v>44.384</v>
      </c>
      <c r="AG4" s="9">
        <f>((((RIGHT(Z4,2))/60)+(LEFT(Z4,2)))*AA4)</f>
        <v>111.59333333333333</v>
      </c>
      <c r="AH4" s="9">
        <f>(AA4/$AA$5)*100</f>
        <v>10.966810966810966</v>
      </c>
      <c r="AI4" s="9">
        <f>(AH4*AH4)</f>
        <v>120.27094278176527</v>
      </c>
      <c r="AJ4" s="9">
        <f>(AF4/$AF$5)*100</f>
        <v>17.085225960428051</v>
      </c>
      <c r="AK4" s="9">
        <f>(AJ4*AJ4)</f>
        <v>291.90494611888465</v>
      </c>
      <c r="AL4" s="9">
        <f>(AG4/$AG$5)*100</f>
        <v>33.758601495631687</v>
      </c>
      <c r="AM4" s="9">
        <f>(AL4*AL4)</f>
        <v>1139.6431749408659</v>
      </c>
      <c r="AN4" s="8" t="s">
        <v>5229</v>
      </c>
    </row>
    <row r="5" spans="8:40" ht="23">
      <c r="H5" s="24"/>
      <c r="I5" s="24"/>
      <c r="J5" s="24"/>
      <c r="K5" s="24"/>
      <c r="L5" s="24"/>
      <c r="M5" s="25"/>
      <c r="N5" s="24"/>
      <c r="O5" s="24"/>
      <c r="P5" s="24"/>
      <c r="Q5" s="24"/>
      <c r="R5" s="24"/>
      <c r="S5" s="24"/>
      <c r="T5" s="24"/>
      <c r="U5" s="24"/>
      <c r="V5" s="24"/>
      <c r="W5" s="25"/>
      <c r="X5" s="24"/>
      <c r="Y5" s="24"/>
      <c r="Z5" s="25"/>
      <c r="AA5" s="24">
        <f>SUBTOTAL(109,Table1361042111[ترافیک کل])</f>
        <v>69.3</v>
      </c>
      <c r="AB5" s="24"/>
      <c r="AC5" s="25"/>
      <c r="AD5" s="24"/>
      <c r="AE5" s="24"/>
      <c r="AF5" s="25">
        <f>SUBTOTAL(109,Table1361042111[[مجموع صفحات  مشاهده شده   ]])</f>
        <v>259.78000000000003</v>
      </c>
      <c r="AG5" s="25">
        <f>SUBTOTAL(109,Table1361042111[[مجموع زمان حضور در سایت ]])</f>
        <v>330.5626666666667</v>
      </c>
      <c r="AH5" s="25">
        <f>SUBTOTAL(109,Table1361042111[سهم سایت از کل ترافیک طبقه بندی])</f>
        <v>100.00000000000001</v>
      </c>
      <c r="AI5" s="25">
        <f>SUBTOTAL(109,Table1361042111[شاخص هرفیندال هیرشمن (ترافیک)])</f>
        <v>5929.028483141039</v>
      </c>
      <c r="AJ5" s="25">
        <f>SUBTOTAL(109,Table1361042111[سهم سایت از کل صفحات مشاهده شده در طبقه بندی])</f>
        <v>99.999999999999986</v>
      </c>
      <c r="AK5" s="25">
        <f>SUBTOTAL(109,Table1361042111[شاخص هرفیندال -هیرشمن (صفحات مشاهده شده )])</f>
        <v>4634.5796852416397</v>
      </c>
      <c r="AL5" s="25">
        <f>SUBTOTAL(109,Table1361042111[سهم سایت از کل زمان حضور در طبقه بندی])</f>
        <v>100</v>
      </c>
      <c r="AM5" s="25">
        <f>SUBTOTAL(109,Table1361042111[شاخص هرفیندال هیرشمن (زمان حضور)])</f>
        <v>3338.8212184070853</v>
      </c>
      <c r="AN5" s="25"/>
    </row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{236B4E45-09F6-4DFE-A535-F48B4255B1E4}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{FD528437-F4C5-442F-8000-F6ED3EC3B5DF}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{65DBA52A-5A4C-4394-93B8-22B5F9EDEF52}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{F63CFBE2-5B05-40F1-B1C6-6A372D8E9AF6}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{710D657C-9755-49D0-94E4-642973C01E15}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{C3BE23EE-2572-4371-8092-D5A9D36FD13A}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6B4E45-09F6-4DFE-A535-F48B4255B1E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D528437-F4C5-442F-8000-F6ED3EC3B5D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65DBA52A-5A4C-4394-93B8-22B5F9EDEF5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63CFBE2-5B05-40F1-B1C6-6A372D8E9A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10D657C-9755-49D0-94E4-642973C01E1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C3BE23EE-2572-4371-8092-D5A9D36FD13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179"/>
  <sheetViews>
    <sheetView showGridLines="0" rightToLeft="1" topLeftCell="P1" zoomScale="70" zoomScaleNormal="70" workbookViewId="0">
      <selection activeCell="AB1" sqref="AB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4.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H2" s="8"/>
      <c r="I2" s="8"/>
      <c r="J2" s="8"/>
      <c r="K2" s="8"/>
      <c r="L2" s="8"/>
      <c r="M2" s="8" t="s">
        <v>3773</v>
      </c>
      <c r="N2" s="8"/>
      <c r="O2" s="8"/>
      <c r="P2" s="8"/>
      <c r="Q2" s="8"/>
      <c r="R2" s="8"/>
      <c r="S2" s="8"/>
      <c r="T2" s="8"/>
      <c r="U2" s="8"/>
      <c r="V2" s="8"/>
      <c r="W2" s="8" t="s">
        <v>3773</v>
      </c>
      <c r="X2" s="8">
        <v>21.01</v>
      </c>
      <c r="Y2" s="8">
        <v>7.41</v>
      </c>
      <c r="Z2" s="9">
        <v>6.07</v>
      </c>
      <c r="AA2" s="8">
        <v>4089</v>
      </c>
      <c r="AB2" s="8">
        <v>25</v>
      </c>
      <c r="AC2" s="8" t="s">
        <v>3773</v>
      </c>
      <c r="AD2" s="8" t="s">
        <v>3699</v>
      </c>
      <c r="AE2" s="8"/>
      <c r="AF2" s="9">
        <f t="shared" ref="AF2:AF33" si="0">(AA2*Y2)</f>
        <v>30299.49</v>
      </c>
      <c r="AG2" s="9">
        <f t="shared" ref="AG2:AG33" si="1">((((RIGHT(Z2,2))/60)+(LEFT(Z2,2)))*AA2)</f>
        <v>25011.05</v>
      </c>
      <c r="AH2" s="1"/>
      <c r="AI2" s="1"/>
      <c r="AJ2" s="1"/>
      <c r="AK2" s="1"/>
      <c r="AL2" s="1"/>
      <c r="AM2" s="1"/>
      <c r="AN2" s="7"/>
    </row>
    <row r="3" spans="8:40" ht="23">
      <c r="H3" s="8"/>
      <c r="I3" s="8"/>
      <c r="J3" s="8"/>
      <c r="K3" s="8"/>
      <c r="L3" s="8"/>
      <c r="M3" s="8" t="s">
        <v>3922</v>
      </c>
      <c r="N3" s="8"/>
      <c r="O3" s="8"/>
      <c r="P3" s="8"/>
      <c r="Q3" s="8"/>
      <c r="R3" s="8"/>
      <c r="S3" s="8"/>
      <c r="T3" s="8"/>
      <c r="U3" s="8"/>
      <c r="V3" s="8"/>
      <c r="W3" s="8" t="s">
        <v>3922</v>
      </c>
      <c r="X3" s="8">
        <v>19.54</v>
      </c>
      <c r="Y3" s="8">
        <v>6.92</v>
      </c>
      <c r="Z3" s="9">
        <v>7.38</v>
      </c>
      <c r="AA3" s="8">
        <v>2326.8000000000002</v>
      </c>
      <c r="AB3" s="8">
        <v>68</v>
      </c>
      <c r="AC3" s="8" t="s">
        <v>3922</v>
      </c>
      <c r="AD3" s="8" t="s">
        <v>3699</v>
      </c>
      <c r="AE3" s="8"/>
      <c r="AF3" s="9">
        <f t="shared" si="0"/>
        <v>16101.456000000002</v>
      </c>
      <c r="AG3" s="9">
        <f t="shared" si="1"/>
        <v>17761.240000000002</v>
      </c>
      <c r="AH3" s="1"/>
      <c r="AI3" s="1"/>
      <c r="AJ3" s="1"/>
      <c r="AK3" s="1"/>
      <c r="AL3" s="1"/>
      <c r="AM3" s="1"/>
      <c r="AN3" s="1"/>
    </row>
    <row r="4" spans="8:40" ht="23">
      <c r="H4" s="8"/>
      <c r="I4" s="8"/>
      <c r="J4" s="8"/>
      <c r="K4" s="8"/>
      <c r="L4" s="8"/>
      <c r="M4" s="8" t="s">
        <v>3796</v>
      </c>
      <c r="N4" s="8"/>
      <c r="O4" s="8"/>
      <c r="P4" s="8" t="s">
        <v>3693</v>
      </c>
      <c r="Q4" s="8"/>
      <c r="R4" s="8"/>
      <c r="S4" s="8"/>
      <c r="T4" s="8"/>
      <c r="U4" s="8"/>
      <c r="V4" s="8"/>
      <c r="W4" s="8" t="s">
        <v>3796</v>
      </c>
      <c r="X4" s="8">
        <v>46.45</v>
      </c>
      <c r="Y4" s="8">
        <v>4.16</v>
      </c>
      <c r="Z4" s="9">
        <v>3.54</v>
      </c>
      <c r="AA4" s="8">
        <v>2314.9</v>
      </c>
      <c r="AB4" s="8">
        <v>127</v>
      </c>
      <c r="AC4" s="8" t="s">
        <v>3796</v>
      </c>
      <c r="AD4" s="8" t="s">
        <v>4211</v>
      </c>
      <c r="AE4" s="8"/>
      <c r="AF4" s="9">
        <f t="shared" si="0"/>
        <v>9629.9840000000004</v>
      </c>
      <c r="AG4" s="9">
        <f t="shared" si="1"/>
        <v>9028.11</v>
      </c>
      <c r="AH4" s="1"/>
      <c r="AI4" s="1"/>
      <c r="AJ4" s="1"/>
      <c r="AK4" s="1"/>
      <c r="AL4" s="1"/>
      <c r="AM4" s="1"/>
    </row>
    <row r="5" spans="8:40" ht="23">
      <c r="H5" s="8"/>
      <c r="I5" s="8"/>
      <c r="J5" s="8"/>
      <c r="K5" s="8"/>
      <c r="L5" s="8"/>
      <c r="M5" s="8" t="s">
        <v>3843</v>
      </c>
      <c r="N5" s="8"/>
      <c r="O5" s="8"/>
      <c r="P5" s="8"/>
      <c r="Q5" s="8"/>
      <c r="R5" s="8"/>
      <c r="S5" s="8"/>
      <c r="T5" s="8"/>
      <c r="U5" s="8"/>
      <c r="V5" s="8"/>
      <c r="W5" s="8" t="s">
        <v>3843</v>
      </c>
      <c r="X5" s="8">
        <v>36</v>
      </c>
      <c r="Y5" s="8">
        <v>2.62</v>
      </c>
      <c r="Z5" s="9">
        <v>1.03</v>
      </c>
      <c r="AA5" s="8">
        <v>2076.6999999999998</v>
      </c>
      <c r="AB5" s="8">
        <v>559</v>
      </c>
      <c r="AC5" s="8" t="s">
        <v>3843</v>
      </c>
      <c r="AD5" s="8" t="s">
        <v>3699</v>
      </c>
      <c r="AE5" s="8"/>
      <c r="AF5" s="9">
        <f t="shared" si="0"/>
        <v>5440.9539999999997</v>
      </c>
      <c r="AG5" s="9">
        <f t="shared" si="1"/>
        <v>2180.5349999999999</v>
      </c>
      <c r="AH5" s="1"/>
      <c r="AI5" s="1"/>
      <c r="AJ5" s="1"/>
      <c r="AK5" s="1"/>
      <c r="AL5" s="1"/>
      <c r="AM5" s="1"/>
    </row>
    <row r="6" spans="8:40" ht="23">
      <c r="H6" s="8"/>
      <c r="I6" s="8"/>
      <c r="J6" s="8"/>
      <c r="K6" s="8"/>
      <c r="L6" s="8"/>
      <c r="M6" s="8" t="s">
        <v>3844</v>
      </c>
      <c r="N6" s="8"/>
      <c r="O6" s="8"/>
      <c r="P6" s="8" t="s">
        <v>3704</v>
      </c>
      <c r="Q6" s="8"/>
      <c r="R6" s="8"/>
      <c r="S6" s="8"/>
      <c r="T6" s="8"/>
      <c r="U6" s="8"/>
      <c r="V6" s="8"/>
      <c r="W6" s="8" t="s">
        <v>3844</v>
      </c>
      <c r="X6" s="8">
        <v>26.25</v>
      </c>
      <c r="Y6" s="8">
        <v>4.92</v>
      </c>
      <c r="Z6" s="9">
        <v>4.12</v>
      </c>
      <c r="AA6" s="8">
        <v>1893.4</v>
      </c>
      <c r="AB6" s="8">
        <v>196</v>
      </c>
      <c r="AC6" s="8" t="s">
        <v>3844</v>
      </c>
      <c r="AD6" s="8" t="s">
        <v>3699</v>
      </c>
      <c r="AE6" s="8"/>
      <c r="AF6" s="9">
        <f t="shared" si="0"/>
        <v>9315.5280000000002</v>
      </c>
      <c r="AG6" s="9">
        <f t="shared" si="1"/>
        <v>7952.2800000000007</v>
      </c>
      <c r="AH6" s="1"/>
      <c r="AI6" s="1"/>
      <c r="AJ6" s="1"/>
      <c r="AK6" s="1"/>
      <c r="AL6" s="1"/>
      <c r="AM6" s="1"/>
      <c r="AN6" s="1"/>
    </row>
    <row r="7" spans="8:40" ht="23">
      <c r="H7" s="8"/>
      <c r="I7" s="8"/>
      <c r="J7" s="8"/>
      <c r="K7" s="8"/>
      <c r="L7" s="8"/>
      <c r="M7" s="8" t="s">
        <v>3932</v>
      </c>
      <c r="N7" s="8"/>
      <c r="O7" s="8"/>
      <c r="P7" s="8"/>
      <c r="Q7" s="8"/>
      <c r="R7" s="8"/>
      <c r="S7" s="8"/>
      <c r="T7" s="8"/>
      <c r="U7" s="8"/>
      <c r="V7" s="8"/>
      <c r="W7" s="8" t="s">
        <v>3932</v>
      </c>
      <c r="X7" s="8">
        <v>53.17</v>
      </c>
      <c r="Y7" s="8">
        <v>2.31</v>
      </c>
      <c r="Z7" s="9">
        <v>2.1</v>
      </c>
      <c r="AA7" s="8">
        <v>1147.8</v>
      </c>
      <c r="AB7" s="8">
        <v>585</v>
      </c>
      <c r="AC7" s="8" t="s">
        <v>3932</v>
      </c>
      <c r="AD7" s="8" t="s">
        <v>4306</v>
      </c>
      <c r="AE7" s="8"/>
      <c r="AF7" s="9">
        <f t="shared" si="0"/>
        <v>2651.4180000000001</v>
      </c>
      <c r="AG7" s="9">
        <f t="shared" si="1"/>
        <v>2297.5129999999999</v>
      </c>
      <c r="AH7" s="1"/>
      <c r="AI7" s="1"/>
      <c r="AJ7" s="1"/>
      <c r="AK7" s="1"/>
      <c r="AL7" s="1"/>
      <c r="AM7" s="1"/>
      <c r="AN7" s="1"/>
    </row>
    <row r="8" spans="8:40" ht="23">
      <c r="H8" s="8"/>
      <c r="I8" s="8"/>
      <c r="J8" s="8"/>
      <c r="K8" s="8"/>
      <c r="L8" s="8"/>
      <c r="M8" s="8" t="s">
        <v>3763</v>
      </c>
      <c r="N8" s="8"/>
      <c r="O8" s="8"/>
      <c r="P8" s="8" t="s">
        <v>3692</v>
      </c>
      <c r="Q8" s="8"/>
      <c r="R8" s="8"/>
      <c r="S8" s="8"/>
      <c r="T8" s="8"/>
      <c r="U8" s="8"/>
      <c r="V8" s="8"/>
      <c r="W8" s="8" t="s">
        <v>3763</v>
      </c>
      <c r="X8" s="8">
        <v>61.84</v>
      </c>
      <c r="Y8" s="8">
        <v>2.42</v>
      </c>
      <c r="Z8" s="9">
        <v>1.47</v>
      </c>
      <c r="AA8" s="8">
        <v>1117.4000000000001</v>
      </c>
      <c r="AB8" s="8">
        <v>294</v>
      </c>
      <c r="AC8" s="8" t="s">
        <v>3763</v>
      </c>
      <c r="AD8" s="8" t="s">
        <v>3699</v>
      </c>
      <c r="AE8" s="8"/>
      <c r="AF8" s="9">
        <f t="shared" si="0"/>
        <v>2704.1080000000002</v>
      </c>
      <c r="AG8" s="9">
        <f t="shared" si="1"/>
        <v>1992.6966666666667</v>
      </c>
      <c r="AH8" s="1"/>
      <c r="AI8" s="1"/>
      <c r="AJ8" s="1"/>
      <c r="AK8" s="1"/>
      <c r="AL8" s="1"/>
      <c r="AM8" s="1"/>
      <c r="AN8" s="1"/>
    </row>
    <row r="9" spans="8:40" ht="23">
      <c r="H9" s="8"/>
      <c r="I9" s="8"/>
      <c r="J9" s="8"/>
      <c r="K9" s="8"/>
      <c r="L9" s="8"/>
      <c r="M9" s="8" t="s">
        <v>3954</v>
      </c>
      <c r="N9" s="8"/>
      <c r="O9" s="8"/>
      <c r="P9" s="8"/>
      <c r="Q9" s="8"/>
      <c r="R9" s="8"/>
      <c r="S9" s="8"/>
      <c r="T9" s="8"/>
      <c r="U9" s="8"/>
      <c r="V9" s="8"/>
      <c r="W9" s="8" t="s">
        <v>3954</v>
      </c>
      <c r="X9" s="8">
        <v>46.53</v>
      </c>
      <c r="Y9" s="8">
        <v>3.23</v>
      </c>
      <c r="Z9" s="9">
        <v>3.37</v>
      </c>
      <c r="AA9" s="8">
        <v>1079.3</v>
      </c>
      <c r="AB9" s="8">
        <v>511</v>
      </c>
      <c r="AC9" s="8" t="s">
        <v>3954</v>
      </c>
      <c r="AD9" s="8" t="s">
        <v>3699</v>
      </c>
      <c r="AE9" s="8"/>
      <c r="AF9" s="9">
        <f t="shared" si="0"/>
        <v>3486.1389999999997</v>
      </c>
      <c r="AG9" s="9">
        <f t="shared" si="1"/>
        <v>3903.4683333333332</v>
      </c>
      <c r="AH9" s="1"/>
      <c r="AI9" s="1"/>
      <c r="AJ9" s="1"/>
      <c r="AK9" s="1"/>
      <c r="AL9" s="1"/>
      <c r="AM9" s="1"/>
      <c r="AN9" s="1"/>
    </row>
    <row r="10" spans="8:40" ht="23">
      <c r="H10" s="8"/>
      <c r="I10" s="8"/>
      <c r="J10" s="8"/>
      <c r="K10" s="8"/>
      <c r="L10" s="8"/>
      <c r="M10" s="8" t="s">
        <v>3899</v>
      </c>
      <c r="N10" s="8"/>
      <c r="O10" s="8"/>
      <c r="P10" s="8" t="s">
        <v>3704</v>
      </c>
      <c r="Q10" s="8"/>
      <c r="R10" s="8"/>
      <c r="S10" s="8"/>
      <c r="T10" s="8"/>
      <c r="U10" s="8"/>
      <c r="V10" s="8"/>
      <c r="W10" s="8" t="s">
        <v>3899</v>
      </c>
      <c r="X10" s="8">
        <v>36.130000000000003</v>
      </c>
      <c r="Y10" s="8">
        <v>7.35</v>
      </c>
      <c r="Z10" s="9">
        <v>6.55</v>
      </c>
      <c r="AA10" s="8">
        <v>1072.2</v>
      </c>
      <c r="AB10" s="8">
        <v>241</v>
      </c>
      <c r="AC10" s="8" t="s">
        <v>3899</v>
      </c>
      <c r="AD10" s="8" t="s">
        <v>3699</v>
      </c>
      <c r="AE10" s="8"/>
      <c r="AF10" s="9">
        <f t="shared" si="0"/>
        <v>7880.67</v>
      </c>
      <c r="AG10" s="9">
        <f t="shared" si="1"/>
        <v>7416.05</v>
      </c>
      <c r="AH10" s="1"/>
      <c r="AI10" s="1"/>
      <c r="AJ10" s="1"/>
      <c r="AK10" s="1"/>
      <c r="AL10" s="1"/>
      <c r="AM10" s="1"/>
      <c r="AN10" s="1"/>
    </row>
    <row r="11" spans="8:40" ht="23">
      <c r="H11" s="8"/>
      <c r="I11" s="8"/>
      <c r="J11" s="8"/>
      <c r="K11" s="8"/>
      <c r="L11" s="8"/>
      <c r="M11" s="9" t="s">
        <v>4779</v>
      </c>
      <c r="N11" s="8" t="s">
        <v>1717</v>
      </c>
      <c r="O11" s="8"/>
      <c r="P11" s="8"/>
      <c r="Q11" s="8"/>
      <c r="R11" s="8"/>
      <c r="S11" s="8"/>
      <c r="T11" s="8"/>
      <c r="U11" s="8"/>
      <c r="V11" s="8"/>
      <c r="W11" s="9" t="s">
        <v>4779</v>
      </c>
      <c r="X11" s="8">
        <v>54.68</v>
      </c>
      <c r="Y11" s="8">
        <v>2.0299999999999998</v>
      </c>
      <c r="Z11" s="9">
        <v>1.22</v>
      </c>
      <c r="AA11" s="8">
        <v>954.9</v>
      </c>
      <c r="AB11" s="8">
        <v>1103</v>
      </c>
      <c r="AC11" s="9" t="s">
        <v>4779</v>
      </c>
      <c r="AD11" s="8" t="s">
        <v>4780</v>
      </c>
      <c r="AE11" s="8"/>
      <c r="AF11" s="9">
        <f t="shared" si="0"/>
        <v>1938.4469999999997</v>
      </c>
      <c r="AG11" s="9">
        <f t="shared" si="1"/>
        <v>1305.03</v>
      </c>
      <c r="AH11" s="1"/>
      <c r="AI11" s="1"/>
      <c r="AJ11" s="1"/>
      <c r="AK11" s="1"/>
      <c r="AL11" s="1"/>
      <c r="AM11" s="1"/>
      <c r="AN11" s="1"/>
    </row>
    <row r="12" spans="8:40" ht="23">
      <c r="H12" s="8"/>
      <c r="I12" s="8"/>
      <c r="J12" s="8"/>
      <c r="K12" s="8"/>
      <c r="L12" s="8"/>
      <c r="M12" s="8" t="s">
        <v>3927</v>
      </c>
      <c r="N12" s="8" t="s">
        <v>150</v>
      </c>
      <c r="O12" s="8"/>
      <c r="P12" s="8" t="s">
        <v>4742</v>
      </c>
      <c r="Q12" s="8"/>
      <c r="R12" s="8"/>
      <c r="S12" s="8"/>
      <c r="T12" s="8"/>
      <c r="U12" s="8"/>
      <c r="V12" s="8"/>
      <c r="W12" s="8" t="s">
        <v>3927</v>
      </c>
      <c r="X12" s="8">
        <v>18.260000000000002</v>
      </c>
      <c r="Y12" s="8">
        <v>6.38</v>
      </c>
      <c r="Z12" s="9">
        <v>4.3099999999999996</v>
      </c>
      <c r="AA12" s="8">
        <v>936.1</v>
      </c>
      <c r="AB12" s="8">
        <v>365</v>
      </c>
      <c r="AC12" s="8" t="s">
        <v>3927</v>
      </c>
      <c r="AD12" s="8" t="s">
        <v>4305</v>
      </c>
      <c r="AE12" s="8"/>
      <c r="AF12" s="9">
        <f t="shared" si="0"/>
        <v>5972.3180000000002</v>
      </c>
      <c r="AG12" s="9">
        <f t="shared" si="1"/>
        <v>4228.0516666666663</v>
      </c>
      <c r="AH12" s="1"/>
      <c r="AI12" s="1"/>
      <c r="AJ12" s="1"/>
      <c r="AK12" s="1"/>
      <c r="AL12" s="1"/>
      <c r="AM12" s="1"/>
      <c r="AN12" s="1"/>
    </row>
    <row r="13" spans="8:40" ht="23">
      <c r="H13" s="8"/>
      <c r="I13" s="8"/>
      <c r="J13" s="8"/>
      <c r="K13" s="8"/>
      <c r="L13" s="8"/>
      <c r="M13" s="8" t="s">
        <v>3846</v>
      </c>
      <c r="N13" s="8"/>
      <c r="O13" s="8"/>
      <c r="P13" s="8" t="s">
        <v>3704</v>
      </c>
      <c r="Q13" s="8"/>
      <c r="R13" s="8"/>
      <c r="S13" s="8"/>
      <c r="T13" s="8"/>
      <c r="U13" s="8"/>
      <c r="V13" s="8"/>
      <c r="W13" s="8" t="s">
        <v>3846</v>
      </c>
      <c r="X13" s="8">
        <v>24</v>
      </c>
      <c r="Y13" s="8">
        <v>6.33</v>
      </c>
      <c r="Z13" s="9">
        <v>7.01</v>
      </c>
      <c r="AA13" s="8">
        <v>917</v>
      </c>
      <c r="AB13" s="8">
        <v>195</v>
      </c>
      <c r="AC13" s="8" t="s">
        <v>3846</v>
      </c>
      <c r="AD13" s="8" t="s">
        <v>4298</v>
      </c>
      <c r="AE13" s="8"/>
      <c r="AF13" s="9">
        <f t="shared" si="0"/>
        <v>5804.61</v>
      </c>
      <c r="AG13" s="9">
        <f t="shared" si="1"/>
        <v>6434.2833333333328</v>
      </c>
      <c r="AH13" s="1"/>
      <c r="AI13" s="1"/>
      <c r="AJ13" s="1"/>
      <c r="AK13" s="1"/>
      <c r="AL13" s="1"/>
      <c r="AM13" s="1"/>
    </row>
    <row r="14" spans="8:40" ht="23">
      <c r="H14" s="8"/>
      <c r="I14" s="8"/>
      <c r="J14" s="8"/>
      <c r="K14" s="8"/>
      <c r="L14" s="8"/>
      <c r="M14" s="8" t="s">
        <v>3907</v>
      </c>
      <c r="N14" s="8"/>
      <c r="O14" s="8"/>
      <c r="P14" s="8"/>
      <c r="Q14" s="8"/>
      <c r="R14" s="8"/>
      <c r="S14" s="8"/>
      <c r="T14" s="8"/>
      <c r="U14" s="8"/>
      <c r="V14" s="8"/>
      <c r="W14" s="8" t="s">
        <v>3907</v>
      </c>
      <c r="X14" s="8">
        <v>44.65</v>
      </c>
      <c r="Y14" s="8">
        <v>2.04</v>
      </c>
      <c r="Z14" s="9">
        <v>2.19</v>
      </c>
      <c r="AA14" s="8">
        <v>670</v>
      </c>
      <c r="AB14" s="8">
        <v>668</v>
      </c>
      <c r="AC14" s="8" t="s">
        <v>3907</v>
      </c>
      <c r="AD14" s="8" t="s">
        <v>3699</v>
      </c>
      <c r="AE14" s="8"/>
      <c r="AF14" s="9">
        <f t="shared" si="0"/>
        <v>1366.8</v>
      </c>
      <c r="AG14" s="9">
        <f t="shared" si="1"/>
        <v>1552.1666666666665</v>
      </c>
      <c r="AH14" s="1"/>
      <c r="AI14" s="1"/>
      <c r="AJ14" s="1"/>
      <c r="AK14" s="1"/>
      <c r="AL14" s="1"/>
      <c r="AM14" s="1"/>
      <c r="AN14" s="1"/>
    </row>
    <row r="15" spans="8:40" ht="23">
      <c r="H15" s="8"/>
      <c r="I15" s="8"/>
      <c r="J15" s="8"/>
      <c r="K15" s="8"/>
      <c r="L15" s="8"/>
      <c r="M15" s="8" t="s">
        <v>640</v>
      </c>
      <c r="N15" s="8" t="s">
        <v>150</v>
      </c>
      <c r="O15" s="8"/>
      <c r="P15" s="8" t="s">
        <v>4775</v>
      </c>
      <c r="Q15" s="8"/>
      <c r="R15" s="8"/>
      <c r="S15" s="8"/>
      <c r="T15" s="8"/>
      <c r="U15" s="8"/>
      <c r="V15" s="8"/>
      <c r="W15" s="8" t="s">
        <v>640</v>
      </c>
      <c r="X15" s="8">
        <v>25.42</v>
      </c>
      <c r="Y15" s="8">
        <v>4.55</v>
      </c>
      <c r="Z15" s="9">
        <v>2.41</v>
      </c>
      <c r="AA15" s="8">
        <v>606.29999999999995</v>
      </c>
      <c r="AB15" s="8">
        <v>611</v>
      </c>
      <c r="AC15" s="8" t="s">
        <v>640</v>
      </c>
      <c r="AD15" s="8" t="s">
        <v>3699</v>
      </c>
      <c r="AE15" s="8"/>
      <c r="AF15" s="9">
        <f t="shared" si="0"/>
        <v>2758.6649999999995</v>
      </c>
      <c r="AG15" s="9">
        <f t="shared" si="1"/>
        <v>1626.905</v>
      </c>
      <c r="AH15" s="1"/>
      <c r="AI15" s="1"/>
      <c r="AJ15" s="1"/>
      <c r="AK15" s="1"/>
      <c r="AL15" s="1"/>
      <c r="AM15" s="1"/>
      <c r="AN15" s="1"/>
    </row>
    <row r="16" spans="8:40" ht="23">
      <c r="H16" s="8"/>
      <c r="I16" s="8"/>
      <c r="J16" s="8"/>
      <c r="K16" s="8"/>
      <c r="L16" s="8"/>
      <c r="M16" s="8" t="s">
        <v>3867</v>
      </c>
      <c r="N16" s="8"/>
      <c r="O16" s="8"/>
      <c r="P16" s="8" t="s">
        <v>3704</v>
      </c>
      <c r="Q16" s="8"/>
      <c r="R16" s="8"/>
      <c r="S16" s="8"/>
      <c r="T16" s="8"/>
      <c r="U16" s="8"/>
      <c r="V16" s="8"/>
      <c r="W16" s="8" t="s">
        <v>3867</v>
      </c>
      <c r="X16" s="8">
        <v>13.06</v>
      </c>
      <c r="Y16" s="8">
        <v>12.97</v>
      </c>
      <c r="Z16" s="9">
        <v>10.08</v>
      </c>
      <c r="AA16" s="8">
        <v>447.9</v>
      </c>
      <c r="AB16" s="8">
        <v>204</v>
      </c>
      <c r="AC16" s="8" t="s">
        <v>3867</v>
      </c>
      <c r="AD16" s="8" t="s">
        <v>3699</v>
      </c>
      <c r="AE16" s="8"/>
      <c r="AF16" s="9">
        <f t="shared" si="0"/>
        <v>5809.2629999999999</v>
      </c>
      <c r="AG16" s="9">
        <f t="shared" si="1"/>
        <v>4538.7199999999993</v>
      </c>
      <c r="AH16" s="1"/>
      <c r="AI16" s="1"/>
      <c r="AJ16" s="1"/>
      <c r="AK16" s="1"/>
      <c r="AL16" s="1"/>
      <c r="AM16" s="1"/>
      <c r="AN16" s="1"/>
    </row>
    <row r="17" spans="8:40" ht="23">
      <c r="H17" s="8"/>
      <c r="I17" s="8"/>
      <c r="J17" s="8"/>
      <c r="K17" s="8"/>
      <c r="L17" s="8"/>
      <c r="M17" s="8" t="s">
        <v>3895</v>
      </c>
      <c r="N17" s="8"/>
      <c r="O17" s="8"/>
      <c r="P17" s="8"/>
      <c r="Q17" s="8"/>
      <c r="R17" s="8"/>
      <c r="S17" s="8"/>
      <c r="T17" s="8"/>
      <c r="U17" s="8"/>
      <c r="V17" s="8"/>
      <c r="W17" s="8" t="s">
        <v>3895</v>
      </c>
      <c r="X17" s="8">
        <v>59.16</v>
      </c>
      <c r="Y17" s="8">
        <v>2.11</v>
      </c>
      <c r="Z17" s="9">
        <v>1.42</v>
      </c>
      <c r="AA17" s="8">
        <v>385.6</v>
      </c>
      <c r="AB17" s="8">
        <v>801</v>
      </c>
      <c r="AC17" s="8" t="s">
        <v>3895</v>
      </c>
      <c r="AD17" s="8" t="s">
        <v>3699</v>
      </c>
      <c r="AE17" s="8"/>
      <c r="AF17" s="9">
        <f t="shared" si="0"/>
        <v>813.61599999999999</v>
      </c>
      <c r="AG17" s="9">
        <f t="shared" si="1"/>
        <v>655.52</v>
      </c>
      <c r="AH17" s="1"/>
      <c r="AI17" s="1"/>
      <c r="AJ17" s="1"/>
      <c r="AK17" s="1"/>
      <c r="AL17" s="1"/>
      <c r="AM17" s="1"/>
      <c r="AN17" s="1"/>
    </row>
    <row r="18" spans="8:40" ht="23">
      <c r="H18" s="8"/>
      <c r="I18" s="8"/>
      <c r="J18" s="8"/>
      <c r="K18" s="8"/>
      <c r="L18" s="8"/>
      <c r="M18" s="9" t="s">
        <v>4776</v>
      </c>
      <c r="N18" s="8" t="s">
        <v>150</v>
      </c>
      <c r="O18" s="8"/>
      <c r="P18" s="8" t="s">
        <v>3698</v>
      </c>
      <c r="Q18" s="8"/>
      <c r="R18" s="8"/>
      <c r="S18" s="8"/>
      <c r="T18" s="8"/>
      <c r="U18" s="8"/>
      <c r="V18" s="8"/>
      <c r="W18" s="9" t="s">
        <v>4776</v>
      </c>
      <c r="X18" s="8">
        <v>31.45</v>
      </c>
      <c r="Y18" s="8">
        <v>9.65</v>
      </c>
      <c r="Z18" s="9">
        <v>4.0999999999999996</v>
      </c>
      <c r="AA18" s="8">
        <v>383.3</v>
      </c>
      <c r="AB18" s="8">
        <v>1298</v>
      </c>
      <c r="AC18" s="9" t="s">
        <v>4776</v>
      </c>
      <c r="AD18" s="8" t="s">
        <v>3699</v>
      </c>
      <c r="AE18" s="8"/>
      <c r="AF18" s="9">
        <f t="shared" si="0"/>
        <v>3698.8450000000003</v>
      </c>
      <c r="AG18" s="9">
        <f t="shared" si="1"/>
        <v>1533.8388333333335</v>
      </c>
      <c r="AH18" s="1"/>
      <c r="AI18" s="1"/>
      <c r="AJ18" s="1"/>
      <c r="AK18" s="1"/>
      <c r="AL18" s="1"/>
      <c r="AM18" s="1"/>
      <c r="AN18" s="1"/>
    </row>
    <row r="19" spans="8:40" ht="23">
      <c r="H19" s="8"/>
      <c r="I19" s="8"/>
      <c r="J19" s="8"/>
      <c r="K19" s="8"/>
      <c r="L19" s="8"/>
      <c r="M19" s="8" t="s">
        <v>1924</v>
      </c>
      <c r="N19" s="8" t="s">
        <v>1902</v>
      </c>
      <c r="O19" s="8"/>
      <c r="P19" s="8"/>
      <c r="Q19" s="8"/>
      <c r="R19" s="8"/>
      <c r="S19" s="8"/>
      <c r="T19" s="8"/>
      <c r="U19" s="8"/>
      <c r="V19" s="8"/>
      <c r="W19" s="8" t="s">
        <v>1924</v>
      </c>
      <c r="X19" s="8">
        <v>47.91</v>
      </c>
      <c r="Y19" s="8">
        <v>1.66</v>
      </c>
      <c r="Z19" s="9">
        <v>0.35</v>
      </c>
      <c r="AA19" s="8">
        <v>365.2</v>
      </c>
      <c r="AB19" s="8">
        <v>3644</v>
      </c>
      <c r="AC19" s="8" t="s">
        <v>1924</v>
      </c>
      <c r="AD19" s="8" t="s">
        <v>4620</v>
      </c>
      <c r="AE19" s="8"/>
      <c r="AF19" s="9">
        <f t="shared" si="0"/>
        <v>606.23199999999997</v>
      </c>
      <c r="AG19" s="9">
        <f t="shared" si="1"/>
        <v>213.03333333333333</v>
      </c>
      <c r="AH19" s="1"/>
      <c r="AI19" s="1"/>
      <c r="AJ19" s="1"/>
      <c r="AK19" s="1"/>
      <c r="AL19" s="1"/>
      <c r="AM19" s="1"/>
      <c r="AN19" s="1"/>
    </row>
    <row r="20" spans="8:40" ht="23">
      <c r="H20" s="8"/>
      <c r="I20" s="8"/>
      <c r="J20" s="8"/>
      <c r="K20" s="8"/>
      <c r="L20" s="8"/>
      <c r="M20" s="8" t="s">
        <v>776</v>
      </c>
      <c r="N20" s="8" t="s">
        <v>150</v>
      </c>
      <c r="O20" s="8"/>
      <c r="P20" s="8"/>
      <c r="Q20" s="8"/>
      <c r="R20" s="8"/>
      <c r="S20" s="8"/>
      <c r="T20" s="8"/>
      <c r="U20" s="8"/>
      <c r="V20" s="8"/>
      <c r="W20" s="8" t="s">
        <v>776</v>
      </c>
      <c r="X20" s="8">
        <v>41.89</v>
      </c>
      <c r="Y20" s="8">
        <v>1.05</v>
      </c>
      <c r="Z20" s="9">
        <v>0.05</v>
      </c>
      <c r="AA20" s="8">
        <v>363.5</v>
      </c>
      <c r="AB20" s="8">
        <v>10584</v>
      </c>
      <c r="AC20" s="8" t="s">
        <v>776</v>
      </c>
      <c r="AD20" s="8" t="s">
        <v>3682</v>
      </c>
      <c r="AE20" s="8"/>
      <c r="AF20" s="9">
        <f t="shared" si="0"/>
        <v>381.67500000000001</v>
      </c>
      <c r="AG20" s="9">
        <f t="shared" si="1"/>
        <v>30.291666666666664</v>
      </c>
      <c r="AH20" s="1"/>
      <c r="AI20" s="1"/>
      <c r="AJ20" s="1"/>
      <c r="AK20" s="1"/>
      <c r="AL20" s="1"/>
      <c r="AM20" s="1"/>
      <c r="AN20" s="1"/>
    </row>
    <row r="21" spans="8:40" ht="23">
      <c r="H21" s="8"/>
      <c r="I21" s="8"/>
      <c r="J21" s="8"/>
      <c r="K21" s="8"/>
      <c r="L21" s="8"/>
      <c r="M21" s="8" t="s">
        <v>1237</v>
      </c>
      <c r="N21" s="8" t="s">
        <v>150</v>
      </c>
      <c r="O21" s="8"/>
      <c r="P21" s="8"/>
      <c r="Q21" s="8"/>
      <c r="R21" s="8"/>
      <c r="S21" s="8"/>
      <c r="T21" s="8"/>
      <c r="U21" s="8"/>
      <c r="V21" s="8"/>
      <c r="W21" s="8" t="s">
        <v>1237</v>
      </c>
      <c r="X21" s="8">
        <v>28.82</v>
      </c>
      <c r="Y21" s="8">
        <v>2.81</v>
      </c>
      <c r="Z21" s="9">
        <v>1.2</v>
      </c>
      <c r="AA21" s="8">
        <v>361.7</v>
      </c>
      <c r="AB21" s="8">
        <v>989</v>
      </c>
      <c r="AC21" s="8" t="s">
        <v>1237</v>
      </c>
      <c r="AD21" s="8" t="s">
        <v>3699</v>
      </c>
      <c r="AE21" s="8"/>
      <c r="AF21" s="9">
        <f t="shared" si="0"/>
        <v>1016.377</v>
      </c>
      <c r="AG21" s="9">
        <f t="shared" si="1"/>
        <v>362.90566666666666</v>
      </c>
      <c r="AH21" s="1"/>
      <c r="AI21" s="1"/>
      <c r="AJ21" s="1"/>
      <c r="AK21" s="1"/>
      <c r="AL21" s="1"/>
      <c r="AM21" s="1"/>
      <c r="AN21" s="1"/>
    </row>
    <row r="22" spans="8:40" ht="23">
      <c r="H22" s="8"/>
      <c r="I22" s="8"/>
      <c r="J22" s="8"/>
      <c r="K22" s="8"/>
      <c r="L22" s="8"/>
      <c r="M22" s="9" t="s">
        <v>2612</v>
      </c>
      <c r="N22" s="8" t="s">
        <v>150</v>
      </c>
      <c r="O22" s="8"/>
      <c r="P22" s="8"/>
      <c r="Q22" s="8"/>
      <c r="R22" s="8"/>
      <c r="S22" s="8"/>
      <c r="T22" s="8"/>
      <c r="U22" s="8"/>
      <c r="V22" s="8"/>
      <c r="W22" s="9" t="s">
        <v>2612</v>
      </c>
      <c r="X22" s="8">
        <v>29.48</v>
      </c>
      <c r="Y22" s="8">
        <v>2.48</v>
      </c>
      <c r="Z22" s="9">
        <v>1.41</v>
      </c>
      <c r="AA22" s="8">
        <v>333.1</v>
      </c>
      <c r="AB22" s="8">
        <v>1834</v>
      </c>
      <c r="AC22" s="9" t="s">
        <v>2612</v>
      </c>
      <c r="AD22" s="8" t="s">
        <v>3699</v>
      </c>
      <c r="AE22" s="8"/>
      <c r="AF22" s="9">
        <f t="shared" si="0"/>
        <v>826.08800000000008</v>
      </c>
      <c r="AG22" s="9">
        <f t="shared" si="1"/>
        <v>560.71833333333336</v>
      </c>
      <c r="AH22" s="1"/>
      <c r="AI22" s="1"/>
      <c r="AJ22" s="1"/>
      <c r="AK22" s="1"/>
      <c r="AL22" s="1"/>
      <c r="AM22" s="1"/>
      <c r="AN22" s="1"/>
    </row>
    <row r="23" spans="8:40" ht="23">
      <c r="H23" s="8"/>
      <c r="I23" s="8"/>
      <c r="J23" s="8"/>
      <c r="K23" s="8"/>
      <c r="L23" s="8"/>
      <c r="M23" s="8" t="s">
        <v>3884</v>
      </c>
      <c r="N23" s="8"/>
      <c r="O23" s="8"/>
      <c r="P23" s="8" t="s">
        <v>3703</v>
      </c>
      <c r="Q23" s="8"/>
      <c r="R23" s="8"/>
      <c r="S23" s="8"/>
      <c r="T23" s="8"/>
      <c r="U23" s="8"/>
      <c r="V23" s="8"/>
      <c r="W23" s="8" t="s">
        <v>3884</v>
      </c>
      <c r="X23" s="8">
        <v>25.81</v>
      </c>
      <c r="Y23" s="8">
        <v>7.28</v>
      </c>
      <c r="Z23" s="9">
        <v>4.28</v>
      </c>
      <c r="AA23" s="8">
        <v>329.8</v>
      </c>
      <c r="AB23" s="8">
        <v>1106</v>
      </c>
      <c r="AC23" s="8" t="s">
        <v>3884</v>
      </c>
      <c r="AD23" s="8" t="s">
        <v>3699</v>
      </c>
      <c r="AE23" s="8"/>
      <c r="AF23" s="9">
        <f t="shared" si="0"/>
        <v>2400.944</v>
      </c>
      <c r="AG23" s="9">
        <f t="shared" si="1"/>
        <v>1473.1066666666668</v>
      </c>
      <c r="AH23" s="1"/>
      <c r="AI23" s="1"/>
      <c r="AJ23" s="1"/>
      <c r="AK23" s="1"/>
      <c r="AL23" s="1"/>
      <c r="AM23" s="1"/>
      <c r="AN23" s="1"/>
    </row>
    <row r="24" spans="8:40" ht="23">
      <c r="H24" s="8"/>
      <c r="I24" s="8"/>
      <c r="J24" s="8"/>
      <c r="K24" s="8"/>
      <c r="L24" s="8"/>
      <c r="M24" s="8" t="s">
        <v>1084</v>
      </c>
      <c r="N24" s="8" t="s">
        <v>150</v>
      </c>
      <c r="O24" s="8"/>
      <c r="P24" s="8"/>
      <c r="Q24" s="8"/>
      <c r="R24" s="8"/>
      <c r="S24" s="8"/>
      <c r="T24" s="8"/>
      <c r="U24" s="8"/>
      <c r="V24" s="8"/>
      <c r="W24" s="8" t="s">
        <v>1084</v>
      </c>
      <c r="X24" s="8">
        <v>16.3</v>
      </c>
      <c r="Y24" s="8">
        <v>2.8</v>
      </c>
      <c r="Z24" s="9">
        <v>2.31</v>
      </c>
      <c r="AA24" s="8">
        <v>303.39999999999998</v>
      </c>
      <c r="AB24" s="8">
        <v>1248</v>
      </c>
      <c r="AC24" s="8" t="s">
        <v>1084</v>
      </c>
      <c r="AD24" s="8" t="s">
        <v>3699</v>
      </c>
      <c r="AE24" s="8"/>
      <c r="AF24" s="9">
        <f t="shared" si="0"/>
        <v>849.51999999999987</v>
      </c>
      <c r="AG24" s="9">
        <f t="shared" si="1"/>
        <v>763.55666666666662</v>
      </c>
      <c r="AH24" s="1"/>
      <c r="AI24" s="1"/>
      <c r="AJ24" s="1"/>
      <c r="AK24" s="1"/>
      <c r="AL24" s="1"/>
      <c r="AM24" s="1"/>
      <c r="AN24" s="1"/>
    </row>
    <row r="25" spans="8:40" ht="23">
      <c r="H25" s="8"/>
      <c r="I25" s="8"/>
      <c r="J25" s="8"/>
      <c r="K25" s="8"/>
      <c r="L25" s="8"/>
      <c r="M25" s="9" t="s">
        <v>2275</v>
      </c>
      <c r="N25" s="8" t="s">
        <v>150</v>
      </c>
      <c r="O25" s="8"/>
      <c r="P25" s="8"/>
      <c r="Q25" s="8"/>
      <c r="R25" s="8"/>
      <c r="S25" s="8"/>
      <c r="T25" s="8"/>
      <c r="U25" s="8"/>
      <c r="V25" s="8"/>
      <c r="W25" s="9" t="s">
        <v>2275</v>
      </c>
      <c r="X25" s="8">
        <v>12.39</v>
      </c>
      <c r="Y25" s="8">
        <v>4.0199999999999996</v>
      </c>
      <c r="Z25" s="9">
        <v>3.07</v>
      </c>
      <c r="AA25" s="8">
        <v>300.2</v>
      </c>
      <c r="AB25" s="8">
        <v>1022</v>
      </c>
      <c r="AC25" s="9" t="s">
        <v>2275</v>
      </c>
      <c r="AD25" s="8" t="s">
        <v>3699</v>
      </c>
      <c r="AE25" s="8"/>
      <c r="AF25" s="9">
        <f t="shared" si="0"/>
        <v>1206.8039999999999</v>
      </c>
      <c r="AG25" s="9">
        <f t="shared" si="1"/>
        <v>935.62333333333333</v>
      </c>
      <c r="AH25" s="1"/>
      <c r="AI25" s="1"/>
      <c r="AJ25" s="1"/>
      <c r="AK25" s="1"/>
      <c r="AL25" s="1"/>
      <c r="AM25" s="1"/>
      <c r="AN25" s="1"/>
    </row>
    <row r="26" spans="8:40" ht="23">
      <c r="H26" s="8"/>
      <c r="I26" s="8"/>
      <c r="J26" s="8"/>
      <c r="K26" s="8"/>
      <c r="L26" s="8"/>
      <c r="M26" s="9" t="s">
        <v>2370</v>
      </c>
      <c r="N26" s="8" t="s">
        <v>150</v>
      </c>
      <c r="O26" s="8"/>
      <c r="P26" s="8"/>
      <c r="Q26" s="8"/>
      <c r="R26" s="8"/>
      <c r="S26" s="8"/>
      <c r="T26" s="8"/>
      <c r="U26" s="8"/>
      <c r="V26" s="8"/>
      <c r="W26" s="9" t="s">
        <v>2370</v>
      </c>
      <c r="X26" s="8">
        <v>41.03</v>
      </c>
      <c r="Y26" s="8">
        <v>2.1800000000000002</v>
      </c>
      <c r="Z26" s="9">
        <v>1.29</v>
      </c>
      <c r="AA26" s="8">
        <v>259.10000000000002</v>
      </c>
      <c r="AB26" s="8">
        <v>2160</v>
      </c>
      <c r="AC26" s="9" t="s">
        <v>2370</v>
      </c>
      <c r="AD26" s="8" t="s">
        <v>3699</v>
      </c>
      <c r="AE26" s="8"/>
      <c r="AF26" s="9">
        <f t="shared" si="0"/>
        <v>564.83800000000008</v>
      </c>
      <c r="AG26" s="9">
        <f t="shared" si="1"/>
        <v>384.33166666666671</v>
      </c>
      <c r="AH26" s="1"/>
      <c r="AI26" s="1"/>
      <c r="AJ26" s="1"/>
      <c r="AK26" s="1"/>
      <c r="AL26" s="1"/>
      <c r="AM26" s="1"/>
      <c r="AN26" s="1"/>
    </row>
    <row r="27" spans="8:40" ht="23">
      <c r="H27" s="8"/>
      <c r="I27" s="8"/>
      <c r="J27" s="8"/>
      <c r="K27" s="8"/>
      <c r="L27" s="8"/>
      <c r="M27" s="8" t="s">
        <v>473</v>
      </c>
      <c r="N27" s="8" t="s">
        <v>150</v>
      </c>
      <c r="O27" s="8"/>
      <c r="P27" s="8" t="s">
        <v>3691</v>
      </c>
      <c r="Q27" s="8"/>
      <c r="R27" s="8"/>
      <c r="S27" s="8"/>
      <c r="T27" s="8"/>
      <c r="U27" s="8"/>
      <c r="V27" s="8"/>
      <c r="W27" s="8" t="s">
        <v>473</v>
      </c>
      <c r="X27" s="8">
        <v>31.24</v>
      </c>
      <c r="Y27" s="8">
        <v>5.33</v>
      </c>
      <c r="Z27" s="9">
        <v>7.14</v>
      </c>
      <c r="AA27" s="8">
        <v>225.3</v>
      </c>
      <c r="AB27" s="8">
        <v>903</v>
      </c>
      <c r="AC27" s="8" t="s">
        <v>473</v>
      </c>
      <c r="AD27" s="8" t="s">
        <v>4106</v>
      </c>
      <c r="AE27" s="8"/>
      <c r="AF27" s="9">
        <f t="shared" si="0"/>
        <v>1200.8490000000002</v>
      </c>
      <c r="AG27" s="9">
        <f t="shared" si="1"/>
        <v>1629.67</v>
      </c>
      <c r="AH27" s="1"/>
      <c r="AI27" s="1"/>
      <c r="AJ27" s="1"/>
      <c r="AK27" s="1"/>
      <c r="AL27" s="1"/>
      <c r="AM27" s="1"/>
      <c r="AN27" s="1"/>
    </row>
    <row r="28" spans="8:40" ht="23">
      <c r="H28" s="8"/>
      <c r="I28" s="8"/>
      <c r="J28" s="8"/>
      <c r="K28" s="8"/>
      <c r="L28" s="8"/>
      <c r="M28" s="8" t="s">
        <v>1</v>
      </c>
      <c r="N28" s="8" t="s">
        <v>0</v>
      </c>
      <c r="O28" s="8"/>
      <c r="P28" s="8" t="s">
        <v>3691</v>
      </c>
      <c r="Q28" s="8"/>
      <c r="R28" s="8"/>
      <c r="S28" s="8"/>
      <c r="T28" s="8"/>
      <c r="U28" s="8"/>
      <c r="V28" s="8"/>
      <c r="W28" s="8" t="s">
        <v>1</v>
      </c>
      <c r="X28" s="8">
        <v>46.53</v>
      </c>
      <c r="Y28" s="8">
        <v>1.31</v>
      </c>
      <c r="Z28" s="9">
        <v>0.23</v>
      </c>
      <c r="AA28" s="8">
        <v>222.4</v>
      </c>
      <c r="AB28" s="8">
        <v>4618</v>
      </c>
      <c r="AC28" s="8" t="s">
        <v>1</v>
      </c>
      <c r="AD28" s="8" t="s">
        <v>3680</v>
      </c>
      <c r="AE28" s="8"/>
      <c r="AF28" s="9">
        <f t="shared" si="0"/>
        <v>291.34399999999999</v>
      </c>
      <c r="AG28" s="9">
        <f t="shared" si="1"/>
        <v>85.253333333333345</v>
      </c>
      <c r="AH28" s="1"/>
      <c r="AI28" s="1"/>
      <c r="AJ28" s="1"/>
      <c r="AK28" s="1"/>
      <c r="AL28" s="1"/>
      <c r="AM28" s="1"/>
      <c r="AN28" s="1"/>
    </row>
    <row r="29" spans="8:40" ht="23">
      <c r="H29" s="8"/>
      <c r="I29" s="8"/>
      <c r="J29" s="8"/>
      <c r="K29" s="8"/>
      <c r="L29" s="8"/>
      <c r="M29" s="9" t="s">
        <v>3541</v>
      </c>
      <c r="N29" s="8" t="s">
        <v>2041</v>
      </c>
      <c r="O29" s="8"/>
      <c r="P29" s="8" t="s">
        <v>4667</v>
      </c>
      <c r="Q29" s="8"/>
      <c r="R29" s="8"/>
      <c r="S29" s="8"/>
      <c r="T29" s="8"/>
      <c r="U29" s="8"/>
      <c r="V29" s="8"/>
      <c r="W29" s="9" t="s">
        <v>3541</v>
      </c>
      <c r="X29" s="8">
        <v>45.51</v>
      </c>
      <c r="Y29" s="8">
        <v>2.96</v>
      </c>
      <c r="Z29" s="9">
        <v>1.27</v>
      </c>
      <c r="AA29" s="8">
        <v>216.6</v>
      </c>
      <c r="AB29" s="8">
        <v>3101</v>
      </c>
      <c r="AC29" s="9" t="s">
        <v>3541</v>
      </c>
      <c r="AD29" s="8" t="s">
        <v>4219</v>
      </c>
      <c r="AE29" s="8"/>
      <c r="AF29" s="9">
        <f t="shared" si="0"/>
        <v>641.13599999999997</v>
      </c>
      <c r="AG29" s="9">
        <f t="shared" si="1"/>
        <v>314.07</v>
      </c>
      <c r="AH29" s="1"/>
      <c r="AI29" s="1"/>
      <c r="AJ29" s="1"/>
      <c r="AK29" s="1"/>
      <c r="AL29" s="1"/>
      <c r="AM29" s="1"/>
      <c r="AN29" s="1"/>
    </row>
    <row r="30" spans="8:40" ht="23">
      <c r="H30" s="8"/>
      <c r="I30" s="8"/>
      <c r="J30" s="8"/>
      <c r="K30" s="8"/>
      <c r="L30" s="8"/>
      <c r="M30" s="8" t="s">
        <v>1313</v>
      </c>
      <c r="N30" s="8" t="s">
        <v>150</v>
      </c>
      <c r="O30" s="8"/>
      <c r="P30" s="8"/>
      <c r="Q30" s="8"/>
      <c r="R30" s="8"/>
      <c r="S30" s="8"/>
      <c r="T30" s="8"/>
      <c r="U30" s="8"/>
      <c r="V30" s="8"/>
      <c r="W30" s="8" t="s">
        <v>1313</v>
      </c>
      <c r="X30" s="8">
        <v>8.0500000000000007</v>
      </c>
      <c r="Y30" s="8">
        <v>3.07</v>
      </c>
      <c r="Z30" s="9">
        <v>1.31</v>
      </c>
      <c r="AA30" s="8">
        <v>192.8</v>
      </c>
      <c r="AB30" s="8">
        <v>3154</v>
      </c>
      <c r="AC30" s="8" t="s">
        <v>1313</v>
      </c>
      <c r="AD30" s="8" t="s">
        <v>3682</v>
      </c>
      <c r="AE30" s="8"/>
      <c r="AF30" s="9">
        <f t="shared" si="0"/>
        <v>591.89599999999996</v>
      </c>
      <c r="AG30" s="9">
        <f t="shared" si="1"/>
        <v>292.41333333333336</v>
      </c>
      <c r="AH30" s="1"/>
      <c r="AI30" s="1"/>
      <c r="AJ30" s="1"/>
      <c r="AK30" s="1"/>
      <c r="AL30" s="1"/>
      <c r="AM30" s="1"/>
      <c r="AN30" s="1"/>
    </row>
    <row r="31" spans="8:40" ht="23">
      <c r="H31" s="8"/>
      <c r="I31" s="8"/>
      <c r="J31" s="8"/>
      <c r="K31" s="8"/>
      <c r="L31" s="8"/>
      <c r="M31" s="9" t="s">
        <v>2239</v>
      </c>
      <c r="N31" s="8" t="s">
        <v>150</v>
      </c>
      <c r="O31" s="8"/>
      <c r="P31" s="8"/>
      <c r="Q31" s="8"/>
      <c r="R31" s="8"/>
      <c r="S31" s="8"/>
      <c r="T31" s="8"/>
      <c r="U31" s="8"/>
      <c r="V31" s="8"/>
      <c r="W31" s="9" t="s">
        <v>2239</v>
      </c>
      <c r="X31" s="8">
        <v>5.86</v>
      </c>
      <c r="Y31" s="8">
        <v>7.44</v>
      </c>
      <c r="Z31" s="9">
        <v>1.53</v>
      </c>
      <c r="AA31" s="8">
        <v>183.6</v>
      </c>
      <c r="AB31" s="8">
        <v>1867</v>
      </c>
      <c r="AC31" s="9" t="s">
        <v>2239</v>
      </c>
      <c r="AD31" s="8" t="s">
        <v>4120</v>
      </c>
      <c r="AE31" s="8"/>
      <c r="AF31" s="9">
        <f t="shared" si="0"/>
        <v>1365.9839999999999</v>
      </c>
      <c r="AG31" s="9">
        <f t="shared" si="1"/>
        <v>345.78</v>
      </c>
      <c r="AH31" s="1"/>
      <c r="AI31" s="1"/>
      <c r="AJ31" s="1"/>
      <c r="AK31" s="1"/>
      <c r="AL31" s="1"/>
      <c r="AM31" s="1"/>
      <c r="AN31" s="1"/>
    </row>
    <row r="32" spans="8:40" ht="23">
      <c r="H32" s="8"/>
      <c r="I32" s="8"/>
      <c r="J32" s="8"/>
      <c r="K32" s="8"/>
      <c r="L32" s="8"/>
      <c r="M32" s="8" t="s">
        <v>146</v>
      </c>
      <c r="N32" s="8" t="s">
        <v>150</v>
      </c>
      <c r="O32" s="8"/>
      <c r="P32" s="8"/>
      <c r="Q32" s="8"/>
      <c r="R32" s="8"/>
      <c r="S32" s="8"/>
      <c r="T32" s="8"/>
      <c r="U32" s="8"/>
      <c r="V32" s="8"/>
      <c r="W32" s="8" t="s">
        <v>146</v>
      </c>
      <c r="X32" s="8">
        <v>64.010000000000005</v>
      </c>
      <c r="Y32" s="8">
        <v>1.04</v>
      </c>
      <c r="Z32" s="9">
        <v>0.04</v>
      </c>
      <c r="AA32" s="8">
        <v>178.7</v>
      </c>
      <c r="AB32" s="8">
        <v>10482</v>
      </c>
      <c r="AC32" s="8" t="s">
        <v>146</v>
      </c>
      <c r="AD32" s="8" t="s">
        <v>3682</v>
      </c>
      <c r="AE32" s="8"/>
      <c r="AF32" s="9">
        <f t="shared" si="0"/>
        <v>185.84799999999998</v>
      </c>
      <c r="AG32" s="9">
        <f t="shared" si="1"/>
        <v>11.913333333333332</v>
      </c>
      <c r="AH32" s="1"/>
      <c r="AI32" s="1"/>
      <c r="AJ32" s="1"/>
      <c r="AK32" s="1"/>
      <c r="AL32" s="1"/>
      <c r="AM32" s="1"/>
      <c r="AN32" s="1"/>
    </row>
    <row r="33" spans="8:40" ht="23">
      <c r="H33" s="8"/>
      <c r="I33" s="8"/>
      <c r="J33" s="8"/>
      <c r="K33" s="8"/>
      <c r="L33" s="8"/>
      <c r="M33" s="8" t="s">
        <v>828</v>
      </c>
      <c r="N33" s="8" t="s">
        <v>150</v>
      </c>
      <c r="O33" s="8"/>
      <c r="P33" s="8" t="s">
        <v>4777</v>
      </c>
      <c r="Q33" s="8"/>
      <c r="R33" s="8"/>
      <c r="S33" s="8"/>
      <c r="T33" s="8"/>
      <c r="U33" s="8"/>
      <c r="V33" s="8"/>
      <c r="W33" s="8" t="s">
        <v>828</v>
      </c>
      <c r="X33" s="8">
        <v>7.11</v>
      </c>
      <c r="Y33" s="8">
        <v>4.05</v>
      </c>
      <c r="Z33" s="9">
        <v>4.43</v>
      </c>
      <c r="AA33" s="8">
        <v>177.7</v>
      </c>
      <c r="AB33" s="8">
        <v>1543</v>
      </c>
      <c r="AC33" s="8" t="s">
        <v>828</v>
      </c>
      <c r="AD33" s="8" t="s">
        <v>3699</v>
      </c>
      <c r="AE33" s="8"/>
      <c r="AF33" s="9">
        <f t="shared" si="0"/>
        <v>719.68499999999995</v>
      </c>
      <c r="AG33" s="9">
        <f t="shared" si="1"/>
        <v>838.15166666666664</v>
      </c>
      <c r="AH33" s="1"/>
      <c r="AI33" s="1"/>
      <c r="AJ33" s="1"/>
      <c r="AK33" s="1"/>
      <c r="AL33" s="1"/>
      <c r="AM33" s="1"/>
      <c r="AN33" s="1"/>
    </row>
    <row r="34" spans="8:40" ht="23">
      <c r="H34" s="8"/>
      <c r="I34" s="8"/>
      <c r="J34" s="8"/>
      <c r="K34" s="8"/>
      <c r="L34" s="8"/>
      <c r="M34" s="8" t="s">
        <v>1467</v>
      </c>
      <c r="N34" s="8" t="s">
        <v>150</v>
      </c>
      <c r="O34" s="8"/>
      <c r="P34" s="8"/>
      <c r="Q34" s="8"/>
      <c r="R34" s="8"/>
      <c r="S34" s="8"/>
      <c r="T34" s="8"/>
      <c r="U34" s="8"/>
      <c r="V34" s="8"/>
      <c r="W34" s="8" t="s">
        <v>1467</v>
      </c>
      <c r="X34" s="8">
        <v>34.25</v>
      </c>
      <c r="Y34" s="8">
        <v>1.93</v>
      </c>
      <c r="Z34" s="9">
        <v>0.44</v>
      </c>
      <c r="AA34" s="8">
        <v>173.8</v>
      </c>
      <c r="AB34" s="8">
        <v>7042</v>
      </c>
      <c r="AC34" s="8" t="s">
        <v>1467</v>
      </c>
      <c r="AD34" s="8" t="s">
        <v>3699</v>
      </c>
      <c r="AE34" s="8"/>
      <c r="AF34" s="9">
        <f t="shared" ref="AF34:AF65" si="2">(AA34*Y34)</f>
        <v>335.43400000000003</v>
      </c>
      <c r="AG34" s="9">
        <f t="shared" ref="AG34:AG65" si="3">((((RIGHT(Z34,2))/60)+(LEFT(Z34,2)))*AA34)</f>
        <v>127.45333333333333</v>
      </c>
      <c r="AH34" s="1"/>
      <c r="AI34" s="1"/>
      <c r="AJ34" s="1"/>
      <c r="AK34" s="1"/>
      <c r="AL34" s="1"/>
      <c r="AM34" s="1"/>
      <c r="AN34" s="1"/>
    </row>
    <row r="35" spans="8:40" ht="23">
      <c r="H35" s="8"/>
      <c r="I35" s="8"/>
      <c r="J35" s="8"/>
      <c r="K35" s="8"/>
      <c r="L35" s="8"/>
      <c r="M35" s="9" t="s">
        <v>3550</v>
      </c>
      <c r="N35" s="8" t="s">
        <v>2041</v>
      </c>
      <c r="O35" s="8"/>
      <c r="P35" s="8"/>
      <c r="Q35" s="8"/>
      <c r="R35" s="8"/>
      <c r="S35" s="8"/>
      <c r="T35" s="8"/>
      <c r="U35" s="8"/>
      <c r="V35" s="8"/>
      <c r="W35" s="9" t="s">
        <v>3550</v>
      </c>
      <c r="X35" s="8">
        <v>11.4</v>
      </c>
      <c r="Y35" s="8">
        <v>1.73</v>
      </c>
      <c r="Z35" s="9">
        <v>3.21</v>
      </c>
      <c r="AA35" s="8">
        <v>173.2</v>
      </c>
      <c r="AB35" s="8">
        <v>18340</v>
      </c>
      <c r="AC35" s="9" t="s">
        <v>3550</v>
      </c>
      <c r="AD35" s="8" t="s">
        <v>3682</v>
      </c>
      <c r="AE35" s="8"/>
      <c r="AF35" s="9">
        <f t="shared" si="2"/>
        <v>299.63599999999997</v>
      </c>
      <c r="AG35" s="9">
        <f t="shared" si="3"/>
        <v>580.22</v>
      </c>
      <c r="AH35" s="1"/>
      <c r="AI35" s="1"/>
      <c r="AJ35" s="1"/>
      <c r="AK35" s="1"/>
      <c r="AL35" s="1"/>
      <c r="AM35" s="1"/>
      <c r="AN35" s="1"/>
    </row>
    <row r="36" spans="8:40" ht="23">
      <c r="H36" s="8"/>
      <c r="I36" s="8"/>
      <c r="J36" s="8"/>
      <c r="K36" s="8"/>
      <c r="L36" s="8"/>
      <c r="M36" s="8" t="s">
        <v>1510</v>
      </c>
      <c r="N36" s="8" t="s">
        <v>150</v>
      </c>
      <c r="O36" s="8"/>
      <c r="P36" s="8" t="s">
        <v>3704</v>
      </c>
      <c r="Q36" s="8"/>
      <c r="R36" s="8"/>
      <c r="S36" s="8"/>
      <c r="T36" s="8"/>
      <c r="U36" s="8"/>
      <c r="V36" s="8"/>
      <c r="W36" s="8" t="s">
        <v>1510</v>
      </c>
      <c r="X36" s="8">
        <v>2.4700000000000002</v>
      </c>
      <c r="Y36" s="8">
        <v>8.64</v>
      </c>
      <c r="Z36" s="9">
        <v>1.45</v>
      </c>
      <c r="AA36" s="8">
        <v>170.8</v>
      </c>
      <c r="AB36" s="8">
        <v>3604</v>
      </c>
      <c r="AC36" s="8" t="s">
        <v>1510</v>
      </c>
      <c r="AD36" s="8" t="s">
        <v>4114</v>
      </c>
      <c r="AE36" s="8"/>
      <c r="AF36" s="9">
        <f t="shared" si="2"/>
        <v>1475.7120000000002</v>
      </c>
      <c r="AG36" s="9">
        <f t="shared" si="3"/>
        <v>298.90000000000003</v>
      </c>
      <c r="AH36" s="1"/>
      <c r="AI36" s="1"/>
      <c r="AJ36" s="1"/>
      <c r="AK36" s="1"/>
      <c r="AL36" s="1"/>
      <c r="AM36" s="1"/>
      <c r="AN36" s="1"/>
    </row>
    <row r="37" spans="8:40" ht="23">
      <c r="H37" s="8"/>
      <c r="I37" s="8"/>
      <c r="J37" s="8"/>
      <c r="K37" s="8"/>
      <c r="L37" s="8"/>
      <c r="M37" s="9" t="s">
        <v>3048</v>
      </c>
      <c r="N37" s="8" t="s">
        <v>1814</v>
      </c>
      <c r="O37" s="8"/>
      <c r="P37" s="8"/>
      <c r="Q37" s="8"/>
      <c r="R37" s="8"/>
      <c r="S37" s="8"/>
      <c r="T37" s="8"/>
      <c r="U37" s="8"/>
      <c r="V37" s="8"/>
      <c r="W37" s="9" t="s">
        <v>3048</v>
      </c>
      <c r="X37" s="8">
        <v>30.29</v>
      </c>
      <c r="Y37" s="8">
        <v>2.16</v>
      </c>
      <c r="Z37" s="9">
        <v>1.38</v>
      </c>
      <c r="AA37" s="8">
        <v>167.5</v>
      </c>
      <c r="AB37" s="8">
        <v>2434</v>
      </c>
      <c r="AC37" s="9" t="s">
        <v>3048</v>
      </c>
      <c r="AD37" s="8" t="s">
        <v>4211</v>
      </c>
      <c r="AE37" s="8"/>
      <c r="AF37" s="9">
        <f t="shared" si="2"/>
        <v>361.8</v>
      </c>
      <c r="AG37" s="9">
        <f t="shared" si="3"/>
        <v>273.58333333333331</v>
      </c>
      <c r="AH37" s="1"/>
      <c r="AI37" s="1"/>
      <c r="AJ37" s="1"/>
      <c r="AK37" s="1"/>
      <c r="AL37" s="1"/>
      <c r="AM37" s="1"/>
      <c r="AN37" s="1"/>
    </row>
    <row r="38" spans="8:40" ht="23">
      <c r="H38" s="8"/>
      <c r="I38" s="8"/>
      <c r="J38" s="8"/>
      <c r="K38" s="8"/>
      <c r="L38" s="8"/>
      <c r="M38" s="9" t="s">
        <v>2804</v>
      </c>
      <c r="N38" s="8" t="s">
        <v>1614</v>
      </c>
      <c r="O38" s="8"/>
      <c r="P38" s="8"/>
      <c r="Q38" s="8"/>
      <c r="R38" s="8"/>
      <c r="S38" s="8"/>
      <c r="T38" s="8"/>
      <c r="U38" s="8"/>
      <c r="V38" s="8"/>
      <c r="W38" s="9" t="s">
        <v>2804</v>
      </c>
      <c r="X38" s="8">
        <v>26.73</v>
      </c>
      <c r="Y38" s="8">
        <v>1.57</v>
      </c>
      <c r="Z38" s="9">
        <v>0.08</v>
      </c>
      <c r="AA38" s="8">
        <v>149.4</v>
      </c>
      <c r="AB38" s="8">
        <v>33085</v>
      </c>
      <c r="AC38" s="9" t="s">
        <v>2804</v>
      </c>
      <c r="AD38" s="8" t="s">
        <v>4622</v>
      </c>
      <c r="AE38" s="8"/>
      <c r="AF38" s="9">
        <f t="shared" si="2"/>
        <v>234.55800000000002</v>
      </c>
      <c r="AG38" s="9">
        <f t="shared" si="3"/>
        <v>19.920000000000002</v>
      </c>
      <c r="AH38" s="1"/>
      <c r="AI38" s="1"/>
      <c r="AJ38" s="1"/>
      <c r="AK38" s="1"/>
      <c r="AL38" s="1"/>
      <c r="AM38" s="1"/>
      <c r="AN38" s="1"/>
    </row>
    <row r="39" spans="8:40" ht="23">
      <c r="H39" s="8"/>
      <c r="I39" s="8"/>
      <c r="J39" s="8"/>
      <c r="K39" s="8"/>
      <c r="L39" s="8"/>
      <c r="M39" s="9" t="s">
        <v>2231</v>
      </c>
      <c r="N39" s="8" t="s">
        <v>150</v>
      </c>
      <c r="O39" s="8"/>
      <c r="P39" s="8" t="s">
        <v>3691</v>
      </c>
      <c r="Q39" s="8"/>
      <c r="R39" s="8"/>
      <c r="S39" s="8"/>
      <c r="T39" s="8"/>
      <c r="U39" s="8"/>
      <c r="V39" s="8"/>
      <c r="W39" s="9" t="s">
        <v>2231</v>
      </c>
      <c r="X39" s="8">
        <v>24.04</v>
      </c>
      <c r="Y39" s="8">
        <v>1.71</v>
      </c>
      <c r="Z39" s="9">
        <v>0.43</v>
      </c>
      <c r="AA39" s="8">
        <v>138.69999999999999</v>
      </c>
      <c r="AB39" s="8">
        <v>4077</v>
      </c>
      <c r="AC39" s="9" t="s">
        <v>2231</v>
      </c>
      <c r="AD39" s="8" t="s">
        <v>4100</v>
      </c>
      <c r="AE39" s="8"/>
      <c r="AF39" s="9">
        <f t="shared" si="2"/>
        <v>237.17699999999996</v>
      </c>
      <c r="AG39" s="9">
        <f t="shared" si="3"/>
        <v>99.401666666666657</v>
      </c>
      <c r="AH39" s="1"/>
      <c r="AI39" s="1"/>
      <c r="AJ39" s="1"/>
      <c r="AK39" s="1"/>
      <c r="AL39" s="1"/>
      <c r="AM39" s="1"/>
      <c r="AN39" s="1"/>
    </row>
    <row r="40" spans="8:40" ht="23">
      <c r="H40" s="8"/>
      <c r="I40" s="8"/>
      <c r="J40" s="8"/>
      <c r="K40" s="8"/>
      <c r="L40" s="8"/>
      <c r="M40" s="9" t="s">
        <v>3091</v>
      </c>
      <c r="N40" s="8" t="s">
        <v>1814</v>
      </c>
      <c r="O40" s="8"/>
      <c r="P40" s="8" t="s">
        <v>4667</v>
      </c>
      <c r="Q40" s="8"/>
      <c r="R40" s="8"/>
      <c r="S40" s="8"/>
      <c r="T40" s="8"/>
      <c r="U40" s="8"/>
      <c r="V40" s="8"/>
      <c r="W40" s="9" t="s">
        <v>3091</v>
      </c>
      <c r="X40" s="8">
        <v>7.34</v>
      </c>
      <c r="Y40" s="8">
        <v>5.53</v>
      </c>
      <c r="Z40" s="9">
        <v>0.38</v>
      </c>
      <c r="AA40" s="8">
        <v>133.6</v>
      </c>
      <c r="AB40" s="8">
        <v>7672</v>
      </c>
      <c r="AC40" s="9" t="s">
        <v>3091</v>
      </c>
      <c r="AD40" s="8" t="s">
        <v>4208</v>
      </c>
      <c r="AE40" s="8"/>
      <c r="AF40" s="9">
        <f t="shared" si="2"/>
        <v>738.80799999999999</v>
      </c>
      <c r="AG40" s="9">
        <f t="shared" si="3"/>
        <v>84.61333333333333</v>
      </c>
      <c r="AH40" s="1"/>
      <c r="AI40" s="1"/>
      <c r="AJ40" s="1"/>
      <c r="AK40" s="1"/>
      <c r="AL40" s="1"/>
      <c r="AM40" s="1"/>
      <c r="AN40" s="1"/>
    </row>
    <row r="41" spans="8:40" ht="23">
      <c r="H41" s="8"/>
      <c r="I41" s="8"/>
      <c r="J41" s="8"/>
      <c r="K41" s="8"/>
      <c r="L41" s="8"/>
      <c r="M41" s="8" t="s">
        <v>1204</v>
      </c>
      <c r="N41" s="8" t="s">
        <v>150</v>
      </c>
      <c r="O41" s="8"/>
      <c r="P41" s="8" t="s">
        <v>3691</v>
      </c>
      <c r="Q41" s="8"/>
      <c r="R41" s="8"/>
      <c r="S41" s="8"/>
      <c r="T41" s="8"/>
      <c r="U41" s="8"/>
      <c r="V41" s="8"/>
      <c r="W41" s="8" t="s">
        <v>1204</v>
      </c>
      <c r="X41" s="8">
        <v>28.16</v>
      </c>
      <c r="Y41" s="8">
        <v>2.99</v>
      </c>
      <c r="Z41" s="9">
        <v>2.2599999999999998</v>
      </c>
      <c r="AA41" s="8">
        <v>133</v>
      </c>
      <c r="AB41" s="8">
        <v>1939</v>
      </c>
      <c r="AC41" s="8" t="s">
        <v>1204</v>
      </c>
      <c r="AD41" s="8" t="s">
        <v>3699</v>
      </c>
      <c r="AE41" s="8"/>
      <c r="AF41" s="9">
        <f t="shared" si="2"/>
        <v>397.67</v>
      </c>
      <c r="AG41" s="9">
        <f t="shared" si="3"/>
        <v>323.63333333333338</v>
      </c>
      <c r="AH41" s="1"/>
      <c r="AI41" s="1"/>
      <c r="AJ41" s="1"/>
      <c r="AK41" s="1"/>
      <c r="AL41" s="1"/>
      <c r="AM41" s="1"/>
      <c r="AN41" s="1"/>
    </row>
    <row r="42" spans="8:40" ht="23">
      <c r="H42" s="8"/>
      <c r="I42" s="8"/>
      <c r="J42" s="8"/>
      <c r="K42" s="8"/>
      <c r="L42" s="8"/>
      <c r="M42" s="8" t="s">
        <v>4778</v>
      </c>
      <c r="N42" s="8" t="s">
        <v>150</v>
      </c>
      <c r="O42" s="8"/>
      <c r="P42" s="8"/>
      <c r="Q42" s="8"/>
      <c r="R42" s="8"/>
      <c r="S42" s="8"/>
      <c r="T42" s="8"/>
      <c r="U42" s="8"/>
      <c r="V42" s="8"/>
      <c r="W42" s="8" t="s">
        <v>4778</v>
      </c>
      <c r="X42" s="8">
        <v>36.72</v>
      </c>
      <c r="Y42" s="8">
        <v>7.75</v>
      </c>
      <c r="Z42" s="9">
        <v>0.14000000000000001</v>
      </c>
      <c r="AA42" s="8">
        <v>127.7</v>
      </c>
      <c r="AB42" s="8">
        <v>13821</v>
      </c>
      <c r="AC42" s="8" t="s">
        <v>4778</v>
      </c>
      <c r="AD42" s="8" t="s">
        <v>3682</v>
      </c>
      <c r="AE42" s="8"/>
      <c r="AF42" s="9">
        <f t="shared" si="2"/>
        <v>989.67500000000007</v>
      </c>
      <c r="AG42" s="9">
        <f t="shared" si="3"/>
        <v>29.796666666666667</v>
      </c>
      <c r="AH42" s="1"/>
      <c r="AI42" s="1"/>
      <c r="AJ42" s="1"/>
      <c r="AK42" s="1"/>
      <c r="AL42" s="1"/>
      <c r="AM42" s="1"/>
      <c r="AN42" s="1"/>
    </row>
    <row r="43" spans="8:40" ht="23">
      <c r="H43" s="8"/>
      <c r="I43" s="8"/>
      <c r="J43" s="8"/>
      <c r="K43" s="8"/>
      <c r="L43" s="8"/>
      <c r="M43" s="8" t="s">
        <v>180</v>
      </c>
      <c r="N43" s="8" t="s">
        <v>150</v>
      </c>
      <c r="O43" s="8"/>
      <c r="P43" s="8"/>
      <c r="Q43" s="8"/>
      <c r="R43" s="8"/>
      <c r="S43" s="8"/>
      <c r="T43" s="8"/>
      <c r="U43" s="8"/>
      <c r="V43" s="8"/>
      <c r="W43" s="8" t="s">
        <v>180</v>
      </c>
      <c r="X43" s="8">
        <v>12.61</v>
      </c>
      <c r="Y43" s="8">
        <v>2.41</v>
      </c>
      <c r="Z43" s="9">
        <v>0.57999999999999996</v>
      </c>
      <c r="AA43" s="8">
        <v>127.5</v>
      </c>
      <c r="AB43" s="8">
        <v>3837</v>
      </c>
      <c r="AC43" s="8" t="s">
        <v>180</v>
      </c>
      <c r="AD43" s="8" t="s">
        <v>4160</v>
      </c>
      <c r="AE43" s="8"/>
      <c r="AF43" s="9">
        <f t="shared" si="2"/>
        <v>307.27500000000003</v>
      </c>
      <c r="AG43" s="9">
        <f t="shared" si="3"/>
        <v>123.25</v>
      </c>
      <c r="AH43" s="1"/>
      <c r="AI43" s="1"/>
      <c r="AJ43" s="1"/>
      <c r="AK43" s="1"/>
      <c r="AL43" s="1"/>
      <c r="AM43" s="1"/>
      <c r="AN43" s="1"/>
    </row>
    <row r="44" spans="8:40" ht="23">
      <c r="H44" s="8"/>
      <c r="I44" s="8"/>
      <c r="J44" s="8"/>
      <c r="K44" s="8"/>
      <c r="L44" s="8"/>
      <c r="M44" s="8" t="s">
        <v>1601</v>
      </c>
      <c r="N44" s="8" t="s">
        <v>150</v>
      </c>
      <c r="O44" s="8"/>
      <c r="P44" s="8" t="s">
        <v>3693</v>
      </c>
      <c r="Q44" s="8"/>
      <c r="R44" s="8"/>
      <c r="S44" s="8"/>
      <c r="T44" s="8"/>
      <c r="U44" s="8"/>
      <c r="V44" s="8"/>
      <c r="W44" s="8" t="s">
        <v>1601</v>
      </c>
      <c r="X44" s="8">
        <v>0.61</v>
      </c>
      <c r="Y44" s="8">
        <v>5.64</v>
      </c>
      <c r="Z44" s="9">
        <v>0.47</v>
      </c>
      <c r="AA44" s="8">
        <v>126.4</v>
      </c>
      <c r="AB44" s="8">
        <v>20339</v>
      </c>
      <c r="AC44" s="8" t="s">
        <v>1601</v>
      </c>
      <c r="AD44" s="8" t="s">
        <v>3682</v>
      </c>
      <c r="AE44" s="8"/>
      <c r="AF44" s="9">
        <f t="shared" si="2"/>
        <v>712.89599999999996</v>
      </c>
      <c r="AG44" s="9">
        <f t="shared" si="3"/>
        <v>99.013333333333335</v>
      </c>
      <c r="AH44" s="1"/>
      <c r="AI44" s="1"/>
      <c r="AJ44" s="1"/>
      <c r="AK44" s="1"/>
      <c r="AL44" s="1"/>
      <c r="AM44" s="1"/>
      <c r="AN44" s="1"/>
    </row>
    <row r="45" spans="8:40" ht="23">
      <c r="H45" s="8"/>
      <c r="I45" s="8"/>
      <c r="J45" s="8"/>
      <c r="K45" s="8"/>
      <c r="L45" s="8"/>
      <c r="M45" s="8" t="s">
        <v>1997</v>
      </c>
      <c r="N45" s="8" t="s">
        <v>1990</v>
      </c>
      <c r="O45" s="8"/>
      <c r="P45" s="8" t="s">
        <v>4144</v>
      </c>
      <c r="Q45" s="8"/>
      <c r="R45" s="8"/>
      <c r="S45" s="8"/>
      <c r="T45" s="8"/>
      <c r="U45" s="8"/>
      <c r="V45" s="8"/>
      <c r="W45" s="8" t="s">
        <v>1997</v>
      </c>
      <c r="X45" s="8">
        <v>21.13</v>
      </c>
      <c r="Y45" s="8">
        <v>3.18</v>
      </c>
      <c r="Z45" s="9">
        <v>1.31</v>
      </c>
      <c r="AA45" s="8">
        <v>124.8</v>
      </c>
      <c r="AB45" s="8">
        <v>2018</v>
      </c>
      <c r="AC45" s="8" t="s">
        <v>1997</v>
      </c>
      <c r="AD45" s="8" t="s">
        <v>4213</v>
      </c>
      <c r="AE45" s="8"/>
      <c r="AF45" s="9">
        <f t="shared" si="2"/>
        <v>396.86400000000003</v>
      </c>
      <c r="AG45" s="9">
        <f t="shared" si="3"/>
        <v>189.28</v>
      </c>
      <c r="AH45" s="1"/>
      <c r="AI45" s="1"/>
      <c r="AJ45" s="1"/>
      <c r="AK45" s="1"/>
      <c r="AL45" s="1"/>
      <c r="AM45" s="1"/>
      <c r="AN45" s="1"/>
    </row>
    <row r="46" spans="8:40" ht="23"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>
        <v>32.53</v>
      </c>
      <c r="Y46" s="8">
        <v>5.27</v>
      </c>
      <c r="Z46" s="9">
        <v>6.24</v>
      </c>
      <c r="AA46" s="8">
        <v>116.7</v>
      </c>
      <c r="AB46" s="8">
        <v>1207</v>
      </c>
      <c r="AC46" s="8" t="s">
        <v>5200</v>
      </c>
      <c r="AD46" s="8" t="s">
        <v>3682</v>
      </c>
      <c r="AE46" s="8"/>
      <c r="AF46" s="9">
        <f t="shared" si="2"/>
        <v>615.00900000000001</v>
      </c>
      <c r="AG46" s="9">
        <f t="shared" si="3"/>
        <v>746.88000000000011</v>
      </c>
      <c r="AH46" s="1"/>
      <c r="AI46" s="1"/>
      <c r="AJ46" s="1"/>
      <c r="AK46" s="1"/>
      <c r="AL46" s="1"/>
      <c r="AM46" s="1"/>
      <c r="AN46" s="1"/>
    </row>
    <row r="47" spans="8:40" ht="23">
      <c r="H47" s="8"/>
      <c r="I47" s="8"/>
      <c r="J47" s="8"/>
      <c r="K47" s="8"/>
      <c r="L47" s="8"/>
      <c r="M47" s="8" t="s">
        <v>1781</v>
      </c>
      <c r="N47" s="8" t="s">
        <v>1717</v>
      </c>
      <c r="O47" s="8"/>
      <c r="P47" s="8" t="s">
        <v>4661</v>
      </c>
      <c r="Q47" s="8"/>
      <c r="R47" s="8"/>
      <c r="S47" s="8"/>
      <c r="T47" s="8"/>
      <c r="U47" s="8"/>
      <c r="V47" s="8"/>
      <c r="W47" s="8" t="s">
        <v>1781</v>
      </c>
      <c r="X47" s="8">
        <v>13.77</v>
      </c>
      <c r="Y47" s="8">
        <v>4.97</v>
      </c>
      <c r="Z47" s="9">
        <v>3.55</v>
      </c>
      <c r="AA47" s="8">
        <v>109.4</v>
      </c>
      <c r="AB47" s="8">
        <v>4524</v>
      </c>
      <c r="AC47" s="8" t="s">
        <v>1781</v>
      </c>
      <c r="AD47" s="8" t="s">
        <v>4202</v>
      </c>
      <c r="AE47" s="8"/>
      <c r="AF47" s="9">
        <f t="shared" si="2"/>
        <v>543.71799999999996</v>
      </c>
      <c r="AG47" s="9">
        <f t="shared" si="3"/>
        <v>428.48333333333335</v>
      </c>
      <c r="AH47" s="1"/>
      <c r="AI47" s="1"/>
      <c r="AJ47" s="1"/>
      <c r="AK47" s="1"/>
      <c r="AL47" s="1"/>
      <c r="AM47" s="1"/>
      <c r="AN47" s="1"/>
    </row>
    <row r="48" spans="8:40" ht="23">
      <c r="H48" s="8"/>
      <c r="I48" s="8"/>
      <c r="J48" s="8"/>
      <c r="K48" s="8"/>
      <c r="L48" s="8"/>
      <c r="M48" s="9"/>
      <c r="N48" s="8"/>
      <c r="O48" s="8"/>
      <c r="P48" s="8"/>
      <c r="Q48" s="8"/>
      <c r="R48" s="8"/>
      <c r="S48" s="8"/>
      <c r="T48" s="8"/>
      <c r="U48" s="8"/>
      <c r="V48" s="8"/>
      <c r="W48" s="9"/>
      <c r="X48" s="8">
        <v>14.42</v>
      </c>
      <c r="Y48" s="8">
        <v>3.39</v>
      </c>
      <c r="Z48" s="9">
        <v>1.58</v>
      </c>
      <c r="AA48" s="8">
        <v>99.5</v>
      </c>
      <c r="AB48" s="8">
        <v>2711</v>
      </c>
      <c r="AC48" s="9" t="s">
        <v>5198</v>
      </c>
      <c r="AD48" s="8" t="s">
        <v>3682</v>
      </c>
      <c r="AE48" s="8"/>
      <c r="AF48" s="9">
        <f t="shared" si="2"/>
        <v>337.30500000000001</v>
      </c>
      <c r="AG48" s="9">
        <f t="shared" si="3"/>
        <v>195.68333333333334</v>
      </c>
      <c r="AH48" s="1"/>
      <c r="AI48" s="1"/>
      <c r="AJ48" s="1"/>
      <c r="AK48" s="1"/>
      <c r="AL48" s="1"/>
      <c r="AM48" s="1"/>
      <c r="AN48" s="1"/>
    </row>
    <row r="49" spans="8:40" ht="23">
      <c r="H49" s="8"/>
      <c r="I49" s="8"/>
      <c r="J49" s="8"/>
      <c r="K49" s="8"/>
      <c r="L49" s="8"/>
      <c r="M49" s="9" t="s">
        <v>2148</v>
      </c>
      <c r="N49" s="8" t="s">
        <v>150</v>
      </c>
      <c r="O49" s="8"/>
      <c r="P49" s="8"/>
      <c r="Q49" s="8"/>
      <c r="R49" s="8"/>
      <c r="S49" s="8"/>
      <c r="T49" s="8"/>
      <c r="U49" s="8"/>
      <c r="V49" s="8"/>
      <c r="W49" s="9" t="s">
        <v>2148</v>
      </c>
      <c r="X49" s="8">
        <v>1.98</v>
      </c>
      <c r="Y49" s="8">
        <v>3.5</v>
      </c>
      <c r="Z49" s="9">
        <v>0.38</v>
      </c>
      <c r="AA49" s="8">
        <v>96.4</v>
      </c>
      <c r="AB49" s="8">
        <v>11115</v>
      </c>
      <c r="AC49" s="9" t="s">
        <v>2148</v>
      </c>
      <c r="AD49" s="8" t="s">
        <v>3699</v>
      </c>
      <c r="AE49" s="8"/>
      <c r="AF49" s="9">
        <f t="shared" si="2"/>
        <v>337.40000000000003</v>
      </c>
      <c r="AG49" s="9">
        <f t="shared" si="3"/>
        <v>61.053333333333335</v>
      </c>
      <c r="AH49" s="1"/>
      <c r="AI49" s="1"/>
      <c r="AJ49" s="1"/>
      <c r="AK49" s="1"/>
      <c r="AL49" s="1"/>
      <c r="AM49" s="1"/>
      <c r="AN49" s="1"/>
    </row>
    <row r="50" spans="8:40" ht="23">
      <c r="H50" s="8"/>
      <c r="I50" s="8"/>
      <c r="J50" s="8"/>
      <c r="K50" s="8"/>
      <c r="L50" s="8"/>
      <c r="M50" s="8" t="s">
        <v>1487</v>
      </c>
      <c r="N50" s="8" t="s">
        <v>150</v>
      </c>
      <c r="O50" s="8"/>
      <c r="P50" s="8" t="s">
        <v>3704</v>
      </c>
      <c r="Q50" s="8"/>
      <c r="R50" s="8"/>
      <c r="S50" s="8"/>
      <c r="T50" s="8"/>
      <c r="U50" s="8"/>
      <c r="V50" s="8"/>
      <c r="W50" s="8" t="s">
        <v>1487</v>
      </c>
      <c r="X50" s="8">
        <v>40.81</v>
      </c>
      <c r="Y50" s="8">
        <v>2.17</v>
      </c>
      <c r="Z50" s="9">
        <v>1.35</v>
      </c>
      <c r="AA50" s="8">
        <v>94</v>
      </c>
      <c r="AB50" s="8">
        <v>5947</v>
      </c>
      <c r="AC50" s="8" t="s">
        <v>1487</v>
      </c>
      <c r="AD50" s="8" t="s">
        <v>3682</v>
      </c>
      <c r="AE50" s="8"/>
      <c r="AF50" s="9">
        <f t="shared" si="2"/>
        <v>203.98</v>
      </c>
      <c r="AG50" s="9">
        <f t="shared" si="3"/>
        <v>148.83333333333334</v>
      </c>
      <c r="AH50" s="1"/>
      <c r="AI50" s="1"/>
      <c r="AJ50" s="1"/>
      <c r="AK50" s="1"/>
      <c r="AL50" s="1"/>
      <c r="AM50" s="1"/>
      <c r="AN50" s="1"/>
    </row>
    <row r="51" spans="8:40" ht="23">
      <c r="H51" s="8"/>
      <c r="I51" s="8"/>
      <c r="J51" s="8"/>
      <c r="K51" s="8"/>
      <c r="L51" s="8"/>
      <c r="M51" s="9" t="s">
        <v>2878</v>
      </c>
      <c r="N51" s="8" t="s">
        <v>1717</v>
      </c>
      <c r="O51" s="8"/>
      <c r="P51" s="8"/>
      <c r="Q51" s="8"/>
      <c r="R51" s="8"/>
      <c r="S51" s="8"/>
      <c r="T51" s="8"/>
      <c r="U51" s="8"/>
      <c r="V51" s="8"/>
      <c r="W51" s="9" t="s">
        <v>2878</v>
      </c>
      <c r="X51" s="8">
        <v>28.55</v>
      </c>
      <c r="Y51" s="8">
        <v>1.97</v>
      </c>
      <c r="Z51" s="9">
        <v>1.38</v>
      </c>
      <c r="AA51" s="8">
        <v>90.7</v>
      </c>
      <c r="AB51" s="8">
        <v>4221</v>
      </c>
      <c r="AC51" s="9" t="s">
        <v>2878</v>
      </c>
      <c r="AD51" s="8" t="s">
        <v>4198</v>
      </c>
      <c r="AE51" s="8"/>
      <c r="AF51" s="9">
        <f t="shared" si="2"/>
        <v>178.679</v>
      </c>
      <c r="AG51" s="9">
        <f t="shared" si="3"/>
        <v>148.14333333333335</v>
      </c>
      <c r="AH51" s="1"/>
      <c r="AI51" s="1"/>
      <c r="AJ51" s="1"/>
      <c r="AK51" s="1"/>
      <c r="AL51" s="1"/>
      <c r="AM51" s="1"/>
      <c r="AN51" s="1"/>
    </row>
    <row r="52" spans="8:40" ht="23">
      <c r="H52" s="8"/>
      <c r="I52" s="8"/>
      <c r="J52" s="8"/>
      <c r="K52" s="8"/>
      <c r="L52" s="8"/>
      <c r="M52" s="8" t="s">
        <v>245</v>
      </c>
      <c r="N52" s="8" t="s">
        <v>150</v>
      </c>
      <c r="O52" s="8"/>
      <c r="P52" s="8" t="s">
        <v>3691</v>
      </c>
      <c r="Q52" s="8"/>
      <c r="R52" s="8"/>
      <c r="S52" s="8"/>
      <c r="T52" s="8"/>
      <c r="U52" s="8"/>
      <c r="V52" s="8"/>
      <c r="W52" s="8" t="s">
        <v>245</v>
      </c>
      <c r="X52" s="8">
        <v>17.64</v>
      </c>
      <c r="Y52" s="8">
        <v>12.43</v>
      </c>
      <c r="Z52" s="9">
        <v>13.25</v>
      </c>
      <c r="AA52" s="8">
        <v>88.7</v>
      </c>
      <c r="AB52" s="8">
        <v>781</v>
      </c>
      <c r="AC52" s="8" t="s">
        <v>245</v>
      </c>
      <c r="AD52" s="8" t="s">
        <v>3699</v>
      </c>
      <c r="AE52" s="8"/>
      <c r="AF52" s="9">
        <f t="shared" si="2"/>
        <v>1102.5409999999999</v>
      </c>
      <c r="AG52" s="9">
        <f t="shared" si="3"/>
        <v>1190.0583333333334</v>
      </c>
      <c r="AH52" s="1"/>
      <c r="AI52" s="1"/>
      <c r="AJ52" s="1"/>
      <c r="AK52" s="1"/>
      <c r="AL52" s="1"/>
      <c r="AM52" s="1"/>
      <c r="AN52" s="1"/>
    </row>
    <row r="53" spans="8:40" ht="23">
      <c r="H53" s="8"/>
      <c r="I53" s="8"/>
      <c r="J53" s="8"/>
      <c r="K53" s="8"/>
      <c r="L53" s="8"/>
      <c r="M53" s="8" t="s">
        <v>1465</v>
      </c>
      <c r="N53" s="8" t="s">
        <v>150</v>
      </c>
      <c r="O53" s="8"/>
      <c r="P53" s="8"/>
      <c r="Q53" s="8"/>
      <c r="R53" s="8"/>
      <c r="S53" s="8"/>
      <c r="T53" s="8"/>
      <c r="U53" s="8"/>
      <c r="V53" s="8"/>
      <c r="W53" s="8" t="s">
        <v>1465</v>
      </c>
      <c r="X53" s="8">
        <v>27.19</v>
      </c>
      <c r="Y53" s="8">
        <v>1.85</v>
      </c>
      <c r="Z53" s="9">
        <v>1.22</v>
      </c>
      <c r="AA53" s="8">
        <v>75.900000000000006</v>
      </c>
      <c r="AB53" s="8">
        <v>5527</v>
      </c>
      <c r="AC53" s="8" t="s">
        <v>1465</v>
      </c>
      <c r="AD53" s="8" t="s">
        <v>3682</v>
      </c>
      <c r="AE53" s="8"/>
      <c r="AF53" s="9">
        <f t="shared" si="2"/>
        <v>140.41500000000002</v>
      </c>
      <c r="AG53" s="9">
        <f t="shared" si="3"/>
        <v>103.73</v>
      </c>
      <c r="AH53" s="1"/>
      <c r="AI53" s="1"/>
      <c r="AJ53" s="1"/>
      <c r="AK53" s="1"/>
      <c r="AL53" s="1"/>
      <c r="AM53" s="1"/>
      <c r="AN53" s="1"/>
    </row>
    <row r="54" spans="8:40" ht="23">
      <c r="H54" s="8"/>
      <c r="I54" s="8"/>
      <c r="J54" s="8"/>
      <c r="K54" s="8"/>
      <c r="L54" s="8"/>
      <c r="M54" s="9" t="s">
        <v>2437</v>
      </c>
      <c r="N54" s="8" t="s">
        <v>150</v>
      </c>
      <c r="O54" s="8"/>
      <c r="P54" s="8"/>
      <c r="Q54" s="8"/>
      <c r="R54" s="8"/>
      <c r="S54" s="8"/>
      <c r="T54" s="8"/>
      <c r="U54" s="8"/>
      <c r="V54" s="8"/>
      <c r="W54" s="9" t="s">
        <v>2437</v>
      </c>
      <c r="X54" s="8">
        <v>16.43</v>
      </c>
      <c r="Y54" s="8">
        <v>3.71</v>
      </c>
      <c r="Z54" s="9">
        <v>0.37</v>
      </c>
      <c r="AA54" s="8">
        <v>75</v>
      </c>
      <c r="AB54" s="8">
        <v>23167</v>
      </c>
      <c r="AC54" s="9" t="s">
        <v>2437</v>
      </c>
      <c r="AD54" s="8" t="s">
        <v>3699</v>
      </c>
      <c r="AE54" s="8"/>
      <c r="AF54" s="9">
        <f t="shared" si="2"/>
        <v>278.25</v>
      </c>
      <c r="AG54" s="9">
        <f t="shared" si="3"/>
        <v>46.25</v>
      </c>
      <c r="AH54" s="1"/>
      <c r="AI54" s="1"/>
      <c r="AJ54" s="1"/>
      <c r="AK54" s="1"/>
      <c r="AL54" s="1"/>
      <c r="AM54" s="1"/>
      <c r="AN54" s="1"/>
    </row>
    <row r="55" spans="8:40" ht="23">
      <c r="H55" s="8"/>
      <c r="I55" s="8"/>
      <c r="J55" s="8"/>
      <c r="K55" s="8"/>
      <c r="L55" s="8"/>
      <c r="M55" s="9" t="s">
        <v>2189</v>
      </c>
      <c r="N55" s="8" t="s">
        <v>150</v>
      </c>
      <c r="O55" s="8"/>
      <c r="P55" s="8"/>
      <c r="Q55" s="8"/>
      <c r="R55" s="8"/>
      <c r="S55" s="8"/>
      <c r="T55" s="8"/>
      <c r="U55" s="8"/>
      <c r="V55" s="8"/>
      <c r="W55" s="9" t="s">
        <v>2189</v>
      </c>
      <c r="X55" s="8">
        <v>63.16</v>
      </c>
      <c r="Y55" s="8">
        <v>1.1399999999999999</v>
      </c>
      <c r="Z55" s="9">
        <v>0.11</v>
      </c>
      <c r="AA55" s="8">
        <v>66.900000000000006</v>
      </c>
      <c r="AB55" s="8">
        <v>22982</v>
      </c>
      <c r="AC55" s="9" t="s">
        <v>2189</v>
      </c>
      <c r="AD55" s="8" t="s">
        <v>3682</v>
      </c>
      <c r="AE55" s="8"/>
      <c r="AF55" s="9">
        <f t="shared" si="2"/>
        <v>76.266000000000005</v>
      </c>
      <c r="AG55" s="9">
        <f t="shared" si="3"/>
        <v>12.265000000000001</v>
      </c>
      <c r="AH55" s="1"/>
      <c r="AI55" s="1"/>
      <c r="AJ55" s="1"/>
      <c r="AK55" s="1"/>
      <c r="AL55" s="1"/>
      <c r="AM55" s="1"/>
      <c r="AN55" s="1"/>
    </row>
    <row r="56" spans="8:40" ht="23">
      <c r="H56" s="8"/>
      <c r="I56" s="8"/>
      <c r="J56" s="8"/>
      <c r="K56" s="8"/>
      <c r="L56" s="8"/>
      <c r="M56" s="9" t="s">
        <v>2214</v>
      </c>
      <c r="N56" s="8" t="s">
        <v>150</v>
      </c>
      <c r="O56" s="8"/>
      <c r="P56" s="8"/>
      <c r="Q56" s="8"/>
      <c r="R56" s="8"/>
      <c r="S56" s="8"/>
      <c r="T56" s="8"/>
      <c r="U56" s="8"/>
      <c r="V56" s="8"/>
      <c r="W56" s="9" t="s">
        <v>2214</v>
      </c>
      <c r="X56" s="8">
        <v>29.59</v>
      </c>
      <c r="Y56" s="8">
        <v>1.35</v>
      </c>
      <c r="Z56" s="9">
        <v>0.15</v>
      </c>
      <c r="AA56" s="8">
        <v>64</v>
      </c>
      <c r="AB56" s="8">
        <v>12522</v>
      </c>
      <c r="AC56" s="9" t="s">
        <v>2214</v>
      </c>
      <c r="AD56" s="8" t="s">
        <v>4118</v>
      </c>
      <c r="AE56" s="8"/>
      <c r="AF56" s="9">
        <f t="shared" si="2"/>
        <v>86.4</v>
      </c>
      <c r="AG56" s="9">
        <f t="shared" si="3"/>
        <v>16</v>
      </c>
      <c r="AH56" s="1"/>
      <c r="AI56" s="1"/>
      <c r="AJ56" s="1"/>
      <c r="AK56" s="1"/>
      <c r="AL56" s="1"/>
      <c r="AM56" s="1"/>
      <c r="AN56" s="1"/>
    </row>
    <row r="57" spans="8:40" ht="23">
      <c r="H57" s="8"/>
      <c r="I57" s="8"/>
      <c r="J57" s="8"/>
      <c r="K57" s="8"/>
      <c r="L57" s="8"/>
      <c r="M57" s="8" t="s">
        <v>492</v>
      </c>
      <c r="N57" s="8" t="s">
        <v>150</v>
      </c>
      <c r="O57" s="8"/>
      <c r="P57" s="8"/>
      <c r="Q57" s="8"/>
      <c r="R57" s="8"/>
      <c r="S57" s="8"/>
      <c r="T57" s="8"/>
      <c r="U57" s="8"/>
      <c r="V57" s="8"/>
      <c r="W57" s="8" t="s">
        <v>492</v>
      </c>
      <c r="X57" s="8">
        <v>1.59</v>
      </c>
      <c r="Y57" s="8">
        <v>3.96</v>
      </c>
      <c r="Z57" s="9">
        <v>1.28</v>
      </c>
      <c r="AA57" s="8">
        <v>63.7</v>
      </c>
      <c r="AB57" s="8">
        <v>22135</v>
      </c>
      <c r="AC57" s="8" t="s">
        <v>492</v>
      </c>
      <c r="AD57" s="8" t="s">
        <v>3682</v>
      </c>
      <c r="AE57" s="8"/>
      <c r="AF57" s="9">
        <f t="shared" si="2"/>
        <v>252.25200000000001</v>
      </c>
      <c r="AG57" s="9">
        <f t="shared" si="3"/>
        <v>93.426666666666677</v>
      </c>
      <c r="AH57" s="1"/>
      <c r="AI57" s="1"/>
      <c r="AJ57" s="1"/>
      <c r="AK57" s="1"/>
      <c r="AL57" s="1"/>
      <c r="AM57" s="1"/>
      <c r="AN57" s="1"/>
    </row>
    <row r="58" spans="8:40" ht="23">
      <c r="H58" s="8"/>
      <c r="I58" s="8"/>
      <c r="J58" s="8"/>
      <c r="K58" s="8"/>
      <c r="L58" s="8"/>
      <c r="M58" s="8" t="s">
        <v>600</v>
      </c>
      <c r="N58" s="8" t="s">
        <v>150</v>
      </c>
      <c r="O58" s="8"/>
      <c r="P58" s="8"/>
      <c r="Q58" s="8"/>
      <c r="R58" s="8"/>
      <c r="S58" s="8"/>
      <c r="T58" s="8"/>
      <c r="U58" s="8"/>
      <c r="V58" s="8"/>
      <c r="W58" s="8" t="s">
        <v>600</v>
      </c>
      <c r="X58" s="8">
        <v>4.63</v>
      </c>
      <c r="Y58" s="8">
        <v>14.89</v>
      </c>
      <c r="Z58" s="9">
        <v>2.4300000000000002</v>
      </c>
      <c r="AA58" s="8">
        <v>62.4</v>
      </c>
      <c r="AB58" s="8">
        <v>24920</v>
      </c>
      <c r="AC58" s="8" t="s">
        <v>600</v>
      </c>
      <c r="AD58" s="8" t="s">
        <v>4116</v>
      </c>
      <c r="AE58" s="8"/>
      <c r="AF58" s="9">
        <f t="shared" si="2"/>
        <v>929.13599999999997</v>
      </c>
      <c r="AG58" s="9">
        <f t="shared" si="3"/>
        <v>169.52</v>
      </c>
      <c r="AH58" s="1"/>
      <c r="AI58" s="1"/>
      <c r="AJ58" s="1"/>
      <c r="AK58" s="1"/>
      <c r="AL58" s="1"/>
      <c r="AM58" s="1"/>
      <c r="AN58" s="1"/>
    </row>
    <row r="59" spans="8:40" ht="23">
      <c r="H59" s="8"/>
      <c r="I59" s="8"/>
      <c r="J59" s="8"/>
      <c r="K59" s="8"/>
      <c r="L59" s="8"/>
      <c r="M59" s="9" t="s">
        <v>2617</v>
      </c>
      <c r="N59" s="8" t="s">
        <v>150</v>
      </c>
      <c r="O59" s="8"/>
      <c r="P59" s="8" t="s">
        <v>3691</v>
      </c>
      <c r="Q59" s="8"/>
      <c r="R59" s="8"/>
      <c r="S59" s="8"/>
      <c r="T59" s="8"/>
      <c r="U59" s="8"/>
      <c r="V59" s="8"/>
      <c r="W59" s="9" t="s">
        <v>2617</v>
      </c>
      <c r="X59" s="8">
        <v>0.73</v>
      </c>
      <c r="Y59" s="8">
        <v>2.0499999999999998</v>
      </c>
      <c r="Z59" s="9">
        <v>0.06</v>
      </c>
      <c r="AA59" s="8">
        <v>57.1</v>
      </c>
      <c r="AB59" s="8">
        <v>34869</v>
      </c>
      <c r="AC59" s="9" t="s">
        <v>2617</v>
      </c>
      <c r="AD59" s="8" t="s">
        <v>3680</v>
      </c>
      <c r="AE59" s="8"/>
      <c r="AF59" s="9">
        <f t="shared" si="2"/>
        <v>117.05499999999999</v>
      </c>
      <c r="AG59" s="9">
        <f t="shared" si="3"/>
        <v>5.7100000000000009</v>
      </c>
      <c r="AH59" s="1"/>
      <c r="AI59" s="1"/>
      <c r="AJ59" s="1"/>
      <c r="AK59" s="1"/>
      <c r="AL59" s="1"/>
      <c r="AM59" s="1"/>
      <c r="AN59" s="1"/>
    </row>
    <row r="60" spans="8:40" ht="23">
      <c r="H60" s="8"/>
      <c r="I60" s="8"/>
      <c r="J60" s="8"/>
      <c r="K60" s="8"/>
      <c r="L60" s="8"/>
      <c r="M60" s="9" t="s">
        <v>2757</v>
      </c>
      <c r="N60" s="8" t="s">
        <v>1614</v>
      </c>
      <c r="O60" s="8"/>
      <c r="P60" s="8"/>
      <c r="Q60" s="8"/>
      <c r="R60" s="8"/>
      <c r="S60" s="8"/>
      <c r="T60" s="8"/>
      <c r="U60" s="8"/>
      <c r="V60" s="8"/>
      <c r="W60" s="9" t="s">
        <v>2757</v>
      </c>
      <c r="X60" s="8">
        <v>30.85</v>
      </c>
      <c r="Y60" s="8">
        <v>1.5</v>
      </c>
      <c r="Z60" s="9">
        <v>0.1</v>
      </c>
      <c r="AA60" s="8">
        <v>53.7</v>
      </c>
      <c r="AB60" s="8">
        <v>21681</v>
      </c>
      <c r="AC60" s="9" t="s">
        <v>2757</v>
      </c>
      <c r="AD60" s="8" t="s">
        <v>3682</v>
      </c>
      <c r="AE60" s="8"/>
      <c r="AF60" s="9">
        <f t="shared" si="2"/>
        <v>80.550000000000011</v>
      </c>
      <c r="AG60" s="9">
        <f t="shared" si="3"/>
        <v>8.950000000000001E-2</v>
      </c>
      <c r="AH60" s="1"/>
      <c r="AI60" s="1"/>
      <c r="AJ60" s="1"/>
      <c r="AK60" s="1"/>
      <c r="AL60" s="1"/>
      <c r="AM60" s="1"/>
      <c r="AN60" s="1"/>
    </row>
    <row r="61" spans="8:40" ht="23">
      <c r="H61" s="8"/>
      <c r="I61" s="8"/>
      <c r="J61" s="8"/>
      <c r="K61" s="8"/>
      <c r="L61" s="8"/>
      <c r="M61" s="9" t="s">
        <v>2416</v>
      </c>
      <c r="N61" s="8" t="s">
        <v>150</v>
      </c>
      <c r="O61" s="8"/>
      <c r="P61" s="8"/>
      <c r="Q61" s="8"/>
      <c r="R61" s="8"/>
      <c r="S61" s="8"/>
      <c r="T61" s="8"/>
      <c r="U61" s="8"/>
      <c r="V61" s="8"/>
      <c r="W61" s="9" t="s">
        <v>2416</v>
      </c>
      <c r="X61" s="8">
        <v>29.56</v>
      </c>
      <c r="Y61" s="8">
        <v>2.62</v>
      </c>
      <c r="Z61" s="9">
        <v>2.02</v>
      </c>
      <c r="AA61" s="8">
        <v>52</v>
      </c>
      <c r="AB61" s="8">
        <v>4061</v>
      </c>
      <c r="AC61" s="9" t="s">
        <v>2416</v>
      </c>
      <c r="AD61" s="8" t="s">
        <v>4096</v>
      </c>
      <c r="AE61" s="8"/>
      <c r="AF61" s="9">
        <f t="shared" si="2"/>
        <v>136.24</v>
      </c>
      <c r="AG61" s="9">
        <f t="shared" si="3"/>
        <v>105.73333333333332</v>
      </c>
      <c r="AH61" s="1"/>
      <c r="AI61" s="1"/>
      <c r="AJ61" s="1"/>
      <c r="AK61" s="1"/>
      <c r="AL61" s="1"/>
      <c r="AM61" s="1"/>
      <c r="AN61" s="1"/>
    </row>
    <row r="62" spans="8:40" ht="23">
      <c r="H62" s="8"/>
      <c r="I62" s="8"/>
      <c r="J62" s="8"/>
      <c r="K62" s="8"/>
      <c r="L62" s="8"/>
      <c r="M62" s="8" t="s">
        <v>328</v>
      </c>
      <c r="N62" s="8" t="s">
        <v>150</v>
      </c>
      <c r="O62" s="8"/>
      <c r="P62" s="8"/>
      <c r="Q62" s="8"/>
      <c r="R62" s="8"/>
      <c r="S62" s="8"/>
      <c r="T62" s="8"/>
      <c r="U62" s="8"/>
      <c r="V62" s="8"/>
      <c r="W62" s="8" t="s">
        <v>328</v>
      </c>
      <c r="X62" s="8">
        <v>19.329999999999998</v>
      </c>
      <c r="Y62" s="8">
        <v>3.14</v>
      </c>
      <c r="Z62" s="9">
        <v>2.4</v>
      </c>
      <c r="AA62" s="8">
        <v>51.9</v>
      </c>
      <c r="AB62" s="8">
        <v>5300</v>
      </c>
      <c r="AC62" s="8" t="s">
        <v>328</v>
      </c>
      <c r="AD62" s="8" t="s">
        <v>3682</v>
      </c>
      <c r="AE62" s="8"/>
      <c r="AF62" s="9">
        <f t="shared" si="2"/>
        <v>162.96600000000001</v>
      </c>
      <c r="AG62" s="9">
        <f t="shared" si="3"/>
        <v>104.146</v>
      </c>
      <c r="AH62" s="1"/>
      <c r="AI62" s="1"/>
      <c r="AJ62" s="1"/>
      <c r="AK62" s="1"/>
      <c r="AL62" s="1"/>
      <c r="AM62" s="1"/>
      <c r="AN62" s="1"/>
    </row>
    <row r="63" spans="8:40" ht="23">
      <c r="H63" s="8"/>
      <c r="I63" s="8"/>
      <c r="J63" s="8"/>
      <c r="K63" s="8"/>
      <c r="L63" s="8"/>
      <c r="M63" s="9" t="s">
        <v>2213</v>
      </c>
      <c r="N63" s="8" t="s">
        <v>150</v>
      </c>
      <c r="O63" s="8"/>
      <c r="P63" s="8"/>
      <c r="Q63" s="8"/>
      <c r="R63" s="8"/>
      <c r="S63" s="8"/>
      <c r="T63" s="8"/>
      <c r="U63" s="8"/>
      <c r="V63" s="8"/>
      <c r="W63" s="9" t="s">
        <v>2213</v>
      </c>
      <c r="X63" s="8">
        <v>34.130000000000003</v>
      </c>
      <c r="Y63" s="8">
        <v>3.32</v>
      </c>
      <c r="Z63" s="9">
        <v>2.38</v>
      </c>
      <c r="AA63" s="8">
        <v>51.9</v>
      </c>
      <c r="AB63" s="8">
        <v>2664</v>
      </c>
      <c r="AC63" s="9" t="s">
        <v>2213</v>
      </c>
      <c r="AD63" s="8" t="s">
        <v>3699</v>
      </c>
      <c r="AE63" s="8"/>
      <c r="AF63" s="9">
        <f t="shared" si="2"/>
        <v>172.30799999999999</v>
      </c>
      <c r="AG63" s="9">
        <f t="shared" si="3"/>
        <v>136.66999999999999</v>
      </c>
      <c r="AH63" s="1"/>
      <c r="AI63" s="1"/>
      <c r="AJ63" s="1"/>
      <c r="AK63" s="1"/>
      <c r="AL63" s="1"/>
      <c r="AM63" s="1"/>
      <c r="AN63" s="1"/>
    </row>
    <row r="64" spans="8:40" ht="23">
      <c r="H64" s="8"/>
      <c r="I64" s="8"/>
      <c r="J64" s="8"/>
      <c r="K64" s="8"/>
      <c r="L64" s="8"/>
      <c r="M64" s="8" t="s">
        <v>1043</v>
      </c>
      <c r="N64" s="8" t="s">
        <v>150</v>
      </c>
      <c r="O64" s="8"/>
      <c r="P64" s="8"/>
      <c r="Q64" s="8"/>
      <c r="R64" s="8"/>
      <c r="S64" s="8"/>
      <c r="T64" s="8"/>
      <c r="U64" s="8"/>
      <c r="V64" s="8"/>
      <c r="W64" s="8" t="s">
        <v>1043</v>
      </c>
      <c r="X64" s="8">
        <v>47.98</v>
      </c>
      <c r="Y64" s="8">
        <v>1.1599999999999999</v>
      </c>
      <c r="Z64" s="9">
        <v>0.09</v>
      </c>
      <c r="AA64" s="8">
        <v>45.4</v>
      </c>
      <c r="AB64" s="8">
        <v>24020</v>
      </c>
      <c r="AC64" s="8" t="s">
        <v>1043</v>
      </c>
      <c r="AD64" s="8" t="s">
        <v>4153</v>
      </c>
      <c r="AE64" s="8"/>
      <c r="AF64" s="9">
        <f t="shared" si="2"/>
        <v>52.663999999999994</v>
      </c>
      <c r="AG64" s="9">
        <f t="shared" si="3"/>
        <v>6.81</v>
      </c>
      <c r="AH64" s="1"/>
      <c r="AI64" s="1"/>
      <c r="AJ64" s="1"/>
      <c r="AK64" s="1"/>
      <c r="AL64" s="1"/>
      <c r="AM64" s="1"/>
      <c r="AN64" s="1"/>
    </row>
    <row r="65" spans="8:40" ht="23">
      <c r="H65" s="8"/>
      <c r="I65" s="8"/>
      <c r="J65" s="8"/>
      <c r="K65" s="8"/>
      <c r="L65" s="8"/>
      <c r="M65" s="9" t="s">
        <v>2914</v>
      </c>
      <c r="N65" s="8" t="s">
        <v>1717</v>
      </c>
      <c r="O65" s="8"/>
      <c r="P65" s="8"/>
      <c r="Q65" s="8"/>
      <c r="R65" s="8"/>
      <c r="S65" s="8"/>
      <c r="T65" s="8"/>
      <c r="U65" s="8"/>
      <c r="V65" s="8"/>
      <c r="W65" s="9" t="s">
        <v>2914</v>
      </c>
      <c r="X65" s="8">
        <v>37.96</v>
      </c>
      <c r="Y65" s="8">
        <v>1.58</v>
      </c>
      <c r="Z65" s="9">
        <v>0.15</v>
      </c>
      <c r="AA65" s="8">
        <v>45.1</v>
      </c>
      <c r="AB65" s="8">
        <v>16799</v>
      </c>
      <c r="AC65" s="9" t="s">
        <v>2914</v>
      </c>
      <c r="AD65" s="8" t="s">
        <v>4202</v>
      </c>
      <c r="AE65" s="8"/>
      <c r="AF65" s="9">
        <f t="shared" si="2"/>
        <v>71.25800000000001</v>
      </c>
      <c r="AG65" s="9">
        <f t="shared" si="3"/>
        <v>11.275</v>
      </c>
      <c r="AH65" s="1"/>
      <c r="AI65" s="1"/>
      <c r="AJ65" s="1"/>
      <c r="AK65" s="1"/>
      <c r="AL65" s="1"/>
      <c r="AM65" s="1"/>
      <c r="AN65" s="1"/>
    </row>
    <row r="66" spans="8:40" ht="23">
      <c r="H66" s="8"/>
      <c r="I66" s="8"/>
      <c r="J66" s="8"/>
      <c r="K66" s="8"/>
      <c r="L66" s="8"/>
      <c r="M66" s="8" t="s">
        <v>353</v>
      </c>
      <c r="N66" s="8" t="s">
        <v>150</v>
      </c>
      <c r="O66" s="8"/>
      <c r="P66" s="8"/>
      <c r="Q66" s="8"/>
      <c r="R66" s="8"/>
      <c r="S66" s="8"/>
      <c r="T66" s="8"/>
      <c r="U66" s="8"/>
      <c r="V66" s="8"/>
      <c r="W66" s="8" t="s">
        <v>353</v>
      </c>
      <c r="X66" s="8">
        <v>14.05</v>
      </c>
      <c r="Y66" s="8">
        <v>1.34</v>
      </c>
      <c r="Z66" s="9">
        <v>3.41</v>
      </c>
      <c r="AA66" s="8">
        <v>42.2</v>
      </c>
      <c r="AB66" s="8">
        <v>20927</v>
      </c>
      <c r="AC66" s="8" t="s">
        <v>353</v>
      </c>
      <c r="AD66" s="8" t="s">
        <v>4168</v>
      </c>
      <c r="AE66" s="8"/>
      <c r="AF66" s="9">
        <f t="shared" ref="AF66:AF97" si="4">(AA66*Y66)</f>
        <v>56.548000000000009</v>
      </c>
      <c r="AG66" s="9">
        <f t="shared" ref="AG66:AG97" si="5">((((RIGHT(Z66,2))/60)+(LEFT(Z66,2)))*AA66)</f>
        <v>155.4366666666667</v>
      </c>
      <c r="AH66" s="1"/>
      <c r="AI66" s="1"/>
      <c r="AJ66" s="1"/>
      <c r="AK66" s="1"/>
      <c r="AL66" s="1"/>
      <c r="AM66" s="1"/>
      <c r="AN66" s="1"/>
    </row>
    <row r="67" spans="8:40" ht="23">
      <c r="H67" s="8"/>
      <c r="I67" s="8"/>
      <c r="J67" s="8"/>
      <c r="K67" s="8"/>
      <c r="L67" s="8"/>
      <c r="M67" s="9" t="s">
        <v>2434</v>
      </c>
      <c r="N67" s="8" t="s">
        <v>150</v>
      </c>
      <c r="O67" s="8"/>
      <c r="P67" s="8" t="s">
        <v>3691</v>
      </c>
      <c r="Q67" s="8"/>
      <c r="R67" s="8"/>
      <c r="S67" s="8"/>
      <c r="T67" s="8"/>
      <c r="U67" s="8"/>
      <c r="V67" s="8"/>
      <c r="W67" s="9" t="s">
        <v>2434</v>
      </c>
      <c r="X67" s="8">
        <v>51.46</v>
      </c>
      <c r="Y67" s="8">
        <v>1.48</v>
      </c>
      <c r="Z67" s="9">
        <v>0.4</v>
      </c>
      <c r="AA67" s="8">
        <v>42.1</v>
      </c>
      <c r="AB67" s="8">
        <v>16907</v>
      </c>
      <c r="AC67" s="9" t="s">
        <v>2434</v>
      </c>
      <c r="AD67" s="8" t="s">
        <v>3680</v>
      </c>
      <c r="AE67" s="8"/>
      <c r="AF67" s="9">
        <f t="shared" si="4"/>
        <v>62.308</v>
      </c>
      <c r="AG67" s="9">
        <f t="shared" si="5"/>
        <v>0.28066666666666668</v>
      </c>
      <c r="AH67" s="1"/>
      <c r="AI67" s="1"/>
      <c r="AJ67" s="1"/>
      <c r="AK67" s="1"/>
      <c r="AL67" s="1"/>
      <c r="AM67" s="1"/>
      <c r="AN67" s="1"/>
    </row>
    <row r="68" spans="8:40" ht="23">
      <c r="H68" s="8"/>
      <c r="I68" s="8"/>
      <c r="J68" s="8"/>
      <c r="K68" s="8"/>
      <c r="L68" s="8"/>
      <c r="M68" s="9"/>
      <c r="N68" s="8"/>
      <c r="O68" s="8"/>
      <c r="P68" s="8"/>
      <c r="Q68" s="8"/>
      <c r="R68" s="8"/>
      <c r="S68" s="8"/>
      <c r="T68" s="8"/>
      <c r="U68" s="8"/>
      <c r="V68" s="8"/>
      <c r="W68" s="9"/>
      <c r="X68" s="8">
        <v>12.44</v>
      </c>
      <c r="Y68" s="8">
        <v>2.52</v>
      </c>
      <c r="Z68" s="9">
        <v>1.2</v>
      </c>
      <c r="AA68" s="8">
        <v>41.7</v>
      </c>
      <c r="AB68" s="8">
        <v>9691</v>
      </c>
      <c r="AC68" s="9" t="s">
        <v>5199</v>
      </c>
      <c r="AD68" s="8" t="s">
        <v>3682</v>
      </c>
      <c r="AE68" s="8"/>
      <c r="AF68" s="9">
        <f t="shared" si="4"/>
        <v>105.084</v>
      </c>
      <c r="AG68" s="9">
        <f t="shared" si="5"/>
        <v>41.839000000000006</v>
      </c>
      <c r="AH68" s="1"/>
      <c r="AI68" s="1"/>
      <c r="AJ68" s="1"/>
      <c r="AK68" s="1"/>
      <c r="AL68" s="1"/>
      <c r="AM68" s="1"/>
      <c r="AN68" s="1"/>
    </row>
    <row r="69" spans="8:40" ht="23">
      <c r="H69" s="8"/>
      <c r="I69" s="8"/>
      <c r="J69" s="8"/>
      <c r="K69" s="8"/>
      <c r="L69" s="8"/>
      <c r="M69" s="9" t="s">
        <v>2203</v>
      </c>
      <c r="N69" s="8" t="s">
        <v>150</v>
      </c>
      <c r="O69" s="8"/>
      <c r="P69" s="8" t="s">
        <v>3693</v>
      </c>
      <c r="Q69" s="8"/>
      <c r="R69" s="8"/>
      <c r="S69" s="8"/>
      <c r="T69" s="8"/>
      <c r="U69" s="8"/>
      <c r="V69" s="8"/>
      <c r="W69" s="9" t="s">
        <v>2203</v>
      </c>
      <c r="X69" s="8">
        <v>11.54</v>
      </c>
      <c r="Y69" s="8">
        <v>23.67</v>
      </c>
      <c r="Z69" s="9">
        <v>28</v>
      </c>
      <c r="AA69" s="8">
        <v>38.700000000000003</v>
      </c>
      <c r="AB69" s="8">
        <v>1408</v>
      </c>
      <c r="AC69" s="9" t="s">
        <v>2203</v>
      </c>
      <c r="AD69" s="8" t="s">
        <v>4089</v>
      </c>
      <c r="AE69" s="8"/>
      <c r="AF69" s="9">
        <f t="shared" si="4"/>
        <v>916.02900000000011</v>
      </c>
      <c r="AG69" s="9">
        <f t="shared" si="5"/>
        <v>1101.6600000000001</v>
      </c>
      <c r="AH69" s="1"/>
      <c r="AI69" s="1"/>
      <c r="AJ69" s="1"/>
      <c r="AK69" s="1"/>
      <c r="AL69" s="1"/>
      <c r="AM69" s="1"/>
      <c r="AN69" s="1"/>
    </row>
    <row r="70" spans="8:40" ht="23">
      <c r="H70" s="8"/>
      <c r="I70" s="8"/>
      <c r="J70" s="8"/>
      <c r="K70" s="8"/>
      <c r="L70" s="8"/>
      <c r="M70" s="8" t="s">
        <v>1128</v>
      </c>
      <c r="N70" s="8" t="s">
        <v>150</v>
      </c>
      <c r="O70" s="8"/>
      <c r="P70" s="8"/>
      <c r="Q70" s="8"/>
      <c r="R70" s="8"/>
      <c r="S70" s="8"/>
      <c r="T70" s="8"/>
      <c r="U70" s="8"/>
      <c r="V70" s="8"/>
      <c r="W70" s="8" t="s">
        <v>1128</v>
      </c>
      <c r="X70" s="8">
        <v>59.76</v>
      </c>
      <c r="Y70" s="8">
        <v>1.36</v>
      </c>
      <c r="Z70" s="9">
        <v>0.31</v>
      </c>
      <c r="AA70" s="8">
        <v>34.9</v>
      </c>
      <c r="AB70" s="8">
        <v>12673</v>
      </c>
      <c r="AC70" s="8" t="s">
        <v>1128</v>
      </c>
      <c r="AD70" s="8" t="s">
        <v>3682</v>
      </c>
      <c r="AE70" s="8"/>
      <c r="AF70" s="9">
        <f t="shared" si="4"/>
        <v>47.463999999999999</v>
      </c>
      <c r="AG70" s="9">
        <f t="shared" si="5"/>
        <v>18.031666666666666</v>
      </c>
      <c r="AH70" s="1"/>
      <c r="AI70" s="1"/>
      <c r="AJ70" s="1"/>
      <c r="AK70" s="1"/>
      <c r="AL70" s="1"/>
      <c r="AM70" s="1"/>
      <c r="AN70" s="1"/>
    </row>
    <row r="71" spans="8:40" ht="23">
      <c r="H71" s="8"/>
      <c r="I71" s="8"/>
      <c r="J71" s="8"/>
      <c r="K71" s="8"/>
      <c r="L71" s="8"/>
      <c r="M71" s="9" t="s">
        <v>2678</v>
      </c>
      <c r="N71" s="8" t="s">
        <v>150</v>
      </c>
      <c r="O71" s="8"/>
      <c r="P71" s="8"/>
      <c r="Q71" s="8"/>
      <c r="R71" s="8"/>
      <c r="S71" s="8"/>
      <c r="T71" s="8"/>
      <c r="U71" s="8"/>
      <c r="V71" s="8"/>
      <c r="W71" s="9" t="s">
        <v>2678</v>
      </c>
      <c r="X71" s="8">
        <v>26.24</v>
      </c>
      <c r="Y71" s="8">
        <v>3.3</v>
      </c>
      <c r="Z71" s="9">
        <v>1.49</v>
      </c>
      <c r="AA71" s="8">
        <v>34.1</v>
      </c>
      <c r="AB71" s="8">
        <v>6589</v>
      </c>
      <c r="AC71" s="9" t="s">
        <v>2678</v>
      </c>
      <c r="AD71" s="8" t="s">
        <v>3699</v>
      </c>
      <c r="AE71" s="8"/>
      <c r="AF71" s="9">
        <f t="shared" si="4"/>
        <v>112.53</v>
      </c>
      <c r="AG71" s="9">
        <f t="shared" si="5"/>
        <v>61.948333333333338</v>
      </c>
      <c r="AH71" s="1"/>
      <c r="AI71" s="1"/>
      <c r="AJ71" s="1"/>
      <c r="AK71" s="1"/>
      <c r="AL71" s="1"/>
      <c r="AM71" s="1"/>
      <c r="AN71" s="1"/>
    </row>
    <row r="72" spans="8:40" ht="23">
      <c r="H72" s="8"/>
      <c r="I72" s="8"/>
      <c r="J72" s="8"/>
      <c r="K72" s="8"/>
      <c r="L72" s="8"/>
      <c r="M72" s="8" t="s">
        <v>1036</v>
      </c>
      <c r="N72" s="8" t="s">
        <v>150</v>
      </c>
      <c r="O72" s="8"/>
      <c r="P72" s="8"/>
      <c r="Q72" s="8"/>
      <c r="R72" s="8"/>
      <c r="S72" s="8"/>
      <c r="T72" s="8"/>
      <c r="U72" s="8"/>
      <c r="V72" s="8"/>
      <c r="W72" s="8" t="s">
        <v>1036</v>
      </c>
      <c r="X72" s="8">
        <v>19.829999999999998</v>
      </c>
      <c r="Y72" s="8">
        <v>4.47</v>
      </c>
      <c r="Z72" s="9">
        <v>3.35</v>
      </c>
      <c r="AA72" s="8">
        <v>33.700000000000003</v>
      </c>
      <c r="AB72" s="8">
        <v>5304</v>
      </c>
      <c r="AC72" s="8" t="s">
        <v>1036</v>
      </c>
      <c r="AD72" s="8" t="s">
        <v>3699</v>
      </c>
      <c r="AE72" s="8"/>
      <c r="AF72" s="9">
        <f t="shared" si="4"/>
        <v>150.63900000000001</v>
      </c>
      <c r="AG72" s="9">
        <f t="shared" si="5"/>
        <v>120.75833333333335</v>
      </c>
      <c r="AH72" s="1"/>
      <c r="AI72" s="1"/>
      <c r="AJ72" s="1"/>
      <c r="AK72" s="1"/>
      <c r="AL72" s="1"/>
      <c r="AM72" s="1"/>
      <c r="AN72" s="1"/>
    </row>
    <row r="73" spans="8:40" ht="23">
      <c r="H73" s="8"/>
      <c r="I73" s="8"/>
      <c r="J73" s="8"/>
      <c r="K73" s="8"/>
      <c r="L73" s="8"/>
      <c r="M73" s="8" t="s">
        <v>1221</v>
      </c>
      <c r="N73" s="8" t="s">
        <v>150</v>
      </c>
      <c r="O73" s="8"/>
      <c r="P73" s="8"/>
      <c r="Q73" s="8"/>
      <c r="R73" s="8"/>
      <c r="S73" s="8"/>
      <c r="T73" s="8"/>
      <c r="U73" s="8"/>
      <c r="V73" s="8"/>
      <c r="W73" s="8" t="s">
        <v>1221</v>
      </c>
      <c r="X73" s="8">
        <v>1.27</v>
      </c>
      <c r="Y73" s="8">
        <v>14.46</v>
      </c>
      <c r="Z73" s="9">
        <v>7.37</v>
      </c>
      <c r="AA73" s="8">
        <v>31.4</v>
      </c>
      <c r="AB73" s="8">
        <v>6313</v>
      </c>
      <c r="AC73" s="8" t="s">
        <v>1221</v>
      </c>
      <c r="AD73" s="8" t="s">
        <v>3682</v>
      </c>
      <c r="AE73" s="8"/>
      <c r="AF73" s="9">
        <f t="shared" si="4"/>
        <v>454.04399999999998</v>
      </c>
      <c r="AG73" s="9">
        <f t="shared" si="5"/>
        <v>239.16333333333333</v>
      </c>
      <c r="AH73" s="1"/>
      <c r="AI73" s="1"/>
      <c r="AJ73" s="1"/>
      <c r="AK73" s="1"/>
      <c r="AL73" s="1"/>
      <c r="AM73" s="1"/>
      <c r="AN73" s="1"/>
    </row>
    <row r="74" spans="8:40" ht="23">
      <c r="H74" s="8"/>
      <c r="I74" s="8"/>
      <c r="J74" s="8"/>
      <c r="K74" s="8"/>
      <c r="L74" s="8"/>
      <c r="M74" s="9" t="s">
        <v>3640</v>
      </c>
      <c r="N74" s="8" t="s">
        <v>2100</v>
      </c>
      <c r="O74" s="8"/>
      <c r="P74" s="8"/>
      <c r="Q74" s="8"/>
      <c r="R74" s="8"/>
      <c r="S74" s="8"/>
      <c r="T74" s="8"/>
      <c r="U74" s="8"/>
      <c r="V74" s="8"/>
      <c r="W74" s="9" t="s">
        <v>3640</v>
      </c>
      <c r="X74" s="8">
        <v>16.489999999999998</v>
      </c>
      <c r="Y74" s="8">
        <v>4.25</v>
      </c>
      <c r="Z74" s="9">
        <v>2.5099999999999998</v>
      </c>
      <c r="AA74" s="8">
        <v>27.3</v>
      </c>
      <c r="AB74" s="8">
        <v>23182</v>
      </c>
      <c r="AC74" s="9" t="s">
        <v>3640</v>
      </c>
      <c r="AD74" s="8" t="s">
        <v>4219</v>
      </c>
      <c r="AE74" s="8"/>
      <c r="AF74" s="9">
        <f t="shared" si="4"/>
        <v>116.02500000000001</v>
      </c>
      <c r="AG74" s="9">
        <f t="shared" si="5"/>
        <v>77.805000000000007</v>
      </c>
      <c r="AH74" s="1"/>
      <c r="AI74" s="1"/>
      <c r="AJ74" s="1"/>
      <c r="AK74" s="1"/>
      <c r="AL74" s="1"/>
      <c r="AM74" s="1"/>
      <c r="AN74" s="1"/>
    </row>
    <row r="75" spans="8:40" ht="23">
      <c r="H75" s="8"/>
      <c r="I75" s="8"/>
      <c r="J75" s="8"/>
      <c r="K75" s="8"/>
      <c r="L75" s="8"/>
      <c r="M75" s="9" t="s">
        <v>2346</v>
      </c>
      <c r="N75" s="8" t="s">
        <v>150</v>
      </c>
      <c r="O75" s="8"/>
      <c r="P75" s="8"/>
      <c r="Q75" s="8"/>
      <c r="R75" s="8"/>
      <c r="S75" s="8"/>
      <c r="T75" s="8"/>
      <c r="U75" s="8"/>
      <c r="V75" s="8"/>
      <c r="W75" s="9" t="s">
        <v>2346</v>
      </c>
      <c r="X75" s="8">
        <v>27.04</v>
      </c>
      <c r="Y75" s="8">
        <v>6.06</v>
      </c>
      <c r="Z75" s="9">
        <v>2.08</v>
      </c>
      <c r="AA75" s="8">
        <v>25.2</v>
      </c>
      <c r="AB75" s="8">
        <v>6650</v>
      </c>
      <c r="AC75" s="9" t="s">
        <v>2346</v>
      </c>
      <c r="AD75" s="8" t="s">
        <v>3699</v>
      </c>
      <c r="AE75" s="8"/>
      <c r="AF75" s="9">
        <f t="shared" si="4"/>
        <v>152.71199999999999</v>
      </c>
      <c r="AG75" s="9">
        <f t="shared" si="5"/>
        <v>53.76</v>
      </c>
      <c r="AH75" s="1"/>
      <c r="AI75" s="1"/>
      <c r="AJ75" s="1"/>
      <c r="AK75" s="1"/>
      <c r="AL75" s="1"/>
      <c r="AM75" s="1"/>
      <c r="AN75" s="1"/>
    </row>
    <row r="76" spans="8:40" ht="23">
      <c r="H76" s="8"/>
      <c r="I76" s="8"/>
      <c r="J76" s="8"/>
      <c r="K76" s="8"/>
      <c r="L76" s="8"/>
      <c r="M76" s="8" t="s">
        <v>1678</v>
      </c>
      <c r="N76" s="8" t="s">
        <v>1614</v>
      </c>
      <c r="O76" s="8"/>
      <c r="P76" s="8"/>
      <c r="Q76" s="8"/>
      <c r="R76" s="8"/>
      <c r="S76" s="8"/>
      <c r="T76" s="8"/>
      <c r="U76" s="8"/>
      <c r="V76" s="8"/>
      <c r="W76" s="8" t="s">
        <v>1678</v>
      </c>
      <c r="X76" s="8">
        <v>24.85</v>
      </c>
      <c r="Y76" s="8">
        <v>3.53</v>
      </c>
      <c r="Z76" s="9">
        <v>3.3</v>
      </c>
      <c r="AA76" s="8">
        <v>23.3</v>
      </c>
      <c r="AB76" s="8">
        <v>4807</v>
      </c>
      <c r="AC76" s="8" t="s">
        <v>1678</v>
      </c>
      <c r="AD76" s="8" t="s">
        <v>3682</v>
      </c>
      <c r="AE76" s="8"/>
      <c r="AF76" s="9">
        <f t="shared" si="4"/>
        <v>82.248999999999995</v>
      </c>
      <c r="AG76" s="9">
        <f t="shared" si="5"/>
        <v>70.016499999999994</v>
      </c>
      <c r="AH76" s="1"/>
      <c r="AI76" s="1"/>
      <c r="AJ76" s="1"/>
      <c r="AK76" s="1"/>
      <c r="AL76" s="1"/>
      <c r="AM76" s="1"/>
      <c r="AN76" s="1"/>
    </row>
    <row r="77" spans="8:40" ht="23">
      <c r="H77" s="8"/>
      <c r="I77" s="8"/>
      <c r="J77" s="8"/>
      <c r="K77" s="8"/>
      <c r="L77" s="8"/>
      <c r="M77" s="8" t="s">
        <v>1574</v>
      </c>
      <c r="N77" s="8" t="s">
        <v>150</v>
      </c>
      <c r="O77" s="8"/>
      <c r="P77" s="8" t="s">
        <v>3704</v>
      </c>
      <c r="Q77" s="8"/>
      <c r="R77" s="8"/>
      <c r="S77" s="8"/>
      <c r="T77" s="8"/>
      <c r="U77" s="8"/>
      <c r="V77" s="8"/>
      <c r="W77" s="8" t="s">
        <v>1574</v>
      </c>
      <c r="X77" s="8">
        <v>14.47</v>
      </c>
      <c r="Y77" s="8">
        <v>4.17</v>
      </c>
      <c r="Z77" s="9">
        <v>2.27</v>
      </c>
      <c r="AA77" s="8">
        <v>23.2</v>
      </c>
      <c r="AB77" s="8">
        <v>6055</v>
      </c>
      <c r="AC77" s="8" t="s">
        <v>1574</v>
      </c>
      <c r="AD77" s="8" t="s">
        <v>4148</v>
      </c>
      <c r="AE77" s="8"/>
      <c r="AF77" s="9">
        <f t="shared" si="4"/>
        <v>96.744</v>
      </c>
      <c r="AG77" s="9">
        <f t="shared" si="5"/>
        <v>56.84</v>
      </c>
      <c r="AH77" s="1"/>
      <c r="AI77" s="1"/>
      <c r="AJ77" s="1"/>
      <c r="AK77" s="1"/>
      <c r="AL77" s="1"/>
      <c r="AM77" s="1"/>
      <c r="AN77" s="1"/>
    </row>
    <row r="78" spans="8:40" ht="23">
      <c r="H78" s="8"/>
      <c r="I78" s="8"/>
      <c r="J78" s="8"/>
      <c r="K78" s="8"/>
      <c r="L78" s="8"/>
      <c r="M78" s="9" t="s">
        <v>2956</v>
      </c>
      <c r="N78" s="8" t="s">
        <v>1717</v>
      </c>
      <c r="O78" s="8"/>
      <c r="P78" s="8"/>
      <c r="Q78" s="8"/>
      <c r="R78" s="8"/>
      <c r="S78" s="8"/>
      <c r="T78" s="8"/>
      <c r="U78" s="8"/>
      <c r="V78" s="8"/>
      <c r="W78" s="9" t="s">
        <v>2956</v>
      </c>
      <c r="X78" s="8">
        <v>25.31</v>
      </c>
      <c r="Y78" s="8">
        <v>1.2</v>
      </c>
      <c r="Z78" s="9">
        <v>1.42</v>
      </c>
      <c r="AA78" s="8">
        <v>21.7</v>
      </c>
      <c r="AB78" s="8"/>
      <c r="AC78" s="9" t="s">
        <v>2956</v>
      </c>
      <c r="AD78" s="8" t="s">
        <v>3682</v>
      </c>
      <c r="AE78" s="8"/>
      <c r="AF78" s="9">
        <f t="shared" si="4"/>
        <v>26.04</v>
      </c>
      <c r="AG78" s="9">
        <f t="shared" si="5"/>
        <v>36.89</v>
      </c>
      <c r="AH78" s="1"/>
      <c r="AI78" s="1"/>
      <c r="AJ78" s="1"/>
      <c r="AK78" s="1"/>
      <c r="AL78" s="1"/>
      <c r="AM78" s="1"/>
      <c r="AN78" s="1"/>
    </row>
    <row r="79" spans="8:40" ht="23">
      <c r="H79" s="8"/>
      <c r="I79" s="8"/>
      <c r="J79" s="8"/>
      <c r="K79" s="8"/>
      <c r="L79" s="8"/>
      <c r="M79" s="8" t="s">
        <v>1186</v>
      </c>
      <c r="N79" s="8" t="s">
        <v>150</v>
      </c>
      <c r="O79" s="8"/>
      <c r="P79" s="8" t="s">
        <v>3691</v>
      </c>
      <c r="Q79" s="8"/>
      <c r="R79" s="8"/>
      <c r="S79" s="8"/>
      <c r="T79" s="8"/>
      <c r="U79" s="8"/>
      <c r="V79" s="8"/>
      <c r="W79" s="8" t="s">
        <v>1186</v>
      </c>
      <c r="X79" s="8">
        <v>31.9</v>
      </c>
      <c r="Y79" s="8">
        <v>1.85</v>
      </c>
      <c r="Z79" s="9">
        <v>0.43</v>
      </c>
      <c r="AA79" s="8">
        <v>20.8</v>
      </c>
      <c r="AB79" s="8">
        <v>14636</v>
      </c>
      <c r="AC79" s="8" t="s">
        <v>1186</v>
      </c>
      <c r="AD79" s="8" t="s">
        <v>4072</v>
      </c>
      <c r="AE79" s="8"/>
      <c r="AF79" s="9">
        <f t="shared" si="4"/>
        <v>38.480000000000004</v>
      </c>
      <c r="AG79" s="9">
        <f t="shared" si="5"/>
        <v>14.906666666666668</v>
      </c>
      <c r="AH79" s="1"/>
      <c r="AI79" s="1"/>
      <c r="AJ79" s="1"/>
      <c r="AK79" s="1"/>
      <c r="AL79" s="1"/>
      <c r="AM79" s="1"/>
      <c r="AN79" s="1"/>
    </row>
    <row r="80" spans="8:40" ht="23">
      <c r="H80" s="8"/>
      <c r="I80" s="8"/>
      <c r="J80" s="8"/>
      <c r="K80" s="8"/>
      <c r="L80" s="8"/>
      <c r="M80" s="9" t="s">
        <v>3641</v>
      </c>
      <c r="N80" s="8" t="s">
        <v>2100</v>
      </c>
      <c r="O80" s="8"/>
      <c r="P80" s="8"/>
      <c r="Q80" s="8"/>
      <c r="R80" s="8"/>
      <c r="S80" s="8"/>
      <c r="T80" s="8"/>
      <c r="U80" s="8"/>
      <c r="V80" s="8"/>
      <c r="W80" s="9" t="s">
        <v>3641</v>
      </c>
      <c r="X80" s="8">
        <v>6.43</v>
      </c>
      <c r="Y80" s="8">
        <v>4.3499999999999996</v>
      </c>
      <c r="Z80" s="9">
        <v>1.03</v>
      </c>
      <c r="AA80" s="8">
        <v>20.399999999999999</v>
      </c>
      <c r="AB80" s="8">
        <v>25084</v>
      </c>
      <c r="AC80" s="9" t="s">
        <v>3641</v>
      </c>
      <c r="AD80" s="8" t="s">
        <v>3682</v>
      </c>
      <c r="AE80" s="8"/>
      <c r="AF80" s="9">
        <f t="shared" si="4"/>
        <v>88.739999999999981</v>
      </c>
      <c r="AG80" s="9">
        <f t="shared" si="5"/>
        <v>21.419999999999998</v>
      </c>
      <c r="AH80" s="1"/>
      <c r="AI80" s="1"/>
      <c r="AJ80" s="1"/>
      <c r="AK80" s="1"/>
      <c r="AL80" s="1"/>
      <c r="AM80" s="1"/>
      <c r="AN80" s="1"/>
    </row>
    <row r="81" spans="8:40" ht="23">
      <c r="H81" s="8"/>
      <c r="I81" s="8"/>
      <c r="J81" s="8"/>
      <c r="K81" s="8"/>
      <c r="L81" s="8"/>
      <c r="M81" s="9" t="s">
        <v>2157</v>
      </c>
      <c r="N81" s="8" t="s">
        <v>150</v>
      </c>
      <c r="O81" s="8"/>
      <c r="P81" s="8"/>
      <c r="Q81" s="8"/>
      <c r="R81" s="8"/>
      <c r="S81" s="8"/>
      <c r="T81" s="8"/>
      <c r="U81" s="8"/>
      <c r="V81" s="8"/>
      <c r="W81" s="9" t="s">
        <v>2157</v>
      </c>
      <c r="X81" s="8">
        <v>13.67</v>
      </c>
      <c r="Y81" s="8">
        <v>2.94</v>
      </c>
      <c r="Z81" s="9">
        <v>1.1599999999999999</v>
      </c>
      <c r="AA81" s="8">
        <v>19</v>
      </c>
      <c r="AB81" s="8">
        <v>13943</v>
      </c>
      <c r="AC81" s="9" t="s">
        <v>2157</v>
      </c>
      <c r="AD81" s="8" t="s">
        <v>3699</v>
      </c>
      <c r="AE81" s="8"/>
      <c r="AF81" s="9">
        <f t="shared" si="4"/>
        <v>55.86</v>
      </c>
      <c r="AG81" s="9">
        <f t="shared" si="5"/>
        <v>24.066666666666666</v>
      </c>
      <c r="AH81" s="1"/>
      <c r="AI81" s="1"/>
      <c r="AJ81" s="1"/>
      <c r="AK81" s="1"/>
      <c r="AL81" s="1"/>
      <c r="AM81" s="1"/>
      <c r="AN81" s="1"/>
    </row>
    <row r="82" spans="8:40" ht="23">
      <c r="H82" s="8"/>
      <c r="I82" s="8"/>
      <c r="J82" s="8"/>
      <c r="K82" s="8"/>
      <c r="L82" s="8"/>
      <c r="M82" s="9" t="s">
        <v>2260</v>
      </c>
      <c r="N82" s="8" t="s">
        <v>150</v>
      </c>
      <c r="O82" s="8"/>
      <c r="P82" s="8"/>
      <c r="Q82" s="8"/>
      <c r="R82" s="8"/>
      <c r="S82" s="8"/>
      <c r="T82" s="8"/>
      <c r="U82" s="8"/>
      <c r="V82" s="8"/>
      <c r="W82" s="9" t="s">
        <v>2260</v>
      </c>
      <c r="X82" s="8">
        <v>20.61</v>
      </c>
      <c r="Y82" s="8">
        <v>2.73</v>
      </c>
      <c r="Z82" s="9">
        <v>1.34</v>
      </c>
      <c r="AA82" s="8">
        <v>14</v>
      </c>
      <c r="AB82" s="8">
        <v>14404</v>
      </c>
      <c r="AC82" s="9" t="s">
        <v>2260</v>
      </c>
      <c r="AD82" s="8" t="s">
        <v>4123</v>
      </c>
      <c r="AE82" s="8"/>
      <c r="AF82" s="9">
        <f t="shared" si="4"/>
        <v>38.22</v>
      </c>
      <c r="AG82" s="9">
        <f t="shared" si="5"/>
        <v>21.933333333333334</v>
      </c>
      <c r="AH82" s="1"/>
      <c r="AI82" s="1"/>
      <c r="AJ82" s="1"/>
      <c r="AK82" s="1"/>
      <c r="AL82" s="1"/>
      <c r="AM82" s="1"/>
      <c r="AN82" s="1"/>
    </row>
    <row r="83" spans="8:40" ht="23">
      <c r="H83" s="8"/>
      <c r="I83" s="8"/>
      <c r="J83" s="8"/>
      <c r="K83" s="8"/>
      <c r="L83" s="8"/>
      <c r="M83" s="9" t="s">
        <v>2578</v>
      </c>
      <c r="N83" s="8" t="s">
        <v>150</v>
      </c>
      <c r="O83" s="8"/>
      <c r="P83" s="8"/>
      <c r="Q83" s="8"/>
      <c r="R83" s="8"/>
      <c r="S83" s="8"/>
      <c r="T83" s="8"/>
      <c r="U83" s="8"/>
      <c r="V83" s="8"/>
      <c r="W83" s="9" t="s">
        <v>2578</v>
      </c>
      <c r="X83" s="8">
        <v>38.51</v>
      </c>
      <c r="Y83" s="8">
        <v>1.57</v>
      </c>
      <c r="Z83" s="9">
        <v>0.28999999999999998</v>
      </c>
      <c r="AA83" s="8">
        <v>13.7</v>
      </c>
      <c r="AB83" s="8">
        <v>22278</v>
      </c>
      <c r="AC83" s="9" t="s">
        <v>2578</v>
      </c>
      <c r="AD83" s="8" t="s">
        <v>3680</v>
      </c>
      <c r="AE83" s="8"/>
      <c r="AF83" s="9">
        <f t="shared" si="4"/>
        <v>21.509</v>
      </c>
      <c r="AG83" s="9">
        <f t="shared" si="5"/>
        <v>6.6216666666666661</v>
      </c>
      <c r="AH83" s="1"/>
      <c r="AI83" s="1"/>
      <c r="AJ83" s="1"/>
      <c r="AK83" s="1"/>
      <c r="AL83" s="1"/>
      <c r="AM83" s="1"/>
      <c r="AN83" s="1"/>
    </row>
    <row r="84" spans="8:40" ht="23">
      <c r="H84" s="8"/>
      <c r="I84" s="8"/>
      <c r="J84" s="8"/>
      <c r="K84" s="8"/>
      <c r="L84" s="8"/>
      <c r="M84" s="9" t="s">
        <v>3429</v>
      </c>
      <c r="N84" s="8" t="s">
        <v>2003</v>
      </c>
      <c r="O84" s="8"/>
      <c r="P84" s="8"/>
      <c r="Q84" s="8"/>
      <c r="R84" s="8"/>
      <c r="S84" s="8"/>
      <c r="T84" s="8"/>
      <c r="U84" s="8"/>
      <c r="V84" s="8"/>
      <c r="W84" s="9" t="s">
        <v>3429</v>
      </c>
      <c r="X84" s="8">
        <v>24.59</v>
      </c>
      <c r="Y84" s="8">
        <v>3.08</v>
      </c>
      <c r="Z84" s="9">
        <v>1.34</v>
      </c>
      <c r="AA84" s="8">
        <v>13.6</v>
      </c>
      <c r="AB84" s="8">
        <v>17041</v>
      </c>
      <c r="AC84" s="9" t="s">
        <v>3429</v>
      </c>
      <c r="AD84" s="8" t="s">
        <v>4198</v>
      </c>
      <c r="AE84" s="8"/>
      <c r="AF84" s="9">
        <f t="shared" si="4"/>
        <v>41.887999999999998</v>
      </c>
      <c r="AG84" s="9">
        <f t="shared" si="5"/>
        <v>21.306666666666665</v>
      </c>
      <c r="AH84" s="1"/>
      <c r="AI84" s="1"/>
      <c r="AJ84" s="1"/>
      <c r="AK84" s="1"/>
      <c r="AL84" s="1"/>
      <c r="AM84" s="1"/>
      <c r="AN84" s="1"/>
    </row>
    <row r="85" spans="8:40" ht="23">
      <c r="H85" s="8"/>
      <c r="I85" s="8"/>
      <c r="J85" s="8"/>
      <c r="K85" s="8"/>
      <c r="L85" s="8"/>
      <c r="M85" s="8" t="s">
        <v>488</v>
      </c>
      <c r="N85" s="8" t="s">
        <v>150</v>
      </c>
      <c r="O85" s="8"/>
      <c r="P85" s="8"/>
      <c r="Q85" s="8"/>
      <c r="R85" s="8"/>
      <c r="S85" s="8"/>
      <c r="T85" s="8"/>
      <c r="U85" s="8"/>
      <c r="V85" s="8"/>
      <c r="W85" s="8" t="s">
        <v>488</v>
      </c>
      <c r="X85" s="8">
        <v>19.87</v>
      </c>
      <c r="Y85" s="8">
        <v>3.16</v>
      </c>
      <c r="Z85" s="9">
        <v>2</v>
      </c>
      <c r="AA85" s="8">
        <v>13.4</v>
      </c>
      <c r="AB85" s="8">
        <v>17060</v>
      </c>
      <c r="AC85" s="8" t="s">
        <v>488</v>
      </c>
      <c r="AD85" s="8" t="s">
        <v>4191</v>
      </c>
      <c r="AE85" s="8"/>
      <c r="AF85" s="9">
        <f t="shared" si="4"/>
        <v>42.344000000000001</v>
      </c>
      <c r="AG85" s="9">
        <f t="shared" si="5"/>
        <v>27.246666666666666</v>
      </c>
      <c r="AH85" s="1"/>
      <c r="AI85" s="1"/>
      <c r="AJ85" s="1"/>
      <c r="AK85" s="1"/>
      <c r="AL85" s="1"/>
      <c r="AM85" s="1"/>
      <c r="AN85" s="1"/>
    </row>
    <row r="86" spans="8:40" ht="23">
      <c r="H86" s="8"/>
      <c r="I86" s="8"/>
      <c r="J86" s="8"/>
      <c r="K86" s="8"/>
      <c r="L86" s="8"/>
      <c r="M86" s="9" t="s">
        <v>3203</v>
      </c>
      <c r="N86" s="8" t="s">
        <v>1869</v>
      </c>
      <c r="O86" s="8"/>
      <c r="P86" s="8"/>
      <c r="Q86" s="8"/>
      <c r="R86" s="8"/>
      <c r="S86" s="8"/>
      <c r="T86" s="8"/>
      <c r="U86" s="8"/>
      <c r="V86" s="8"/>
      <c r="W86" s="9" t="s">
        <v>3203</v>
      </c>
      <c r="X86" s="8">
        <v>3.07</v>
      </c>
      <c r="Y86" s="8">
        <v>2.2999999999999998</v>
      </c>
      <c r="Z86" s="9">
        <v>1.01</v>
      </c>
      <c r="AA86" s="8">
        <v>12.7</v>
      </c>
      <c r="AB86" s="8">
        <v>40259</v>
      </c>
      <c r="AC86" s="9" t="s">
        <v>3203</v>
      </c>
      <c r="AD86" s="8" t="s">
        <v>3682</v>
      </c>
      <c r="AE86" s="8"/>
      <c r="AF86" s="9">
        <f t="shared" si="4"/>
        <v>29.209999999999997</v>
      </c>
      <c r="AG86" s="9">
        <f t="shared" si="5"/>
        <v>12.911666666666665</v>
      </c>
      <c r="AH86" s="1"/>
      <c r="AI86" s="1"/>
      <c r="AJ86" s="1"/>
      <c r="AK86" s="1"/>
      <c r="AL86" s="1"/>
      <c r="AM86" s="1"/>
      <c r="AN86" s="1"/>
    </row>
    <row r="87" spans="8:40" ht="23">
      <c r="H87" s="8"/>
      <c r="I87" s="8"/>
      <c r="J87" s="8"/>
      <c r="K87" s="8"/>
      <c r="L87" s="8"/>
      <c r="M87" s="8" t="s">
        <v>1285</v>
      </c>
      <c r="N87" s="8" t="s">
        <v>150</v>
      </c>
      <c r="O87" s="8"/>
      <c r="P87" s="8" t="s">
        <v>3691</v>
      </c>
      <c r="Q87" s="8"/>
      <c r="R87" s="8"/>
      <c r="S87" s="8"/>
      <c r="T87" s="8"/>
      <c r="U87" s="8"/>
      <c r="V87" s="8"/>
      <c r="W87" s="8" t="s">
        <v>1285</v>
      </c>
      <c r="X87" s="8">
        <v>21.4</v>
      </c>
      <c r="Y87" s="8">
        <v>9.93</v>
      </c>
      <c r="Z87" s="9">
        <v>5.2</v>
      </c>
      <c r="AA87" s="8">
        <v>12</v>
      </c>
      <c r="AB87" s="8">
        <v>5220</v>
      </c>
      <c r="AC87" s="8" t="s">
        <v>1285</v>
      </c>
      <c r="AD87" s="8" t="s">
        <v>4098</v>
      </c>
      <c r="AE87" s="8"/>
      <c r="AF87" s="9">
        <f t="shared" si="4"/>
        <v>119.16</v>
      </c>
      <c r="AG87" s="9">
        <f t="shared" si="5"/>
        <v>60.039999999999992</v>
      </c>
      <c r="AH87" s="1"/>
      <c r="AI87" s="1"/>
      <c r="AJ87" s="1"/>
      <c r="AK87" s="1"/>
      <c r="AL87" s="1"/>
      <c r="AM87" s="1"/>
      <c r="AN87" s="1"/>
    </row>
    <row r="88" spans="8:40" ht="23">
      <c r="H88" s="8"/>
      <c r="I88" s="8"/>
      <c r="J88" s="8"/>
      <c r="K88" s="8"/>
      <c r="L88" s="8"/>
      <c r="M88" s="9" t="s">
        <v>3601</v>
      </c>
      <c r="N88" s="8" t="s">
        <v>2084</v>
      </c>
      <c r="O88" s="8"/>
      <c r="P88" s="8" t="s">
        <v>3691</v>
      </c>
      <c r="Q88" s="8"/>
      <c r="R88" s="8"/>
      <c r="S88" s="8"/>
      <c r="T88" s="8"/>
      <c r="U88" s="8"/>
      <c r="V88" s="8"/>
      <c r="W88" s="9" t="s">
        <v>3601</v>
      </c>
      <c r="X88" s="8">
        <v>23.16</v>
      </c>
      <c r="Y88" s="8">
        <v>6.7</v>
      </c>
      <c r="Z88" s="9">
        <v>9.59</v>
      </c>
      <c r="AA88" s="8">
        <v>11.8</v>
      </c>
      <c r="AB88" s="8">
        <v>7404</v>
      </c>
      <c r="AC88" s="9" t="s">
        <v>3601</v>
      </c>
      <c r="AD88" s="8" t="s">
        <v>4219</v>
      </c>
      <c r="AE88" s="8"/>
      <c r="AF88" s="9">
        <f t="shared" si="4"/>
        <v>79.06</v>
      </c>
      <c r="AG88" s="9">
        <f t="shared" si="5"/>
        <v>117.80333333333333</v>
      </c>
      <c r="AH88" s="1"/>
      <c r="AI88" s="1"/>
      <c r="AJ88" s="1"/>
      <c r="AK88" s="1"/>
      <c r="AL88" s="1"/>
      <c r="AM88" s="1"/>
      <c r="AN88" s="1"/>
    </row>
    <row r="89" spans="8:40" ht="23">
      <c r="H89" s="8"/>
      <c r="I89" s="8"/>
      <c r="J89" s="8"/>
      <c r="K89" s="8"/>
      <c r="L89" s="8"/>
      <c r="M89" s="8" t="s">
        <v>1260</v>
      </c>
      <c r="N89" s="8" t="s">
        <v>150</v>
      </c>
      <c r="O89" s="8"/>
      <c r="P89" s="8"/>
      <c r="Q89" s="8"/>
      <c r="R89" s="8"/>
      <c r="S89" s="8"/>
      <c r="T89" s="8"/>
      <c r="U89" s="8"/>
      <c r="V89" s="8"/>
      <c r="W89" s="8" t="s">
        <v>1260</v>
      </c>
      <c r="X89" s="8">
        <v>40.06</v>
      </c>
      <c r="Y89" s="8">
        <v>1.62</v>
      </c>
      <c r="Z89" s="9">
        <v>1.06</v>
      </c>
      <c r="AA89" s="8">
        <v>11.5</v>
      </c>
      <c r="AB89" s="8">
        <v>22547</v>
      </c>
      <c r="AC89" s="8" t="s">
        <v>1260</v>
      </c>
      <c r="AD89" s="8" t="s">
        <v>4621</v>
      </c>
      <c r="AE89" s="8"/>
      <c r="AF89" s="9">
        <f t="shared" si="4"/>
        <v>18.630000000000003</v>
      </c>
      <c r="AG89" s="9">
        <f t="shared" si="5"/>
        <v>12.65</v>
      </c>
      <c r="AH89" s="1"/>
      <c r="AI89" s="1"/>
      <c r="AJ89" s="1"/>
      <c r="AK89" s="1"/>
      <c r="AL89" s="1"/>
      <c r="AM89" s="1"/>
      <c r="AN89" s="1"/>
    </row>
    <row r="90" spans="8:40" ht="23">
      <c r="H90" s="8"/>
      <c r="I90" s="8"/>
      <c r="J90" s="8"/>
      <c r="K90" s="8"/>
      <c r="L90" s="8"/>
      <c r="M90" s="8" t="s">
        <v>1425</v>
      </c>
      <c r="N90" s="8" t="s">
        <v>150</v>
      </c>
      <c r="O90" s="8"/>
      <c r="P90" s="8"/>
      <c r="Q90" s="8"/>
      <c r="R90" s="8"/>
      <c r="S90" s="8"/>
      <c r="T90" s="8"/>
      <c r="U90" s="8"/>
      <c r="V90" s="8"/>
      <c r="W90" s="8" t="s">
        <v>1425</v>
      </c>
      <c r="X90" s="8">
        <v>20.29</v>
      </c>
      <c r="Y90" s="8">
        <v>3.71</v>
      </c>
      <c r="Z90" s="9">
        <v>4.13</v>
      </c>
      <c r="AA90" s="8">
        <v>11.2</v>
      </c>
      <c r="AB90" s="8">
        <v>10538</v>
      </c>
      <c r="AC90" s="8" t="s">
        <v>1425</v>
      </c>
      <c r="AD90" s="8" t="s">
        <v>3680</v>
      </c>
      <c r="AE90" s="8"/>
      <c r="AF90" s="9">
        <f t="shared" si="4"/>
        <v>41.552</v>
      </c>
      <c r="AG90" s="9">
        <f t="shared" si="5"/>
        <v>47.226666666666667</v>
      </c>
      <c r="AH90" s="1"/>
      <c r="AI90" s="1"/>
      <c r="AJ90" s="1"/>
      <c r="AK90" s="1"/>
      <c r="AL90" s="1"/>
      <c r="AM90" s="1"/>
      <c r="AN90" s="1"/>
    </row>
    <row r="91" spans="8:40" ht="23">
      <c r="H91" s="8"/>
      <c r="I91" s="8"/>
      <c r="J91" s="8"/>
      <c r="K91" s="8"/>
      <c r="L91" s="8"/>
      <c r="M91" s="8" t="s">
        <v>1945</v>
      </c>
      <c r="N91" s="8" t="s">
        <v>1939</v>
      </c>
      <c r="O91" s="8"/>
      <c r="P91" s="8"/>
      <c r="Q91" s="8"/>
      <c r="R91" s="8"/>
      <c r="S91" s="8"/>
      <c r="T91" s="8"/>
      <c r="U91" s="8"/>
      <c r="V91" s="8"/>
      <c r="W91" s="8" t="s">
        <v>1945</v>
      </c>
      <c r="X91" s="8">
        <v>24.36</v>
      </c>
      <c r="Y91" s="8">
        <v>1.34</v>
      </c>
      <c r="Z91" s="9">
        <v>0.1</v>
      </c>
      <c r="AA91" s="8">
        <v>11.2</v>
      </c>
      <c r="AB91" s="8">
        <v>56904</v>
      </c>
      <c r="AC91" s="8" t="s">
        <v>1945</v>
      </c>
      <c r="AD91" s="8" t="s">
        <v>4223</v>
      </c>
      <c r="AE91" s="8"/>
      <c r="AF91" s="9">
        <f t="shared" si="4"/>
        <v>15.007999999999999</v>
      </c>
      <c r="AG91" s="9">
        <f t="shared" si="5"/>
        <v>1.8666666666666668E-2</v>
      </c>
      <c r="AH91" s="1"/>
      <c r="AI91" s="1"/>
      <c r="AJ91" s="1"/>
      <c r="AK91" s="1"/>
      <c r="AL91" s="1"/>
      <c r="AM91" s="1"/>
      <c r="AN91" s="1"/>
    </row>
    <row r="92" spans="8:40" ht="23">
      <c r="H92" s="8"/>
      <c r="I92" s="8"/>
      <c r="J92" s="8"/>
      <c r="K92" s="8"/>
      <c r="L92" s="8"/>
      <c r="M92" s="8" t="s">
        <v>1390</v>
      </c>
      <c r="N92" s="8" t="s">
        <v>150</v>
      </c>
      <c r="O92" s="8"/>
      <c r="P92" s="8"/>
      <c r="Q92" s="8"/>
      <c r="R92" s="8"/>
      <c r="S92" s="8"/>
      <c r="T92" s="8"/>
      <c r="U92" s="8"/>
      <c r="V92" s="8"/>
      <c r="W92" s="8" t="s">
        <v>1390</v>
      </c>
      <c r="X92" s="8">
        <v>10.41</v>
      </c>
      <c r="Y92" s="8">
        <v>2.93</v>
      </c>
      <c r="Z92" s="9">
        <v>2.08</v>
      </c>
      <c r="AA92" s="8">
        <v>10.5</v>
      </c>
      <c r="AB92" s="8">
        <v>24698</v>
      </c>
      <c r="AC92" s="8" t="s">
        <v>1390</v>
      </c>
      <c r="AD92" s="8" t="s">
        <v>3682</v>
      </c>
      <c r="AE92" s="8"/>
      <c r="AF92" s="9">
        <f t="shared" si="4"/>
        <v>30.765000000000001</v>
      </c>
      <c r="AG92" s="9">
        <f t="shared" si="5"/>
        <v>22.4</v>
      </c>
      <c r="AH92" s="1"/>
      <c r="AI92" s="1"/>
      <c r="AJ92" s="1"/>
      <c r="AK92" s="1"/>
      <c r="AL92" s="1"/>
      <c r="AM92" s="1"/>
      <c r="AN92" s="1"/>
    </row>
    <row r="93" spans="8:40" ht="23">
      <c r="H93" s="8"/>
      <c r="I93" s="8"/>
      <c r="J93" s="8"/>
      <c r="K93" s="8"/>
      <c r="L93" s="8"/>
      <c r="M93" s="8" t="s">
        <v>1843</v>
      </c>
      <c r="N93" s="8" t="s">
        <v>1814</v>
      </c>
      <c r="O93" s="8"/>
      <c r="P93" s="8"/>
      <c r="Q93" s="8"/>
      <c r="R93" s="8"/>
      <c r="S93" s="8"/>
      <c r="T93" s="8"/>
      <c r="U93" s="8"/>
      <c r="V93" s="8"/>
      <c r="W93" s="8" t="s">
        <v>1843</v>
      </c>
      <c r="X93" s="8">
        <v>12.56</v>
      </c>
      <c r="Y93" s="8">
        <v>1.98</v>
      </c>
      <c r="Z93" s="9">
        <v>0.2</v>
      </c>
      <c r="AA93" s="8">
        <v>10.5</v>
      </c>
      <c r="AB93" s="8">
        <v>33005</v>
      </c>
      <c r="AC93" s="8" t="s">
        <v>1843</v>
      </c>
      <c r="AD93" s="8" t="s">
        <v>3682</v>
      </c>
      <c r="AE93" s="8"/>
      <c r="AF93" s="9">
        <f t="shared" si="4"/>
        <v>20.79</v>
      </c>
      <c r="AG93" s="9">
        <f t="shared" si="5"/>
        <v>3.5000000000000003E-2</v>
      </c>
      <c r="AH93" s="1"/>
      <c r="AI93" s="1"/>
      <c r="AJ93" s="1"/>
      <c r="AK93" s="1"/>
      <c r="AL93" s="1"/>
      <c r="AM93" s="1"/>
      <c r="AN93" s="1"/>
    </row>
    <row r="94" spans="8:40" ht="23">
      <c r="H94" s="8"/>
      <c r="I94" s="8"/>
      <c r="J94" s="8"/>
      <c r="K94" s="8"/>
      <c r="L94" s="8"/>
      <c r="M94" s="9" t="s">
        <v>2827</v>
      </c>
      <c r="N94" s="8" t="s">
        <v>1614</v>
      </c>
      <c r="O94" s="8"/>
      <c r="P94" s="8" t="s">
        <v>3691</v>
      </c>
      <c r="Q94" s="8"/>
      <c r="R94" s="8"/>
      <c r="S94" s="8"/>
      <c r="T94" s="8"/>
      <c r="U94" s="8"/>
      <c r="V94" s="8"/>
      <c r="W94" s="9" t="s">
        <v>2827</v>
      </c>
      <c r="X94" s="8">
        <v>20.149999999999999</v>
      </c>
      <c r="Y94" s="8">
        <v>2.74</v>
      </c>
      <c r="Z94" s="9">
        <v>1.51</v>
      </c>
      <c r="AA94" s="8">
        <v>10.199999999999999</v>
      </c>
      <c r="AB94" s="8">
        <v>22763</v>
      </c>
      <c r="AC94" s="9" t="s">
        <v>2827</v>
      </c>
      <c r="AD94" s="8" t="s">
        <v>3699</v>
      </c>
      <c r="AE94" s="8"/>
      <c r="AF94" s="9">
        <f t="shared" si="4"/>
        <v>27.948</v>
      </c>
      <c r="AG94" s="9">
        <f t="shared" si="5"/>
        <v>18.87</v>
      </c>
      <c r="AH94" s="1"/>
      <c r="AI94" s="1"/>
      <c r="AJ94" s="1"/>
      <c r="AK94" s="1"/>
      <c r="AL94" s="1"/>
      <c r="AM94" s="1"/>
      <c r="AN94" s="1"/>
    </row>
    <row r="95" spans="8:40" ht="23">
      <c r="H95" s="8"/>
      <c r="I95" s="8"/>
      <c r="J95" s="8"/>
      <c r="K95" s="8"/>
      <c r="L95" s="8"/>
      <c r="M95" s="8" t="s">
        <v>1936</v>
      </c>
      <c r="N95" s="8" t="s">
        <v>1902</v>
      </c>
      <c r="O95" s="8"/>
      <c r="P95" s="8"/>
      <c r="Q95" s="8"/>
      <c r="R95" s="8"/>
      <c r="S95" s="8"/>
      <c r="T95" s="8"/>
      <c r="U95" s="8"/>
      <c r="V95" s="8"/>
      <c r="W95" s="8" t="s">
        <v>1936</v>
      </c>
      <c r="X95" s="8">
        <v>29.37</v>
      </c>
      <c r="Y95" s="8">
        <v>5.49</v>
      </c>
      <c r="Z95" s="9">
        <v>3.38</v>
      </c>
      <c r="AA95" s="8">
        <v>10.199999999999999</v>
      </c>
      <c r="AB95" s="8">
        <v>9647</v>
      </c>
      <c r="AC95" s="8" t="s">
        <v>1936</v>
      </c>
      <c r="AD95" s="8" t="s">
        <v>4096</v>
      </c>
      <c r="AE95" s="8"/>
      <c r="AF95" s="9">
        <f t="shared" si="4"/>
        <v>55.997999999999998</v>
      </c>
      <c r="AG95" s="9">
        <f t="shared" si="5"/>
        <v>37.059999999999995</v>
      </c>
      <c r="AH95" s="1"/>
      <c r="AI95" s="1"/>
      <c r="AJ95" s="1"/>
      <c r="AK95" s="1"/>
      <c r="AL95" s="1"/>
      <c r="AM95" s="1"/>
      <c r="AN95" s="1"/>
    </row>
    <row r="96" spans="8:40" ht="23">
      <c r="H96" s="8"/>
      <c r="I96" s="8"/>
      <c r="J96" s="8"/>
      <c r="K96" s="8"/>
      <c r="L96" s="8"/>
      <c r="M96" s="8" t="s">
        <v>67</v>
      </c>
      <c r="N96" s="8" t="s">
        <v>24</v>
      </c>
      <c r="O96" s="8"/>
      <c r="P96" s="8" t="s">
        <v>3691</v>
      </c>
      <c r="Q96" s="8"/>
      <c r="R96" s="8"/>
      <c r="S96" s="8"/>
      <c r="T96" s="8"/>
      <c r="U96" s="8"/>
      <c r="V96" s="8"/>
      <c r="W96" s="8" t="s">
        <v>67</v>
      </c>
      <c r="X96" s="8">
        <v>41.74</v>
      </c>
      <c r="Y96" s="8">
        <v>3.09</v>
      </c>
      <c r="Z96" s="9">
        <v>3.31</v>
      </c>
      <c r="AA96" s="8">
        <v>9.9</v>
      </c>
      <c r="AB96" s="8">
        <v>10958</v>
      </c>
      <c r="AC96" s="8" t="s">
        <v>67</v>
      </c>
      <c r="AD96" s="8" t="s">
        <v>3682</v>
      </c>
      <c r="AE96" s="8"/>
      <c r="AF96" s="9">
        <f t="shared" si="4"/>
        <v>30.591000000000001</v>
      </c>
      <c r="AG96" s="9">
        <f t="shared" si="5"/>
        <v>34.814999999999998</v>
      </c>
      <c r="AH96" s="1"/>
      <c r="AI96" s="1"/>
      <c r="AJ96" s="1"/>
      <c r="AK96" s="1"/>
      <c r="AL96" s="1"/>
      <c r="AM96" s="1"/>
      <c r="AN96" s="1"/>
    </row>
    <row r="97" spans="8:40" ht="23">
      <c r="H97" s="8"/>
      <c r="I97" s="8"/>
      <c r="J97" s="8"/>
      <c r="K97" s="8"/>
      <c r="L97" s="8"/>
      <c r="M97" s="8" t="s">
        <v>744</v>
      </c>
      <c r="N97" s="8" t="s">
        <v>150</v>
      </c>
      <c r="O97" s="8"/>
      <c r="P97" s="8"/>
      <c r="Q97" s="8"/>
      <c r="R97" s="8"/>
      <c r="S97" s="8"/>
      <c r="T97" s="8"/>
      <c r="U97" s="8"/>
      <c r="V97" s="8"/>
      <c r="W97" s="8" t="s">
        <v>744</v>
      </c>
      <c r="X97" s="8">
        <v>18.5</v>
      </c>
      <c r="Y97" s="8">
        <v>4.93</v>
      </c>
      <c r="Z97" s="9">
        <v>5.21</v>
      </c>
      <c r="AA97" s="8">
        <v>9.6</v>
      </c>
      <c r="AB97" s="8">
        <v>12337</v>
      </c>
      <c r="AC97" s="8" t="s">
        <v>744</v>
      </c>
      <c r="AD97" s="8" t="s">
        <v>3682</v>
      </c>
      <c r="AE97" s="8"/>
      <c r="AF97" s="9">
        <f t="shared" si="4"/>
        <v>47.327999999999996</v>
      </c>
      <c r="AG97" s="9">
        <f t="shared" si="5"/>
        <v>51.359999999999992</v>
      </c>
      <c r="AH97" s="1"/>
      <c r="AI97" s="1"/>
      <c r="AJ97" s="1"/>
      <c r="AK97" s="1"/>
      <c r="AL97" s="1"/>
      <c r="AM97" s="1"/>
      <c r="AN97" s="1"/>
    </row>
    <row r="98" spans="8:40" ht="23">
      <c r="H98" s="8"/>
      <c r="I98" s="8"/>
      <c r="J98" s="8"/>
      <c r="K98" s="8"/>
      <c r="L98" s="8"/>
      <c r="M98" s="8" t="s">
        <v>1218</v>
      </c>
      <c r="N98" s="8" t="s">
        <v>150</v>
      </c>
      <c r="O98" s="8"/>
      <c r="P98" s="8" t="s">
        <v>3704</v>
      </c>
      <c r="Q98" s="8"/>
      <c r="R98" s="8"/>
      <c r="S98" s="8"/>
      <c r="T98" s="8"/>
      <c r="U98" s="8"/>
      <c r="V98" s="8"/>
      <c r="W98" s="8" t="s">
        <v>1218</v>
      </c>
      <c r="X98" s="8">
        <v>20.99</v>
      </c>
      <c r="Y98" s="8">
        <v>2.41</v>
      </c>
      <c r="Z98" s="9">
        <v>1.53</v>
      </c>
      <c r="AA98" s="8">
        <v>9.1999999999999993</v>
      </c>
      <c r="AB98" s="8">
        <v>19087</v>
      </c>
      <c r="AC98" s="8" t="s">
        <v>1218</v>
      </c>
      <c r="AD98" s="8" t="s">
        <v>4138</v>
      </c>
      <c r="AE98" s="8"/>
      <c r="AF98" s="9">
        <f t="shared" ref="AF98:AF129" si="6">(AA98*Y98)</f>
        <v>22.172000000000001</v>
      </c>
      <c r="AG98" s="9">
        <f t="shared" ref="AG98:AG129" si="7">((((RIGHT(Z98,2))/60)+(LEFT(Z98,2)))*AA98)</f>
        <v>17.326666666666664</v>
      </c>
      <c r="AH98" s="1"/>
      <c r="AI98" s="1"/>
      <c r="AJ98" s="1"/>
      <c r="AK98" s="1"/>
      <c r="AL98" s="1"/>
      <c r="AM98" s="1"/>
      <c r="AN98" s="1"/>
    </row>
    <row r="99" spans="8:40" ht="23">
      <c r="H99" s="8"/>
      <c r="I99" s="8"/>
      <c r="J99" s="8"/>
      <c r="K99" s="8"/>
      <c r="L99" s="8"/>
      <c r="M99" s="9" t="s">
        <v>3079</v>
      </c>
      <c r="N99" s="8" t="s">
        <v>1814</v>
      </c>
      <c r="O99" s="8"/>
      <c r="P99" s="8"/>
      <c r="Q99" s="8"/>
      <c r="R99" s="8"/>
      <c r="S99" s="8"/>
      <c r="T99" s="8"/>
      <c r="U99" s="8"/>
      <c r="V99" s="8"/>
      <c r="W99" s="9" t="s">
        <v>3079</v>
      </c>
      <c r="X99" s="8">
        <v>18.91</v>
      </c>
      <c r="Y99" s="8">
        <v>2.15</v>
      </c>
      <c r="Z99" s="9">
        <v>4.3499999999999996</v>
      </c>
      <c r="AA99" s="8">
        <v>9.1</v>
      </c>
      <c r="AB99" s="8">
        <v>24400</v>
      </c>
      <c r="AC99" s="9" t="s">
        <v>3079</v>
      </c>
      <c r="AD99" s="8" t="s">
        <v>3682</v>
      </c>
      <c r="AE99" s="8"/>
      <c r="AF99" s="9">
        <f t="shared" si="6"/>
        <v>19.564999999999998</v>
      </c>
      <c r="AG99" s="9">
        <f t="shared" si="7"/>
        <v>41.708333333333329</v>
      </c>
      <c r="AH99" s="1"/>
      <c r="AI99" s="1"/>
      <c r="AJ99" s="1"/>
      <c r="AK99" s="1"/>
      <c r="AL99" s="1"/>
      <c r="AM99" s="1"/>
      <c r="AN99" s="1"/>
    </row>
    <row r="100" spans="8:40" ht="23">
      <c r="H100" s="8"/>
      <c r="I100" s="8"/>
      <c r="J100" s="8"/>
      <c r="K100" s="8"/>
      <c r="L100" s="8"/>
      <c r="M100" s="8" t="s">
        <v>1388</v>
      </c>
      <c r="N100" s="8" t="s">
        <v>150</v>
      </c>
      <c r="O100" s="8"/>
      <c r="P100" s="8"/>
      <c r="Q100" s="8"/>
      <c r="R100" s="8"/>
      <c r="S100" s="8"/>
      <c r="T100" s="8"/>
      <c r="U100" s="8"/>
      <c r="V100" s="8"/>
      <c r="W100" s="8" t="s">
        <v>1388</v>
      </c>
      <c r="X100" s="8">
        <v>37.89</v>
      </c>
      <c r="Y100" s="8">
        <v>3.59</v>
      </c>
      <c r="Z100" s="9">
        <v>4.13</v>
      </c>
      <c r="AA100" s="8">
        <v>9</v>
      </c>
      <c r="AB100" s="8">
        <v>12155</v>
      </c>
      <c r="AC100" s="8" t="s">
        <v>1388</v>
      </c>
      <c r="AD100" s="8" t="s">
        <v>3682</v>
      </c>
      <c r="AE100" s="8"/>
      <c r="AF100" s="9">
        <f t="shared" si="6"/>
        <v>32.31</v>
      </c>
      <c r="AG100" s="9">
        <f t="shared" si="7"/>
        <v>37.950000000000003</v>
      </c>
      <c r="AH100" s="1"/>
      <c r="AI100" s="1"/>
      <c r="AJ100" s="1"/>
      <c r="AK100" s="1"/>
      <c r="AL100" s="1"/>
      <c r="AM100" s="1"/>
      <c r="AN100" s="1"/>
    </row>
    <row r="101" spans="8:40" ht="23">
      <c r="H101" s="8"/>
      <c r="I101" s="8"/>
      <c r="J101" s="8"/>
      <c r="K101" s="8"/>
      <c r="L101" s="8"/>
      <c r="M101" s="8" t="s">
        <v>1493</v>
      </c>
      <c r="N101" s="8" t="s">
        <v>150</v>
      </c>
      <c r="O101" s="8"/>
      <c r="P101" s="8" t="s">
        <v>3693</v>
      </c>
      <c r="Q101" s="8"/>
      <c r="R101" s="8"/>
      <c r="S101" s="8"/>
      <c r="T101" s="8"/>
      <c r="U101" s="8"/>
      <c r="V101" s="8"/>
      <c r="W101" s="8" t="s">
        <v>1493</v>
      </c>
      <c r="X101" s="8">
        <v>28.35</v>
      </c>
      <c r="Y101" s="8">
        <v>6.71</v>
      </c>
      <c r="Z101" s="9">
        <v>8.42</v>
      </c>
      <c r="AA101" s="8">
        <v>9</v>
      </c>
      <c r="AB101" s="8">
        <v>7786</v>
      </c>
      <c r="AC101" s="8" t="s">
        <v>1493</v>
      </c>
      <c r="AD101" s="8" t="s">
        <v>3682</v>
      </c>
      <c r="AE101" s="8"/>
      <c r="AF101" s="9">
        <f t="shared" si="6"/>
        <v>60.39</v>
      </c>
      <c r="AG101" s="9">
        <f t="shared" si="7"/>
        <v>78.3</v>
      </c>
      <c r="AH101" s="1"/>
      <c r="AI101" s="1"/>
      <c r="AJ101" s="1"/>
      <c r="AK101" s="1"/>
      <c r="AL101" s="1"/>
      <c r="AM101" s="1"/>
      <c r="AN101" s="28"/>
    </row>
    <row r="102" spans="8:40" ht="23">
      <c r="H102" s="8"/>
      <c r="I102" s="8"/>
      <c r="J102" s="8"/>
      <c r="K102" s="8"/>
      <c r="L102" s="8"/>
      <c r="M102" s="8" t="s">
        <v>1078</v>
      </c>
      <c r="N102" s="8" t="s">
        <v>150</v>
      </c>
      <c r="O102" s="8"/>
      <c r="P102" s="8" t="s">
        <v>3693</v>
      </c>
      <c r="Q102" s="8"/>
      <c r="R102" s="8"/>
      <c r="S102" s="8"/>
      <c r="T102" s="8"/>
      <c r="U102" s="8"/>
      <c r="V102" s="8"/>
      <c r="W102" s="8" t="s">
        <v>1078</v>
      </c>
      <c r="X102" s="8">
        <v>27.9</v>
      </c>
      <c r="Y102" s="8">
        <v>4.99</v>
      </c>
      <c r="Z102" s="9">
        <v>2.56</v>
      </c>
      <c r="AA102" s="8">
        <v>9</v>
      </c>
      <c r="AB102" s="8">
        <v>8621</v>
      </c>
      <c r="AC102" s="8" t="s">
        <v>1078</v>
      </c>
      <c r="AD102" s="8" t="s">
        <v>3682</v>
      </c>
      <c r="AE102" s="8"/>
      <c r="AF102" s="9">
        <f t="shared" si="6"/>
        <v>44.910000000000004</v>
      </c>
      <c r="AG102" s="9">
        <f t="shared" si="7"/>
        <v>26.400000000000002</v>
      </c>
      <c r="AH102" s="1"/>
      <c r="AI102" s="1"/>
      <c r="AJ102" s="1"/>
      <c r="AK102" s="1"/>
      <c r="AL102" s="1"/>
      <c r="AM102" s="1"/>
      <c r="AN102" s="1"/>
    </row>
    <row r="103" spans="8:40" ht="23">
      <c r="H103" s="8"/>
      <c r="I103" s="8"/>
      <c r="J103" s="8"/>
      <c r="K103" s="8"/>
      <c r="L103" s="8"/>
      <c r="M103" s="9" t="s">
        <v>2953</v>
      </c>
      <c r="N103" s="8" t="s">
        <v>1717</v>
      </c>
      <c r="O103" s="8"/>
      <c r="P103" s="8"/>
      <c r="Q103" s="8"/>
      <c r="R103" s="8"/>
      <c r="S103" s="8"/>
      <c r="T103" s="8"/>
      <c r="U103" s="8"/>
      <c r="V103" s="8"/>
      <c r="W103" s="9" t="s">
        <v>2953</v>
      </c>
      <c r="X103" s="8">
        <v>2.96</v>
      </c>
      <c r="Y103" s="8">
        <v>2.67</v>
      </c>
      <c r="Z103" s="9">
        <v>0.41</v>
      </c>
      <c r="AA103" s="8">
        <v>8.6</v>
      </c>
      <c r="AB103" s="8">
        <v>35473</v>
      </c>
      <c r="AC103" s="9" t="s">
        <v>2953</v>
      </c>
      <c r="AD103" s="8" t="s">
        <v>3699</v>
      </c>
      <c r="AE103" s="8"/>
      <c r="AF103" s="9">
        <f t="shared" si="6"/>
        <v>22.962</v>
      </c>
      <c r="AG103" s="9">
        <f t="shared" si="7"/>
        <v>5.8766666666666669</v>
      </c>
      <c r="AH103" s="1"/>
      <c r="AI103" s="1"/>
      <c r="AJ103" s="1"/>
      <c r="AK103" s="1"/>
      <c r="AL103" s="1"/>
      <c r="AM103" s="1"/>
      <c r="AN103" s="1"/>
    </row>
    <row r="104" spans="8:40" ht="23">
      <c r="H104" s="8"/>
      <c r="I104" s="8"/>
      <c r="J104" s="8"/>
      <c r="K104" s="8"/>
      <c r="L104" s="8"/>
      <c r="M104" s="8" t="s">
        <v>1349</v>
      </c>
      <c r="N104" s="8" t="s">
        <v>150</v>
      </c>
      <c r="O104" s="8"/>
      <c r="P104" s="8" t="s">
        <v>3691</v>
      </c>
      <c r="Q104" s="8"/>
      <c r="R104" s="8"/>
      <c r="S104" s="8"/>
      <c r="T104" s="8"/>
      <c r="U104" s="8"/>
      <c r="V104" s="8"/>
      <c r="W104" s="8" t="s">
        <v>1349</v>
      </c>
      <c r="X104" s="8">
        <v>17.43</v>
      </c>
      <c r="Y104" s="8">
        <v>6.36</v>
      </c>
      <c r="Z104" s="9">
        <v>9.43</v>
      </c>
      <c r="AA104" s="8">
        <v>8.1999999999999993</v>
      </c>
      <c r="AB104" s="8">
        <v>10276</v>
      </c>
      <c r="AC104" s="8" t="s">
        <v>1349</v>
      </c>
      <c r="AD104" s="8" t="s">
        <v>4023</v>
      </c>
      <c r="AE104" s="8"/>
      <c r="AF104" s="9">
        <f t="shared" si="6"/>
        <v>52.152000000000001</v>
      </c>
      <c r="AG104" s="9">
        <f t="shared" si="7"/>
        <v>79.676666666666662</v>
      </c>
      <c r="AH104" s="1"/>
      <c r="AI104" s="1"/>
      <c r="AJ104" s="1"/>
      <c r="AK104" s="1"/>
      <c r="AL104" s="1"/>
      <c r="AM104" s="1"/>
      <c r="AN104" s="1"/>
    </row>
    <row r="105" spans="8:40" ht="23">
      <c r="H105" s="8"/>
      <c r="I105" s="8"/>
      <c r="J105" s="8"/>
      <c r="K105" s="8"/>
      <c r="L105" s="8"/>
      <c r="M105" s="8" t="s">
        <v>902</v>
      </c>
      <c r="N105" s="8" t="s">
        <v>150</v>
      </c>
      <c r="O105" s="8"/>
      <c r="P105" s="8"/>
      <c r="Q105" s="8"/>
      <c r="R105" s="8"/>
      <c r="S105" s="8"/>
      <c r="T105" s="8"/>
      <c r="U105" s="8"/>
      <c r="V105" s="8"/>
      <c r="W105" s="8" t="s">
        <v>902</v>
      </c>
      <c r="X105" s="8">
        <v>25.14</v>
      </c>
      <c r="Y105" s="8">
        <v>4.29</v>
      </c>
      <c r="Z105" s="9">
        <v>7.42</v>
      </c>
      <c r="AA105" s="8">
        <v>8.1999999999999993</v>
      </c>
      <c r="AB105" s="8">
        <v>11388</v>
      </c>
      <c r="AC105" s="8" t="s">
        <v>902</v>
      </c>
      <c r="AD105" s="8" t="s">
        <v>3682</v>
      </c>
      <c r="AE105" s="8"/>
      <c r="AF105" s="9">
        <f t="shared" si="6"/>
        <v>35.177999999999997</v>
      </c>
      <c r="AG105" s="9">
        <f t="shared" si="7"/>
        <v>63.139999999999993</v>
      </c>
      <c r="AH105" s="1"/>
      <c r="AI105" s="1"/>
      <c r="AJ105" s="1"/>
      <c r="AK105" s="1"/>
      <c r="AL105" s="1"/>
      <c r="AM105" s="1"/>
      <c r="AN105" s="1"/>
    </row>
    <row r="106" spans="8:40" ht="23">
      <c r="H106" s="8"/>
      <c r="I106" s="8"/>
      <c r="J106" s="8"/>
      <c r="K106" s="8"/>
      <c r="L106" s="8"/>
      <c r="M106" s="8" t="s">
        <v>926</v>
      </c>
      <c r="N106" s="8" t="s">
        <v>150</v>
      </c>
      <c r="O106" s="8"/>
      <c r="P106" s="8"/>
      <c r="Q106" s="8"/>
      <c r="R106" s="8"/>
      <c r="S106" s="8"/>
      <c r="T106" s="8"/>
      <c r="U106" s="8"/>
      <c r="V106" s="8"/>
      <c r="W106" s="8" t="s">
        <v>926</v>
      </c>
      <c r="X106" s="8">
        <v>24.32</v>
      </c>
      <c r="Y106" s="8">
        <v>2.48</v>
      </c>
      <c r="Z106" s="9">
        <v>0.41</v>
      </c>
      <c r="AA106" s="8">
        <v>8.1999999999999993</v>
      </c>
      <c r="AB106" s="8">
        <v>23047</v>
      </c>
      <c r="AC106" s="8" t="s">
        <v>926</v>
      </c>
      <c r="AD106" s="8" t="s">
        <v>3682</v>
      </c>
      <c r="AE106" s="8"/>
      <c r="AF106" s="9">
        <f t="shared" si="6"/>
        <v>20.335999999999999</v>
      </c>
      <c r="AG106" s="9">
        <f t="shared" si="7"/>
        <v>5.6033333333333326</v>
      </c>
      <c r="AH106" s="1"/>
      <c r="AI106" s="1"/>
      <c r="AJ106" s="1"/>
      <c r="AK106" s="1"/>
      <c r="AL106" s="1"/>
      <c r="AM106" s="1"/>
      <c r="AN106" s="1"/>
    </row>
    <row r="107" spans="8:40" ht="23">
      <c r="H107" s="8"/>
      <c r="I107" s="8"/>
      <c r="J107" s="8"/>
      <c r="K107" s="8"/>
      <c r="L107" s="8"/>
      <c r="M107" s="8" t="s">
        <v>1420</v>
      </c>
      <c r="N107" s="8" t="s">
        <v>150</v>
      </c>
      <c r="O107" s="8"/>
      <c r="P107" s="8"/>
      <c r="Q107" s="8"/>
      <c r="R107" s="8"/>
      <c r="S107" s="8"/>
      <c r="T107" s="8"/>
      <c r="U107" s="8"/>
      <c r="V107" s="8"/>
      <c r="W107" s="8" t="s">
        <v>1420</v>
      </c>
      <c r="X107" s="8">
        <v>13.74</v>
      </c>
      <c r="Y107" s="8">
        <v>1.28</v>
      </c>
      <c r="Z107" s="9">
        <v>0.2</v>
      </c>
      <c r="AA107" s="8">
        <v>7.7</v>
      </c>
      <c r="AB107" s="8">
        <v>43785</v>
      </c>
      <c r="AC107" s="8" t="s">
        <v>1420</v>
      </c>
      <c r="AD107" s="8" t="s">
        <v>3680</v>
      </c>
      <c r="AE107" s="8"/>
      <c r="AF107" s="9">
        <f t="shared" si="6"/>
        <v>9.8559999999999999</v>
      </c>
      <c r="AG107" s="9">
        <f t="shared" si="7"/>
        <v>2.5666666666666667E-2</v>
      </c>
      <c r="AH107" s="1"/>
      <c r="AI107" s="1"/>
      <c r="AJ107" s="1"/>
      <c r="AK107" s="1"/>
      <c r="AL107" s="1"/>
      <c r="AM107" s="1"/>
      <c r="AN107" s="1"/>
    </row>
    <row r="108" spans="8:40" ht="23">
      <c r="H108" s="8"/>
      <c r="I108" s="8"/>
      <c r="J108" s="8"/>
      <c r="K108" s="8"/>
      <c r="L108" s="8"/>
      <c r="M108" s="9" t="s">
        <v>3400</v>
      </c>
      <c r="N108" s="8" t="s">
        <v>1990</v>
      </c>
      <c r="O108" s="8"/>
      <c r="P108" s="8"/>
      <c r="Q108" s="8"/>
      <c r="R108" s="8"/>
      <c r="S108" s="8"/>
      <c r="T108" s="8"/>
      <c r="U108" s="8"/>
      <c r="V108" s="8"/>
      <c r="W108" s="9" t="s">
        <v>3400</v>
      </c>
      <c r="X108" s="8">
        <v>29.17</v>
      </c>
      <c r="Y108" s="8">
        <v>1.75</v>
      </c>
      <c r="Z108" s="9">
        <v>0.03</v>
      </c>
      <c r="AA108" s="8">
        <v>7.7</v>
      </c>
      <c r="AB108" s="8">
        <v>50181</v>
      </c>
      <c r="AC108" s="9" t="s">
        <v>3400</v>
      </c>
      <c r="AD108" s="8" t="s">
        <v>4214</v>
      </c>
      <c r="AE108" s="8"/>
      <c r="AF108" s="9">
        <f t="shared" si="6"/>
        <v>13.475</v>
      </c>
      <c r="AG108" s="9">
        <f t="shared" si="7"/>
        <v>0.38500000000000001</v>
      </c>
      <c r="AH108" s="1"/>
      <c r="AI108" s="1"/>
      <c r="AJ108" s="1"/>
      <c r="AK108" s="1"/>
      <c r="AL108" s="1"/>
      <c r="AM108" s="1"/>
      <c r="AN108" s="1"/>
    </row>
    <row r="109" spans="8:40" ht="23">
      <c r="H109" s="8"/>
      <c r="I109" s="8"/>
      <c r="J109" s="8"/>
      <c r="K109" s="8"/>
      <c r="L109" s="8"/>
      <c r="M109" s="9" t="s">
        <v>3587</v>
      </c>
      <c r="N109" s="8" t="s">
        <v>2074</v>
      </c>
      <c r="O109" s="8"/>
      <c r="P109" s="8"/>
      <c r="Q109" s="8"/>
      <c r="R109" s="8"/>
      <c r="S109" s="8"/>
      <c r="T109" s="8"/>
      <c r="U109" s="8"/>
      <c r="V109" s="8"/>
      <c r="W109" s="9" t="s">
        <v>3587</v>
      </c>
      <c r="X109" s="8">
        <v>54.43</v>
      </c>
      <c r="Y109" s="8">
        <v>2.44</v>
      </c>
      <c r="Z109" s="9">
        <v>1.57</v>
      </c>
      <c r="AA109" s="8">
        <v>7.4</v>
      </c>
      <c r="AB109" s="8">
        <v>16596</v>
      </c>
      <c r="AC109" s="9" t="s">
        <v>3587</v>
      </c>
      <c r="AD109" s="8" t="s">
        <v>4219</v>
      </c>
      <c r="AE109" s="8"/>
      <c r="AF109" s="9">
        <f t="shared" si="6"/>
        <v>18.056000000000001</v>
      </c>
      <c r="AG109" s="9">
        <f t="shared" si="7"/>
        <v>14.43</v>
      </c>
      <c r="AH109" s="1"/>
      <c r="AI109" s="1"/>
      <c r="AJ109" s="1"/>
      <c r="AK109" s="1"/>
      <c r="AL109" s="1"/>
      <c r="AM109" s="1"/>
      <c r="AN109" s="1"/>
    </row>
    <row r="110" spans="8:40" ht="23">
      <c r="H110" s="8"/>
      <c r="I110" s="8"/>
      <c r="J110" s="8"/>
      <c r="K110" s="8"/>
      <c r="L110" s="8"/>
      <c r="M110" s="9" t="s">
        <v>2913</v>
      </c>
      <c r="N110" s="8" t="s">
        <v>1717</v>
      </c>
      <c r="O110" s="8"/>
      <c r="P110" s="8"/>
      <c r="Q110" s="8"/>
      <c r="R110" s="8"/>
      <c r="S110" s="8"/>
      <c r="T110" s="8"/>
      <c r="U110" s="8"/>
      <c r="V110" s="8"/>
      <c r="W110" s="9" t="s">
        <v>2913</v>
      </c>
      <c r="X110" s="8">
        <v>34.06</v>
      </c>
      <c r="Y110" s="8">
        <v>9.43</v>
      </c>
      <c r="Z110" s="9">
        <v>8.0399999999999991</v>
      </c>
      <c r="AA110" s="8">
        <v>7.2</v>
      </c>
      <c r="AB110" s="8">
        <v>8247</v>
      </c>
      <c r="AC110" s="9" t="s">
        <v>2913</v>
      </c>
      <c r="AD110" s="8" t="s">
        <v>3699</v>
      </c>
      <c r="AE110" s="8"/>
      <c r="AF110" s="9">
        <f t="shared" si="6"/>
        <v>67.896000000000001</v>
      </c>
      <c r="AG110" s="9">
        <f t="shared" si="7"/>
        <v>58.08</v>
      </c>
      <c r="AH110" s="1"/>
      <c r="AI110" s="1"/>
      <c r="AJ110" s="1"/>
      <c r="AK110" s="1"/>
      <c r="AL110" s="1"/>
      <c r="AM110" s="1"/>
      <c r="AN110" s="1"/>
    </row>
    <row r="111" spans="8:40" ht="23">
      <c r="H111" s="8"/>
      <c r="I111" s="8"/>
      <c r="J111" s="8"/>
      <c r="K111" s="8"/>
      <c r="L111" s="8"/>
      <c r="M111" s="8" t="s">
        <v>518</v>
      </c>
      <c r="N111" s="8" t="s">
        <v>150</v>
      </c>
      <c r="O111" s="8"/>
      <c r="P111" s="8"/>
      <c r="Q111" s="8"/>
      <c r="R111" s="8"/>
      <c r="S111" s="8"/>
      <c r="T111" s="8"/>
      <c r="U111" s="8"/>
      <c r="V111" s="8"/>
      <c r="W111" s="8" t="s">
        <v>518</v>
      </c>
      <c r="X111" s="8">
        <v>20.23</v>
      </c>
      <c r="Y111" s="8">
        <v>16.149999999999999</v>
      </c>
      <c r="Z111" s="9">
        <v>21.45</v>
      </c>
      <c r="AA111" s="8">
        <v>7.2</v>
      </c>
      <c r="AB111" s="8">
        <v>7918</v>
      </c>
      <c r="AC111" s="8" t="s">
        <v>518</v>
      </c>
      <c r="AD111" s="8" t="s">
        <v>3682</v>
      </c>
      <c r="AE111" s="8"/>
      <c r="AF111" s="9">
        <f t="shared" si="6"/>
        <v>116.27999999999999</v>
      </c>
      <c r="AG111" s="9">
        <f t="shared" si="7"/>
        <v>156.6</v>
      </c>
      <c r="AH111" s="1"/>
      <c r="AI111" s="1"/>
      <c r="AJ111" s="1"/>
      <c r="AK111" s="1"/>
      <c r="AL111" s="1"/>
      <c r="AM111" s="1"/>
      <c r="AN111" s="1"/>
    </row>
    <row r="112" spans="8:40" ht="23">
      <c r="H112" s="8"/>
      <c r="I112" s="8"/>
      <c r="J112" s="8"/>
      <c r="K112" s="8"/>
      <c r="L112" s="8"/>
      <c r="M112" s="8" t="s">
        <v>1501</v>
      </c>
      <c r="N112" s="8" t="s">
        <v>150</v>
      </c>
      <c r="O112" s="8"/>
      <c r="P112" s="8"/>
      <c r="Q112" s="8"/>
      <c r="R112" s="8"/>
      <c r="S112" s="8"/>
      <c r="T112" s="8"/>
      <c r="U112" s="8"/>
      <c r="V112" s="8"/>
      <c r="W112" s="8" t="s">
        <v>1501</v>
      </c>
      <c r="X112" s="8">
        <v>17.25</v>
      </c>
      <c r="Y112" s="8">
        <v>6.86</v>
      </c>
      <c r="Z112" s="9">
        <v>7.39</v>
      </c>
      <c r="AA112" s="8">
        <v>7</v>
      </c>
      <c r="AB112" s="8">
        <v>10289</v>
      </c>
      <c r="AC112" s="8" t="s">
        <v>1501</v>
      </c>
      <c r="AD112" s="8" t="s">
        <v>3699</v>
      </c>
      <c r="AE112" s="8"/>
      <c r="AF112" s="9">
        <f t="shared" si="6"/>
        <v>48.02</v>
      </c>
      <c r="AG112" s="9">
        <f t="shared" si="7"/>
        <v>53.550000000000004</v>
      </c>
      <c r="AH112" s="1"/>
      <c r="AI112" s="1"/>
      <c r="AJ112" s="1"/>
      <c r="AK112" s="1"/>
      <c r="AL112" s="1"/>
      <c r="AM112" s="1"/>
      <c r="AN112" s="1"/>
    </row>
    <row r="113" spans="8:40" ht="23">
      <c r="H113" s="8"/>
      <c r="I113" s="8"/>
      <c r="J113" s="8"/>
      <c r="K113" s="8"/>
      <c r="L113" s="8"/>
      <c r="M113" s="8" t="s">
        <v>1000</v>
      </c>
      <c r="N113" s="8" t="s">
        <v>150</v>
      </c>
      <c r="O113" s="8"/>
      <c r="P113" s="8"/>
      <c r="Q113" s="8"/>
      <c r="R113" s="8"/>
      <c r="S113" s="8"/>
      <c r="T113" s="8"/>
      <c r="U113" s="8"/>
      <c r="V113" s="8"/>
      <c r="W113" s="8" t="s">
        <v>1000</v>
      </c>
      <c r="X113" s="8">
        <v>30.69</v>
      </c>
      <c r="Y113" s="8">
        <v>1.65</v>
      </c>
      <c r="Z113" s="9">
        <v>0.12</v>
      </c>
      <c r="AA113" s="8">
        <v>7</v>
      </c>
      <c r="AB113" s="8">
        <v>32995</v>
      </c>
      <c r="AC113" s="8" t="s">
        <v>1000</v>
      </c>
      <c r="AD113" s="8" t="s">
        <v>3682</v>
      </c>
      <c r="AE113" s="8"/>
      <c r="AF113" s="9">
        <f t="shared" si="6"/>
        <v>11.549999999999999</v>
      </c>
      <c r="AG113" s="9">
        <f t="shared" si="7"/>
        <v>1.4000000000000001</v>
      </c>
      <c r="AH113" s="1"/>
      <c r="AI113" s="1"/>
      <c r="AJ113" s="1"/>
      <c r="AK113" s="1"/>
      <c r="AL113" s="1"/>
      <c r="AM113" s="1"/>
      <c r="AN113" s="1"/>
    </row>
    <row r="114" spans="8:40" ht="23">
      <c r="H114" s="8"/>
      <c r="I114" s="8"/>
      <c r="J114" s="8"/>
      <c r="K114" s="8"/>
      <c r="L114" s="8"/>
      <c r="M114" s="8"/>
      <c r="N114" s="8"/>
      <c r="O114" s="8"/>
      <c r="P114" s="8" t="s">
        <v>3715</v>
      </c>
      <c r="Q114" s="8"/>
      <c r="R114" s="8"/>
      <c r="S114" s="8"/>
      <c r="T114" s="8"/>
      <c r="U114" s="8"/>
      <c r="V114" s="8"/>
      <c r="W114" s="8" t="s">
        <v>4069</v>
      </c>
      <c r="X114" s="8">
        <v>24.86</v>
      </c>
      <c r="Y114" s="8">
        <v>5.65</v>
      </c>
      <c r="Z114" s="9">
        <v>6.28</v>
      </c>
      <c r="AA114" s="8">
        <v>6.7</v>
      </c>
      <c r="AB114" s="8">
        <v>10491</v>
      </c>
      <c r="AC114" s="8" t="s">
        <v>4069</v>
      </c>
      <c r="AD114" s="8" t="s">
        <v>4070</v>
      </c>
      <c r="AE114" s="8"/>
      <c r="AF114" s="9">
        <f t="shared" si="6"/>
        <v>37.855000000000004</v>
      </c>
      <c r="AG114" s="9">
        <f t="shared" si="7"/>
        <v>43.326666666666668</v>
      </c>
      <c r="AH114" s="1"/>
      <c r="AI114" s="1"/>
      <c r="AJ114" s="1"/>
      <c r="AK114" s="1"/>
      <c r="AL114" s="1"/>
      <c r="AM114" s="1"/>
      <c r="AN114" s="1"/>
    </row>
    <row r="115" spans="8:40" ht="23">
      <c r="H115" s="8"/>
      <c r="I115" s="8"/>
      <c r="J115" s="8"/>
      <c r="K115" s="8"/>
      <c r="L115" s="8"/>
      <c r="M115" s="9" t="s">
        <v>2570</v>
      </c>
      <c r="N115" s="8" t="s">
        <v>150</v>
      </c>
      <c r="O115" s="8"/>
      <c r="P115" s="8"/>
      <c r="Q115" s="8"/>
      <c r="R115" s="8"/>
      <c r="S115" s="8"/>
      <c r="T115" s="8"/>
      <c r="U115" s="8"/>
      <c r="V115" s="8"/>
      <c r="W115" s="9" t="s">
        <v>2570</v>
      </c>
      <c r="X115" s="8">
        <v>31.99</v>
      </c>
      <c r="Y115" s="8">
        <v>2.46</v>
      </c>
      <c r="Z115" s="9">
        <v>6.2</v>
      </c>
      <c r="AA115" s="8">
        <v>6.6</v>
      </c>
      <c r="AB115" s="8">
        <v>18679</v>
      </c>
      <c r="AC115" s="9" t="s">
        <v>2570</v>
      </c>
      <c r="AD115" s="8" t="s">
        <v>3682</v>
      </c>
      <c r="AE115" s="8"/>
      <c r="AF115" s="9">
        <f t="shared" si="6"/>
        <v>16.236000000000001</v>
      </c>
      <c r="AG115" s="9">
        <f t="shared" si="7"/>
        <v>39.621999999999993</v>
      </c>
      <c r="AH115" s="1"/>
      <c r="AI115" s="1"/>
      <c r="AJ115" s="1"/>
      <c r="AK115" s="1"/>
      <c r="AL115" s="1"/>
      <c r="AM115" s="1"/>
      <c r="AN115" s="1"/>
    </row>
    <row r="116" spans="8:40" ht="23">
      <c r="H116" s="8"/>
      <c r="I116" s="8"/>
      <c r="J116" s="8"/>
      <c r="K116" s="8"/>
      <c r="L116" s="8"/>
      <c r="M116" s="9" t="s">
        <v>3474</v>
      </c>
      <c r="N116" s="8" t="s">
        <v>2017</v>
      </c>
      <c r="O116" s="8"/>
      <c r="P116" s="8"/>
      <c r="Q116" s="8"/>
      <c r="R116" s="8"/>
      <c r="S116" s="8"/>
      <c r="T116" s="8"/>
      <c r="U116" s="8"/>
      <c r="V116" s="8"/>
      <c r="W116" s="9" t="s">
        <v>3474</v>
      </c>
      <c r="X116" s="8">
        <v>34.68</v>
      </c>
      <c r="Y116" s="8">
        <v>2.65</v>
      </c>
      <c r="Z116" s="9">
        <v>1.52</v>
      </c>
      <c r="AA116" s="8">
        <v>6.5</v>
      </c>
      <c r="AB116" s="8">
        <v>18316</v>
      </c>
      <c r="AC116" s="9" t="s">
        <v>3474</v>
      </c>
      <c r="AD116" s="8" t="s">
        <v>4198</v>
      </c>
      <c r="AE116" s="8"/>
      <c r="AF116" s="9">
        <f t="shared" si="6"/>
        <v>17.224999999999998</v>
      </c>
      <c r="AG116" s="9">
        <f t="shared" si="7"/>
        <v>12.133333333333333</v>
      </c>
      <c r="AH116" s="1"/>
      <c r="AI116" s="1"/>
      <c r="AJ116" s="1"/>
      <c r="AK116" s="1"/>
      <c r="AL116" s="1"/>
      <c r="AM116" s="1"/>
      <c r="AN116" s="1"/>
    </row>
    <row r="117" spans="8:40" ht="23">
      <c r="H117" s="8"/>
      <c r="I117" s="8"/>
      <c r="J117" s="8"/>
      <c r="K117" s="8"/>
      <c r="L117" s="8"/>
      <c r="M117" s="8" t="s">
        <v>1163</v>
      </c>
      <c r="N117" s="8" t="s">
        <v>150</v>
      </c>
      <c r="O117" s="8"/>
      <c r="P117" s="8"/>
      <c r="Q117" s="8"/>
      <c r="R117" s="8"/>
      <c r="S117" s="8"/>
      <c r="T117" s="8"/>
      <c r="U117" s="8"/>
      <c r="V117" s="8"/>
      <c r="W117" s="8" t="s">
        <v>1163</v>
      </c>
      <c r="X117" s="8">
        <v>83.75</v>
      </c>
      <c r="Y117" s="8">
        <v>1.38</v>
      </c>
      <c r="Z117" s="9">
        <v>0.49</v>
      </c>
      <c r="AA117" s="8">
        <v>6.3</v>
      </c>
      <c r="AB117" s="8">
        <v>22307</v>
      </c>
      <c r="AC117" s="8" t="s">
        <v>1163</v>
      </c>
      <c r="AD117" s="8" t="s">
        <v>3682</v>
      </c>
      <c r="AE117" s="8"/>
      <c r="AF117" s="9">
        <f t="shared" si="6"/>
        <v>8.6939999999999991</v>
      </c>
      <c r="AG117" s="9">
        <f t="shared" si="7"/>
        <v>5.1449999999999996</v>
      </c>
      <c r="AH117" s="1"/>
      <c r="AI117" s="1"/>
      <c r="AJ117" s="1"/>
      <c r="AK117" s="1"/>
      <c r="AL117" s="1"/>
      <c r="AM117" s="1"/>
      <c r="AN117" s="1"/>
    </row>
    <row r="118" spans="8:40" ht="23">
      <c r="H118" s="8"/>
      <c r="I118" s="8"/>
      <c r="J118" s="8"/>
      <c r="K118" s="8"/>
      <c r="L118" s="8"/>
      <c r="M118" s="8" t="s">
        <v>44</v>
      </c>
      <c r="N118" s="8" t="s">
        <v>19</v>
      </c>
      <c r="O118" s="8"/>
      <c r="P118" s="8"/>
      <c r="Q118" s="8"/>
      <c r="R118" s="8"/>
      <c r="S118" s="8"/>
      <c r="T118" s="8"/>
      <c r="U118" s="8"/>
      <c r="V118" s="8"/>
      <c r="W118" s="8" t="s">
        <v>44</v>
      </c>
      <c r="X118" s="8">
        <v>38.880000000000003</v>
      </c>
      <c r="Y118" s="8">
        <v>4.1500000000000004</v>
      </c>
      <c r="Z118" s="9">
        <v>4.04</v>
      </c>
      <c r="AA118" s="8">
        <v>5.9</v>
      </c>
      <c r="AB118" s="8">
        <v>15040</v>
      </c>
      <c r="AC118" s="8" t="s">
        <v>44</v>
      </c>
      <c r="AD118" s="8" t="s">
        <v>3699</v>
      </c>
      <c r="AE118" s="8"/>
      <c r="AF118" s="9">
        <f t="shared" si="6"/>
        <v>24.485000000000003</v>
      </c>
      <c r="AG118" s="9">
        <f t="shared" si="7"/>
        <v>23.993333333333332</v>
      </c>
      <c r="AH118" s="1"/>
      <c r="AI118" s="1"/>
      <c r="AJ118" s="1"/>
      <c r="AK118" s="1"/>
      <c r="AL118" s="1"/>
      <c r="AM118" s="1"/>
      <c r="AN118" s="1"/>
    </row>
    <row r="119" spans="8:40" ht="23">
      <c r="H119" s="8"/>
      <c r="I119" s="8"/>
      <c r="J119" s="8"/>
      <c r="K119" s="8"/>
      <c r="L119" s="8"/>
      <c r="M119" s="9" t="s">
        <v>2848</v>
      </c>
      <c r="N119" s="8" t="s">
        <v>1614</v>
      </c>
      <c r="O119" s="8"/>
      <c r="P119" s="8"/>
      <c r="Q119" s="8"/>
      <c r="R119" s="8"/>
      <c r="S119" s="8"/>
      <c r="T119" s="8"/>
      <c r="U119" s="8"/>
      <c r="V119" s="8"/>
      <c r="W119" s="9" t="s">
        <v>2848</v>
      </c>
      <c r="X119" s="8">
        <v>37.69</v>
      </c>
      <c r="Y119" s="8">
        <v>2.7</v>
      </c>
      <c r="Z119" s="9">
        <v>3.42</v>
      </c>
      <c r="AA119" s="8">
        <v>5.9</v>
      </c>
      <c r="AB119" s="8">
        <v>23055</v>
      </c>
      <c r="AC119" s="9" t="s">
        <v>2848</v>
      </c>
      <c r="AD119" s="8" t="s">
        <v>3699</v>
      </c>
      <c r="AE119" s="8"/>
      <c r="AF119" s="9">
        <f t="shared" si="6"/>
        <v>15.930000000000001</v>
      </c>
      <c r="AG119" s="9">
        <f t="shared" si="7"/>
        <v>21.830000000000002</v>
      </c>
      <c r="AH119" s="1"/>
      <c r="AI119" s="1"/>
      <c r="AJ119" s="1"/>
      <c r="AK119" s="1"/>
      <c r="AL119" s="1"/>
      <c r="AM119" s="1"/>
      <c r="AN119" s="1"/>
    </row>
    <row r="120" spans="8:40" ht="23">
      <c r="H120" s="8"/>
      <c r="I120" s="8"/>
      <c r="J120" s="8"/>
      <c r="K120" s="8"/>
      <c r="L120" s="8"/>
      <c r="M120" s="8" t="s">
        <v>493</v>
      </c>
      <c r="N120" s="8" t="s">
        <v>150</v>
      </c>
      <c r="O120" s="8"/>
      <c r="P120" s="8"/>
      <c r="Q120" s="8"/>
      <c r="R120" s="8"/>
      <c r="S120" s="8"/>
      <c r="T120" s="8"/>
      <c r="U120" s="8"/>
      <c r="V120" s="8"/>
      <c r="W120" s="8" t="s">
        <v>493</v>
      </c>
      <c r="X120" s="8">
        <v>36.24</v>
      </c>
      <c r="Y120" s="8">
        <v>3.39</v>
      </c>
      <c r="Z120" s="9">
        <v>3.15</v>
      </c>
      <c r="AA120" s="8">
        <v>5.7</v>
      </c>
      <c r="AB120" s="8">
        <v>17484</v>
      </c>
      <c r="AC120" s="8" t="s">
        <v>493</v>
      </c>
      <c r="AD120" s="8" t="s">
        <v>3682</v>
      </c>
      <c r="AE120" s="8"/>
      <c r="AF120" s="9">
        <f t="shared" si="6"/>
        <v>19.323</v>
      </c>
      <c r="AG120" s="9">
        <f t="shared" si="7"/>
        <v>18.525000000000002</v>
      </c>
      <c r="AH120" s="1"/>
      <c r="AI120" s="1"/>
      <c r="AJ120" s="1"/>
      <c r="AK120" s="1"/>
      <c r="AL120" s="1"/>
      <c r="AM120" s="1"/>
      <c r="AN120" s="1"/>
    </row>
    <row r="121" spans="8:40" ht="23">
      <c r="H121" s="8"/>
      <c r="I121" s="8"/>
      <c r="J121" s="8"/>
      <c r="K121" s="8"/>
      <c r="L121" s="8"/>
      <c r="M121" s="9" t="s">
        <v>2327</v>
      </c>
      <c r="N121" s="8" t="s">
        <v>150</v>
      </c>
      <c r="O121" s="8"/>
      <c r="P121" s="8" t="s">
        <v>3691</v>
      </c>
      <c r="Q121" s="8"/>
      <c r="R121" s="8"/>
      <c r="S121" s="8"/>
      <c r="T121" s="8"/>
      <c r="U121" s="8"/>
      <c r="V121" s="8"/>
      <c r="W121" s="9" t="s">
        <v>2327</v>
      </c>
      <c r="X121" s="8">
        <v>39.799999999999997</v>
      </c>
      <c r="Y121" s="8">
        <v>2.67</v>
      </c>
      <c r="Z121" s="9">
        <v>1.48</v>
      </c>
      <c r="AA121" s="8">
        <v>5.5</v>
      </c>
      <c r="AB121" s="8">
        <v>22057</v>
      </c>
      <c r="AC121" s="9" t="s">
        <v>2327</v>
      </c>
      <c r="AD121" s="8" t="s">
        <v>3682</v>
      </c>
      <c r="AE121" s="8"/>
      <c r="AF121" s="9">
        <f t="shared" si="6"/>
        <v>14.684999999999999</v>
      </c>
      <c r="AG121" s="9">
        <f t="shared" si="7"/>
        <v>9.9</v>
      </c>
      <c r="AH121" s="1"/>
      <c r="AI121" s="1"/>
      <c r="AJ121" s="1"/>
      <c r="AK121" s="1"/>
      <c r="AL121" s="1"/>
      <c r="AM121" s="1"/>
      <c r="AN121" s="1"/>
    </row>
    <row r="122" spans="8:40" ht="23">
      <c r="H122" s="8"/>
      <c r="I122" s="8"/>
      <c r="J122" s="8"/>
      <c r="K122" s="8"/>
      <c r="L122" s="8"/>
      <c r="M122" s="8" t="s">
        <v>624</v>
      </c>
      <c r="N122" s="8" t="s">
        <v>150</v>
      </c>
      <c r="O122" s="8"/>
      <c r="P122" s="8"/>
      <c r="Q122" s="8"/>
      <c r="R122" s="8"/>
      <c r="S122" s="8"/>
      <c r="T122" s="8"/>
      <c r="U122" s="8"/>
      <c r="V122" s="8"/>
      <c r="W122" s="8" t="s">
        <v>624</v>
      </c>
      <c r="X122" s="8">
        <v>47.46</v>
      </c>
      <c r="Y122" s="8">
        <v>2.65</v>
      </c>
      <c r="Z122" s="9">
        <v>4.0999999999999996</v>
      </c>
      <c r="AA122" s="8">
        <v>5.3</v>
      </c>
      <c r="AB122" s="8">
        <v>22217</v>
      </c>
      <c r="AC122" s="8" t="s">
        <v>624</v>
      </c>
      <c r="AD122" s="8" t="s">
        <v>3682</v>
      </c>
      <c r="AE122" s="8"/>
      <c r="AF122" s="9">
        <f t="shared" si="6"/>
        <v>14.045</v>
      </c>
      <c r="AG122" s="9">
        <f t="shared" si="7"/>
        <v>21.208833333333335</v>
      </c>
      <c r="AH122" s="1"/>
      <c r="AI122" s="1"/>
      <c r="AJ122" s="1"/>
      <c r="AK122" s="1"/>
      <c r="AL122" s="1"/>
      <c r="AM122" s="1"/>
      <c r="AN122" s="1"/>
    </row>
    <row r="123" spans="8:40" ht="23">
      <c r="H123" s="8"/>
      <c r="I123" s="8"/>
      <c r="J123" s="8"/>
      <c r="K123" s="8"/>
      <c r="L123" s="8"/>
      <c r="M123" s="8" t="s">
        <v>867</v>
      </c>
      <c r="N123" s="8" t="s">
        <v>150</v>
      </c>
      <c r="O123" s="8"/>
      <c r="P123" s="8"/>
      <c r="Q123" s="8"/>
      <c r="R123" s="8"/>
      <c r="S123" s="8"/>
      <c r="T123" s="8"/>
      <c r="U123" s="8"/>
      <c r="V123" s="8"/>
      <c r="W123" s="8" t="s">
        <v>867</v>
      </c>
      <c r="X123" s="8">
        <v>35.17</v>
      </c>
      <c r="Y123" s="8">
        <v>2.63</v>
      </c>
      <c r="Z123" s="9">
        <v>1.43</v>
      </c>
      <c r="AA123" s="8">
        <v>5.2</v>
      </c>
      <c r="AB123" s="8">
        <v>33370</v>
      </c>
      <c r="AC123" s="8" t="s">
        <v>867</v>
      </c>
      <c r="AD123" s="8" t="s">
        <v>3680</v>
      </c>
      <c r="AE123" s="8"/>
      <c r="AF123" s="9">
        <f t="shared" si="6"/>
        <v>13.676</v>
      </c>
      <c r="AG123" s="9">
        <f t="shared" si="7"/>
        <v>8.9266666666666676</v>
      </c>
      <c r="AH123" s="1"/>
      <c r="AI123" s="1"/>
      <c r="AJ123" s="1"/>
      <c r="AK123" s="1"/>
      <c r="AL123" s="1"/>
      <c r="AM123" s="1"/>
      <c r="AN123" s="1"/>
    </row>
    <row r="124" spans="8:40" ht="23">
      <c r="H124" s="8"/>
      <c r="I124" s="8"/>
      <c r="J124" s="8"/>
      <c r="K124" s="8"/>
      <c r="L124" s="8"/>
      <c r="M124" s="9" t="s">
        <v>2479</v>
      </c>
      <c r="N124" s="8" t="s">
        <v>150</v>
      </c>
      <c r="O124" s="8"/>
      <c r="P124" s="8"/>
      <c r="Q124" s="8"/>
      <c r="R124" s="8"/>
      <c r="S124" s="8"/>
      <c r="T124" s="8"/>
      <c r="U124" s="8"/>
      <c r="V124" s="8"/>
      <c r="W124" s="9" t="s">
        <v>2479</v>
      </c>
      <c r="X124" s="8">
        <v>46.59</v>
      </c>
      <c r="Y124" s="8">
        <v>3.08</v>
      </c>
      <c r="Z124" s="9">
        <v>4.1100000000000003</v>
      </c>
      <c r="AA124" s="8">
        <v>5.0999999999999996</v>
      </c>
      <c r="AB124" s="8">
        <v>21864</v>
      </c>
      <c r="AC124" s="9" t="s">
        <v>2479</v>
      </c>
      <c r="AD124" s="8" t="s">
        <v>4178</v>
      </c>
      <c r="AE124" s="8"/>
      <c r="AF124" s="9">
        <f t="shared" si="6"/>
        <v>15.707999999999998</v>
      </c>
      <c r="AG124" s="9">
        <f t="shared" si="7"/>
        <v>21.335000000000001</v>
      </c>
      <c r="AH124" s="1"/>
      <c r="AI124" s="1"/>
      <c r="AJ124" s="1"/>
      <c r="AK124" s="1"/>
      <c r="AL124" s="1"/>
      <c r="AM124" s="1"/>
      <c r="AN124" s="1"/>
    </row>
    <row r="125" spans="8:40" ht="23">
      <c r="H125" s="8"/>
      <c r="I125" s="8"/>
      <c r="J125" s="8"/>
      <c r="K125" s="8"/>
      <c r="L125" s="8"/>
      <c r="M125" s="8" t="s">
        <v>1726</v>
      </c>
      <c r="N125" s="8" t="s">
        <v>1717</v>
      </c>
      <c r="O125" s="8"/>
      <c r="P125" s="8" t="s">
        <v>3691</v>
      </c>
      <c r="Q125" s="8"/>
      <c r="R125" s="8"/>
      <c r="S125" s="8"/>
      <c r="T125" s="8"/>
      <c r="U125" s="8"/>
      <c r="V125" s="8"/>
      <c r="W125" s="8" t="s">
        <v>1726</v>
      </c>
      <c r="X125" s="8">
        <v>35.979999999999997</v>
      </c>
      <c r="Y125" s="8">
        <v>2.84</v>
      </c>
      <c r="Z125" s="9">
        <v>3.41</v>
      </c>
      <c r="AA125" s="8">
        <v>5</v>
      </c>
      <c r="AB125" s="8">
        <v>25868</v>
      </c>
      <c r="AC125" s="8" t="s">
        <v>1726</v>
      </c>
      <c r="AD125" s="8" t="s">
        <v>3682</v>
      </c>
      <c r="AE125" s="8"/>
      <c r="AF125" s="9">
        <f t="shared" si="6"/>
        <v>14.2</v>
      </c>
      <c r="AG125" s="9">
        <f t="shared" si="7"/>
        <v>18.416666666666668</v>
      </c>
      <c r="AH125" s="1"/>
      <c r="AI125" s="1"/>
      <c r="AJ125" s="1"/>
      <c r="AK125" s="1"/>
      <c r="AL125" s="1"/>
      <c r="AM125" s="1"/>
      <c r="AN125" s="1"/>
    </row>
    <row r="126" spans="8:40" ht="23">
      <c r="H126" s="8"/>
      <c r="I126" s="8"/>
      <c r="J126" s="8"/>
      <c r="K126" s="8"/>
      <c r="L126" s="8"/>
      <c r="M126" s="9" t="s">
        <v>3272</v>
      </c>
      <c r="N126" s="8" t="s">
        <v>1902</v>
      </c>
      <c r="O126" s="8"/>
      <c r="P126" s="8"/>
      <c r="Q126" s="8"/>
      <c r="R126" s="8"/>
      <c r="S126" s="8"/>
      <c r="T126" s="8"/>
      <c r="U126" s="8"/>
      <c r="V126" s="8"/>
      <c r="W126" s="9" t="s">
        <v>3272</v>
      </c>
      <c r="X126" s="8">
        <v>33.659999999999997</v>
      </c>
      <c r="Y126" s="8">
        <v>2.2400000000000002</v>
      </c>
      <c r="Z126" s="9">
        <v>1.42</v>
      </c>
      <c r="AA126" s="8">
        <v>4.8</v>
      </c>
      <c r="AB126" s="8">
        <v>22261</v>
      </c>
      <c r="AC126" s="9" t="s">
        <v>3272</v>
      </c>
      <c r="AD126" s="8" t="s">
        <v>3680</v>
      </c>
      <c r="AE126" s="8"/>
      <c r="AF126" s="9">
        <f t="shared" si="6"/>
        <v>10.752000000000001</v>
      </c>
      <c r="AG126" s="9">
        <f t="shared" si="7"/>
        <v>8.16</v>
      </c>
      <c r="AH126" s="1"/>
      <c r="AI126" s="1"/>
      <c r="AJ126" s="1"/>
      <c r="AK126" s="1"/>
      <c r="AL126" s="1"/>
      <c r="AM126" s="1"/>
      <c r="AN126" s="1"/>
    </row>
    <row r="127" spans="8:40" ht="23">
      <c r="H127" s="8"/>
      <c r="I127" s="8"/>
      <c r="J127" s="8"/>
      <c r="K127" s="8"/>
      <c r="L127" s="8"/>
      <c r="M127" s="9" t="s">
        <v>3617</v>
      </c>
      <c r="N127" s="8" t="s">
        <v>2093</v>
      </c>
      <c r="O127" s="8"/>
      <c r="P127" s="8"/>
      <c r="Q127" s="8"/>
      <c r="R127" s="8"/>
      <c r="S127" s="8"/>
      <c r="T127" s="8"/>
      <c r="U127" s="8"/>
      <c r="V127" s="8"/>
      <c r="W127" s="9" t="s">
        <v>3617</v>
      </c>
      <c r="X127" s="8">
        <v>43.85</v>
      </c>
      <c r="Y127" s="8">
        <v>2.1</v>
      </c>
      <c r="Z127" s="9">
        <v>0.44</v>
      </c>
      <c r="AA127" s="8">
        <v>4.5999999999999996</v>
      </c>
      <c r="AB127" s="8">
        <v>32610</v>
      </c>
      <c r="AC127" s="9" t="s">
        <v>3617</v>
      </c>
      <c r="AD127" s="8" t="s">
        <v>4198</v>
      </c>
      <c r="AE127" s="8"/>
      <c r="AF127" s="9">
        <f t="shared" si="6"/>
        <v>9.66</v>
      </c>
      <c r="AG127" s="9">
        <f t="shared" si="7"/>
        <v>3.3733333333333326</v>
      </c>
      <c r="AH127" s="1"/>
      <c r="AI127" s="1"/>
      <c r="AJ127" s="1"/>
      <c r="AK127" s="1"/>
      <c r="AL127" s="1"/>
      <c r="AM127" s="1"/>
      <c r="AN127" s="1"/>
    </row>
    <row r="128" spans="8:40" ht="23">
      <c r="H128" s="8"/>
      <c r="I128" s="8"/>
      <c r="J128" s="8"/>
      <c r="K128" s="8"/>
      <c r="L128" s="8"/>
      <c r="M128" s="9" t="s">
        <v>2968</v>
      </c>
      <c r="N128" s="8" t="s">
        <v>1717</v>
      </c>
      <c r="O128" s="8"/>
      <c r="P128" s="8"/>
      <c r="Q128" s="8"/>
      <c r="R128" s="8"/>
      <c r="S128" s="8"/>
      <c r="T128" s="8"/>
      <c r="U128" s="8"/>
      <c r="V128" s="8"/>
      <c r="W128" s="9" t="s">
        <v>2968</v>
      </c>
      <c r="X128" s="8">
        <v>29.64</v>
      </c>
      <c r="Y128" s="8">
        <v>2.06</v>
      </c>
      <c r="Z128" s="9">
        <v>0.47</v>
      </c>
      <c r="AA128" s="8">
        <v>4.5</v>
      </c>
      <c r="AB128" s="8">
        <v>30534</v>
      </c>
      <c r="AC128" s="9" t="s">
        <v>2968</v>
      </c>
      <c r="AD128" s="8" t="s">
        <v>3682</v>
      </c>
      <c r="AE128" s="8"/>
      <c r="AF128" s="9">
        <f t="shared" si="6"/>
        <v>9.27</v>
      </c>
      <c r="AG128" s="9">
        <f t="shared" si="7"/>
        <v>3.5249999999999999</v>
      </c>
      <c r="AH128" s="1"/>
      <c r="AI128" s="1"/>
      <c r="AJ128" s="1"/>
      <c r="AK128" s="1"/>
      <c r="AL128" s="1"/>
      <c r="AM128" s="1"/>
      <c r="AN128" s="1"/>
    </row>
    <row r="129" spans="8:40" ht="23">
      <c r="H129" s="8"/>
      <c r="I129" s="8"/>
      <c r="J129" s="8"/>
      <c r="K129" s="8"/>
      <c r="L129" s="8"/>
      <c r="M129" s="8" t="s">
        <v>196</v>
      </c>
      <c r="N129" s="8" t="s">
        <v>150</v>
      </c>
      <c r="O129" s="8"/>
      <c r="P129" s="8"/>
      <c r="Q129" s="8"/>
      <c r="R129" s="8"/>
      <c r="S129" s="8"/>
      <c r="T129" s="8"/>
      <c r="U129" s="8"/>
      <c r="V129" s="8"/>
      <c r="W129" s="8" t="s">
        <v>196</v>
      </c>
      <c r="X129" s="8">
        <v>7.53</v>
      </c>
      <c r="Y129" s="8">
        <v>4.16</v>
      </c>
      <c r="Z129" s="9">
        <v>6.34</v>
      </c>
      <c r="AA129" s="8">
        <v>4.5</v>
      </c>
      <c r="AB129" s="8">
        <v>18245</v>
      </c>
      <c r="AC129" s="8" t="s">
        <v>196</v>
      </c>
      <c r="AD129" s="8" t="s">
        <v>3682</v>
      </c>
      <c r="AE129" s="8"/>
      <c r="AF129" s="9">
        <f t="shared" si="6"/>
        <v>18.72</v>
      </c>
      <c r="AG129" s="9">
        <f t="shared" si="7"/>
        <v>29.549999999999997</v>
      </c>
      <c r="AH129" s="1"/>
      <c r="AI129" s="1"/>
      <c r="AJ129" s="1"/>
      <c r="AK129" s="1"/>
      <c r="AL129" s="1"/>
      <c r="AM129" s="1"/>
      <c r="AN129" s="1"/>
    </row>
    <row r="130" spans="8:40" ht="23">
      <c r="H130" s="8"/>
      <c r="I130" s="8"/>
      <c r="J130" s="8"/>
      <c r="K130" s="8"/>
      <c r="L130" s="8"/>
      <c r="M130" s="8" t="s">
        <v>1603</v>
      </c>
      <c r="N130" s="8" t="s">
        <v>150</v>
      </c>
      <c r="O130" s="8"/>
      <c r="P130" s="8"/>
      <c r="Q130" s="8"/>
      <c r="R130" s="8"/>
      <c r="S130" s="8"/>
      <c r="T130" s="8"/>
      <c r="U130" s="8"/>
      <c r="V130" s="8"/>
      <c r="W130" s="8" t="s">
        <v>1603</v>
      </c>
      <c r="X130" s="8">
        <v>17.420000000000002</v>
      </c>
      <c r="Y130" s="8">
        <v>8.86</v>
      </c>
      <c r="Z130" s="9">
        <v>14.41</v>
      </c>
      <c r="AA130" s="8">
        <v>4.5</v>
      </c>
      <c r="AB130" s="8">
        <v>13456</v>
      </c>
      <c r="AC130" s="8" t="s">
        <v>1603</v>
      </c>
      <c r="AD130" s="8" t="s">
        <v>3682</v>
      </c>
      <c r="AE130" s="8"/>
      <c r="AF130" s="9">
        <f t="shared" ref="AF130:AF161" si="8">(AA130*Y130)</f>
        <v>39.869999999999997</v>
      </c>
      <c r="AG130" s="9">
        <f t="shared" ref="AG130:AG161" si="9">((((RIGHT(Z130,2))/60)+(LEFT(Z130,2)))*AA130)</f>
        <v>66.075000000000003</v>
      </c>
      <c r="AH130" s="1"/>
      <c r="AI130" s="1"/>
      <c r="AJ130" s="1"/>
      <c r="AK130" s="1"/>
      <c r="AL130" s="1"/>
      <c r="AM130" s="1"/>
      <c r="AN130" s="1"/>
    </row>
    <row r="131" spans="8:40" ht="23">
      <c r="H131" s="8"/>
      <c r="I131" s="8"/>
      <c r="J131" s="8"/>
      <c r="K131" s="8"/>
      <c r="L131" s="8"/>
      <c r="M131" s="9" t="s">
        <v>3039</v>
      </c>
      <c r="N131" s="8" t="s">
        <v>1814</v>
      </c>
      <c r="O131" s="8"/>
      <c r="P131" s="8"/>
      <c r="Q131" s="8"/>
      <c r="R131" s="8"/>
      <c r="S131" s="8"/>
      <c r="T131" s="8"/>
      <c r="U131" s="8"/>
      <c r="V131" s="8"/>
      <c r="W131" s="9" t="s">
        <v>3039</v>
      </c>
      <c r="X131" s="8">
        <v>26.75</v>
      </c>
      <c r="Y131" s="8">
        <v>5.78</v>
      </c>
      <c r="Z131" s="9">
        <v>11.31</v>
      </c>
      <c r="AA131" s="8">
        <v>4.2</v>
      </c>
      <c r="AB131" s="8">
        <v>16489</v>
      </c>
      <c r="AC131" s="9" t="s">
        <v>3039</v>
      </c>
      <c r="AD131" s="8" t="s">
        <v>3682</v>
      </c>
      <c r="AE131" s="8"/>
      <c r="AF131" s="9">
        <f t="shared" si="8"/>
        <v>24.276000000000003</v>
      </c>
      <c r="AG131" s="9">
        <f t="shared" si="9"/>
        <v>48.370000000000005</v>
      </c>
      <c r="AH131" s="1"/>
      <c r="AI131" s="1"/>
      <c r="AJ131" s="1"/>
      <c r="AK131" s="1"/>
      <c r="AL131" s="1"/>
      <c r="AM131" s="1"/>
      <c r="AN131" s="1"/>
    </row>
    <row r="132" spans="8:40" ht="23">
      <c r="H132" s="8"/>
      <c r="I132" s="8"/>
      <c r="J132" s="8"/>
      <c r="K132" s="8"/>
      <c r="L132" s="8"/>
      <c r="M132" s="9" t="s">
        <v>2365</v>
      </c>
      <c r="N132" s="8" t="s">
        <v>150</v>
      </c>
      <c r="O132" s="8"/>
      <c r="P132" s="8"/>
      <c r="Q132" s="8"/>
      <c r="R132" s="8"/>
      <c r="S132" s="8"/>
      <c r="T132" s="8"/>
      <c r="U132" s="8"/>
      <c r="V132" s="8"/>
      <c r="W132" s="9" t="s">
        <v>2365</v>
      </c>
      <c r="X132" s="8">
        <v>33.35</v>
      </c>
      <c r="Y132" s="8">
        <v>2.54</v>
      </c>
      <c r="Z132" s="9">
        <v>1.46</v>
      </c>
      <c r="AA132" s="8">
        <v>4.2</v>
      </c>
      <c r="AB132" s="8">
        <v>29875</v>
      </c>
      <c r="AC132" s="9" t="s">
        <v>2365</v>
      </c>
      <c r="AD132" s="8" t="s">
        <v>3682</v>
      </c>
      <c r="AE132" s="8"/>
      <c r="AF132" s="9">
        <f t="shared" si="8"/>
        <v>10.668000000000001</v>
      </c>
      <c r="AG132" s="9">
        <f t="shared" si="9"/>
        <v>7.42</v>
      </c>
      <c r="AH132" s="1"/>
      <c r="AI132" s="1"/>
      <c r="AJ132" s="1"/>
      <c r="AK132" s="1"/>
      <c r="AL132" s="1"/>
      <c r="AM132" s="1"/>
      <c r="AN132" s="1"/>
    </row>
    <row r="133" spans="8:40" ht="23">
      <c r="H133" s="8"/>
      <c r="I133" s="8"/>
      <c r="J133" s="8"/>
      <c r="K133" s="8"/>
      <c r="L133" s="8"/>
      <c r="M133" s="8" t="s">
        <v>1410</v>
      </c>
      <c r="N133" s="8" t="s">
        <v>150</v>
      </c>
      <c r="O133" s="8"/>
      <c r="P133" s="8"/>
      <c r="Q133" s="8"/>
      <c r="R133" s="8"/>
      <c r="S133" s="8"/>
      <c r="T133" s="8"/>
      <c r="U133" s="8"/>
      <c r="V133" s="8"/>
      <c r="W133" s="8" t="s">
        <v>1410</v>
      </c>
      <c r="X133" s="8">
        <v>7.33</v>
      </c>
      <c r="Y133" s="8">
        <v>4.84</v>
      </c>
      <c r="Z133" s="9">
        <v>6.42</v>
      </c>
      <c r="AA133" s="8">
        <v>4.0999999999999996</v>
      </c>
      <c r="AB133" s="8">
        <v>22279</v>
      </c>
      <c r="AC133" s="8" t="s">
        <v>1410</v>
      </c>
      <c r="AD133" s="8" t="s">
        <v>3682</v>
      </c>
      <c r="AE133" s="8"/>
      <c r="AF133" s="9">
        <f t="shared" si="8"/>
        <v>19.843999999999998</v>
      </c>
      <c r="AG133" s="9">
        <f t="shared" si="9"/>
        <v>27.47</v>
      </c>
      <c r="AH133" s="1"/>
      <c r="AI133" s="1"/>
      <c r="AJ133" s="1"/>
      <c r="AK133" s="1"/>
      <c r="AL133" s="1"/>
      <c r="AM133" s="1"/>
      <c r="AN133" s="1"/>
    </row>
    <row r="134" spans="8:40" ht="23">
      <c r="H134" s="8"/>
      <c r="I134" s="8"/>
      <c r="J134" s="8"/>
      <c r="K134" s="8"/>
      <c r="L134" s="8"/>
      <c r="M134" s="8" t="s">
        <v>668</v>
      </c>
      <c r="N134" s="8" t="s">
        <v>150</v>
      </c>
      <c r="O134" s="8"/>
      <c r="P134" s="8"/>
      <c r="Q134" s="8"/>
      <c r="R134" s="8"/>
      <c r="S134" s="8"/>
      <c r="T134" s="8"/>
      <c r="U134" s="8"/>
      <c r="V134" s="8"/>
      <c r="W134" s="8" t="s">
        <v>668</v>
      </c>
      <c r="X134" s="8">
        <v>47.18</v>
      </c>
      <c r="Y134" s="8">
        <v>2.87</v>
      </c>
      <c r="Z134" s="9">
        <v>1.39</v>
      </c>
      <c r="AA134" s="8">
        <v>4</v>
      </c>
      <c r="AB134" s="8">
        <v>22700</v>
      </c>
      <c r="AC134" s="8" t="s">
        <v>668</v>
      </c>
      <c r="AD134" s="8" t="s">
        <v>3682</v>
      </c>
      <c r="AE134" s="8"/>
      <c r="AF134" s="9">
        <f t="shared" si="8"/>
        <v>11.48</v>
      </c>
      <c r="AG134" s="9">
        <f t="shared" si="9"/>
        <v>6.6</v>
      </c>
      <c r="AH134" s="1"/>
      <c r="AI134" s="1"/>
      <c r="AJ134" s="1"/>
      <c r="AK134" s="1"/>
      <c r="AL134" s="1"/>
      <c r="AM134" s="1"/>
      <c r="AN134" s="1"/>
    </row>
    <row r="135" spans="8:40" ht="23">
      <c r="H135" s="8"/>
      <c r="I135" s="8"/>
      <c r="J135" s="8"/>
      <c r="K135" s="8"/>
      <c r="L135" s="8"/>
      <c r="M135" s="8" t="s">
        <v>1517</v>
      </c>
      <c r="N135" s="8" t="s">
        <v>150</v>
      </c>
      <c r="O135" s="8"/>
      <c r="P135" s="8" t="s">
        <v>3691</v>
      </c>
      <c r="Q135" s="8"/>
      <c r="R135" s="8"/>
      <c r="S135" s="8"/>
      <c r="T135" s="8"/>
      <c r="U135" s="8"/>
      <c r="V135" s="8"/>
      <c r="W135" s="8" t="s">
        <v>1517</v>
      </c>
      <c r="X135" s="8">
        <v>21.45</v>
      </c>
      <c r="Y135" s="8">
        <v>19.559999999999999</v>
      </c>
      <c r="Z135" s="9">
        <v>16.14</v>
      </c>
      <c r="AA135" s="8">
        <v>3.9</v>
      </c>
      <c r="AB135" s="8">
        <v>12761</v>
      </c>
      <c r="AC135" s="8" t="s">
        <v>1517</v>
      </c>
      <c r="AD135" s="8" t="s">
        <v>3680</v>
      </c>
      <c r="AE135" s="8"/>
      <c r="AF135" s="9">
        <f t="shared" si="8"/>
        <v>76.283999999999992</v>
      </c>
      <c r="AG135" s="9">
        <f t="shared" si="9"/>
        <v>63.31</v>
      </c>
      <c r="AH135" s="1"/>
      <c r="AI135" s="1"/>
      <c r="AJ135" s="1"/>
      <c r="AK135" s="1"/>
      <c r="AL135" s="1"/>
      <c r="AM135" s="1"/>
      <c r="AN135" s="1"/>
    </row>
    <row r="136" spans="8:40" ht="23">
      <c r="H136" s="8"/>
      <c r="I136" s="8"/>
      <c r="J136" s="8"/>
      <c r="K136" s="8"/>
      <c r="L136" s="8"/>
      <c r="M136" s="8" t="s">
        <v>1426</v>
      </c>
      <c r="N136" s="8" t="s">
        <v>150</v>
      </c>
      <c r="O136" s="8"/>
      <c r="P136" s="8"/>
      <c r="Q136" s="8"/>
      <c r="R136" s="8"/>
      <c r="S136" s="8"/>
      <c r="T136" s="8"/>
      <c r="U136" s="8"/>
      <c r="V136" s="8"/>
      <c r="W136" s="8" t="s">
        <v>1426</v>
      </c>
      <c r="X136" s="8">
        <v>35.57</v>
      </c>
      <c r="Y136" s="8">
        <v>4.75</v>
      </c>
      <c r="Z136" s="9">
        <v>4.43</v>
      </c>
      <c r="AA136" s="8">
        <v>3.9</v>
      </c>
      <c r="AB136" s="8">
        <v>28162</v>
      </c>
      <c r="AC136" s="8" t="s">
        <v>1426</v>
      </c>
      <c r="AD136" s="8" t="s">
        <v>4122</v>
      </c>
      <c r="AE136" s="8"/>
      <c r="AF136" s="9">
        <f t="shared" si="8"/>
        <v>18.524999999999999</v>
      </c>
      <c r="AG136" s="9">
        <f t="shared" si="9"/>
        <v>18.395</v>
      </c>
      <c r="AH136" s="1"/>
      <c r="AI136" s="1"/>
      <c r="AJ136" s="1"/>
      <c r="AK136" s="1"/>
      <c r="AL136" s="1"/>
      <c r="AM136" s="1"/>
      <c r="AN136" s="1"/>
    </row>
    <row r="137" spans="8:40" ht="23">
      <c r="H137" s="8"/>
      <c r="I137" s="8"/>
      <c r="J137" s="8"/>
      <c r="K137" s="8"/>
      <c r="L137" s="8"/>
      <c r="M137" s="8" t="s">
        <v>1325</v>
      </c>
      <c r="N137" s="8" t="s">
        <v>150</v>
      </c>
      <c r="O137" s="8"/>
      <c r="P137" s="8"/>
      <c r="Q137" s="8"/>
      <c r="R137" s="8"/>
      <c r="S137" s="8"/>
      <c r="T137" s="8"/>
      <c r="U137" s="8"/>
      <c r="V137" s="8"/>
      <c r="W137" s="8" t="s">
        <v>1325</v>
      </c>
      <c r="X137" s="8">
        <v>15.01</v>
      </c>
      <c r="Y137" s="8">
        <v>4.3</v>
      </c>
      <c r="Z137" s="9">
        <v>3.22</v>
      </c>
      <c r="AA137" s="8">
        <v>3.8</v>
      </c>
      <c r="AB137" s="8">
        <v>36199</v>
      </c>
      <c r="AC137" s="8" t="s">
        <v>1325</v>
      </c>
      <c r="AD137" s="8" t="s">
        <v>3680</v>
      </c>
      <c r="AE137" s="8"/>
      <c r="AF137" s="9">
        <f t="shared" si="8"/>
        <v>16.34</v>
      </c>
      <c r="AG137" s="9">
        <f t="shared" si="9"/>
        <v>12.793333333333333</v>
      </c>
      <c r="AH137" s="1"/>
      <c r="AI137" s="1"/>
      <c r="AJ137" s="1"/>
      <c r="AK137" s="1"/>
      <c r="AL137" s="1"/>
      <c r="AM137" s="1"/>
      <c r="AN137" s="1"/>
    </row>
    <row r="138" spans="8:40" ht="23">
      <c r="H138" s="8"/>
      <c r="I138" s="8"/>
      <c r="J138" s="8"/>
      <c r="K138" s="8"/>
      <c r="L138" s="8"/>
      <c r="M138" s="8" t="s">
        <v>895</v>
      </c>
      <c r="N138" s="8" t="s">
        <v>150</v>
      </c>
      <c r="O138" s="8"/>
      <c r="P138" s="8" t="s">
        <v>3691</v>
      </c>
      <c r="Q138" s="8"/>
      <c r="R138" s="8"/>
      <c r="S138" s="8"/>
      <c r="T138" s="8"/>
      <c r="U138" s="8"/>
      <c r="V138" s="8"/>
      <c r="W138" s="8" t="s">
        <v>895</v>
      </c>
      <c r="X138" s="8">
        <v>54.62</v>
      </c>
      <c r="Y138" s="8">
        <v>2.39</v>
      </c>
      <c r="Z138" s="9">
        <v>3.28</v>
      </c>
      <c r="AA138" s="8">
        <v>3.7</v>
      </c>
      <c r="AB138" s="8">
        <v>27438</v>
      </c>
      <c r="AC138" s="8" t="s">
        <v>895</v>
      </c>
      <c r="AD138" s="8" t="s">
        <v>3682</v>
      </c>
      <c r="AE138" s="8"/>
      <c r="AF138" s="9">
        <f t="shared" si="8"/>
        <v>8.8430000000000017</v>
      </c>
      <c r="AG138" s="9">
        <f t="shared" si="9"/>
        <v>12.826666666666668</v>
      </c>
      <c r="AH138" s="1"/>
      <c r="AI138" s="1"/>
      <c r="AJ138" s="1"/>
      <c r="AK138" s="1"/>
      <c r="AL138" s="1"/>
      <c r="AM138" s="1"/>
      <c r="AN138" s="28"/>
    </row>
    <row r="139" spans="8:40" ht="23">
      <c r="H139" s="8"/>
      <c r="I139" s="8"/>
      <c r="J139" s="8"/>
      <c r="K139" s="8"/>
      <c r="L139" s="8"/>
      <c r="M139" s="9" t="s">
        <v>3620</v>
      </c>
      <c r="N139" s="8" t="s">
        <v>2093</v>
      </c>
      <c r="O139" s="8"/>
      <c r="P139" s="8"/>
      <c r="Q139" s="8"/>
      <c r="R139" s="8"/>
      <c r="S139" s="8"/>
      <c r="T139" s="8"/>
      <c r="U139" s="8"/>
      <c r="V139" s="8"/>
      <c r="W139" s="9" t="s">
        <v>3620</v>
      </c>
      <c r="X139" s="8">
        <v>30.53</v>
      </c>
      <c r="Y139" s="8">
        <v>2.06</v>
      </c>
      <c r="Z139" s="9">
        <v>1.36</v>
      </c>
      <c r="AA139" s="8">
        <v>3.6</v>
      </c>
      <c r="AB139" s="8">
        <v>35329</v>
      </c>
      <c r="AC139" s="9" t="s">
        <v>3620</v>
      </c>
      <c r="AD139" s="8" t="s">
        <v>3682</v>
      </c>
      <c r="AE139" s="8"/>
      <c r="AF139" s="9">
        <f t="shared" si="8"/>
        <v>7.4160000000000004</v>
      </c>
      <c r="AG139" s="9">
        <f t="shared" si="9"/>
        <v>5.7600000000000007</v>
      </c>
      <c r="AH139" s="1"/>
      <c r="AI139" s="1"/>
      <c r="AJ139" s="1"/>
      <c r="AK139" s="1"/>
      <c r="AL139" s="1"/>
      <c r="AM139" s="1"/>
      <c r="AN139" s="1"/>
    </row>
    <row r="140" spans="8:40" ht="23">
      <c r="H140" s="8"/>
      <c r="I140" s="8"/>
      <c r="J140" s="8"/>
      <c r="K140" s="8"/>
      <c r="L140" s="8"/>
      <c r="M140" s="8" t="s">
        <v>1880</v>
      </c>
      <c r="N140" s="8" t="s">
        <v>1869</v>
      </c>
      <c r="O140" s="8"/>
      <c r="P140" s="8"/>
      <c r="Q140" s="8"/>
      <c r="R140" s="8"/>
      <c r="S140" s="8"/>
      <c r="T140" s="8"/>
      <c r="U140" s="8"/>
      <c r="V140" s="8"/>
      <c r="W140" s="8" t="s">
        <v>1880</v>
      </c>
      <c r="X140" s="8">
        <v>36.17</v>
      </c>
      <c r="Y140" s="8">
        <v>2.78</v>
      </c>
      <c r="Z140" s="9">
        <v>0.49</v>
      </c>
      <c r="AA140" s="8">
        <v>3.5</v>
      </c>
      <c r="AB140" s="8">
        <v>29036</v>
      </c>
      <c r="AC140" s="8" t="s">
        <v>1880</v>
      </c>
      <c r="AD140" s="8" t="s">
        <v>3680</v>
      </c>
      <c r="AE140" s="8"/>
      <c r="AF140" s="9">
        <f t="shared" si="8"/>
        <v>9.7299999999999986</v>
      </c>
      <c r="AG140" s="9">
        <f t="shared" si="9"/>
        <v>2.8583333333333334</v>
      </c>
      <c r="AH140" s="1"/>
      <c r="AI140" s="1"/>
      <c r="AJ140" s="1"/>
      <c r="AK140" s="1"/>
      <c r="AL140" s="1"/>
      <c r="AM140" s="1"/>
      <c r="AN140" s="1"/>
    </row>
    <row r="141" spans="8:40" ht="23">
      <c r="H141" s="8"/>
      <c r="I141" s="8"/>
      <c r="J141" s="8"/>
      <c r="K141" s="8"/>
      <c r="L141" s="8"/>
      <c r="M141" s="9" t="s">
        <v>3247</v>
      </c>
      <c r="N141" s="8" t="s">
        <v>1902</v>
      </c>
      <c r="O141" s="8"/>
      <c r="P141" s="8"/>
      <c r="Q141" s="8"/>
      <c r="R141" s="8"/>
      <c r="S141" s="8"/>
      <c r="T141" s="8"/>
      <c r="U141" s="8"/>
      <c r="V141" s="8"/>
      <c r="W141" s="9" t="s">
        <v>3247</v>
      </c>
      <c r="X141" s="8">
        <v>34.11</v>
      </c>
      <c r="Y141" s="8">
        <v>3.04</v>
      </c>
      <c r="Z141" s="9">
        <v>2.35</v>
      </c>
      <c r="AA141" s="8">
        <v>3.4</v>
      </c>
      <c r="AB141" s="8">
        <v>29050</v>
      </c>
      <c r="AC141" s="9" t="s">
        <v>3247</v>
      </c>
      <c r="AD141" s="8" t="s">
        <v>4227</v>
      </c>
      <c r="AE141" s="8"/>
      <c r="AF141" s="9">
        <f t="shared" si="8"/>
        <v>10.336</v>
      </c>
      <c r="AG141" s="9">
        <f t="shared" si="9"/>
        <v>8.7833333333333332</v>
      </c>
      <c r="AH141" s="1"/>
      <c r="AI141" s="1"/>
      <c r="AJ141" s="1"/>
      <c r="AK141" s="1"/>
      <c r="AL141" s="1"/>
      <c r="AM141" s="1"/>
      <c r="AN141" s="1"/>
    </row>
    <row r="142" spans="8:40" ht="23">
      <c r="H142" s="8"/>
      <c r="I142" s="8"/>
      <c r="J142" s="8"/>
      <c r="K142" s="8"/>
      <c r="L142" s="8"/>
      <c r="M142" s="8" t="s">
        <v>1254</v>
      </c>
      <c r="N142" s="8" t="s">
        <v>150</v>
      </c>
      <c r="O142" s="8"/>
      <c r="P142" s="8"/>
      <c r="Q142" s="8"/>
      <c r="R142" s="8"/>
      <c r="S142" s="8"/>
      <c r="T142" s="8"/>
      <c r="U142" s="8"/>
      <c r="V142" s="8"/>
      <c r="W142" s="8" t="s">
        <v>1254</v>
      </c>
      <c r="X142" s="8">
        <v>63.47</v>
      </c>
      <c r="Y142" s="8">
        <v>2.5</v>
      </c>
      <c r="Z142" s="9">
        <v>0.49</v>
      </c>
      <c r="AA142" s="8">
        <v>3.4</v>
      </c>
      <c r="AB142" s="8">
        <v>31791</v>
      </c>
      <c r="AC142" s="8" t="s">
        <v>1254</v>
      </c>
      <c r="AD142" s="8" t="s">
        <v>3680</v>
      </c>
      <c r="AE142" s="8"/>
      <c r="AF142" s="9">
        <f t="shared" si="8"/>
        <v>8.5</v>
      </c>
      <c r="AG142" s="9">
        <f t="shared" si="9"/>
        <v>2.7766666666666664</v>
      </c>
      <c r="AH142" s="1"/>
      <c r="AI142" s="1"/>
      <c r="AJ142" s="1"/>
      <c r="AK142" s="1"/>
      <c r="AL142" s="1"/>
      <c r="AM142" s="1"/>
      <c r="AN142" s="1"/>
    </row>
    <row r="143" spans="8:40" ht="23">
      <c r="H143" s="8"/>
      <c r="I143" s="8"/>
      <c r="J143" s="8"/>
      <c r="K143" s="8"/>
      <c r="L143" s="8"/>
      <c r="M143" s="9" t="s">
        <v>2387</v>
      </c>
      <c r="N143" s="8" t="s">
        <v>150</v>
      </c>
      <c r="O143" s="8"/>
      <c r="P143" s="8"/>
      <c r="Q143" s="8"/>
      <c r="R143" s="8"/>
      <c r="S143" s="8"/>
      <c r="T143" s="8"/>
      <c r="U143" s="8"/>
      <c r="V143" s="8"/>
      <c r="W143" s="9" t="s">
        <v>2387</v>
      </c>
      <c r="X143" s="8">
        <v>48.35</v>
      </c>
      <c r="Y143" s="8">
        <v>9.43</v>
      </c>
      <c r="Z143" s="9">
        <v>1.32</v>
      </c>
      <c r="AA143" s="8">
        <v>3.4</v>
      </c>
      <c r="AB143" s="8">
        <v>15665</v>
      </c>
      <c r="AC143" s="9" t="s">
        <v>2387</v>
      </c>
      <c r="AD143" s="8" t="s">
        <v>3699</v>
      </c>
      <c r="AE143" s="8"/>
      <c r="AF143" s="9">
        <f t="shared" si="8"/>
        <v>32.061999999999998</v>
      </c>
      <c r="AG143" s="9">
        <f t="shared" si="9"/>
        <v>5.2133333333333329</v>
      </c>
      <c r="AH143" s="1"/>
      <c r="AI143" s="1"/>
      <c r="AJ143" s="1"/>
      <c r="AK143" s="1"/>
      <c r="AL143" s="1"/>
      <c r="AM143" s="1"/>
      <c r="AN143" s="1"/>
    </row>
    <row r="144" spans="8:40" ht="23">
      <c r="H144" s="8"/>
      <c r="I144" s="8"/>
      <c r="J144" s="8"/>
      <c r="K144" s="8"/>
      <c r="L144" s="8"/>
      <c r="M144" s="9" t="s">
        <v>2832</v>
      </c>
      <c r="N144" s="8" t="s">
        <v>1614</v>
      </c>
      <c r="O144" s="8"/>
      <c r="P144" s="8"/>
      <c r="Q144" s="8"/>
      <c r="R144" s="8"/>
      <c r="S144" s="8"/>
      <c r="T144" s="8"/>
      <c r="U144" s="8"/>
      <c r="V144" s="8"/>
      <c r="W144" s="9" t="s">
        <v>2832</v>
      </c>
      <c r="X144" s="8">
        <v>25.75</v>
      </c>
      <c r="Y144" s="8">
        <v>2.56</v>
      </c>
      <c r="Z144" s="9">
        <v>2.34</v>
      </c>
      <c r="AA144" s="8">
        <v>3.3</v>
      </c>
      <c r="AB144" s="8">
        <v>34127</v>
      </c>
      <c r="AC144" s="9" t="s">
        <v>2832</v>
      </c>
      <c r="AD144" s="8" t="s">
        <v>3699</v>
      </c>
      <c r="AE144" s="8"/>
      <c r="AF144" s="9">
        <f t="shared" si="8"/>
        <v>8.4480000000000004</v>
      </c>
      <c r="AG144" s="9">
        <f t="shared" si="9"/>
        <v>8.4699999999999989</v>
      </c>
      <c r="AH144" s="1"/>
      <c r="AI144" s="1"/>
      <c r="AJ144" s="1"/>
      <c r="AK144" s="1"/>
      <c r="AL144" s="1"/>
      <c r="AM144" s="1"/>
      <c r="AN144" s="1"/>
    </row>
    <row r="145" spans="8:40" ht="23">
      <c r="H145" s="8"/>
      <c r="I145" s="8"/>
      <c r="J145" s="8"/>
      <c r="K145" s="8"/>
      <c r="L145" s="8"/>
      <c r="M145" s="9" t="s">
        <v>2343</v>
      </c>
      <c r="N145" s="8" t="s">
        <v>150</v>
      </c>
      <c r="O145" s="8"/>
      <c r="P145" s="8"/>
      <c r="Q145" s="8"/>
      <c r="R145" s="8"/>
      <c r="S145" s="8"/>
      <c r="T145" s="8"/>
      <c r="U145" s="8"/>
      <c r="V145" s="8"/>
      <c r="W145" s="9" t="s">
        <v>2343</v>
      </c>
      <c r="X145" s="8">
        <v>64.22</v>
      </c>
      <c r="Y145" s="8">
        <v>1.52</v>
      </c>
      <c r="Z145" s="9">
        <v>1.07</v>
      </c>
      <c r="AA145" s="8">
        <v>3.3</v>
      </c>
      <c r="AB145" s="8">
        <v>39956</v>
      </c>
      <c r="AC145" s="9" t="s">
        <v>2343</v>
      </c>
      <c r="AD145" s="8" t="s">
        <v>3682</v>
      </c>
      <c r="AE145" s="8"/>
      <c r="AF145" s="9">
        <f t="shared" si="8"/>
        <v>5.016</v>
      </c>
      <c r="AG145" s="9">
        <f t="shared" si="9"/>
        <v>3.6850000000000001</v>
      </c>
      <c r="AH145" s="1"/>
      <c r="AI145" s="1"/>
      <c r="AJ145" s="1"/>
      <c r="AK145" s="1"/>
      <c r="AL145" s="1"/>
      <c r="AM145" s="1"/>
      <c r="AN145" s="1"/>
    </row>
    <row r="146" spans="8:40" ht="23">
      <c r="H146" s="8"/>
      <c r="I146" s="8"/>
      <c r="J146" s="8"/>
      <c r="K146" s="8"/>
      <c r="L146" s="8"/>
      <c r="M146" s="8" t="s">
        <v>1261</v>
      </c>
      <c r="N146" s="8" t="s">
        <v>150</v>
      </c>
      <c r="O146" s="8"/>
      <c r="P146" s="8" t="s">
        <v>3704</v>
      </c>
      <c r="Q146" s="8"/>
      <c r="R146" s="8"/>
      <c r="S146" s="8"/>
      <c r="T146" s="8"/>
      <c r="U146" s="8"/>
      <c r="V146" s="8"/>
      <c r="W146" s="8" t="s">
        <v>1261</v>
      </c>
      <c r="X146" s="8">
        <v>50.66</v>
      </c>
      <c r="Y146" s="8">
        <v>2.33</v>
      </c>
      <c r="Z146" s="9">
        <v>1.36</v>
      </c>
      <c r="AA146" s="8">
        <v>3.1</v>
      </c>
      <c r="AB146" s="8">
        <v>33410</v>
      </c>
      <c r="AC146" s="8" t="s">
        <v>1261</v>
      </c>
      <c r="AD146" s="8" t="s">
        <v>3682</v>
      </c>
      <c r="AE146" s="8"/>
      <c r="AF146" s="9">
        <f t="shared" si="8"/>
        <v>7.2230000000000008</v>
      </c>
      <c r="AG146" s="9">
        <f t="shared" si="9"/>
        <v>4.9600000000000009</v>
      </c>
      <c r="AH146" s="1"/>
      <c r="AI146" s="1"/>
      <c r="AJ146" s="1"/>
      <c r="AK146" s="1"/>
      <c r="AL146" s="1"/>
      <c r="AM146" s="1"/>
      <c r="AN146" s="1"/>
    </row>
    <row r="147" spans="8:40" ht="23">
      <c r="H147" s="8"/>
      <c r="I147" s="8"/>
      <c r="J147" s="8"/>
      <c r="K147" s="8"/>
      <c r="L147" s="8"/>
      <c r="M147" s="8" t="s">
        <v>1489</v>
      </c>
      <c r="N147" s="8" t="s">
        <v>150</v>
      </c>
      <c r="O147" s="8"/>
      <c r="P147" s="8"/>
      <c r="Q147" s="8"/>
      <c r="R147" s="8"/>
      <c r="S147" s="8"/>
      <c r="T147" s="8"/>
      <c r="U147" s="8"/>
      <c r="V147" s="8"/>
      <c r="W147" s="8" t="s">
        <v>1489</v>
      </c>
      <c r="X147" s="8">
        <v>30.41</v>
      </c>
      <c r="Y147" s="8">
        <v>2.25</v>
      </c>
      <c r="Z147" s="9">
        <v>1.41</v>
      </c>
      <c r="AA147" s="8">
        <v>3.1</v>
      </c>
      <c r="AB147" s="8">
        <v>32620</v>
      </c>
      <c r="AC147" s="8" t="s">
        <v>1489</v>
      </c>
      <c r="AD147" s="8" t="s">
        <v>3682</v>
      </c>
      <c r="AE147" s="8"/>
      <c r="AF147" s="9">
        <f t="shared" si="8"/>
        <v>6.9750000000000005</v>
      </c>
      <c r="AG147" s="9">
        <f t="shared" si="9"/>
        <v>5.2183333333333337</v>
      </c>
      <c r="AH147" s="1"/>
      <c r="AI147" s="1"/>
      <c r="AJ147" s="1"/>
      <c r="AK147" s="1"/>
      <c r="AL147" s="1"/>
      <c r="AM147" s="1"/>
      <c r="AN147" s="1"/>
    </row>
    <row r="148" spans="8:40" ht="23">
      <c r="H148" s="8"/>
      <c r="I148" s="8"/>
      <c r="J148" s="8"/>
      <c r="K148" s="8"/>
      <c r="L148" s="8"/>
      <c r="M148" s="9" t="s">
        <v>2920</v>
      </c>
      <c r="N148" s="8" t="s">
        <v>1717</v>
      </c>
      <c r="O148" s="8"/>
      <c r="P148" s="8"/>
      <c r="Q148" s="8"/>
      <c r="R148" s="8"/>
      <c r="S148" s="8"/>
      <c r="T148" s="8"/>
      <c r="U148" s="8"/>
      <c r="V148" s="8"/>
      <c r="W148" s="9" t="s">
        <v>2920</v>
      </c>
      <c r="X148" s="8">
        <v>59.11</v>
      </c>
      <c r="Y148" s="8">
        <v>2.19</v>
      </c>
      <c r="Z148" s="9">
        <v>0.52</v>
      </c>
      <c r="AA148" s="8">
        <v>3</v>
      </c>
      <c r="AB148" s="8">
        <v>42144</v>
      </c>
      <c r="AC148" s="9" t="s">
        <v>2920</v>
      </c>
      <c r="AD148" s="8" t="s">
        <v>3682</v>
      </c>
      <c r="AE148" s="8"/>
      <c r="AF148" s="9">
        <f t="shared" si="8"/>
        <v>6.57</v>
      </c>
      <c r="AG148" s="9">
        <f t="shared" si="9"/>
        <v>2.6</v>
      </c>
      <c r="AH148" s="1"/>
      <c r="AI148" s="1"/>
      <c r="AJ148" s="1"/>
      <c r="AK148" s="1"/>
      <c r="AL148" s="1"/>
      <c r="AM148" s="1"/>
      <c r="AN148" s="1"/>
    </row>
    <row r="149" spans="8:40" ht="23">
      <c r="H149" s="8"/>
      <c r="I149" s="8"/>
      <c r="J149" s="8"/>
      <c r="K149" s="8"/>
      <c r="L149" s="8"/>
      <c r="M149" s="9" t="s">
        <v>2261</v>
      </c>
      <c r="N149" s="8" t="s">
        <v>150</v>
      </c>
      <c r="O149" s="8"/>
      <c r="P149" s="8" t="s">
        <v>4676</v>
      </c>
      <c r="Q149" s="8"/>
      <c r="R149" s="8"/>
      <c r="S149" s="8"/>
      <c r="T149" s="8"/>
      <c r="U149" s="8"/>
      <c r="V149" s="8"/>
      <c r="W149" s="9" t="s">
        <v>2261</v>
      </c>
      <c r="X149" s="8">
        <v>49.27</v>
      </c>
      <c r="Y149" s="8">
        <v>3.69</v>
      </c>
      <c r="Z149" s="9">
        <v>3.54</v>
      </c>
      <c r="AA149" s="8">
        <v>3</v>
      </c>
      <c r="AB149" s="8">
        <v>37469</v>
      </c>
      <c r="AC149" s="9" t="s">
        <v>2261</v>
      </c>
      <c r="AD149" s="8" t="s">
        <v>3680</v>
      </c>
      <c r="AE149" s="8"/>
      <c r="AF149" s="9">
        <f t="shared" si="8"/>
        <v>11.07</v>
      </c>
      <c r="AG149" s="9">
        <f t="shared" si="9"/>
        <v>11.7</v>
      </c>
      <c r="AH149" s="1"/>
      <c r="AI149" s="1"/>
      <c r="AJ149" s="1"/>
      <c r="AK149" s="1"/>
      <c r="AL149" s="1"/>
      <c r="AM149" s="1"/>
      <c r="AN149" s="1"/>
    </row>
    <row r="150" spans="8:40" ht="23">
      <c r="H150" s="8"/>
      <c r="I150" s="8"/>
      <c r="J150" s="8"/>
      <c r="K150" s="8"/>
      <c r="L150" s="8"/>
      <c r="M150" s="8" t="s">
        <v>1246</v>
      </c>
      <c r="N150" s="8" t="s">
        <v>150</v>
      </c>
      <c r="O150" s="8"/>
      <c r="P150" s="8" t="s">
        <v>4781</v>
      </c>
      <c r="Q150" s="8"/>
      <c r="R150" s="8"/>
      <c r="S150" s="8"/>
      <c r="T150" s="8"/>
      <c r="U150" s="8"/>
      <c r="V150" s="8"/>
      <c r="W150" s="8" t="s">
        <v>1246</v>
      </c>
      <c r="X150" s="8">
        <v>25.29</v>
      </c>
      <c r="Y150" s="8">
        <v>5.07</v>
      </c>
      <c r="Z150" s="9">
        <v>6.05</v>
      </c>
      <c r="AA150" s="8">
        <v>2.9</v>
      </c>
      <c r="AB150" s="8">
        <v>25350</v>
      </c>
      <c r="AC150" s="8" t="s">
        <v>1246</v>
      </c>
      <c r="AD150" s="8" t="s">
        <v>3680</v>
      </c>
      <c r="AE150" s="8"/>
      <c r="AF150" s="9">
        <f t="shared" si="8"/>
        <v>14.703000000000001</v>
      </c>
      <c r="AG150" s="9">
        <f t="shared" si="9"/>
        <v>17.641666666666666</v>
      </c>
      <c r="AH150" s="1"/>
      <c r="AI150" s="1"/>
      <c r="AJ150" s="1"/>
      <c r="AK150" s="1"/>
      <c r="AL150" s="1"/>
      <c r="AM150" s="1"/>
      <c r="AN150" s="1"/>
    </row>
    <row r="151" spans="8:40" ht="23">
      <c r="H151" s="8"/>
      <c r="I151" s="8"/>
      <c r="J151" s="8"/>
      <c r="K151" s="8"/>
      <c r="L151" s="8"/>
      <c r="M151" s="8" t="s">
        <v>952</v>
      </c>
      <c r="N151" s="8" t="s">
        <v>150</v>
      </c>
      <c r="O151" s="8"/>
      <c r="P151" s="8"/>
      <c r="Q151" s="8"/>
      <c r="R151" s="8"/>
      <c r="S151" s="8"/>
      <c r="T151" s="8"/>
      <c r="U151" s="8"/>
      <c r="V151" s="8"/>
      <c r="W151" s="8" t="s">
        <v>952</v>
      </c>
      <c r="X151" s="8">
        <v>43.18</v>
      </c>
      <c r="Y151" s="8">
        <v>2.27</v>
      </c>
      <c r="Z151" s="9">
        <v>2.2000000000000002</v>
      </c>
      <c r="AA151" s="8">
        <v>2.8</v>
      </c>
      <c r="AB151" s="8">
        <v>38177</v>
      </c>
      <c r="AC151" s="8" t="s">
        <v>952</v>
      </c>
      <c r="AD151" s="8" t="s">
        <v>3682</v>
      </c>
      <c r="AE151" s="8"/>
      <c r="AF151" s="9">
        <f t="shared" si="8"/>
        <v>6.3559999999999999</v>
      </c>
      <c r="AG151" s="9">
        <f t="shared" si="9"/>
        <v>5.6093333333333328</v>
      </c>
      <c r="AH151" s="1"/>
      <c r="AI151" s="1"/>
      <c r="AJ151" s="1"/>
      <c r="AK151" s="1"/>
      <c r="AL151" s="1"/>
      <c r="AM151" s="1"/>
      <c r="AN151" s="1"/>
    </row>
    <row r="152" spans="8:40" ht="23">
      <c r="H152" s="8"/>
      <c r="I152" s="8"/>
      <c r="J152" s="8"/>
      <c r="K152" s="8"/>
      <c r="L152" s="8"/>
      <c r="M152" s="9" t="s">
        <v>3606</v>
      </c>
      <c r="N152" s="8" t="s">
        <v>2084</v>
      </c>
      <c r="O152" s="8"/>
      <c r="P152" s="8"/>
      <c r="Q152" s="8"/>
      <c r="R152" s="8"/>
      <c r="S152" s="8"/>
      <c r="T152" s="8"/>
      <c r="U152" s="8"/>
      <c r="V152" s="8"/>
      <c r="W152" s="9" t="s">
        <v>3606</v>
      </c>
      <c r="X152" s="8">
        <v>41.56</v>
      </c>
      <c r="Y152" s="8">
        <v>4.1100000000000003</v>
      </c>
      <c r="Z152" s="9">
        <v>3.51</v>
      </c>
      <c r="AA152" s="8">
        <v>2.8</v>
      </c>
      <c r="AB152" s="8">
        <v>26418</v>
      </c>
      <c r="AC152" s="9" t="s">
        <v>3606</v>
      </c>
      <c r="AD152" s="8" t="s">
        <v>3682</v>
      </c>
      <c r="AE152" s="8"/>
      <c r="AF152" s="9">
        <f t="shared" si="8"/>
        <v>11.508000000000001</v>
      </c>
      <c r="AG152" s="9">
        <f t="shared" si="9"/>
        <v>10.78</v>
      </c>
      <c r="AH152" s="1"/>
      <c r="AI152" s="1"/>
      <c r="AJ152" s="1"/>
      <c r="AK152" s="1"/>
      <c r="AL152" s="1"/>
      <c r="AM152" s="1"/>
      <c r="AN152" s="1"/>
    </row>
    <row r="153" spans="8:40" ht="23">
      <c r="H153" s="8"/>
      <c r="I153" s="8"/>
      <c r="J153" s="8"/>
      <c r="K153" s="8"/>
      <c r="L153" s="8"/>
      <c r="M153" s="9" t="s">
        <v>2202</v>
      </c>
      <c r="N153" s="8" t="s">
        <v>150</v>
      </c>
      <c r="O153" s="8"/>
      <c r="P153" s="8"/>
      <c r="Q153" s="8"/>
      <c r="R153" s="8"/>
      <c r="S153" s="8"/>
      <c r="T153" s="8"/>
      <c r="U153" s="8"/>
      <c r="V153" s="8"/>
      <c r="W153" s="9" t="s">
        <v>2202</v>
      </c>
      <c r="X153" s="8">
        <v>31.39</v>
      </c>
      <c r="Y153" s="8">
        <v>3.85</v>
      </c>
      <c r="Z153" s="9">
        <v>3.12</v>
      </c>
      <c r="AA153" s="8">
        <v>2.8</v>
      </c>
      <c r="AB153" s="8">
        <v>28990</v>
      </c>
      <c r="AC153" s="9" t="s">
        <v>2202</v>
      </c>
      <c r="AD153" s="8" t="s">
        <v>3682</v>
      </c>
      <c r="AE153" s="8"/>
      <c r="AF153" s="9">
        <f t="shared" si="8"/>
        <v>10.78</v>
      </c>
      <c r="AG153" s="9">
        <f t="shared" si="9"/>
        <v>8.9599999999999991</v>
      </c>
      <c r="AH153" s="1"/>
      <c r="AI153" s="1"/>
      <c r="AJ153" s="1"/>
      <c r="AK153" s="1"/>
      <c r="AL153" s="1"/>
      <c r="AM153" s="1"/>
      <c r="AN153" s="1"/>
    </row>
    <row r="154" spans="8:40" ht="23">
      <c r="H154" s="8"/>
      <c r="I154" s="8"/>
      <c r="J154" s="8"/>
      <c r="K154" s="8"/>
      <c r="L154" s="8"/>
      <c r="M154" s="8" t="s">
        <v>171</v>
      </c>
      <c r="N154" s="8" t="s">
        <v>150</v>
      </c>
      <c r="O154" s="8"/>
      <c r="P154" s="8"/>
      <c r="Q154" s="8"/>
      <c r="R154" s="8"/>
      <c r="S154" s="8"/>
      <c r="T154" s="8"/>
      <c r="U154" s="8"/>
      <c r="V154" s="8"/>
      <c r="W154" s="8" t="s">
        <v>171</v>
      </c>
      <c r="X154" s="8">
        <v>28.83</v>
      </c>
      <c r="Y154" s="8">
        <v>6.23</v>
      </c>
      <c r="Z154" s="9">
        <v>3.31</v>
      </c>
      <c r="AA154" s="8">
        <v>2.7</v>
      </c>
      <c r="AB154" s="8">
        <v>34458</v>
      </c>
      <c r="AC154" s="8" t="s">
        <v>171</v>
      </c>
      <c r="AD154" s="8" t="s">
        <v>3682</v>
      </c>
      <c r="AE154" s="8"/>
      <c r="AF154" s="9">
        <f t="shared" si="8"/>
        <v>16.821000000000002</v>
      </c>
      <c r="AG154" s="9">
        <f t="shared" si="9"/>
        <v>9.495000000000001</v>
      </c>
      <c r="AH154" s="1"/>
      <c r="AI154" s="1"/>
      <c r="AJ154" s="1"/>
      <c r="AK154" s="1"/>
      <c r="AL154" s="1"/>
      <c r="AM154" s="1"/>
      <c r="AN154" s="1"/>
    </row>
    <row r="155" spans="8:40" ht="23">
      <c r="H155" s="8"/>
      <c r="I155" s="8"/>
      <c r="J155" s="8"/>
      <c r="K155" s="8"/>
      <c r="L155" s="8"/>
      <c r="M155" s="8" t="s">
        <v>1520</v>
      </c>
      <c r="N155" s="8" t="s">
        <v>150</v>
      </c>
      <c r="O155" s="8"/>
      <c r="P155" s="8"/>
      <c r="Q155" s="8"/>
      <c r="R155" s="8"/>
      <c r="S155" s="8"/>
      <c r="T155" s="8"/>
      <c r="U155" s="8"/>
      <c r="V155" s="8"/>
      <c r="W155" s="8" t="s">
        <v>1520</v>
      </c>
      <c r="X155" s="8">
        <v>29.95</v>
      </c>
      <c r="Y155" s="8">
        <v>2.29</v>
      </c>
      <c r="Z155" s="9">
        <v>1.26</v>
      </c>
      <c r="AA155" s="8">
        <v>2.6</v>
      </c>
      <c r="AB155" s="8">
        <v>38095</v>
      </c>
      <c r="AC155" s="8" t="s">
        <v>1520</v>
      </c>
      <c r="AD155" s="8" t="s">
        <v>4026</v>
      </c>
      <c r="AE155" s="8"/>
      <c r="AF155" s="9">
        <f t="shared" si="8"/>
        <v>5.9540000000000006</v>
      </c>
      <c r="AG155" s="9">
        <f t="shared" si="9"/>
        <v>3.726666666666667</v>
      </c>
      <c r="AH155" s="1"/>
      <c r="AI155" s="1"/>
      <c r="AJ155" s="1"/>
      <c r="AK155" s="1"/>
      <c r="AL155" s="1"/>
      <c r="AM155" s="1"/>
      <c r="AN155" s="28"/>
    </row>
    <row r="156" spans="8:40" ht="23">
      <c r="H156" s="8"/>
      <c r="I156" s="8"/>
      <c r="J156" s="8"/>
      <c r="K156" s="8"/>
      <c r="L156" s="8"/>
      <c r="M156" s="8" t="s">
        <v>1506</v>
      </c>
      <c r="N156" s="8" t="s">
        <v>150</v>
      </c>
      <c r="O156" s="8"/>
      <c r="P156" s="8" t="s">
        <v>3692</v>
      </c>
      <c r="Q156" s="8"/>
      <c r="R156" s="8"/>
      <c r="S156" s="8"/>
      <c r="T156" s="8"/>
      <c r="U156" s="8"/>
      <c r="V156" s="8"/>
      <c r="W156" s="8" t="s">
        <v>1506</v>
      </c>
      <c r="X156" s="8">
        <v>32.28</v>
      </c>
      <c r="Y156" s="8">
        <v>3.7</v>
      </c>
      <c r="Z156" s="9">
        <v>4.49</v>
      </c>
      <c r="AA156" s="8">
        <v>2.6</v>
      </c>
      <c r="AB156" s="8">
        <v>29923</v>
      </c>
      <c r="AC156" s="8" t="s">
        <v>1506</v>
      </c>
      <c r="AD156" s="8" t="s">
        <v>3682</v>
      </c>
      <c r="AE156" s="8"/>
      <c r="AF156" s="9">
        <f t="shared" si="8"/>
        <v>9.620000000000001</v>
      </c>
      <c r="AG156" s="9">
        <f t="shared" si="9"/>
        <v>12.523333333333333</v>
      </c>
      <c r="AH156" s="1"/>
      <c r="AI156" s="1"/>
      <c r="AJ156" s="1"/>
      <c r="AK156" s="1"/>
      <c r="AL156" s="1"/>
      <c r="AM156" s="1"/>
      <c r="AN156" s="1"/>
    </row>
    <row r="157" spans="8:40" ht="23">
      <c r="H157" s="8"/>
      <c r="I157" s="8"/>
      <c r="J157" s="8"/>
      <c r="K157" s="8"/>
      <c r="L157" s="8"/>
      <c r="M157" s="8" t="s">
        <v>4782</v>
      </c>
      <c r="N157" s="8" t="s">
        <v>1717</v>
      </c>
      <c r="O157" s="8"/>
      <c r="P157" s="8" t="s">
        <v>3704</v>
      </c>
      <c r="Q157" s="8"/>
      <c r="R157" s="8"/>
      <c r="S157" s="8"/>
      <c r="T157" s="8"/>
      <c r="U157" s="8"/>
      <c r="V157" s="8"/>
      <c r="W157" s="8" t="s">
        <v>4782</v>
      </c>
      <c r="X157" s="8">
        <v>9.6</v>
      </c>
      <c r="Y157" s="8">
        <v>4.29</v>
      </c>
      <c r="Z157" s="9">
        <v>2.1</v>
      </c>
      <c r="AA157" s="8">
        <v>2.5</v>
      </c>
      <c r="AB157" s="8">
        <v>30063</v>
      </c>
      <c r="AC157" s="8" t="s">
        <v>4782</v>
      </c>
      <c r="AD157" s="8" t="s">
        <v>3699</v>
      </c>
      <c r="AE157" s="8"/>
      <c r="AF157" s="9">
        <f t="shared" si="8"/>
        <v>10.725</v>
      </c>
      <c r="AG157" s="9">
        <f t="shared" si="9"/>
        <v>5.0041666666666664</v>
      </c>
      <c r="AH157" s="1"/>
      <c r="AI157" s="1"/>
      <c r="AJ157" s="1"/>
      <c r="AK157" s="1"/>
      <c r="AL157" s="1"/>
      <c r="AM157" s="1"/>
      <c r="AN157" s="1"/>
    </row>
    <row r="158" spans="8:40" ht="23">
      <c r="H158" s="8"/>
      <c r="I158" s="8"/>
      <c r="J158" s="8"/>
      <c r="K158" s="8"/>
      <c r="L158" s="8"/>
      <c r="M158" s="8" t="s">
        <v>1463</v>
      </c>
      <c r="N158" s="8" t="s">
        <v>150</v>
      </c>
      <c r="O158" s="8"/>
      <c r="P158" s="8"/>
      <c r="Q158" s="8"/>
      <c r="R158" s="8"/>
      <c r="S158" s="8"/>
      <c r="T158" s="8"/>
      <c r="U158" s="8"/>
      <c r="V158" s="8"/>
      <c r="W158" s="8" t="s">
        <v>1463</v>
      </c>
      <c r="X158" s="8">
        <v>33.04</v>
      </c>
      <c r="Y158" s="8">
        <v>3.53</v>
      </c>
      <c r="Z158" s="9">
        <v>2.16</v>
      </c>
      <c r="AA158" s="8">
        <v>2.5</v>
      </c>
      <c r="AB158" s="8">
        <v>33637</v>
      </c>
      <c r="AC158" s="8" t="s">
        <v>1463</v>
      </c>
      <c r="AD158" s="8" t="s">
        <v>3682</v>
      </c>
      <c r="AE158" s="8"/>
      <c r="AF158" s="9">
        <f t="shared" si="8"/>
        <v>8.8249999999999993</v>
      </c>
      <c r="AG158" s="9">
        <f t="shared" si="9"/>
        <v>5.6666666666666661</v>
      </c>
      <c r="AH158" s="1"/>
      <c r="AI158" s="1"/>
      <c r="AJ158" s="1"/>
      <c r="AK158" s="1"/>
      <c r="AL158" s="1"/>
      <c r="AM158" s="1"/>
      <c r="AN158" s="1"/>
    </row>
    <row r="159" spans="8:40" ht="23">
      <c r="H159" s="8"/>
      <c r="I159" s="8"/>
      <c r="J159" s="8"/>
      <c r="K159" s="8"/>
      <c r="L159" s="8"/>
      <c r="M159" s="9" t="s">
        <v>2285</v>
      </c>
      <c r="N159" s="8" t="s">
        <v>150</v>
      </c>
      <c r="O159" s="8"/>
      <c r="P159" s="8"/>
      <c r="Q159" s="8"/>
      <c r="R159" s="8"/>
      <c r="S159" s="8"/>
      <c r="T159" s="8"/>
      <c r="U159" s="8"/>
      <c r="V159" s="8"/>
      <c r="W159" s="9" t="s">
        <v>2285</v>
      </c>
      <c r="X159" s="8">
        <v>28.21</v>
      </c>
      <c r="Y159" s="8">
        <v>5.25</v>
      </c>
      <c r="Z159" s="9">
        <v>4.1900000000000004</v>
      </c>
      <c r="AA159" s="8">
        <v>2.4</v>
      </c>
      <c r="AB159" s="8">
        <v>36634</v>
      </c>
      <c r="AC159" s="9" t="s">
        <v>2285</v>
      </c>
      <c r="AD159" s="8" t="s">
        <v>4109</v>
      </c>
      <c r="AE159" s="8"/>
      <c r="AF159" s="9">
        <f t="shared" si="8"/>
        <v>12.6</v>
      </c>
      <c r="AG159" s="9">
        <f t="shared" si="9"/>
        <v>10.36</v>
      </c>
      <c r="AH159" s="1"/>
      <c r="AI159" s="1"/>
      <c r="AJ159" s="1"/>
      <c r="AK159" s="1"/>
      <c r="AL159" s="1"/>
      <c r="AM159" s="1"/>
      <c r="AN159" s="1"/>
    </row>
    <row r="160" spans="8:40" ht="23">
      <c r="H160" s="8"/>
      <c r="I160" s="8"/>
      <c r="J160" s="8"/>
      <c r="K160" s="8"/>
      <c r="L160" s="8"/>
      <c r="M160" s="8" t="s">
        <v>1718</v>
      </c>
      <c r="N160" s="8" t="s">
        <v>1717</v>
      </c>
      <c r="O160" s="8"/>
      <c r="P160" s="8"/>
      <c r="Q160" s="8"/>
      <c r="R160" s="8"/>
      <c r="S160" s="8"/>
      <c r="T160" s="8"/>
      <c r="U160" s="8"/>
      <c r="V160" s="8"/>
      <c r="W160" s="8" t="s">
        <v>1718</v>
      </c>
      <c r="X160" s="8">
        <v>44.35</v>
      </c>
      <c r="Y160" s="8">
        <v>3.43</v>
      </c>
      <c r="Z160" s="9">
        <v>2.48</v>
      </c>
      <c r="AA160" s="8">
        <v>2.4</v>
      </c>
      <c r="AB160" s="8">
        <v>32943</v>
      </c>
      <c r="AC160" s="8" t="s">
        <v>1718</v>
      </c>
      <c r="AD160" s="8" t="s">
        <v>4201</v>
      </c>
      <c r="AE160" s="8"/>
      <c r="AF160" s="9">
        <f t="shared" si="8"/>
        <v>8.2319999999999993</v>
      </c>
      <c r="AG160" s="9">
        <f t="shared" si="9"/>
        <v>6.72</v>
      </c>
      <c r="AH160" s="1"/>
      <c r="AI160" s="1"/>
      <c r="AJ160" s="1"/>
      <c r="AK160" s="1"/>
      <c r="AL160" s="1"/>
      <c r="AM160" s="1"/>
      <c r="AN160" s="1"/>
    </row>
    <row r="161" spans="8:40" ht="23">
      <c r="H161" s="8"/>
      <c r="I161" s="8"/>
      <c r="J161" s="8"/>
      <c r="K161" s="8"/>
      <c r="L161" s="8"/>
      <c r="M161" s="9" t="s">
        <v>3408</v>
      </c>
      <c r="N161" s="8" t="s">
        <v>1990</v>
      </c>
      <c r="O161" s="8"/>
      <c r="P161" s="8"/>
      <c r="Q161" s="8"/>
      <c r="R161" s="8"/>
      <c r="S161" s="8"/>
      <c r="T161" s="8"/>
      <c r="U161" s="8"/>
      <c r="V161" s="8"/>
      <c r="W161" s="9" t="s">
        <v>3408</v>
      </c>
      <c r="X161" s="8">
        <v>31.14</v>
      </c>
      <c r="Y161" s="8">
        <v>10.029999999999999</v>
      </c>
      <c r="Z161" s="9">
        <v>3.06</v>
      </c>
      <c r="AA161" s="8">
        <v>2.4</v>
      </c>
      <c r="AB161" s="8">
        <v>22641</v>
      </c>
      <c r="AC161" s="9" t="s">
        <v>3408</v>
      </c>
      <c r="AD161" s="8" t="s">
        <v>4216</v>
      </c>
      <c r="AE161" s="8"/>
      <c r="AF161" s="9">
        <f t="shared" si="8"/>
        <v>24.071999999999999</v>
      </c>
      <c r="AG161" s="9">
        <f t="shared" si="9"/>
        <v>7.4399999999999995</v>
      </c>
      <c r="AH161" s="1"/>
      <c r="AI161" s="1"/>
      <c r="AJ161" s="1"/>
      <c r="AK161" s="1"/>
      <c r="AL161" s="1"/>
      <c r="AM161" s="1"/>
      <c r="AN161" s="28"/>
    </row>
    <row r="162" spans="8:40" ht="23">
      <c r="H162" s="8"/>
      <c r="I162" s="8"/>
      <c r="J162" s="8"/>
      <c r="K162" s="8"/>
      <c r="L162" s="8"/>
      <c r="M162" s="8" t="s">
        <v>1779</v>
      </c>
      <c r="N162" s="8" t="s">
        <v>1717</v>
      </c>
      <c r="O162" s="8"/>
      <c r="P162" s="8"/>
      <c r="Q162" s="8"/>
      <c r="R162" s="8"/>
      <c r="S162" s="8"/>
      <c r="T162" s="8"/>
      <c r="U162" s="8"/>
      <c r="V162" s="8"/>
      <c r="W162" s="8" t="s">
        <v>1779</v>
      </c>
      <c r="X162" s="8">
        <v>22.68</v>
      </c>
      <c r="Y162" s="8">
        <v>5.21</v>
      </c>
      <c r="Z162" s="9">
        <v>2.13</v>
      </c>
      <c r="AA162" s="8">
        <v>2.2999999999999998</v>
      </c>
      <c r="AB162" s="8">
        <v>32566</v>
      </c>
      <c r="AC162" s="8" t="s">
        <v>1779</v>
      </c>
      <c r="AD162" s="8" t="s">
        <v>3682</v>
      </c>
      <c r="AE162" s="8"/>
      <c r="AF162" s="9">
        <f t="shared" ref="AF162:AF178" si="10">(AA162*Y162)</f>
        <v>11.982999999999999</v>
      </c>
      <c r="AG162" s="9">
        <f t="shared" ref="AG162:AG178" si="11">((((RIGHT(Z162,2))/60)+(LEFT(Z162,2)))*AA162)</f>
        <v>5.0983333333333336</v>
      </c>
      <c r="AH162" s="1"/>
      <c r="AI162" s="1"/>
      <c r="AJ162" s="1"/>
      <c r="AK162" s="1"/>
      <c r="AL162" s="1"/>
      <c r="AM162" s="1"/>
      <c r="AN162" s="1"/>
    </row>
    <row r="163" spans="8:40" ht="23">
      <c r="H163" s="8"/>
      <c r="I163" s="8"/>
      <c r="J163" s="8"/>
      <c r="K163" s="8"/>
      <c r="L163" s="8"/>
      <c r="M163" s="9" t="s">
        <v>2838</v>
      </c>
      <c r="N163" s="8" t="s">
        <v>1614</v>
      </c>
      <c r="O163" s="8"/>
      <c r="P163" s="8"/>
      <c r="Q163" s="8"/>
      <c r="R163" s="8"/>
      <c r="S163" s="8"/>
      <c r="T163" s="8"/>
      <c r="U163" s="8"/>
      <c r="V163" s="8"/>
      <c r="W163" s="9" t="s">
        <v>2838</v>
      </c>
      <c r="X163" s="8">
        <v>42.04</v>
      </c>
      <c r="Y163" s="8">
        <v>5.08</v>
      </c>
      <c r="Z163" s="9">
        <v>2.4900000000000002</v>
      </c>
      <c r="AA163" s="8">
        <v>2.2999999999999998</v>
      </c>
      <c r="AB163" s="8">
        <v>31248</v>
      </c>
      <c r="AC163" s="9" t="s">
        <v>2838</v>
      </c>
      <c r="AD163" s="8" t="s">
        <v>3682</v>
      </c>
      <c r="AE163" s="8"/>
      <c r="AF163" s="9">
        <f t="shared" si="10"/>
        <v>11.683999999999999</v>
      </c>
      <c r="AG163" s="9">
        <f t="shared" si="11"/>
        <v>6.4783333333333326</v>
      </c>
      <c r="AH163" s="1"/>
      <c r="AI163" s="1"/>
      <c r="AJ163" s="1"/>
      <c r="AK163" s="1"/>
      <c r="AL163" s="1"/>
      <c r="AM163" s="1"/>
      <c r="AN163" s="1"/>
    </row>
    <row r="164" spans="8:40" ht="23">
      <c r="H164" s="8"/>
      <c r="I164" s="8"/>
      <c r="J164" s="8"/>
      <c r="K164" s="8"/>
      <c r="L164" s="8"/>
      <c r="M164" s="9" t="s">
        <v>3013</v>
      </c>
      <c r="N164" s="8" t="s">
        <v>1717</v>
      </c>
      <c r="O164" s="8"/>
      <c r="P164" s="8"/>
      <c r="Q164" s="8"/>
      <c r="R164" s="8"/>
      <c r="S164" s="8"/>
      <c r="T164" s="8"/>
      <c r="U164" s="8"/>
      <c r="V164" s="8"/>
      <c r="W164" s="9" t="s">
        <v>3013</v>
      </c>
      <c r="X164" s="8">
        <v>40.67</v>
      </c>
      <c r="Y164" s="8">
        <v>2.84</v>
      </c>
      <c r="Z164" s="9">
        <v>2.2799999999999998</v>
      </c>
      <c r="AA164" s="8">
        <v>2.2999999999999998</v>
      </c>
      <c r="AB164" s="8">
        <v>37878</v>
      </c>
      <c r="AC164" s="9" t="s">
        <v>3013</v>
      </c>
      <c r="AD164" s="8" t="s">
        <v>3699</v>
      </c>
      <c r="AE164" s="8"/>
      <c r="AF164" s="9">
        <f t="shared" si="10"/>
        <v>6.5319999999999991</v>
      </c>
      <c r="AG164" s="9">
        <f t="shared" si="11"/>
        <v>5.6733333333333329</v>
      </c>
      <c r="AH164" s="1"/>
      <c r="AI164" s="1"/>
      <c r="AJ164" s="1"/>
      <c r="AK164" s="1"/>
      <c r="AL164" s="1"/>
      <c r="AM164" s="1"/>
      <c r="AN164" s="1"/>
    </row>
    <row r="165" spans="8:40" ht="23">
      <c r="H165" s="8"/>
      <c r="I165" s="8"/>
      <c r="J165" s="8"/>
      <c r="K165" s="8"/>
      <c r="L165" s="8"/>
      <c r="M165" s="8" t="s">
        <v>919</v>
      </c>
      <c r="N165" s="8" t="s">
        <v>150</v>
      </c>
      <c r="O165" s="8"/>
      <c r="P165" s="8"/>
      <c r="Q165" s="8"/>
      <c r="R165" s="8"/>
      <c r="S165" s="8"/>
      <c r="T165" s="8"/>
      <c r="U165" s="8"/>
      <c r="V165" s="8"/>
      <c r="W165" s="8" t="s">
        <v>919</v>
      </c>
      <c r="X165" s="8">
        <v>32.159999999999997</v>
      </c>
      <c r="Y165" s="8">
        <v>2.77</v>
      </c>
      <c r="Z165" s="9">
        <v>2.5099999999999998</v>
      </c>
      <c r="AA165" s="8">
        <v>2</v>
      </c>
      <c r="AB165" s="8">
        <v>50074</v>
      </c>
      <c r="AC165" s="8" t="s">
        <v>919</v>
      </c>
      <c r="AD165" s="8" t="s">
        <v>3682</v>
      </c>
      <c r="AE165" s="8"/>
      <c r="AF165" s="9">
        <f t="shared" si="10"/>
        <v>5.54</v>
      </c>
      <c r="AG165" s="9">
        <f t="shared" si="11"/>
        <v>5.7</v>
      </c>
      <c r="AH165" s="1"/>
      <c r="AI165" s="1"/>
      <c r="AJ165" s="1"/>
      <c r="AK165" s="1"/>
      <c r="AL165" s="1"/>
      <c r="AM165" s="1"/>
      <c r="AN165" s="1"/>
    </row>
    <row r="166" spans="8:40" ht="23">
      <c r="H166" s="8"/>
      <c r="I166" s="8"/>
      <c r="J166" s="8"/>
      <c r="K166" s="8"/>
      <c r="L166" s="8"/>
      <c r="M166" s="8" t="s">
        <v>603</v>
      </c>
      <c r="N166" s="8" t="s">
        <v>150</v>
      </c>
      <c r="O166" s="8"/>
      <c r="P166" s="8"/>
      <c r="Q166" s="8"/>
      <c r="R166" s="8"/>
      <c r="S166" s="8"/>
      <c r="T166" s="8"/>
      <c r="U166" s="8"/>
      <c r="V166" s="8"/>
      <c r="W166" s="8" t="s">
        <v>603</v>
      </c>
      <c r="X166" s="8">
        <v>41.78</v>
      </c>
      <c r="Y166" s="8">
        <v>2.0299999999999998</v>
      </c>
      <c r="Z166" s="9">
        <v>1.1599999999999999</v>
      </c>
      <c r="AA166" s="8">
        <v>2</v>
      </c>
      <c r="AB166" s="8">
        <v>42538</v>
      </c>
      <c r="AC166" s="8" t="s">
        <v>603</v>
      </c>
      <c r="AD166" s="8" t="s">
        <v>4619</v>
      </c>
      <c r="AE166" s="8"/>
      <c r="AF166" s="9">
        <f t="shared" si="10"/>
        <v>4.0599999999999996</v>
      </c>
      <c r="AG166" s="9">
        <f t="shared" si="11"/>
        <v>2.5333333333333332</v>
      </c>
      <c r="AH166" s="1"/>
      <c r="AI166" s="1"/>
      <c r="AJ166" s="1"/>
      <c r="AK166" s="1"/>
      <c r="AL166" s="1"/>
      <c r="AM166" s="1"/>
      <c r="AN166" s="1"/>
    </row>
    <row r="167" spans="8:40" ht="23">
      <c r="H167" s="8"/>
      <c r="I167" s="8"/>
      <c r="J167" s="8"/>
      <c r="K167" s="8"/>
      <c r="L167" s="8"/>
      <c r="M167" s="9" t="s">
        <v>3105</v>
      </c>
      <c r="N167" s="8" t="s">
        <v>1814</v>
      </c>
      <c r="O167" s="8"/>
      <c r="P167" s="8"/>
      <c r="Q167" s="8"/>
      <c r="R167" s="8"/>
      <c r="S167" s="8"/>
      <c r="T167" s="8"/>
      <c r="U167" s="8"/>
      <c r="V167" s="8"/>
      <c r="W167" s="9" t="s">
        <v>3105</v>
      </c>
      <c r="X167" s="8">
        <v>42.26</v>
      </c>
      <c r="Y167" s="8">
        <v>2.17</v>
      </c>
      <c r="Z167" s="9">
        <v>2.04</v>
      </c>
      <c r="AA167" s="8">
        <v>1.9</v>
      </c>
      <c r="AB167" s="8">
        <v>56266</v>
      </c>
      <c r="AC167" s="9" t="s">
        <v>3105</v>
      </c>
      <c r="AD167" s="8" t="s">
        <v>3682</v>
      </c>
      <c r="AE167" s="8"/>
      <c r="AF167" s="9">
        <f t="shared" si="10"/>
        <v>4.1229999999999993</v>
      </c>
      <c r="AG167" s="9">
        <f t="shared" si="11"/>
        <v>3.9266666666666667</v>
      </c>
      <c r="AH167" s="1"/>
      <c r="AI167" s="1"/>
      <c r="AJ167" s="1"/>
      <c r="AK167" s="1"/>
      <c r="AL167" s="1"/>
      <c r="AM167" s="1"/>
      <c r="AN167" s="1"/>
    </row>
    <row r="168" spans="8:40" ht="23">
      <c r="H168" s="8"/>
      <c r="I168" s="8"/>
      <c r="J168" s="8"/>
      <c r="K168" s="8"/>
      <c r="L168" s="8"/>
      <c r="M168" s="8" t="s">
        <v>1460</v>
      </c>
      <c r="N168" s="8" t="s">
        <v>150</v>
      </c>
      <c r="O168" s="8"/>
      <c r="P168" s="8"/>
      <c r="Q168" s="8"/>
      <c r="R168" s="8"/>
      <c r="S168" s="8"/>
      <c r="T168" s="8"/>
      <c r="U168" s="8"/>
      <c r="V168" s="8"/>
      <c r="W168" s="8" t="s">
        <v>1460</v>
      </c>
      <c r="X168" s="8">
        <v>22.53</v>
      </c>
      <c r="Y168" s="8">
        <v>3.48</v>
      </c>
      <c r="Z168" s="9">
        <v>1.52</v>
      </c>
      <c r="AA168" s="8">
        <v>1.9</v>
      </c>
      <c r="AB168" s="8">
        <v>39870</v>
      </c>
      <c r="AC168" s="8" t="s">
        <v>1460</v>
      </c>
      <c r="AD168" s="8" t="s">
        <v>3680</v>
      </c>
      <c r="AE168" s="8"/>
      <c r="AF168" s="9">
        <f t="shared" si="10"/>
        <v>6.6120000000000001</v>
      </c>
      <c r="AG168" s="9">
        <f t="shared" si="11"/>
        <v>3.5466666666666664</v>
      </c>
      <c r="AH168" s="1"/>
      <c r="AI168" s="1"/>
      <c r="AJ168" s="1"/>
      <c r="AK168" s="1"/>
      <c r="AL168" s="1"/>
      <c r="AM168" s="1"/>
      <c r="AN168" s="1"/>
    </row>
    <row r="169" spans="8:40" ht="23">
      <c r="H169" s="8"/>
      <c r="I169" s="8"/>
      <c r="J169" s="8"/>
      <c r="K169" s="8"/>
      <c r="L169" s="8"/>
      <c r="M169" s="8" t="s">
        <v>690</v>
      </c>
      <c r="N169" s="8" t="s">
        <v>150</v>
      </c>
      <c r="O169" s="8"/>
      <c r="P169" s="8"/>
      <c r="Q169" s="8"/>
      <c r="R169" s="8"/>
      <c r="S169" s="8"/>
      <c r="T169" s="8"/>
      <c r="U169" s="8"/>
      <c r="V169" s="8"/>
      <c r="W169" s="8" t="s">
        <v>690</v>
      </c>
      <c r="X169" s="8">
        <v>32.86</v>
      </c>
      <c r="Y169" s="8">
        <v>6.87</v>
      </c>
      <c r="Z169" s="9">
        <v>5.51</v>
      </c>
      <c r="AA169" s="8">
        <v>1.8</v>
      </c>
      <c r="AB169" s="8">
        <v>30322</v>
      </c>
      <c r="AC169" s="8" t="s">
        <v>690</v>
      </c>
      <c r="AD169" s="8" t="s">
        <v>3682</v>
      </c>
      <c r="AE169" s="8"/>
      <c r="AF169" s="9">
        <f t="shared" si="10"/>
        <v>12.366</v>
      </c>
      <c r="AG169" s="9">
        <f t="shared" si="11"/>
        <v>10.53</v>
      </c>
      <c r="AH169" s="1"/>
      <c r="AI169" s="1"/>
      <c r="AJ169" s="1"/>
      <c r="AK169" s="1"/>
      <c r="AL169" s="1"/>
      <c r="AM169" s="1"/>
      <c r="AN169" s="1"/>
    </row>
    <row r="170" spans="8:40" ht="23">
      <c r="H170" s="8"/>
      <c r="I170" s="8"/>
      <c r="J170" s="8"/>
      <c r="K170" s="8"/>
      <c r="L170" s="8"/>
      <c r="M170" s="9" t="s">
        <v>2242</v>
      </c>
      <c r="N170" s="8" t="s">
        <v>150</v>
      </c>
      <c r="O170" s="8"/>
      <c r="P170" s="8"/>
      <c r="Q170" s="8"/>
      <c r="R170" s="8"/>
      <c r="S170" s="8"/>
      <c r="T170" s="8"/>
      <c r="U170" s="8"/>
      <c r="V170" s="8"/>
      <c r="W170" s="9" t="s">
        <v>2242</v>
      </c>
      <c r="X170" s="8">
        <v>34.020000000000003</v>
      </c>
      <c r="Y170" s="8">
        <v>3.56</v>
      </c>
      <c r="Z170" s="9">
        <v>2.59</v>
      </c>
      <c r="AA170" s="8">
        <v>1.6</v>
      </c>
      <c r="AB170" s="8">
        <v>52472</v>
      </c>
      <c r="AC170" s="9" t="s">
        <v>2242</v>
      </c>
      <c r="AD170" s="8" t="s">
        <v>3682</v>
      </c>
      <c r="AE170" s="8"/>
      <c r="AF170" s="9">
        <f t="shared" si="10"/>
        <v>5.6960000000000006</v>
      </c>
      <c r="AG170" s="9">
        <f t="shared" si="11"/>
        <v>4.7733333333333334</v>
      </c>
      <c r="AH170" s="1"/>
      <c r="AI170" s="1"/>
      <c r="AJ170" s="1"/>
      <c r="AK170" s="1"/>
      <c r="AL170" s="1"/>
      <c r="AM170" s="1"/>
      <c r="AN170" s="1"/>
    </row>
    <row r="171" spans="8:40" ht="23">
      <c r="H171" s="8"/>
      <c r="I171" s="8"/>
      <c r="J171" s="8"/>
      <c r="K171" s="8"/>
      <c r="L171" s="8"/>
      <c r="M171" s="8" t="s">
        <v>1877</v>
      </c>
      <c r="N171" s="8" t="s">
        <v>1869</v>
      </c>
      <c r="O171" s="8"/>
      <c r="P171" s="8"/>
      <c r="Q171" s="8"/>
      <c r="R171" s="8"/>
      <c r="S171" s="8"/>
      <c r="T171" s="8"/>
      <c r="U171" s="8"/>
      <c r="V171" s="8"/>
      <c r="W171" s="8" t="s">
        <v>1877</v>
      </c>
      <c r="X171" s="8">
        <v>24.31</v>
      </c>
      <c r="Y171" s="8">
        <v>2.4900000000000002</v>
      </c>
      <c r="Z171" s="9">
        <v>0.56999999999999995</v>
      </c>
      <c r="AA171" s="8">
        <v>1.5</v>
      </c>
      <c r="AB171" s="8">
        <v>55076</v>
      </c>
      <c r="AC171" s="8" t="s">
        <v>1877</v>
      </c>
      <c r="AD171" s="8" t="s">
        <v>3682</v>
      </c>
      <c r="AE171" s="8"/>
      <c r="AF171" s="9">
        <f t="shared" si="10"/>
        <v>3.7350000000000003</v>
      </c>
      <c r="AG171" s="9">
        <f t="shared" si="11"/>
        <v>1.4249999999999998</v>
      </c>
      <c r="AH171" s="1"/>
      <c r="AI171" s="1"/>
      <c r="AJ171" s="1"/>
      <c r="AK171" s="1"/>
      <c r="AL171" s="1"/>
      <c r="AM171" s="1"/>
      <c r="AN171" s="1"/>
    </row>
    <row r="172" spans="8:40" ht="23">
      <c r="H172" s="8"/>
      <c r="I172" s="8"/>
      <c r="J172" s="8"/>
      <c r="K172" s="8"/>
      <c r="L172" s="8"/>
      <c r="M172" s="9" t="s">
        <v>3289</v>
      </c>
      <c r="N172" s="8" t="s">
        <v>1939</v>
      </c>
      <c r="O172" s="8"/>
      <c r="P172" s="8"/>
      <c r="Q172" s="8"/>
      <c r="R172" s="8"/>
      <c r="S172" s="8"/>
      <c r="T172" s="8"/>
      <c r="U172" s="8"/>
      <c r="V172" s="8"/>
      <c r="W172" s="9" t="s">
        <v>3289</v>
      </c>
      <c r="X172" s="8">
        <v>40.85</v>
      </c>
      <c r="Y172" s="8">
        <v>1.74</v>
      </c>
      <c r="Z172" s="9">
        <v>0.22</v>
      </c>
      <c r="AA172" s="8">
        <v>1.5</v>
      </c>
      <c r="AB172" s="8">
        <v>62039</v>
      </c>
      <c r="AC172" s="9" t="s">
        <v>3289</v>
      </c>
      <c r="AD172" s="8" t="s">
        <v>3680</v>
      </c>
      <c r="AE172" s="8"/>
      <c r="AF172" s="9">
        <f t="shared" si="10"/>
        <v>2.61</v>
      </c>
      <c r="AG172" s="9">
        <f t="shared" si="11"/>
        <v>0.54999999999999993</v>
      </c>
      <c r="AH172" s="1"/>
      <c r="AI172" s="1"/>
      <c r="AJ172" s="1"/>
      <c r="AK172" s="1"/>
      <c r="AL172" s="1"/>
      <c r="AM172" s="1"/>
      <c r="AN172" s="1"/>
    </row>
    <row r="173" spans="8:40" ht="23">
      <c r="H173" s="8"/>
      <c r="I173" s="8"/>
      <c r="J173" s="8"/>
      <c r="K173" s="8"/>
      <c r="L173" s="8"/>
      <c r="M173" s="9" t="s">
        <v>3023</v>
      </c>
      <c r="N173" s="8" t="s">
        <v>1814</v>
      </c>
      <c r="O173" s="8"/>
      <c r="P173" s="8"/>
      <c r="Q173" s="8"/>
      <c r="R173" s="8"/>
      <c r="S173" s="8"/>
      <c r="T173" s="8"/>
      <c r="U173" s="8"/>
      <c r="V173" s="8"/>
      <c r="W173" s="9" t="s">
        <v>3023</v>
      </c>
      <c r="X173" s="8">
        <v>53.14</v>
      </c>
      <c r="Y173" s="8">
        <v>1.86</v>
      </c>
      <c r="Z173" s="9">
        <v>7.0000000000000007E-2</v>
      </c>
      <c r="AA173" s="8">
        <v>1.4</v>
      </c>
      <c r="AB173" s="8">
        <v>73906</v>
      </c>
      <c r="AC173" s="9" t="s">
        <v>3023</v>
      </c>
      <c r="AD173" s="8" t="s">
        <v>3682</v>
      </c>
      <c r="AE173" s="8"/>
      <c r="AF173" s="9">
        <f t="shared" si="10"/>
        <v>2.6040000000000001</v>
      </c>
      <c r="AG173" s="9">
        <f t="shared" si="11"/>
        <v>0.16333333333333333</v>
      </c>
      <c r="AH173" s="1"/>
      <c r="AI173" s="1"/>
      <c r="AJ173" s="1"/>
      <c r="AK173" s="1"/>
      <c r="AL173" s="1"/>
      <c r="AM173" s="1"/>
      <c r="AN173" s="1"/>
    </row>
    <row r="174" spans="8:40" ht="23">
      <c r="H174" s="8"/>
      <c r="I174" s="8"/>
      <c r="J174" s="8"/>
      <c r="K174" s="8"/>
      <c r="L174" s="8"/>
      <c r="M174" s="9" t="s">
        <v>703</v>
      </c>
      <c r="N174" s="8" t="s">
        <v>150</v>
      </c>
      <c r="O174" s="8"/>
      <c r="P174" s="8"/>
      <c r="Q174" s="8"/>
      <c r="R174" s="8"/>
      <c r="S174" s="8"/>
      <c r="T174" s="8"/>
      <c r="U174" s="8"/>
      <c r="V174" s="8"/>
      <c r="W174" s="9" t="s">
        <v>703</v>
      </c>
      <c r="X174" s="8">
        <v>47.78</v>
      </c>
      <c r="Y174" s="8">
        <v>2.81</v>
      </c>
      <c r="Z174" s="9">
        <v>3.49</v>
      </c>
      <c r="AA174" s="8">
        <v>1.3</v>
      </c>
      <c r="AB174" s="8">
        <v>68077</v>
      </c>
      <c r="AC174" s="9" t="s">
        <v>703</v>
      </c>
      <c r="AD174" s="8" t="s">
        <v>3682</v>
      </c>
      <c r="AE174" s="8"/>
      <c r="AF174" s="9">
        <f t="shared" si="10"/>
        <v>3.653</v>
      </c>
      <c r="AG174" s="9">
        <f t="shared" si="11"/>
        <v>4.9616666666666669</v>
      </c>
      <c r="AH174" s="1"/>
      <c r="AI174" s="1"/>
      <c r="AJ174" s="1"/>
      <c r="AK174" s="1"/>
      <c r="AL174" s="1"/>
      <c r="AM174" s="1"/>
      <c r="AN174" s="1"/>
    </row>
    <row r="175" spans="8:40" ht="23">
      <c r="H175" s="8"/>
      <c r="I175" s="8"/>
      <c r="J175" s="8"/>
      <c r="K175" s="8"/>
      <c r="L175" s="8"/>
      <c r="M175" s="9" t="s">
        <v>2761</v>
      </c>
      <c r="N175" s="8" t="s">
        <v>1614</v>
      </c>
      <c r="O175" s="8"/>
      <c r="P175" s="8"/>
      <c r="Q175" s="8"/>
      <c r="R175" s="8"/>
      <c r="S175" s="8"/>
      <c r="T175" s="8"/>
      <c r="U175" s="8"/>
      <c r="V175" s="8"/>
      <c r="W175" s="9" t="s">
        <v>2761</v>
      </c>
      <c r="X175" s="8">
        <v>72.34</v>
      </c>
      <c r="Y175" s="8">
        <v>1.28</v>
      </c>
      <c r="Z175" s="9">
        <v>3.09</v>
      </c>
      <c r="AA175" s="8">
        <v>1.2</v>
      </c>
      <c r="AB175" s="8">
        <v>82383</v>
      </c>
      <c r="AC175" s="9" t="s">
        <v>2761</v>
      </c>
      <c r="AD175" s="8" t="s">
        <v>3699</v>
      </c>
      <c r="AE175" s="8"/>
      <c r="AF175" s="9">
        <f t="shared" si="10"/>
        <v>1.536</v>
      </c>
      <c r="AG175" s="9">
        <f t="shared" si="11"/>
        <v>3.78</v>
      </c>
      <c r="AH175" s="1"/>
      <c r="AI175" s="1"/>
      <c r="AJ175" s="1"/>
      <c r="AK175" s="1"/>
      <c r="AL175" s="1"/>
      <c r="AM175" s="1"/>
      <c r="AN175" s="1"/>
    </row>
    <row r="176" spans="8:40" ht="23">
      <c r="H176" s="8"/>
      <c r="I176" s="8"/>
      <c r="J176" s="8"/>
      <c r="K176" s="8"/>
      <c r="L176" s="8"/>
      <c r="M176" s="9" t="s">
        <v>2515</v>
      </c>
      <c r="N176" s="8" t="s">
        <v>150</v>
      </c>
      <c r="O176" s="8"/>
      <c r="P176" s="8"/>
      <c r="Q176" s="8"/>
      <c r="R176" s="8"/>
      <c r="S176" s="8"/>
      <c r="T176" s="8"/>
      <c r="U176" s="8"/>
      <c r="V176" s="8"/>
      <c r="W176" s="9" t="s">
        <v>2515</v>
      </c>
      <c r="X176" s="8">
        <v>11.44</v>
      </c>
      <c r="Y176" s="8">
        <v>8.9</v>
      </c>
      <c r="Z176" s="9">
        <v>2.4</v>
      </c>
      <c r="AA176" s="8">
        <v>1.2</v>
      </c>
      <c r="AB176" s="8">
        <v>40175</v>
      </c>
      <c r="AC176" s="9" t="s">
        <v>2515</v>
      </c>
      <c r="AD176" s="8" t="s">
        <v>4143</v>
      </c>
      <c r="AE176" s="8"/>
      <c r="AF176" s="9">
        <f t="shared" si="10"/>
        <v>10.68</v>
      </c>
      <c r="AG176" s="9">
        <f t="shared" si="11"/>
        <v>2.4079999999999999</v>
      </c>
      <c r="AH176" s="1"/>
      <c r="AI176" s="1"/>
      <c r="AJ176" s="1"/>
      <c r="AK176" s="1"/>
      <c r="AL176" s="1"/>
      <c r="AM176" s="1"/>
      <c r="AN176" s="1"/>
    </row>
    <row r="177" spans="8:40" ht="23">
      <c r="H177" s="8"/>
      <c r="I177" s="8"/>
      <c r="J177" s="8"/>
      <c r="K177" s="8"/>
      <c r="L177" s="8"/>
      <c r="M177" s="8" t="s">
        <v>222</v>
      </c>
      <c r="N177" s="8" t="s">
        <v>150</v>
      </c>
      <c r="O177" s="8"/>
      <c r="P177" s="8"/>
      <c r="Q177" s="8"/>
      <c r="R177" s="8"/>
      <c r="S177" s="8"/>
      <c r="T177" s="8"/>
      <c r="U177" s="8"/>
      <c r="V177" s="8"/>
      <c r="W177" s="8" t="s">
        <v>222</v>
      </c>
      <c r="X177" s="8">
        <v>38.51</v>
      </c>
      <c r="Y177" s="8">
        <v>3.6</v>
      </c>
      <c r="Z177" s="9">
        <v>3.29</v>
      </c>
      <c r="AA177" s="8">
        <v>1.1000000000000001</v>
      </c>
      <c r="AB177" s="8">
        <v>60817</v>
      </c>
      <c r="AC177" s="8" t="s">
        <v>222</v>
      </c>
      <c r="AD177" s="8" t="s">
        <v>3682</v>
      </c>
      <c r="AE177" s="8"/>
      <c r="AF177" s="9">
        <f t="shared" si="10"/>
        <v>3.9600000000000004</v>
      </c>
      <c r="AG177" s="9">
        <f t="shared" si="11"/>
        <v>3.831666666666667</v>
      </c>
      <c r="AH177" s="1"/>
      <c r="AI177" s="1"/>
      <c r="AJ177" s="1"/>
      <c r="AK177" s="1"/>
      <c r="AL177" s="1"/>
      <c r="AM177" s="1"/>
      <c r="AN177" s="1"/>
    </row>
    <row r="178" spans="8:40" ht="23">
      <c r="H178" s="8"/>
      <c r="I178" s="8"/>
      <c r="J178" s="8"/>
      <c r="K178" s="8"/>
      <c r="L178" s="8"/>
      <c r="M178" s="9" t="s">
        <v>2584</v>
      </c>
      <c r="N178" s="8" t="s">
        <v>150</v>
      </c>
      <c r="O178" s="8"/>
      <c r="P178" s="8"/>
      <c r="Q178" s="8"/>
      <c r="R178" s="8"/>
      <c r="S178" s="8"/>
      <c r="T178" s="8"/>
      <c r="U178" s="8"/>
      <c r="V178" s="8"/>
      <c r="W178" s="9" t="s">
        <v>2584</v>
      </c>
      <c r="X178" s="8">
        <v>16.170000000000002</v>
      </c>
      <c r="Y178" s="8">
        <v>5.2</v>
      </c>
      <c r="Z178" s="9">
        <v>4.58</v>
      </c>
      <c r="AA178" s="8">
        <v>1.1000000000000001</v>
      </c>
      <c r="AB178" s="8">
        <v>46252</v>
      </c>
      <c r="AC178" s="9" t="s">
        <v>2584</v>
      </c>
      <c r="AD178" s="8" t="s">
        <v>3682</v>
      </c>
      <c r="AE178" s="8"/>
      <c r="AF178" s="9">
        <f t="shared" si="10"/>
        <v>5.7200000000000006</v>
      </c>
      <c r="AG178" s="9">
        <f t="shared" si="11"/>
        <v>5.4633333333333338</v>
      </c>
      <c r="AH178" s="1"/>
      <c r="AI178" s="1"/>
      <c r="AJ178" s="1"/>
      <c r="AK178" s="1"/>
      <c r="AL178" s="1"/>
      <c r="AM178" s="1"/>
      <c r="AN178" s="1"/>
    </row>
    <row r="179" spans="8:40" ht="23">
      <c r="H179" s="24"/>
      <c r="I179" s="24"/>
      <c r="J179" s="24"/>
      <c r="K179" s="24"/>
      <c r="L179" s="24"/>
      <c r="M179" s="25"/>
      <c r="N179" s="24"/>
      <c r="O179" s="24"/>
      <c r="P179" s="24"/>
      <c r="Q179" s="24"/>
      <c r="R179" s="24"/>
      <c r="S179" s="24"/>
      <c r="T179" s="24"/>
      <c r="U179" s="24"/>
      <c r="V179" s="24"/>
      <c r="W179" s="25"/>
      <c r="X179" s="24"/>
      <c r="Y179" s="24"/>
      <c r="Z179" s="25"/>
      <c r="AA179" s="24">
        <f>SUBTOTAL(109,Table136104106[ترافیک کل])</f>
        <v>30654.200000000023</v>
      </c>
      <c r="AB179" s="24"/>
      <c r="AC179" s="25"/>
      <c r="AD179" s="24"/>
      <c r="AE179" s="24"/>
      <c r="AF179" s="25">
        <f>SUBTOTAL(109,Table136104106[[مجموع صفحات  مشاهده شده   ]])</f>
        <v>145543.26300000006</v>
      </c>
      <c r="AG179" s="25">
        <f>SUBTOTAL(109,Table136104106[[مجموع زمان حضور در سایت ]])</f>
        <v>117654.70249999997</v>
      </c>
      <c r="AH179" s="28"/>
      <c r="AI179" s="28"/>
      <c r="AJ179" s="28"/>
      <c r="AK179" s="28"/>
      <c r="AL179" s="28"/>
      <c r="AM179" s="28"/>
      <c r="AN179" s="28"/>
    </row>
  </sheetData>
  <conditionalFormatting sqref="AA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{03203CE4-45BC-4459-9176-589FF6C4D2BB}</x14:id>
        </ext>
      </extLst>
    </cfRule>
  </conditionalFormatting>
  <conditionalFormatting sqref="AH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{9D6E5763-D2ED-4BFD-8A48-F195495CC679}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{E486D61E-C006-40F0-9C5C-9D00C9D3204D}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{FD28775D-3944-4FE5-B17B-4442D71C7B11}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{1C48DA2E-DE55-4760-AC4B-3C3858091D23}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{768EDAF3-46E5-48EE-95EE-8EF50FACDE1D}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3203CE4-45BC-4459-9176-589FF6C4D2B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9D6E5763-D2ED-4BFD-8A48-F195495CC67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E486D61E-C006-40F0-9C5C-9D00C9D3204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FD28775D-3944-4FE5-B17B-4442D71C7B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1C48DA2E-DE55-4760-AC4B-3C3858091D2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768EDAF3-46E5-48EE-95EE-8EF50FACDE1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AN79"/>
  <sheetViews>
    <sheetView showGridLines="0" rightToLeft="1" topLeftCell="N1" zoomScale="70" zoomScaleNormal="70" workbookViewId="0">
      <selection activeCell="V1" sqref="Q1:V1"/>
    </sheetView>
  </sheetViews>
  <sheetFormatPr defaultRowHeight="14"/>
  <cols>
    <col min="8" max="8" width="18" customWidth="1"/>
    <col min="10" max="10" width="13.5" customWidth="1"/>
    <col min="11" max="11" width="14.1640625" customWidth="1"/>
    <col min="12" max="12" width="16.83203125" customWidth="1"/>
    <col min="13" max="13" width="23.1640625" customWidth="1"/>
    <col min="15" max="15" width="18.6640625" customWidth="1"/>
    <col min="16" max="16" width="14" customWidth="1"/>
    <col min="17" max="17" width="10.25" customWidth="1"/>
    <col min="19" max="19" width="8.9140625" customWidth="1"/>
    <col min="20" max="20" width="9.9140625" customWidth="1"/>
    <col min="21" max="21" width="10.33203125" customWidth="1"/>
    <col min="23" max="23" width="26.33203125" customWidth="1"/>
    <col min="24" max="24" width="10.83203125" customWidth="1"/>
    <col min="25" max="26" width="24.33203125" customWidth="1"/>
    <col min="27" max="27" width="11.5" customWidth="1"/>
    <col min="28" max="28" width="22.58203125" customWidth="1"/>
    <col min="29" max="29" width="23.4140625" customWidth="1"/>
    <col min="30" max="30" width="20.9140625" customWidth="1"/>
    <col min="31" max="31" width="23.9140625" customWidth="1"/>
    <col min="32" max="32" width="22.33203125" customWidth="1"/>
    <col min="33" max="33" width="27.4140625" customWidth="1"/>
    <col min="34" max="34" width="27.1640625" customWidth="1"/>
    <col min="35" max="35" width="38.75" customWidth="1"/>
    <col min="36" max="36" width="37.9140625" customWidth="1"/>
    <col min="37" max="37" width="32.08203125" customWidth="1"/>
    <col min="38" max="38" width="30.33203125" customWidth="1"/>
    <col min="39" max="39" width="22.25" customWidth="1"/>
    <col min="40" max="40" width="18.75" customWidth="1"/>
  </cols>
  <sheetData>
    <row r="1" spans="8:40" ht="66.5" customHeight="1">
      <c r="H1" s="2" t="s">
        <v>4648</v>
      </c>
      <c r="I1" s="3" t="s">
        <v>4647</v>
      </c>
      <c r="J1" s="3" t="s">
        <v>2122</v>
      </c>
      <c r="K1" s="3" t="s">
        <v>4646</v>
      </c>
      <c r="L1" s="3" t="s">
        <v>4645</v>
      </c>
      <c r="M1" s="4" t="s">
        <v>2121</v>
      </c>
      <c r="N1" s="4" t="s">
        <v>2120</v>
      </c>
      <c r="O1" s="4" t="s">
        <v>4164</v>
      </c>
      <c r="P1" s="4" t="s">
        <v>3690</v>
      </c>
      <c r="Q1" s="4" t="s">
        <v>5347</v>
      </c>
      <c r="R1" s="4" t="s">
        <v>5348</v>
      </c>
      <c r="S1" s="4" t="s">
        <v>5349</v>
      </c>
      <c r="T1" s="4" t="s">
        <v>5350</v>
      </c>
      <c r="U1" s="4" t="s">
        <v>5351</v>
      </c>
      <c r="V1" s="4" t="s">
        <v>5352</v>
      </c>
      <c r="W1" s="4" t="s">
        <v>2123</v>
      </c>
      <c r="X1" s="2" t="s">
        <v>2124</v>
      </c>
      <c r="Y1" s="3" t="s">
        <v>2125</v>
      </c>
      <c r="Z1" s="3" t="s">
        <v>2126</v>
      </c>
      <c r="AA1" s="3" t="s">
        <v>2127</v>
      </c>
      <c r="AB1" s="3" t="s">
        <v>2128</v>
      </c>
      <c r="AC1" s="4" t="s">
        <v>2129</v>
      </c>
      <c r="AD1" s="3" t="s">
        <v>2130</v>
      </c>
      <c r="AE1" s="5" t="s">
        <v>4082</v>
      </c>
      <c r="AF1" s="5" t="s">
        <v>2131</v>
      </c>
      <c r="AG1" s="5" t="s">
        <v>2132</v>
      </c>
      <c r="AH1" s="5" t="s">
        <v>2133</v>
      </c>
      <c r="AI1" s="5" t="s">
        <v>2134</v>
      </c>
      <c r="AJ1" s="5" t="s">
        <v>2135</v>
      </c>
      <c r="AK1" s="5" t="s">
        <v>2136</v>
      </c>
      <c r="AL1" s="5" t="s">
        <v>2137</v>
      </c>
      <c r="AM1" s="6" t="s">
        <v>2138</v>
      </c>
      <c r="AN1" s="5" t="s">
        <v>4081</v>
      </c>
    </row>
    <row r="2" spans="8:40" ht="23">
      <c r="M2" s="8" t="s">
        <v>746</v>
      </c>
      <c r="N2" s="8" t="s">
        <v>150</v>
      </c>
      <c r="O2" s="8"/>
      <c r="P2" s="8" t="s">
        <v>3692</v>
      </c>
      <c r="Q2" s="21"/>
      <c r="R2" s="21"/>
      <c r="S2" s="21"/>
      <c r="T2" s="21"/>
      <c r="U2" s="21"/>
      <c r="V2" s="21"/>
      <c r="W2" s="8" t="s">
        <v>746</v>
      </c>
      <c r="X2" s="8">
        <v>45.68</v>
      </c>
      <c r="Y2" s="8">
        <v>2.3199999999999998</v>
      </c>
      <c r="Z2" s="9">
        <v>2.59</v>
      </c>
      <c r="AA2" s="8">
        <v>1118.0999999999999</v>
      </c>
      <c r="AB2" s="8">
        <v>912</v>
      </c>
      <c r="AC2" s="8" t="s">
        <v>746</v>
      </c>
      <c r="AD2" s="8" t="s">
        <v>4005</v>
      </c>
      <c r="AE2" s="8" t="s">
        <v>4234</v>
      </c>
      <c r="AF2" s="9">
        <f t="shared" ref="AF2:AF33" si="0">(AA2*Y2)</f>
        <v>2593.9919999999997</v>
      </c>
      <c r="AG2" s="9">
        <v>1</v>
      </c>
      <c r="AH2" s="20"/>
      <c r="AI2" s="20"/>
      <c r="AJ2" s="20"/>
      <c r="AK2" s="20"/>
      <c r="AL2" s="20"/>
      <c r="AM2" s="20"/>
    </row>
    <row r="3" spans="8:40" ht="23">
      <c r="M3" s="8" t="s">
        <v>1470</v>
      </c>
      <c r="N3" s="8" t="s">
        <v>150</v>
      </c>
      <c r="O3" s="8"/>
      <c r="P3" s="8"/>
      <c r="Q3" s="21"/>
      <c r="R3" s="21"/>
      <c r="S3" s="21"/>
      <c r="T3" s="21"/>
      <c r="U3" s="21"/>
      <c r="V3" s="21"/>
      <c r="W3" s="8" t="s">
        <v>1470</v>
      </c>
      <c r="X3" s="8">
        <v>55.25</v>
      </c>
      <c r="Y3" s="8">
        <v>2.15</v>
      </c>
      <c r="Z3" s="9">
        <v>1.03</v>
      </c>
      <c r="AA3" s="8">
        <v>671.1</v>
      </c>
      <c r="AB3" s="8">
        <v>2389</v>
      </c>
      <c r="AC3" s="8" t="s">
        <v>1470</v>
      </c>
      <c r="AD3" s="8" t="s">
        <v>4159</v>
      </c>
      <c r="AE3" s="8" t="s">
        <v>4234</v>
      </c>
      <c r="AF3" s="9">
        <f t="shared" si="0"/>
        <v>1442.865</v>
      </c>
      <c r="AG3" s="9">
        <f t="shared" ref="AG3:AG34" si="1">((((RIGHT(Z3,2))/60)+(LEFT(Z3,2)))*AA3)</f>
        <v>704.65500000000009</v>
      </c>
      <c r="AH3" s="20"/>
      <c r="AI3" s="20"/>
      <c r="AJ3" s="20"/>
      <c r="AK3" s="20"/>
      <c r="AL3" s="20"/>
      <c r="AM3" s="20"/>
    </row>
    <row r="4" spans="8:40" ht="23">
      <c r="M4" s="8" t="s">
        <v>1866</v>
      </c>
      <c r="N4" s="8" t="s">
        <v>1862</v>
      </c>
      <c r="O4" s="8"/>
      <c r="P4" s="8" t="s">
        <v>3691</v>
      </c>
      <c r="Q4" s="21"/>
      <c r="R4" s="21"/>
      <c r="S4" s="21"/>
      <c r="T4" s="21"/>
      <c r="U4" s="21"/>
      <c r="V4" s="21"/>
      <c r="W4" s="8" t="s">
        <v>1866</v>
      </c>
      <c r="X4" s="8">
        <v>15.63</v>
      </c>
      <c r="Y4" s="8">
        <v>1.5</v>
      </c>
      <c r="Z4" s="9">
        <v>0.3</v>
      </c>
      <c r="AA4" s="8">
        <v>395.6</v>
      </c>
      <c r="AB4" s="8">
        <v>8917</v>
      </c>
      <c r="AC4" s="8" t="s">
        <v>1866</v>
      </c>
      <c r="AD4" s="8" t="s">
        <v>4212</v>
      </c>
      <c r="AE4" s="8" t="s">
        <v>4234</v>
      </c>
      <c r="AF4" s="9">
        <f t="shared" si="0"/>
        <v>593.40000000000009</v>
      </c>
      <c r="AG4" s="9">
        <f t="shared" si="1"/>
        <v>1.9780000000000002</v>
      </c>
      <c r="AH4" s="20"/>
      <c r="AI4" s="20"/>
      <c r="AJ4" s="20"/>
      <c r="AK4" s="20"/>
      <c r="AL4" s="20"/>
      <c r="AM4" s="20"/>
    </row>
    <row r="5" spans="8:40" ht="23">
      <c r="M5" s="9" t="s">
        <v>2399</v>
      </c>
      <c r="N5" s="8" t="s">
        <v>150</v>
      </c>
      <c r="O5" s="8"/>
      <c r="P5" s="8"/>
      <c r="Q5" s="21"/>
      <c r="R5" s="21"/>
      <c r="S5" s="21"/>
      <c r="T5" s="21"/>
      <c r="U5" s="21"/>
      <c r="V5" s="21"/>
      <c r="W5" s="9" t="s">
        <v>2399</v>
      </c>
      <c r="X5" s="8">
        <v>31.4</v>
      </c>
      <c r="Y5" s="8">
        <v>2.41</v>
      </c>
      <c r="Z5" s="9">
        <v>0.38</v>
      </c>
      <c r="AA5" s="8">
        <v>239.6</v>
      </c>
      <c r="AB5" s="8">
        <v>3654</v>
      </c>
      <c r="AC5" s="9" t="s">
        <v>2399</v>
      </c>
      <c r="AD5" s="8" t="s">
        <v>4001</v>
      </c>
      <c r="AE5" s="8" t="s">
        <v>4234</v>
      </c>
      <c r="AF5" s="9">
        <f t="shared" si="0"/>
        <v>577.43600000000004</v>
      </c>
      <c r="AG5" s="9">
        <f t="shared" si="1"/>
        <v>151.74666666666667</v>
      </c>
      <c r="AH5" s="20"/>
      <c r="AI5" s="20"/>
      <c r="AJ5" s="20"/>
      <c r="AK5" s="20"/>
      <c r="AL5" s="20"/>
      <c r="AM5" s="20"/>
      <c r="AN5" s="28"/>
    </row>
    <row r="6" spans="8:40" ht="23">
      <c r="M6" s="8" t="s">
        <v>1253</v>
      </c>
      <c r="N6" s="8" t="s">
        <v>150</v>
      </c>
      <c r="O6" s="8"/>
      <c r="P6" s="8"/>
      <c r="Q6" s="21"/>
      <c r="R6" s="21"/>
      <c r="S6" s="21"/>
      <c r="T6" s="21"/>
      <c r="U6" s="21"/>
      <c r="V6" s="21"/>
      <c r="W6" s="8" t="s">
        <v>1253</v>
      </c>
      <c r="X6" s="8">
        <v>45.34</v>
      </c>
      <c r="Y6" s="8">
        <v>1.32</v>
      </c>
      <c r="Z6" s="9">
        <v>7.0000000000000007E-2</v>
      </c>
      <c r="AA6" s="8">
        <v>224.1</v>
      </c>
      <c r="AB6" s="8">
        <v>13597</v>
      </c>
      <c r="AC6" s="8" t="s">
        <v>1253</v>
      </c>
      <c r="AD6" s="8" t="s">
        <v>4124</v>
      </c>
      <c r="AE6" s="8" t="s">
        <v>4234</v>
      </c>
      <c r="AF6" s="9">
        <f t="shared" si="0"/>
        <v>295.81200000000001</v>
      </c>
      <c r="AG6" s="9">
        <f t="shared" si="1"/>
        <v>26.145</v>
      </c>
      <c r="AH6" s="20"/>
      <c r="AI6" s="20"/>
      <c r="AJ6" s="20"/>
      <c r="AK6" s="20"/>
      <c r="AL6" s="20"/>
      <c r="AM6" s="20"/>
    </row>
    <row r="7" spans="8:40" ht="23">
      <c r="M7" s="8" t="s">
        <v>345</v>
      </c>
      <c r="N7" s="8" t="s">
        <v>150</v>
      </c>
      <c r="O7" s="8"/>
      <c r="P7" s="8"/>
      <c r="Q7" s="21"/>
      <c r="R7" s="21"/>
      <c r="S7" s="21"/>
      <c r="T7" s="21"/>
      <c r="U7" s="21"/>
      <c r="V7" s="21"/>
      <c r="W7" s="8" t="s">
        <v>345</v>
      </c>
      <c r="X7" s="8">
        <v>26.96</v>
      </c>
      <c r="Y7" s="8">
        <v>1.84</v>
      </c>
      <c r="Z7" s="9">
        <v>1</v>
      </c>
      <c r="AA7" s="8">
        <v>220.9</v>
      </c>
      <c r="AB7" s="8">
        <v>2960</v>
      </c>
      <c r="AC7" s="8" t="s">
        <v>345</v>
      </c>
      <c r="AD7" s="8" t="s">
        <v>3719</v>
      </c>
      <c r="AE7" s="8" t="s">
        <v>4234</v>
      </c>
      <c r="AF7" s="9">
        <f t="shared" si="0"/>
        <v>406.45600000000002</v>
      </c>
      <c r="AG7" s="9">
        <f t="shared" si="1"/>
        <v>224.58166666666665</v>
      </c>
      <c r="AH7" s="20"/>
      <c r="AI7" s="20"/>
      <c r="AJ7" s="20"/>
      <c r="AK7" s="20"/>
      <c r="AL7" s="20"/>
      <c r="AM7" s="20"/>
    </row>
    <row r="8" spans="8:40" ht="23">
      <c r="M8" s="9" t="s">
        <v>2547</v>
      </c>
      <c r="N8" s="8" t="s">
        <v>150</v>
      </c>
      <c r="O8" s="8"/>
      <c r="P8" s="8" t="s">
        <v>3693</v>
      </c>
      <c r="Q8" s="21"/>
      <c r="R8" s="21"/>
      <c r="S8" s="21"/>
      <c r="T8" s="21"/>
      <c r="U8" s="21"/>
      <c r="V8" s="21"/>
      <c r="W8" s="9" t="s">
        <v>2547</v>
      </c>
      <c r="X8" s="8">
        <v>42.16</v>
      </c>
      <c r="Y8" s="8">
        <v>1.1000000000000001</v>
      </c>
      <c r="Z8" s="9">
        <v>0.08</v>
      </c>
      <c r="AA8" s="8">
        <v>203</v>
      </c>
      <c r="AB8" s="8">
        <v>13282</v>
      </c>
      <c r="AC8" s="9" t="s">
        <v>2547</v>
      </c>
      <c r="AD8" s="8" t="s">
        <v>4134</v>
      </c>
      <c r="AE8" s="8" t="s">
        <v>4234</v>
      </c>
      <c r="AF8" s="9">
        <f t="shared" si="0"/>
        <v>223.3</v>
      </c>
      <c r="AG8" s="9">
        <f t="shared" si="1"/>
        <v>27.066666666666666</v>
      </c>
      <c r="AH8" s="20"/>
      <c r="AI8" s="20"/>
      <c r="AJ8" s="20"/>
      <c r="AK8" s="20"/>
      <c r="AL8" s="20"/>
      <c r="AM8" s="20"/>
      <c r="AN8" s="28"/>
    </row>
    <row r="9" spans="8:40" ht="23">
      <c r="M9" s="9" t="s">
        <v>3537</v>
      </c>
      <c r="N9" s="8" t="s">
        <v>2041</v>
      </c>
      <c r="O9" s="8"/>
      <c r="P9" s="8"/>
      <c r="Q9" s="21"/>
      <c r="R9" s="21"/>
      <c r="S9" s="21"/>
      <c r="T9" s="21"/>
      <c r="U9" s="21"/>
      <c r="V9" s="21"/>
      <c r="W9" s="9" t="s">
        <v>3537</v>
      </c>
      <c r="X9" s="8">
        <v>38.31</v>
      </c>
      <c r="Y9" s="8">
        <v>1.05</v>
      </c>
      <c r="Z9" s="9">
        <v>0.04</v>
      </c>
      <c r="AA9" s="8">
        <v>181.1</v>
      </c>
      <c r="AB9" s="8">
        <v>12949</v>
      </c>
      <c r="AC9" s="9" t="s">
        <v>3537</v>
      </c>
      <c r="AD9" s="8" t="s">
        <v>4206</v>
      </c>
      <c r="AE9" s="8" t="s">
        <v>4234</v>
      </c>
      <c r="AF9" s="9">
        <f t="shared" si="0"/>
        <v>190.155</v>
      </c>
      <c r="AG9" s="9">
        <f t="shared" si="1"/>
        <v>12.073333333333332</v>
      </c>
      <c r="AH9" s="20"/>
      <c r="AI9" s="20"/>
      <c r="AJ9" s="20"/>
      <c r="AK9" s="20"/>
      <c r="AL9" s="20"/>
      <c r="AM9" s="20"/>
      <c r="AN9" s="28"/>
    </row>
    <row r="10" spans="8:40" ht="23">
      <c r="M10" s="8" t="s">
        <v>3972</v>
      </c>
      <c r="N10" s="8" t="s">
        <v>150</v>
      </c>
      <c r="O10" s="8"/>
      <c r="P10" s="8" t="s">
        <v>3691</v>
      </c>
      <c r="Q10" s="21"/>
      <c r="R10" s="21"/>
      <c r="S10" s="21"/>
      <c r="T10" s="21"/>
      <c r="U10" s="21"/>
      <c r="V10" s="21"/>
      <c r="W10" s="8" t="s">
        <v>3972</v>
      </c>
      <c r="X10" s="8">
        <v>13.55</v>
      </c>
      <c r="Y10" s="8">
        <v>5.12</v>
      </c>
      <c r="Z10" s="9">
        <v>5.27</v>
      </c>
      <c r="AA10" s="8">
        <v>175.1</v>
      </c>
      <c r="AB10" s="8">
        <v>951</v>
      </c>
      <c r="AC10" s="8" t="s">
        <v>3972</v>
      </c>
      <c r="AD10" s="8" t="s">
        <v>4311</v>
      </c>
      <c r="AE10" s="8" t="s">
        <v>4234</v>
      </c>
      <c r="AF10" s="9">
        <f t="shared" si="0"/>
        <v>896.51199999999994</v>
      </c>
      <c r="AG10" s="9">
        <f t="shared" si="1"/>
        <v>954.29499999999996</v>
      </c>
      <c r="AH10" s="20"/>
      <c r="AI10" s="20"/>
      <c r="AJ10" s="20"/>
      <c r="AK10" s="20"/>
      <c r="AL10" s="20"/>
      <c r="AM10" s="20"/>
      <c r="AN10" s="7"/>
    </row>
    <row r="11" spans="8:40" ht="23">
      <c r="M11" s="8" t="s">
        <v>1879</v>
      </c>
      <c r="N11" s="8" t="s">
        <v>1869</v>
      </c>
      <c r="O11" s="8"/>
      <c r="P11" s="8" t="s">
        <v>3700</v>
      </c>
      <c r="Q11" s="21"/>
      <c r="R11" s="21"/>
      <c r="S11" s="21"/>
      <c r="T11" s="21"/>
      <c r="U11" s="21"/>
      <c r="V11" s="21"/>
      <c r="W11" s="8" t="s">
        <v>1879</v>
      </c>
      <c r="X11" s="8">
        <v>3.56</v>
      </c>
      <c r="Y11" s="8">
        <v>4.82</v>
      </c>
      <c r="Z11" s="9">
        <v>1.18</v>
      </c>
      <c r="AA11" s="8">
        <v>172.3</v>
      </c>
      <c r="AB11" s="8">
        <v>7936</v>
      </c>
      <c r="AC11" s="8" t="s">
        <v>1879</v>
      </c>
      <c r="AD11" s="8" t="s">
        <v>4232</v>
      </c>
      <c r="AE11" s="8" t="s">
        <v>4234</v>
      </c>
      <c r="AF11" s="9">
        <f t="shared" si="0"/>
        <v>830.4860000000001</v>
      </c>
      <c r="AG11" s="9">
        <f t="shared" si="1"/>
        <v>223.99</v>
      </c>
      <c r="AH11" s="20"/>
      <c r="AI11" s="20"/>
      <c r="AJ11" s="20"/>
      <c r="AK11" s="20"/>
      <c r="AL11" s="20"/>
      <c r="AM11" s="20"/>
    </row>
    <row r="12" spans="8:40" ht="23">
      <c r="M12" s="8" t="s">
        <v>1951</v>
      </c>
      <c r="N12" s="8" t="s">
        <v>1939</v>
      </c>
      <c r="O12" s="8"/>
      <c r="P12" s="8"/>
      <c r="Q12" s="21"/>
      <c r="R12" s="21"/>
      <c r="S12" s="21"/>
      <c r="T12" s="21"/>
      <c r="U12" s="21"/>
      <c r="V12" s="21"/>
      <c r="W12" s="8" t="s">
        <v>1951</v>
      </c>
      <c r="X12" s="8">
        <v>4.91</v>
      </c>
      <c r="Y12" s="8">
        <v>2.82</v>
      </c>
      <c r="Z12" s="9">
        <v>2.4300000000000002</v>
      </c>
      <c r="AA12" s="8">
        <v>162.9</v>
      </c>
      <c r="AB12" s="8">
        <v>9191</v>
      </c>
      <c r="AC12" s="8" t="s">
        <v>1951</v>
      </c>
      <c r="AD12" s="8" t="s">
        <v>4221</v>
      </c>
      <c r="AE12" s="8" t="s">
        <v>4234</v>
      </c>
      <c r="AF12" s="9">
        <f t="shared" si="0"/>
        <v>459.37799999999999</v>
      </c>
      <c r="AG12" s="9">
        <f t="shared" si="1"/>
        <v>442.54500000000002</v>
      </c>
      <c r="AH12" s="20"/>
      <c r="AI12" s="20"/>
      <c r="AJ12" s="20"/>
      <c r="AK12" s="20"/>
      <c r="AL12" s="20"/>
      <c r="AM12" s="20"/>
    </row>
    <row r="13" spans="8:40" ht="23">
      <c r="M13" s="9" t="s">
        <v>2556</v>
      </c>
      <c r="N13" s="8" t="s">
        <v>150</v>
      </c>
      <c r="O13" s="8"/>
      <c r="P13" s="8"/>
      <c r="Q13" s="21"/>
      <c r="R13" s="21"/>
      <c r="S13" s="21"/>
      <c r="T13" s="21"/>
      <c r="U13" s="21"/>
      <c r="V13" s="21"/>
      <c r="W13" s="9" t="s">
        <v>2556</v>
      </c>
      <c r="X13" s="8">
        <v>26.52</v>
      </c>
      <c r="Y13" s="8">
        <v>1.07</v>
      </c>
      <c r="Z13" s="9">
        <v>0.02</v>
      </c>
      <c r="AA13" s="8">
        <v>158.80000000000001</v>
      </c>
      <c r="AB13" s="8">
        <v>35600</v>
      </c>
      <c r="AC13" s="9" t="s">
        <v>2556</v>
      </c>
      <c r="AD13" s="8" t="s">
        <v>4058</v>
      </c>
      <c r="AE13" s="8" t="s">
        <v>4234</v>
      </c>
      <c r="AF13" s="9">
        <f t="shared" si="0"/>
        <v>169.91600000000003</v>
      </c>
      <c r="AG13" s="9">
        <f t="shared" si="1"/>
        <v>5.2933333333333339</v>
      </c>
      <c r="AH13" s="20"/>
      <c r="AI13" s="20"/>
      <c r="AJ13" s="20"/>
      <c r="AK13" s="20"/>
      <c r="AL13" s="20"/>
      <c r="AM13" s="20"/>
      <c r="AN13" s="28"/>
    </row>
    <row r="14" spans="8:40" ht="23">
      <c r="M14" s="9" t="s">
        <v>2589</v>
      </c>
      <c r="N14" s="8" t="s">
        <v>150</v>
      </c>
      <c r="O14" s="8"/>
      <c r="P14" s="8"/>
      <c r="Q14" s="21"/>
      <c r="R14" s="21"/>
      <c r="S14" s="21"/>
      <c r="T14" s="21"/>
      <c r="U14" s="21"/>
      <c r="V14" s="21"/>
      <c r="W14" s="9" t="s">
        <v>2589</v>
      </c>
      <c r="X14" s="8">
        <v>15.38</v>
      </c>
      <c r="Y14" s="8">
        <v>1.8</v>
      </c>
      <c r="Z14" s="9">
        <v>1.55</v>
      </c>
      <c r="AA14" s="8">
        <v>137.9</v>
      </c>
      <c r="AB14" s="8">
        <v>10948</v>
      </c>
      <c r="AC14" s="9" t="s">
        <v>2589</v>
      </c>
      <c r="AD14" s="8" t="s">
        <v>4053</v>
      </c>
      <c r="AE14" s="8" t="s">
        <v>4234</v>
      </c>
      <c r="AF14" s="9">
        <f t="shared" si="0"/>
        <v>248.22000000000003</v>
      </c>
      <c r="AG14" s="9">
        <f t="shared" si="1"/>
        <v>264.30833333333334</v>
      </c>
      <c r="AH14" s="9"/>
      <c r="AI14" s="9"/>
      <c r="AJ14" s="9"/>
      <c r="AK14" s="9"/>
      <c r="AL14" s="9"/>
      <c r="AM14" s="9"/>
      <c r="AN14" s="28"/>
    </row>
    <row r="15" spans="8:40" ht="23">
      <c r="M15" s="8" t="s">
        <v>1509</v>
      </c>
      <c r="N15" s="8" t="s">
        <v>150</v>
      </c>
      <c r="O15" s="8"/>
      <c r="P15" s="8"/>
      <c r="Q15" s="21"/>
      <c r="R15" s="21"/>
      <c r="S15" s="21"/>
      <c r="T15" s="21"/>
      <c r="U15" s="21"/>
      <c r="V15" s="21"/>
      <c r="W15" s="8" t="s">
        <v>1509</v>
      </c>
      <c r="X15" s="8">
        <v>38.5</v>
      </c>
      <c r="Y15" s="8">
        <v>1.17</v>
      </c>
      <c r="Z15" s="9">
        <v>0.17</v>
      </c>
      <c r="AA15" s="8">
        <v>130.80000000000001</v>
      </c>
      <c r="AB15" s="8">
        <v>8092</v>
      </c>
      <c r="AC15" s="8" t="s">
        <v>1509</v>
      </c>
      <c r="AD15" s="8" t="s">
        <v>4174</v>
      </c>
      <c r="AE15" s="8" t="s">
        <v>4234</v>
      </c>
      <c r="AF15" s="9">
        <f t="shared" si="0"/>
        <v>153.036</v>
      </c>
      <c r="AG15" s="9">
        <f t="shared" si="1"/>
        <v>37.06</v>
      </c>
      <c r="AH15" s="20"/>
      <c r="AI15" s="20"/>
      <c r="AJ15" s="20"/>
      <c r="AK15" s="20"/>
      <c r="AL15" s="20"/>
      <c r="AM15" s="20"/>
    </row>
    <row r="16" spans="8:40" ht="23">
      <c r="M16" s="8" t="s">
        <v>177</v>
      </c>
      <c r="N16" s="8" t="s">
        <v>150</v>
      </c>
      <c r="O16" s="8"/>
      <c r="P16" s="8"/>
      <c r="Q16" s="21"/>
      <c r="R16" s="21"/>
      <c r="S16" s="21"/>
      <c r="T16" s="21"/>
      <c r="U16" s="21"/>
      <c r="V16" s="21"/>
      <c r="W16" s="8" t="s">
        <v>177</v>
      </c>
      <c r="X16" s="8">
        <v>37.14</v>
      </c>
      <c r="Y16" s="8">
        <v>1.1200000000000001</v>
      </c>
      <c r="Z16" s="9">
        <v>0.08</v>
      </c>
      <c r="AA16" s="8">
        <v>106.3</v>
      </c>
      <c r="AB16" s="8">
        <v>14106</v>
      </c>
      <c r="AC16" s="8" t="s">
        <v>177</v>
      </c>
      <c r="AD16" s="8" t="s">
        <v>3714</v>
      </c>
      <c r="AE16" s="8" t="s">
        <v>4234</v>
      </c>
      <c r="AF16" s="9">
        <f t="shared" si="0"/>
        <v>119.05600000000001</v>
      </c>
      <c r="AG16" s="9">
        <f t="shared" si="1"/>
        <v>14.173333333333332</v>
      </c>
      <c r="AH16" s="20"/>
      <c r="AI16" s="20"/>
      <c r="AJ16" s="20"/>
      <c r="AK16" s="20"/>
      <c r="AL16" s="20"/>
      <c r="AM16" s="20"/>
    </row>
    <row r="17" spans="13:40" ht="23">
      <c r="M17" s="9" t="s">
        <v>2397</v>
      </c>
      <c r="N17" s="8" t="s">
        <v>150</v>
      </c>
      <c r="O17" s="8"/>
      <c r="P17" s="8"/>
      <c r="Q17" s="21"/>
      <c r="R17" s="21"/>
      <c r="S17" s="21"/>
      <c r="T17" s="21"/>
      <c r="U17" s="21"/>
      <c r="V17" s="21"/>
      <c r="W17" s="9" t="s">
        <v>2397</v>
      </c>
      <c r="X17" s="8">
        <v>33.58</v>
      </c>
      <c r="Y17" s="8">
        <v>1.21</v>
      </c>
      <c r="Z17" s="9">
        <v>0.2</v>
      </c>
      <c r="AA17" s="8">
        <v>101</v>
      </c>
      <c r="AB17" s="8">
        <v>10679</v>
      </c>
      <c r="AC17" s="9" t="s">
        <v>2397</v>
      </c>
      <c r="AD17" s="8" t="s">
        <v>4150</v>
      </c>
      <c r="AE17" s="8" t="s">
        <v>4234</v>
      </c>
      <c r="AF17" s="9">
        <f t="shared" si="0"/>
        <v>122.21</v>
      </c>
      <c r="AG17" s="9">
        <f t="shared" si="1"/>
        <v>0.33666666666666667</v>
      </c>
      <c r="AH17" s="20"/>
      <c r="AI17" s="20"/>
      <c r="AJ17" s="20"/>
      <c r="AK17" s="20"/>
      <c r="AL17" s="20"/>
      <c r="AM17" s="20"/>
      <c r="AN17" s="28"/>
    </row>
    <row r="18" spans="13:40" ht="23">
      <c r="M18" s="8" t="s">
        <v>1164</v>
      </c>
      <c r="N18" s="8" t="s">
        <v>150</v>
      </c>
      <c r="O18" s="8"/>
      <c r="P18" s="8" t="s">
        <v>3693</v>
      </c>
      <c r="Q18" s="21"/>
      <c r="R18" s="21"/>
      <c r="S18" s="21"/>
      <c r="T18" s="21"/>
      <c r="U18" s="21"/>
      <c r="V18" s="21"/>
      <c r="W18" s="8" t="s">
        <v>1164</v>
      </c>
      <c r="X18" s="8">
        <v>6.74</v>
      </c>
      <c r="Y18" s="8">
        <v>15.86</v>
      </c>
      <c r="Z18" s="9">
        <v>11.24</v>
      </c>
      <c r="AA18" s="8">
        <v>99.6</v>
      </c>
      <c r="AB18" s="8">
        <v>854</v>
      </c>
      <c r="AC18" s="8" t="s">
        <v>1164</v>
      </c>
      <c r="AD18" s="8" t="s">
        <v>4136</v>
      </c>
      <c r="AE18" s="8" t="s">
        <v>4234</v>
      </c>
      <c r="AF18" s="9">
        <f t="shared" si="0"/>
        <v>1579.6559999999999</v>
      </c>
      <c r="AG18" s="9">
        <f t="shared" si="1"/>
        <v>1135.44</v>
      </c>
      <c r="AH18" s="20"/>
      <c r="AI18" s="20"/>
      <c r="AJ18" s="20"/>
      <c r="AK18" s="20"/>
      <c r="AL18" s="20"/>
      <c r="AM18" s="20"/>
    </row>
    <row r="19" spans="13:40" ht="23">
      <c r="M19" s="8" t="s">
        <v>1357</v>
      </c>
      <c r="N19" s="8" t="s">
        <v>150</v>
      </c>
      <c r="O19" s="8"/>
      <c r="P19" s="8"/>
      <c r="Q19" s="21"/>
      <c r="R19" s="21"/>
      <c r="S19" s="21"/>
      <c r="T19" s="21"/>
      <c r="U19" s="21"/>
      <c r="V19" s="21"/>
      <c r="W19" s="8" t="s">
        <v>1357</v>
      </c>
      <c r="X19" s="8">
        <v>13.71</v>
      </c>
      <c r="Y19" s="8">
        <v>2.59</v>
      </c>
      <c r="Z19" s="9">
        <v>0.36</v>
      </c>
      <c r="AA19" s="8">
        <v>86.3</v>
      </c>
      <c r="AB19" s="8">
        <v>6778</v>
      </c>
      <c r="AC19" s="8" t="s">
        <v>1357</v>
      </c>
      <c r="AD19" s="8" t="s">
        <v>4237</v>
      </c>
      <c r="AE19" s="8" t="s">
        <v>4234</v>
      </c>
      <c r="AF19" s="9">
        <f t="shared" si="0"/>
        <v>223.51699999999997</v>
      </c>
      <c r="AG19" s="9">
        <f t="shared" si="1"/>
        <v>51.779999999999994</v>
      </c>
      <c r="AH19" s="20"/>
      <c r="AI19" s="20"/>
      <c r="AJ19" s="20"/>
      <c r="AK19" s="20"/>
      <c r="AL19" s="20"/>
      <c r="AM19" s="20"/>
    </row>
    <row r="20" spans="13:40" ht="23">
      <c r="M20" s="9" t="s">
        <v>2249</v>
      </c>
      <c r="N20" s="8" t="s">
        <v>150</v>
      </c>
      <c r="O20" s="8"/>
      <c r="P20" s="8" t="s">
        <v>3692</v>
      </c>
      <c r="Q20" s="21"/>
      <c r="R20" s="21"/>
      <c r="S20" s="21"/>
      <c r="T20" s="21"/>
      <c r="U20" s="21"/>
      <c r="V20" s="21"/>
      <c r="W20" s="9" t="s">
        <v>2249</v>
      </c>
      <c r="X20" s="8">
        <v>7.67</v>
      </c>
      <c r="Y20" s="8">
        <v>1.28</v>
      </c>
      <c r="Z20" s="9">
        <v>0.21</v>
      </c>
      <c r="AA20" s="8">
        <v>77.400000000000006</v>
      </c>
      <c r="AB20" s="8">
        <v>13265</v>
      </c>
      <c r="AC20" s="9" t="s">
        <v>2249</v>
      </c>
      <c r="AD20" s="8" t="s">
        <v>4032</v>
      </c>
      <c r="AE20" s="8" t="s">
        <v>4234</v>
      </c>
      <c r="AF20" s="9">
        <f t="shared" si="0"/>
        <v>99.072000000000003</v>
      </c>
      <c r="AG20" s="9">
        <f t="shared" si="1"/>
        <v>27.09</v>
      </c>
      <c r="AH20" s="20"/>
      <c r="AI20" s="20"/>
      <c r="AJ20" s="20"/>
      <c r="AK20" s="20"/>
      <c r="AL20" s="20"/>
      <c r="AM20" s="20"/>
      <c r="AN20" s="28"/>
    </row>
    <row r="21" spans="13:40" ht="23">
      <c r="M21" s="8" t="s">
        <v>885</v>
      </c>
      <c r="N21" s="8" t="s">
        <v>150</v>
      </c>
      <c r="O21" s="8"/>
      <c r="P21" s="8"/>
      <c r="Q21" s="21"/>
      <c r="R21" s="21"/>
      <c r="S21" s="21"/>
      <c r="T21" s="21"/>
      <c r="U21" s="21"/>
      <c r="V21" s="21"/>
      <c r="W21" s="8" t="s">
        <v>885</v>
      </c>
      <c r="X21" s="8">
        <v>1.72</v>
      </c>
      <c r="Y21" s="8">
        <v>2.0499999999999998</v>
      </c>
      <c r="Z21" s="9">
        <v>7.0000000000000007E-2</v>
      </c>
      <c r="AA21" s="8">
        <v>74.3</v>
      </c>
      <c r="AB21" s="8">
        <v>21555</v>
      </c>
      <c r="AC21" s="8" t="s">
        <v>885</v>
      </c>
      <c r="AD21" s="8" t="s">
        <v>4150</v>
      </c>
      <c r="AE21" s="8" t="s">
        <v>4234</v>
      </c>
      <c r="AF21" s="9">
        <f t="shared" si="0"/>
        <v>152.31499999999997</v>
      </c>
      <c r="AG21" s="9">
        <f t="shared" si="1"/>
        <v>8.668333333333333</v>
      </c>
      <c r="AH21" s="20"/>
      <c r="AI21" s="20"/>
      <c r="AJ21" s="20"/>
      <c r="AK21" s="20"/>
      <c r="AL21" s="20"/>
      <c r="AM21" s="20"/>
    </row>
    <row r="22" spans="13:40" ht="23">
      <c r="M22" s="8" t="s">
        <v>595</v>
      </c>
      <c r="N22" s="8" t="s">
        <v>150</v>
      </c>
      <c r="O22" s="8"/>
      <c r="P22" s="8"/>
      <c r="Q22" s="21"/>
      <c r="R22" s="21"/>
      <c r="S22" s="21"/>
      <c r="T22" s="21"/>
      <c r="U22" s="21"/>
      <c r="V22" s="21"/>
      <c r="W22" s="8" t="s">
        <v>595</v>
      </c>
      <c r="X22" s="8">
        <v>26</v>
      </c>
      <c r="Y22" s="8">
        <v>1.32</v>
      </c>
      <c r="Z22" s="9">
        <v>0.56000000000000005</v>
      </c>
      <c r="AA22" s="8">
        <v>73.5</v>
      </c>
      <c r="AB22" s="8">
        <v>12986</v>
      </c>
      <c r="AC22" s="8" t="s">
        <v>595</v>
      </c>
      <c r="AD22" s="8" t="s">
        <v>4174</v>
      </c>
      <c r="AE22" s="8" t="s">
        <v>4234</v>
      </c>
      <c r="AF22" s="9">
        <f t="shared" si="0"/>
        <v>97.02000000000001</v>
      </c>
      <c r="AG22" s="9">
        <f t="shared" si="1"/>
        <v>68.599999999999994</v>
      </c>
      <c r="AH22" s="20"/>
      <c r="AI22" s="20"/>
      <c r="AJ22" s="20"/>
      <c r="AK22" s="20"/>
      <c r="AL22" s="20"/>
      <c r="AM22" s="20"/>
    </row>
    <row r="23" spans="13:40" ht="23">
      <c r="M23" s="8" t="s">
        <v>2006</v>
      </c>
      <c r="N23" s="8" t="s">
        <v>150</v>
      </c>
      <c r="O23" s="8"/>
      <c r="P23" s="8"/>
      <c r="Q23" s="21"/>
      <c r="R23" s="21"/>
      <c r="S23" s="21"/>
      <c r="T23" s="21"/>
      <c r="U23" s="21"/>
      <c r="V23" s="21"/>
      <c r="W23" s="9" t="s">
        <v>2446</v>
      </c>
      <c r="X23" s="8">
        <v>29.09</v>
      </c>
      <c r="Y23" s="8">
        <v>5.12</v>
      </c>
      <c r="Z23" s="9">
        <v>4.58</v>
      </c>
      <c r="AA23" s="8">
        <v>70.900000000000006</v>
      </c>
      <c r="AB23" s="8">
        <v>1844</v>
      </c>
      <c r="AC23" s="9" t="s">
        <v>2446</v>
      </c>
      <c r="AD23" s="8" t="s">
        <v>4154</v>
      </c>
      <c r="AE23" s="8" t="s">
        <v>4234</v>
      </c>
      <c r="AF23" s="9">
        <f t="shared" si="0"/>
        <v>363.00800000000004</v>
      </c>
      <c r="AG23" s="9">
        <f t="shared" si="1"/>
        <v>352.13666666666671</v>
      </c>
      <c r="AH23" s="20"/>
      <c r="AI23" s="20"/>
      <c r="AJ23" s="20"/>
      <c r="AK23" s="20"/>
      <c r="AL23" s="20"/>
      <c r="AM23" s="20"/>
      <c r="AN23" s="28"/>
    </row>
    <row r="24" spans="13:40" ht="23">
      <c r="M24" s="8" t="s">
        <v>1789</v>
      </c>
      <c r="N24" s="8" t="s">
        <v>1717</v>
      </c>
      <c r="O24" s="8"/>
      <c r="P24" s="8" t="s">
        <v>3705</v>
      </c>
      <c r="Q24" s="21"/>
      <c r="R24" s="21"/>
      <c r="S24" s="21"/>
      <c r="T24" s="21"/>
      <c r="U24" s="21"/>
      <c r="V24" s="21"/>
      <c r="W24" s="8" t="s">
        <v>1789</v>
      </c>
      <c r="X24" s="8">
        <v>2.78</v>
      </c>
      <c r="Y24" s="8">
        <v>2.93</v>
      </c>
      <c r="Z24" s="9">
        <v>1.34</v>
      </c>
      <c r="AA24" s="8">
        <v>67</v>
      </c>
      <c r="AB24" s="8">
        <v>13690</v>
      </c>
      <c r="AC24" s="8" t="s">
        <v>1789</v>
      </c>
      <c r="AD24" s="8" t="s">
        <v>4196</v>
      </c>
      <c r="AE24" s="8" t="s">
        <v>4234</v>
      </c>
      <c r="AF24" s="9">
        <f t="shared" si="0"/>
        <v>196.31</v>
      </c>
      <c r="AG24" s="9">
        <f t="shared" si="1"/>
        <v>104.96666666666667</v>
      </c>
      <c r="AH24" s="20"/>
      <c r="AI24" s="20"/>
      <c r="AJ24" s="20"/>
      <c r="AK24" s="20"/>
      <c r="AL24" s="20"/>
      <c r="AM24" s="20"/>
    </row>
    <row r="25" spans="13:40" ht="23">
      <c r="M25" s="8" t="s">
        <v>1901</v>
      </c>
      <c r="N25" s="8" t="s">
        <v>1869</v>
      </c>
      <c r="O25" s="8"/>
      <c r="P25" s="8"/>
      <c r="Q25" s="21"/>
      <c r="R25" s="21"/>
      <c r="S25" s="21"/>
      <c r="T25" s="21"/>
      <c r="U25" s="21"/>
      <c r="V25" s="21"/>
      <c r="W25" s="8" t="s">
        <v>1901</v>
      </c>
      <c r="X25" s="8">
        <v>33.44</v>
      </c>
      <c r="Y25" s="8">
        <v>1.1399999999999999</v>
      </c>
      <c r="Z25" s="9">
        <v>0.12</v>
      </c>
      <c r="AA25" s="8">
        <v>65</v>
      </c>
      <c r="AB25" s="8">
        <v>21325</v>
      </c>
      <c r="AC25" s="8" t="s">
        <v>1901</v>
      </c>
      <c r="AD25" s="8" t="s">
        <v>4231</v>
      </c>
      <c r="AE25" s="8" t="s">
        <v>4234</v>
      </c>
      <c r="AF25" s="9">
        <f t="shared" si="0"/>
        <v>74.099999999999994</v>
      </c>
      <c r="AG25" s="9">
        <f t="shared" si="1"/>
        <v>13</v>
      </c>
      <c r="AH25" s="20"/>
      <c r="AI25" s="20"/>
      <c r="AJ25" s="20"/>
      <c r="AK25" s="20"/>
      <c r="AL25" s="20"/>
      <c r="AM25" s="20"/>
    </row>
    <row r="26" spans="13:40" ht="23">
      <c r="M26" s="9" t="s">
        <v>2866</v>
      </c>
      <c r="N26" s="8" t="s">
        <v>1717</v>
      </c>
      <c r="O26" s="8"/>
      <c r="P26" s="8" t="s">
        <v>3691</v>
      </c>
      <c r="Q26" s="21"/>
      <c r="R26" s="21"/>
      <c r="S26" s="21"/>
      <c r="T26" s="21"/>
      <c r="U26" s="21"/>
      <c r="V26" s="21"/>
      <c r="W26" s="9" t="s">
        <v>2866</v>
      </c>
      <c r="X26" s="8">
        <v>31.68</v>
      </c>
      <c r="Y26" s="8">
        <v>1.19</v>
      </c>
      <c r="Z26" s="9">
        <v>0.19</v>
      </c>
      <c r="AA26" s="8">
        <v>64.8</v>
      </c>
      <c r="AB26" s="8">
        <v>12104</v>
      </c>
      <c r="AC26" s="9" t="s">
        <v>2866</v>
      </c>
      <c r="AD26" s="8" t="s">
        <v>4007</v>
      </c>
      <c r="AE26" s="8" t="s">
        <v>4234</v>
      </c>
      <c r="AF26" s="9">
        <f t="shared" si="0"/>
        <v>77.111999999999995</v>
      </c>
      <c r="AG26" s="9">
        <f t="shared" si="1"/>
        <v>20.52</v>
      </c>
      <c r="AH26" s="20"/>
      <c r="AI26" s="20"/>
      <c r="AJ26" s="20"/>
      <c r="AK26" s="20"/>
      <c r="AL26" s="20"/>
      <c r="AM26" s="20"/>
      <c r="AN26" s="28"/>
    </row>
    <row r="27" spans="13:40" ht="23">
      <c r="M27" s="9" t="s">
        <v>2865</v>
      </c>
      <c r="N27" s="8" t="s">
        <v>1717</v>
      </c>
      <c r="O27" s="8"/>
      <c r="P27" s="8"/>
      <c r="Q27" s="21"/>
      <c r="R27" s="21"/>
      <c r="S27" s="21"/>
      <c r="T27" s="21"/>
      <c r="U27" s="21"/>
      <c r="V27" s="21"/>
      <c r="W27" s="9" t="s">
        <v>2865</v>
      </c>
      <c r="X27" s="8">
        <v>34.770000000000003</v>
      </c>
      <c r="Y27" s="8">
        <v>1.1499999999999999</v>
      </c>
      <c r="Z27" s="9">
        <v>0.04</v>
      </c>
      <c r="AA27" s="8">
        <v>51.5</v>
      </c>
      <c r="AB27" s="8">
        <v>26885</v>
      </c>
      <c r="AC27" s="9" t="s">
        <v>2865</v>
      </c>
      <c r="AD27" s="8" t="s">
        <v>4197</v>
      </c>
      <c r="AE27" s="8" t="s">
        <v>4234</v>
      </c>
      <c r="AF27" s="9">
        <f t="shared" si="0"/>
        <v>59.224999999999994</v>
      </c>
      <c r="AG27" s="9">
        <f t="shared" si="1"/>
        <v>3.4333333333333331</v>
      </c>
      <c r="AH27" s="20"/>
      <c r="AI27" s="20"/>
      <c r="AJ27" s="20"/>
      <c r="AK27" s="20"/>
      <c r="AL27" s="20"/>
      <c r="AM27" s="20"/>
      <c r="AN27" s="28"/>
    </row>
    <row r="28" spans="13:40" ht="23">
      <c r="M28" s="9" t="s">
        <v>3210</v>
      </c>
      <c r="N28" s="8" t="s">
        <v>1902</v>
      </c>
      <c r="O28" s="8"/>
      <c r="P28" s="8" t="s">
        <v>3693</v>
      </c>
      <c r="Q28" s="21"/>
      <c r="R28" s="21"/>
      <c r="S28" s="21"/>
      <c r="T28" s="21"/>
      <c r="U28" s="21"/>
      <c r="V28" s="21"/>
      <c r="W28" s="9" t="s">
        <v>3210</v>
      </c>
      <c r="X28" s="8">
        <v>17.61</v>
      </c>
      <c r="Y28" s="8">
        <v>4.38</v>
      </c>
      <c r="Z28" s="9">
        <v>3.39</v>
      </c>
      <c r="AA28" s="8">
        <v>51.4</v>
      </c>
      <c r="AB28" s="8">
        <v>3466</v>
      </c>
      <c r="AC28" s="9" t="s">
        <v>3210</v>
      </c>
      <c r="AD28" s="8" t="s">
        <v>4150</v>
      </c>
      <c r="AE28" s="8" t="s">
        <v>4234</v>
      </c>
      <c r="AF28" s="9">
        <f t="shared" si="0"/>
        <v>225.13199999999998</v>
      </c>
      <c r="AG28" s="9">
        <f t="shared" si="1"/>
        <v>187.60999999999999</v>
      </c>
      <c r="AH28" s="20"/>
      <c r="AI28" s="20"/>
      <c r="AJ28" s="20"/>
      <c r="AK28" s="20"/>
      <c r="AL28" s="20"/>
      <c r="AM28" s="20"/>
      <c r="AN28" s="28"/>
    </row>
    <row r="29" spans="13:40" ht="23">
      <c r="M29" s="9" t="s">
        <v>2480</v>
      </c>
      <c r="N29" s="8" t="s">
        <v>150</v>
      </c>
      <c r="O29" s="8"/>
      <c r="P29" s="8" t="s">
        <v>3691</v>
      </c>
      <c r="Q29" s="21"/>
      <c r="R29" s="21"/>
      <c r="S29" s="21"/>
      <c r="T29" s="21"/>
      <c r="U29" s="21"/>
      <c r="V29" s="21"/>
      <c r="W29" s="9" t="s">
        <v>2480</v>
      </c>
      <c r="X29" s="8">
        <v>6.54</v>
      </c>
      <c r="Y29" s="8">
        <v>4.47</v>
      </c>
      <c r="Z29" s="9">
        <v>2.0299999999999998</v>
      </c>
      <c r="AA29" s="8">
        <v>48.5</v>
      </c>
      <c r="AB29" s="8">
        <v>5458</v>
      </c>
      <c r="AC29" s="9" t="s">
        <v>2480</v>
      </c>
      <c r="AD29" s="8" t="s">
        <v>5260</v>
      </c>
      <c r="AE29" s="8" t="s">
        <v>4234</v>
      </c>
      <c r="AF29" s="9">
        <f t="shared" si="0"/>
        <v>216.79499999999999</v>
      </c>
      <c r="AG29" s="9">
        <f t="shared" si="1"/>
        <v>99.424999999999997</v>
      </c>
      <c r="AH29" s="20"/>
      <c r="AI29" s="20"/>
      <c r="AJ29" s="20"/>
      <c r="AK29" s="20"/>
      <c r="AL29" s="20"/>
      <c r="AM29" s="20"/>
      <c r="AN29" s="28"/>
    </row>
    <row r="30" spans="13:40" ht="23">
      <c r="M30" s="8" t="s">
        <v>623</v>
      </c>
      <c r="N30" s="8" t="s">
        <v>150</v>
      </c>
      <c r="O30" s="8"/>
      <c r="P30" s="8"/>
      <c r="Q30" s="21"/>
      <c r="R30" s="21"/>
      <c r="S30" s="21"/>
      <c r="T30" s="21"/>
      <c r="U30" s="21"/>
      <c r="V30" s="21"/>
      <c r="W30" s="8" t="s">
        <v>623</v>
      </c>
      <c r="X30" s="8">
        <v>50.97</v>
      </c>
      <c r="Y30" s="8">
        <v>1.04</v>
      </c>
      <c r="Z30" s="9">
        <v>0.1</v>
      </c>
      <c r="AA30" s="8">
        <v>46.3</v>
      </c>
      <c r="AB30" s="8">
        <v>56992</v>
      </c>
      <c r="AC30" s="8" t="s">
        <v>623</v>
      </c>
      <c r="AD30" s="8" t="s">
        <v>4050</v>
      </c>
      <c r="AE30" s="8" t="s">
        <v>4234</v>
      </c>
      <c r="AF30" s="9">
        <f t="shared" si="0"/>
        <v>48.152000000000001</v>
      </c>
      <c r="AG30" s="9">
        <f t="shared" si="1"/>
        <v>7.7166666666666661E-2</v>
      </c>
      <c r="AH30" s="20"/>
      <c r="AI30" s="20"/>
      <c r="AJ30" s="20"/>
      <c r="AK30" s="20"/>
      <c r="AL30" s="20"/>
      <c r="AM30" s="20"/>
    </row>
    <row r="31" spans="13:40" ht="23">
      <c r="M31" s="9" t="s">
        <v>2309</v>
      </c>
      <c r="N31" s="8" t="s">
        <v>150</v>
      </c>
      <c r="O31" s="8"/>
      <c r="P31" s="8"/>
      <c r="Q31" s="21"/>
      <c r="R31" s="21"/>
      <c r="S31" s="21"/>
      <c r="T31" s="21"/>
      <c r="U31" s="21"/>
      <c r="V31" s="21"/>
      <c r="W31" s="9" t="s">
        <v>2309</v>
      </c>
      <c r="X31" s="8">
        <v>20.399999999999999</v>
      </c>
      <c r="Y31" s="8">
        <v>3.13</v>
      </c>
      <c r="Z31" s="9">
        <v>3.09</v>
      </c>
      <c r="AA31" s="8">
        <v>43.5</v>
      </c>
      <c r="AB31" s="8">
        <v>5150</v>
      </c>
      <c r="AC31" s="9" t="s">
        <v>2309</v>
      </c>
      <c r="AD31" s="8" t="s">
        <v>5339</v>
      </c>
      <c r="AE31" s="8" t="s">
        <v>4234</v>
      </c>
      <c r="AF31" s="9">
        <f t="shared" si="0"/>
        <v>136.155</v>
      </c>
      <c r="AG31" s="9">
        <f t="shared" si="1"/>
        <v>137.02500000000001</v>
      </c>
      <c r="AH31" s="20"/>
      <c r="AI31" s="20"/>
      <c r="AJ31" s="20"/>
      <c r="AK31" s="20"/>
      <c r="AL31" s="20"/>
      <c r="AM31" s="20"/>
      <c r="AN31" s="28"/>
    </row>
    <row r="32" spans="13:40" ht="23">
      <c r="M32" s="8" t="s">
        <v>272</v>
      </c>
      <c r="N32" s="8" t="s">
        <v>150</v>
      </c>
      <c r="O32" s="8"/>
      <c r="P32" s="8"/>
      <c r="Q32" s="21"/>
      <c r="R32" s="21"/>
      <c r="S32" s="21"/>
      <c r="T32" s="21"/>
      <c r="U32" s="21"/>
      <c r="V32" s="21"/>
      <c r="W32" s="8" t="s">
        <v>272</v>
      </c>
      <c r="X32" s="8">
        <v>1.69</v>
      </c>
      <c r="Y32" s="8">
        <v>5.91</v>
      </c>
      <c r="Z32" s="9">
        <v>2.06</v>
      </c>
      <c r="AA32" s="8">
        <v>27.7</v>
      </c>
      <c r="AB32" s="8">
        <v>15790</v>
      </c>
      <c r="AC32" s="8" t="s">
        <v>272</v>
      </c>
      <c r="AD32" s="8" t="s">
        <v>4150</v>
      </c>
      <c r="AE32" s="8" t="s">
        <v>4234</v>
      </c>
      <c r="AF32" s="9">
        <f t="shared" si="0"/>
        <v>163.70699999999999</v>
      </c>
      <c r="AG32" s="9">
        <f t="shared" si="1"/>
        <v>58.17</v>
      </c>
      <c r="AH32" s="20"/>
      <c r="AI32" s="20"/>
      <c r="AJ32" s="20"/>
      <c r="AK32" s="20"/>
      <c r="AL32" s="20"/>
      <c r="AM32" s="20"/>
    </row>
    <row r="33" spans="13:40" ht="23">
      <c r="M33" s="8" t="s">
        <v>858</v>
      </c>
      <c r="N33" s="8" t="s">
        <v>150</v>
      </c>
      <c r="O33" s="8"/>
      <c r="P33" s="8"/>
      <c r="Q33" s="21"/>
      <c r="R33" s="21"/>
      <c r="S33" s="21"/>
      <c r="T33" s="21"/>
      <c r="U33" s="21"/>
      <c r="V33" s="21"/>
      <c r="W33" s="8" t="s">
        <v>858</v>
      </c>
      <c r="X33" s="8">
        <v>50.25</v>
      </c>
      <c r="Y33" s="8">
        <v>1.63</v>
      </c>
      <c r="Z33" s="9">
        <v>0.48</v>
      </c>
      <c r="AA33" s="8">
        <v>26.9</v>
      </c>
      <c r="AB33" s="8">
        <v>23978</v>
      </c>
      <c r="AC33" s="8" t="s">
        <v>858</v>
      </c>
      <c r="AD33" s="8" t="s">
        <v>4115</v>
      </c>
      <c r="AE33" s="8" t="s">
        <v>4234</v>
      </c>
      <c r="AF33" s="9">
        <f t="shared" si="0"/>
        <v>43.846999999999994</v>
      </c>
      <c r="AG33" s="9">
        <f t="shared" si="1"/>
        <v>21.52</v>
      </c>
      <c r="AH33" s="9"/>
      <c r="AI33" s="9"/>
      <c r="AJ33" s="9"/>
      <c r="AK33" s="9"/>
      <c r="AL33" s="9"/>
      <c r="AM33" s="9"/>
    </row>
    <row r="34" spans="13:40" ht="23">
      <c r="M34" s="9" t="s">
        <v>2367</v>
      </c>
      <c r="N34" s="8" t="s">
        <v>150</v>
      </c>
      <c r="O34" s="8"/>
      <c r="P34" s="8"/>
      <c r="Q34" s="21"/>
      <c r="R34" s="21"/>
      <c r="S34" s="21"/>
      <c r="T34" s="21"/>
      <c r="U34" s="21"/>
      <c r="V34" s="21"/>
      <c r="W34" s="9" t="s">
        <v>2367</v>
      </c>
      <c r="X34" s="8">
        <v>27.04</v>
      </c>
      <c r="Y34" s="8">
        <v>4.37</v>
      </c>
      <c r="Z34" s="9">
        <v>4.08</v>
      </c>
      <c r="AA34" s="8">
        <v>25.7</v>
      </c>
      <c r="AB34" s="8">
        <v>4478</v>
      </c>
      <c r="AC34" s="9" t="s">
        <v>2367</v>
      </c>
      <c r="AD34" s="8" t="s">
        <v>4110</v>
      </c>
      <c r="AE34" s="8" t="s">
        <v>4234</v>
      </c>
      <c r="AF34" s="9">
        <f t="shared" ref="AF34:AF65" si="2">(AA34*Y34)</f>
        <v>112.309</v>
      </c>
      <c r="AG34" s="9">
        <f t="shared" si="1"/>
        <v>106.22666666666667</v>
      </c>
      <c r="AH34" s="9"/>
      <c r="AI34" s="9"/>
      <c r="AJ34" s="9"/>
      <c r="AK34" s="9"/>
      <c r="AL34" s="9"/>
      <c r="AM34" s="9"/>
      <c r="AN34" s="28"/>
    </row>
    <row r="35" spans="13:40" ht="23">
      <c r="M35" s="8" t="s">
        <v>627</v>
      </c>
      <c r="N35" s="8" t="s">
        <v>150</v>
      </c>
      <c r="O35" s="8"/>
      <c r="P35" s="8"/>
      <c r="Q35" s="21"/>
      <c r="R35" s="21"/>
      <c r="S35" s="21"/>
      <c r="T35" s="21"/>
      <c r="U35" s="21"/>
      <c r="V35" s="21"/>
      <c r="W35" s="8" t="s">
        <v>627</v>
      </c>
      <c r="X35" s="8">
        <v>43.26</v>
      </c>
      <c r="Y35" s="8">
        <v>2.52</v>
      </c>
      <c r="Z35" s="9">
        <v>1.43</v>
      </c>
      <c r="AA35" s="8">
        <v>22.8</v>
      </c>
      <c r="AB35" s="8">
        <v>9254</v>
      </c>
      <c r="AC35" s="8" t="s">
        <v>627</v>
      </c>
      <c r="AD35" s="8" t="s">
        <v>4241</v>
      </c>
      <c r="AE35" s="8" t="s">
        <v>4234</v>
      </c>
      <c r="AF35" s="9">
        <f t="shared" si="2"/>
        <v>57.456000000000003</v>
      </c>
      <c r="AG35" s="9">
        <f t="shared" ref="AG35:AG66" si="3">((((RIGHT(Z35,2))/60)+(LEFT(Z35,2)))*AA35)</f>
        <v>39.14</v>
      </c>
      <c r="AH35" s="20"/>
      <c r="AI35" s="20"/>
      <c r="AJ35" s="20"/>
      <c r="AK35" s="20"/>
      <c r="AL35" s="20"/>
      <c r="AM35" s="20"/>
    </row>
    <row r="36" spans="13:40" ht="23">
      <c r="M36" s="9" t="s">
        <v>2186</v>
      </c>
      <c r="N36" s="8" t="s">
        <v>150</v>
      </c>
      <c r="O36" s="8"/>
      <c r="P36" s="8"/>
      <c r="Q36" s="21"/>
      <c r="R36" s="21"/>
      <c r="S36" s="21"/>
      <c r="T36" s="21"/>
      <c r="U36" s="21"/>
      <c r="V36" s="21"/>
      <c r="W36" s="9" t="s">
        <v>2186</v>
      </c>
      <c r="X36" s="8">
        <v>11.92</v>
      </c>
      <c r="Y36" s="8">
        <v>4.4000000000000004</v>
      </c>
      <c r="Z36" s="9">
        <v>1.47</v>
      </c>
      <c r="AA36" s="8">
        <v>19.600000000000001</v>
      </c>
      <c r="AB36" s="8"/>
      <c r="AC36" s="9" t="s">
        <v>2186</v>
      </c>
      <c r="AD36" s="8" t="s">
        <v>4170</v>
      </c>
      <c r="AE36" s="8" t="s">
        <v>4234</v>
      </c>
      <c r="AF36" s="9">
        <f t="shared" si="2"/>
        <v>86.240000000000009</v>
      </c>
      <c r="AG36" s="9">
        <f t="shared" si="3"/>
        <v>34.953333333333333</v>
      </c>
      <c r="AH36" s="20"/>
      <c r="AI36" s="20"/>
      <c r="AJ36" s="20"/>
      <c r="AK36" s="20"/>
      <c r="AL36" s="20"/>
      <c r="AM36" s="20"/>
      <c r="AN36" s="28"/>
    </row>
    <row r="37" spans="13:40" ht="23">
      <c r="M37" s="8" t="s">
        <v>455</v>
      </c>
      <c r="N37" s="8" t="s">
        <v>150</v>
      </c>
      <c r="O37" s="8"/>
      <c r="P37" s="8"/>
      <c r="Q37" s="21"/>
      <c r="R37" s="21"/>
      <c r="S37" s="21"/>
      <c r="T37" s="21"/>
      <c r="U37" s="21"/>
      <c r="V37" s="21"/>
      <c r="W37" s="8" t="s">
        <v>455</v>
      </c>
      <c r="X37" s="8">
        <v>21.73</v>
      </c>
      <c r="Y37" s="8">
        <v>7.06</v>
      </c>
      <c r="Z37" s="9">
        <v>5.2</v>
      </c>
      <c r="AA37" s="8">
        <v>17.7</v>
      </c>
      <c r="AB37" s="8">
        <v>5855</v>
      </c>
      <c r="AC37" s="8" t="s">
        <v>455</v>
      </c>
      <c r="AD37" s="8" t="s">
        <v>4014</v>
      </c>
      <c r="AE37" s="8" t="s">
        <v>4234</v>
      </c>
      <c r="AF37" s="9">
        <f t="shared" si="2"/>
        <v>124.96199999999999</v>
      </c>
      <c r="AG37" s="9">
        <f t="shared" si="3"/>
        <v>88.558999999999983</v>
      </c>
      <c r="AH37" s="20"/>
      <c r="AI37" s="20"/>
      <c r="AJ37" s="20"/>
      <c r="AK37" s="20"/>
      <c r="AL37" s="20"/>
      <c r="AM37" s="20"/>
    </row>
    <row r="38" spans="13:40" ht="23">
      <c r="M38" s="8" t="s">
        <v>1478</v>
      </c>
      <c r="N38" s="8" t="s">
        <v>150</v>
      </c>
      <c r="O38" s="8"/>
      <c r="P38" s="8"/>
      <c r="Q38" s="21"/>
      <c r="R38" s="21"/>
      <c r="S38" s="21"/>
      <c r="T38" s="21"/>
      <c r="U38" s="21"/>
      <c r="V38" s="21"/>
      <c r="W38" s="8" t="s">
        <v>1478</v>
      </c>
      <c r="X38" s="8">
        <v>8.7100000000000009</v>
      </c>
      <c r="Y38" s="8">
        <v>1.94</v>
      </c>
      <c r="Z38" s="9">
        <v>0.02</v>
      </c>
      <c r="AA38" s="8">
        <v>17.5</v>
      </c>
      <c r="AB38" s="8">
        <v>42751</v>
      </c>
      <c r="AC38" s="8" t="s">
        <v>1478</v>
      </c>
      <c r="AD38" s="8" t="s">
        <v>4117</v>
      </c>
      <c r="AE38" s="8" t="s">
        <v>4234</v>
      </c>
      <c r="AF38" s="9">
        <f t="shared" si="2"/>
        <v>33.949999999999996</v>
      </c>
      <c r="AG38" s="9">
        <f t="shared" si="3"/>
        <v>0.58333333333333337</v>
      </c>
      <c r="AH38" s="20"/>
      <c r="AI38" s="20"/>
      <c r="AJ38" s="20"/>
      <c r="AK38" s="20"/>
      <c r="AL38" s="20"/>
      <c r="AM38" s="20"/>
    </row>
    <row r="39" spans="13:40" ht="23">
      <c r="M39" s="8" t="s">
        <v>1932</v>
      </c>
      <c r="N39" s="8" t="s">
        <v>1902</v>
      </c>
      <c r="O39" s="8"/>
      <c r="P39" s="8"/>
      <c r="Q39" s="21"/>
      <c r="R39" s="21"/>
      <c r="S39" s="21"/>
      <c r="T39" s="21"/>
      <c r="U39" s="21"/>
      <c r="V39" s="21"/>
      <c r="W39" s="8" t="s">
        <v>1932</v>
      </c>
      <c r="X39" s="8">
        <v>32.700000000000003</v>
      </c>
      <c r="Y39" s="8">
        <v>11.75</v>
      </c>
      <c r="Z39" s="9">
        <v>4.25</v>
      </c>
      <c r="AA39" s="8">
        <v>16.399999999999999</v>
      </c>
      <c r="AB39" s="8">
        <v>9081</v>
      </c>
      <c r="AC39" s="8" t="s">
        <v>1932</v>
      </c>
      <c r="AD39" s="8" t="s">
        <v>4228</v>
      </c>
      <c r="AE39" s="8" t="s">
        <v>4234</v>
      </c>
      <c r="AF39" s="9">
        <f t="shared" si="2"/>
        <v>192.7</v>
      </c>
      <c r="AG39" s="9">
        <f t="shared" si="3"/>
        <v>72.433333333333337</v>
      </c>
      <c r="AH39" s="20"/>
      <c r="AI39" s="20"/>
      <c r="AJ39" s="20"/>
      <c r="AK39" s="20"/>
      <c r="AL39" s="20"/>
      <c r="AM39" s="20"/>
    </row>
    <row r="40" spans="13:40" ht="23">
      <c r="M40" s="8" t="s">
        <v>805</v>
      </c>
      <c r="N40" s="8" t="s">
        <v>150</v>
      </c>
      <c r="O40" s="8"/>
      <c r="P40" s="8"/>
      <c r="Q40" s="21"/>
      <c r="R40" s="21"/>
      <c r="S40" s="21"/>
      <c r="T40" s="21"/>
      <c r="U40" s="21"/>
      <c r="V40" s="21"/>
      <c r="W40" s="8" t="s">
        <v>805</v>
      </c>
      <c r="X40" s="8">
        <v>4.82</v>
      </c>
      <c r="Y40" s="8">
        <v>22.51</v>
      </c>
      <c r="Z40" s="9">
        <v>32.450000000000003</v>
      </c>
      <c r="AA40" s="8">
        <v>15.5</v>
      </c>
      <c r="AB40" s="8"/>
      <c r="AC40" s="8" t="s">
        <v>805</v>
      </c>
      <c r="AD40" s="8" t="s">
        <v>4495</v>
      </c>
      <c r="AE40" s="8" t="s">
        <v>4234</v>
      </c>
      <c r="AF40" s="9">
        <f t="shared" si="2"/>
        <v>348.90500000000003</v>
      </c>
      <c r="AG40" s="9">
        <f t="shared" si="3"/>
        <v>507.625</v>
      </c>
      <c r="AH40" s="20"/>
      <c r="AI40" s="20"/>
      <c r="AJ40" s="20"/>
      <c r="AK40" s="20"/>
      <c r="AL40" s="20"/>
      <c r="AM40" s="20"/>
    </row>
    <row r="41" spans="13:40" ht="23">
      <c r="M41" s="9" t="s">
        <v>2684</v>
      </c>
      <c r="N41" s="8" t="s">
        <v>150</v>
      </c>
      <c r="O41" s="8"/>
      <c r="P41" s="8"/>
      <c r="Q41" s="21"/>
      <c r="R41" s="21"/>
      <c r="S41" s="21"/>
      <c r="T41" s="21"/>
      <c r="U41" s="21"/>
      <c r="V41" s="21"/>
      <c r="W41" s="9" t="s">
        <v>2684</v>
      </c>
      <c r="X41" s="8">
        <v>9.59</v>
      </c>
      <c r="Y41" s="8">
        <v>9.91</v>
      </c>
      <c r="Z41" s="9">
        <v>1.05</v>
      </c>
      <c r="AA41" s="8">
        <v>14.2</v>
      </c>
      <c r="AB41" s="8">
        <v>22534</v>
      </c>
      <c r="AC41" s="9" t="s">
        <v>2684</v>
      </c>
      <c r="AD41" s="8" t="s">
        <v>4186</v>
      </c>
      <c r="AE41" s="8" t="s">
        <v>4234</v>
      </c>
      <c r="AF41" s="9">
        <f t="shared" si="2"/>
        <v>140.72200000000001</v>
      </c>
      <c r="AG41" s="9">
        <f t="shared" si="3"/>
        <v>15.383333333333331</v>
      </c>
      <c r="AH41" s="20"/>
      <c r="AI41" s="20"/>
      <c r="AJ41" s="20"/>
      <c r="AK41" s="20"/>
      <c r="AL41" s="20"/>
      <c r="AM41" s="20"/>
      <c r="AN41" s="28"/>
    </row>
    <row r="42" spans="13:40" ht="23">
      <c r="M42" s="9" t="s">
        <v>3464</v>
      </c>
      <c r="N42" s="8" t="s">
        <v>2017</v>
      </c>
      <c r="O42" s="8"/>
      <c r="P42" s="8"/>
      <c r="Q42" s="21"/>
      <c r="R42" s="21"/>
      <c r="S42" s="21"/>
      <c r="T42" s="21"/>
      <c r="U42" s="21"/>
      <c r="V42" s="21"/>
      <c r="W42" s="9" t="s">
        <v>3464</v>
      </c>
      <c r="X42" s="8">
        <v>31.95</v>
      </c>
      <c r="Y42" s="8">
        <v>2.52</v>
      </c>
      <c r="Z42" s="9">
        <v>4.26</v>
      </c>
      <c r="AA42" s="8">
        <v>11.8</v>
      </c>
      <c r="AB42" s="8">
        <v>19791</v>
      </c>
      <c r="AC42" s="9" t="s">
        <v>3464</v>
      </c>
      <c r="AD42" s="8" t="s">
        <v>4218</v>
      </c>
      <c r="AE42" s="8" t="s">
        <v>4234</v>
      </c>
      <c r="AF42" s="9">
        <f t="shared" si="2"/>
        <v>29.736000000000001</v>
      </c>
      <c r="AG42" s="9">
        <f t="shared" si="3"/>
        <v>52.31333333333334</v>
      </c>
      <c r="AH42" s="20"/>
      <c r="AI42" s="20"/>
      <c r="AJ42" s="20"/>
      <c r="AK42" s="20"/>
      <c r="AL42" s="20"/>
      <c r="AM42" s="20"/>
      <c r="AN42" s="28"/>
    </row>
    <row r="43" spans="13:40" ht="23">
      <c r="M43" s="8" t="s">
        <v>2001</v>
      </c>
      <c r="N43" s="8" t="s">
        <v>1990</v>
      </c>
      <c r="O43" s="8"/>
      <c r="P43" s="8" t="s">
        <v>3691</v>
      </c>
      <c r="Q43" s="21"/>
      <c r="R43" s="21"/>
      <c r="S43" s="21"/>
      <c r="T43" s="21"/>
      <c r="U43" s="21"/>
      <c r="V43" s="21"/>
      <c r="W43" s="8" t="s">
        <v>2001</v>
      </c>
      <c r="X43" s="8">
        <v>5.61</v>
      </c>
      <c r="Y43" s="8">
        <v>5.69</v>
      </c>
      <c r="Z43" s="9">
        <v>4.03</v>
      </c>
      <c r="AA43" s="8">
        <v>10.8</v>
      </c>
      <c r="AB43" s="8"/>
      <c r="AC43" s="8" t="s">
        <v>2001</v>
      </c>
      <c r="AD43" s="8" t="s">
        <v>4215</v>
      </c>
      <c r="AE43" s="8" t="s">
        <v>4234</v>
      </c>
      <c r="AF43" s="9">
        <f t="shared" si="2"/>
        <v>61.452000000000005</v>
      </c>
      <c r="AG43" s="9">
        <f t="shared" si="3"/>
        <v>43.74</v>
      </c>
      <c r="AH43" s="20"/>
      <c r="AI43" s="20"/>
      <c r="AJ43" s="20"/>
      <c r="AK43" s="20"/>
      <c r="AL43" s="20"/>
      <c r="AM43" s="20"/>
    </row>
    <row r="44" spans="13:40" ht="23">
      <c r="M44" s="9" t="s">
        <v>2655</v>
      </c>
      <c r="N44" s="8" t="s">
        <v>150</v>
      </c>
      <c r="O44" s="8"/>
      <c r="P44" s="8"/>
      <c r="Q44" s="21"/>
      <c r="R44" s="21"/>
      <c r="S44" s="21"/>
      <c r="T44" s="21"/>
      <c r="U44" s="21"/>
      <c r="V44" s="21"/>
      <c r="W44" s="9" t="s">
        <v>2655</v>
      </c>
      <c r="X44" s="8">
        <v>23.77</v>
      </c>
      <c r="Y44" s="8">
        <v>2.04</v>
      </c>
      <c r="Z44" s="9">
        <v>1.54</v>
      </c>
      <c r="AA44" s="8">
        <v>9.8000000000000007</v>
      </c>
      <c r="AB44" s="8">
        <v>26021</v>
      </c>
      <c r="AC44" s="9" t="s">
        <v>2655</v>
      </c>
      <c r="AD44" s="8" t="s">
        <v>3714</v>
      </c>
      <c r="AE44" s="8" t="s">
        <v>4234</v>
      </c>
      <c r="AF44" s="9">
        <f t="shared" si="2"/>
        <v>19.992000000000001</v>
      </c>
      <c r="AG44" s="9">
        <f t="shared" si="3"/>
        <v>18.62</v>
      </c>
      <c r="AH44" s="20"/>
      <c r="AI44" s="20"/>
      <c r="AJ44" s="20"/>
      <c r="AK44" s="20"/>
      <c r="AL44" s="20"/>
      <c r="AM44" s="20"/>
      <c r="AN44" s="28"/>
    </row>
    <row r="45" spans="13:40" ht="23">
      <c r="M45" s="9" t="s">
        <v>2615</v>
      </c>
      <c r="N45" s="8" t="s">
        <v>150</v>
      </c>
      <c r="O45" s="8"/>
      <c r="P45" s="8"/>
      <c r="Q45" s="21"/>
      <c r="R45" s="21"/>
      <c r="S45" s="21"/>
      <c r="T45" s="21"/>
      <c r="U45" s="21"/>
      <c r="V45" s="21"/>
      <c r="W45" s="9" t="s">
        <v>2615</v>
      </c>
      <c r="X45" s="8">
        <v>30.14</v>
      </c>
      <c r="Y45" s="8">
        <v>2.64</v>
      </c>
      <c r="Z45" s="9">
        <v>1.21</v>
      </c>
      <c r="AA45" s="8">
        <v>7.6</v>
      </c>
      <c r="AB45" s="8">
        <v>25104</v>
      </c>
      <c r="AC45" s="9" t="s">
        <v>2615</v>
      </c>
      <c r="AD45" s="8" t="s">
        <v>5340</v>
      </c>
      <c r="AE45" s="8" t="s">
        <v>4234</v>
      </c>
      <c r="AF45" s="9">
        <f t="shared" si="2"/>
        <v>20.064</v>
      </c>
      <c r="AG45" s="9">
        <f t="shared" si="3"/>
        <v>10.26</v>
      </c>
      <c r="AH45" s="20"/>
      <c r="AI45" s="20"/>
      <c r="AJ45" s="20"/>
      <c r="AK45" s="20"/>
      <c r="AL45" s="20"/>
      <c r="AM45" s="20"/>
      <c r="AN45" s="28"/>
    </row>
    <row r="46" spans="13:40" ht="23">
      <c r="M46" s="8" t="s">
        <v>1595</v>
      </c>
      <c r="N46" s="8" t="s">
        <v>150</v>
      </c>
      <c r="O46" s="8"/>
      <c r="P46" s="8"/>
      <c r="Q46" s="21"/>
      <c r="R46" s="21"/>
      <c r="S46" s="21"/>
      <c r="T46" s="21"/>
      <c r="U46" s="21"/>
      <c r="V46" s="21"/>
      <c r="W46" s="8" t="s">
        <v>1595</v>
      </c>
      <c r="X46" s="8">
        <v>9.3699999999999992</v>
      </c>
      <c r="Y46" s="8">
        <v>2.2599999999999998</v>
      </c>
      <c r="Z46" s="9">
        <v>1.24</v>
      </c>
      <c r="AA46" s="8">
        <v>7.6</v>
      </c>
      <c r="AB46" s="8">
        <v>24308</v>
      </c>
      <c r="AC46" s="8" t="s">
        <v>1595</v>
      </c>
      <c r="AD46" s="8" t="s">
        <v>4025</v>
      </c>
      <c r="AE46" s="8" t="s">
        <v>4234</v>
      </c>
      <c r="AF46" s="9">
        <f t="shared" si="2"/>
        <v>17.175999999999998</v>
      </c>
      <c r="AG46" s="9">
        <f t="shared" si="3"/>
        <v>10.639999999999999</v>
      </c>
      <c r="AH46" s="20"/>
      <c r="AI46" s="20"/>
      <c r="AJ46" s="20"/>
      <c r="AK46" s="20"/>
      <c r="AL46" s="20"/>
      <c r="AM46" s="20"/>
    </row>
    <row r="47" spans="13:40" ht="23">
      <c r="M47" s="8" t="s">
        <v>1494</v>
      </c>
      <c r="N47" s="8" t="s">
        <v>150</v>
      </c>
      <c r="O47" s="8"/>
      <c r="P47" s="8"/>
      <c r="Q47" s="21"/>
      <c r="R47" s="21"/>
      <c r="S47" s="21"/>
      <c r="T47" s="21"/>
      <c r="U47" s="21"/>
      <c r="V47" s="21"/>
      <c r="W47" s="8" t="s">
        <v>1494</v>
      </c>
      <c r="X47" s="8">
        <v>29.79</v>
      </c>
      <c r="Y47" s="8">
        <v>5.69</v>
      </c>
      <c r="Z47" s="9">
        <v>7.33</v>
      </c>
      <c r="AA47" s="8">
        <v>7</v>
      </c>
      <c r="AB47" s="8">
        <v>15720</v>
      </c>
      <c r="AC47" s="8" t="s">
        <v>1494</v>
      </c>
      <c r="AD47" s="8" t="s">
        <v>4021</v>
      </c>
      <c r="AE47" s="8" t="s">
        <v>4234</v>
      </c>
      <c r="AF47" s="9">
        <f t="shared" si="2"/>
        <v>39.830000000000005</v>
      </c>
      <c r="AG47" s="9">
        <f t="shared" si="3"/>
        <v>52.85</v>
      </c>
      <c r="AH47" s="20"/>
      <c r="AI47" s="20"/>
      <c r="AJ47" s="20"/>
      <c r="AK47" s="20"/>
      <c r="AL47" s="20"/>
      <c r="AM47" s="20"/>
    </row>
    <row r="48" spans="13:40" ht="23">
      <c r="M48" s="8" t="s">
        <v>1430</v>
      </c>
      <c r="N48" s="8" t="s">
        <v>150</v>
      </c>
      <c r="O48" s="8"/>
      <c r="P48" s="8"/>
      <c r="Q48" s="21"/>
      <c r="R48" s="21"/>
      <c r="S48" s="21"/>
      <c r="T48" s="21"/>
      <c r="U48" s="21"/>
      <c r="V48" s="21"/>
      <c r="W48" s="8" t="s">
        <v>1430</v>
      </c>
      <c r="X48" s="8">
        <v>34.32</v>
      </c>
      <c r="Y48" s="8">
        <v>3.03</v>
      </c>
      <c r="Z48" s="9">
        <v>1.31</v>
      </c>
      <c r="AA48" s="8">
        <v>6.9</v>
      </c>
      <c r="AB48" s="8">
        <v>36095</v>
      </c>
      <c r="AC48" s="8" t="s">
        <v>1430</v>
      </c>
      <c r="AD48" s="8" t="s">
        <v>4150</v>
      </c>
      <c r="AE48" s="8" t="s">
        <v>4234</v>
      </c>
      <c r="AF48" s="9">
        <f t="shared" si="2"/>
        <v>20.907</v>
      </c>
      <c r="AG48" s="9">
        <f t="shared" si="3"/>
        <v>10.465</v>
      </c>
      <c r="AH48" s="20"/>
      <c r="AI48" s="20"/>
      <c r="AJ48" s="20"/>
      <c r="AK48" s="20"/>
      <c r="AL48" s="20"/>
      <c r="AM48" s="20"/>
    </row>
    <row r="49" spans="13:40" ht="23">
      <c r="M49" s="9" t="s">
        <v>2166</v>
      </c>
      <c r="N49" s="8" t="s">
        <v>150</v>
      </c>
      <c r="O49" s="8"/>
      <c r="P49" s="8"/>
      <c r="Q49" s="21"/>
      <c r="R49" s="21"/>
      <c r="S49" s="21"/>
      <c r="T49" s="21"/>
      <c r="U49" s="21"/>
      <c r="V49" s="21"/>
      <c r="W49" s="9" t="s">
        <v>2166</v>
      </c>
      <c r="X49" s="8">
        <v>28.25</v>
      </c>
      <c r="Y49" s="8">
        <v>4.12</v>
      </c>
      <c r="Z49" s="9">
        <v>5.23</v>
      </c>
      <c r="AA49" s="8">
        <v>6.4</v>
      </c>
      <c r="AB49" s="8">
        <v>14711</v>
      </c>
      <c r="AC49" s="9" t="s">
        <v>2166</v>
      </c>
      <c r="AD49" s="8" t="s">
        <v>4045</v>
      </c>
      <c r="AE49" s="8" t="s">
        <v>4234</v>
      </c>
      <c r="AF49" s="9">
        <f t="shared" si="2"/>
        <v>26.368000000000002</v>
      </c>
      <c r="AG49" s="9">
        <f t="shared" si="3"/>
        <v>34.45333333333334</v>
      </c>
      <c r="AH49" s="20"/>
      <c r="AI49" s="20"/>
      <c r="AJ49" s="20"/>
      <c r="AK49" s="20"/>
      <c r="AL49" s="20"/>
      <c r="AM49" s="20"/>
      <c r="AN49" s="28"/>
    </row>
    <row r="50" spans="13:40" ht="23">
      <c r="M50" s="8" t="s">
        <v>1303</v>
      </c>
      <c r="N50" s="8" t="s">
        <v>150</v>
      </c>
      <c r="O50" s="8"/>
      <c r="P50" s="8"/>
      <c r="Q50" s="21"/>
      <c r="R50" s="21"/>
      <c r="S50" s="21"/>
      <c r="T50" s="21"/>
      <c r="U50" s="21"/>
      <c r="V50" s="21"/>
      <c r="W50" s="8" t="s">
        <v>1303</v>
      </c>
      <c r="X50" s="8">
        <v>26.59</v>
      </c>
      <c r="Y50" s="8">
        <v>3.22</v>
      </c>
      <c r="Z50" s="9">
        <v>3.05</v>
      </c>
      <c r="AA50" s="8">
        <v>5.7</v>
      </c>
      <c r="AB50" s="8">
        <v>20638</v>
      </c>
      <c r="AC50" s="8" t="s">
        <v>1303</v>
      </c>
      <c r="AD50" s="8" t="s">
        <v>4140</v>
      </c>
      <c r="AE50" s="8" t="s">
        <v>4234</v>
      </c>
      <c r="AF50" s="9">
        <f t="shared" si="2"/>
        <v>18.354000000000003</v>
      </c>
      <c r="AG50" s="9">
        <f t="shared" si="3"/>
        <v>17.575000000000003</v>
      </c>
      <c r="AH50" s="20"/>
      <c r="AI50" s="20"/>
      <c r="AJ50" s="20"/>
      <c r="AK50" s="20"/>
      <c r="AL50" s="20"/>
      <c r="AM50" s="20"/>
    </row>
    <row r="51" spans="13:40" ht="23">
      <c r="M51" s="9" t="s">
        <v>2233</v>
      </c>
      <c r="N51" s="8" t="s">
        <v>150</v>
      </c>
      <c r="O51" s="8"/>
      <c r="P51" s="8"/>
      <c r="Q51" s="21"/>
      <c r="R51" s="21"/>
      <c r="S51" s="21"/>
      <c r="T51" s="21"/>
      <c r="U51" s="21"/>
      <c r="V51" s="21"/>
      <c r="W51" s="9" t="s">
        <v>2233</v>
      </c>
      <c r="X51" s="8">
        <v>30.28</v>
      </c>
      <c r="Y51" s="8">
        <v>2.4300000000000002</v>
      </c>
      <c r="Z51" s="9">
        <v>1.1499999999999999</v>
      </c>
      <c r="AA51" s="8">
        <v>5.6</v>
      </c>
      <c r="AB51" s="8">
        <v>19215</v>
      </c>
      <c r="AC51" s="9" t="s">
        <v>2233</v>
      </c>
      <c r="AD51" s="8" t="s">
        <v>4103</v>
      </c>
      <c r="AE51" s="8" t="s">
        <v>4234</v>
      </c>
      <c r="AF51" s="9">
        <f t="shared" si="2"/>
        <v>13.608000000000001</v>
      </c>
      <c r="AG51" s="9">
        <f t="shared" si="3"/>
        <v>7</v>
      </c>
      <c r="AH51" s="9"/>
      <c r="AI51" s="9"/>
      <c r="AJ51" s="9"/>
      <c r="AK51" s="9"/>
      <c r="AL51" s="9"/>
      <c r="AM51" s="9"/>
      <c r="AN51" s="28"/>
    </row>
    <row r="52" spans="13:40" ht="23">
      <c r="M52" s="9" t="s">
        <v>2392</v>
      </c>
      <c r="N52" s="8" t="s">
        <v>150</v>
      </c>
      <c r="O52" s="8"/>
      <c r="P52" s="8" t="s">
        <v>3700</v>
      </c>
      <c r="Q52" s="21"/>
      <c r="R52" s="21"/>
      <c r="S52" s="21"/>
      <c r="T52" s="21"/>
      <c r="U52" s="21"/>
      <c r="V52" s="21"/>
      <c r="W52" s="9" t="s">
        <v>4783</v>
      </c>
      <c r="X52" s="8">
        <v>36.04</v>
      </c>
      <c r="Y52" s="8">
        <v>2.77</v>
      </c>
      <c r="Z52" s="9">
        <v>2.39</v>
      </c>
      <c r="AA52" s="8">
        <v>5.3</v>
      </c>
      <c r="AB52" s="8">
        <v>19114</v>
      </c>
      <c r="AC52" s="9" t="s">
        <v>4783</v>
      </c>
      <c r="AD52" s="8" t="s">
        <v>3997</v>
      </c>
      <c r="AE52" s="8" t="s">
        <v>4234</v>
      </c>
      <c r="AF52" s="9">
        <f t="shared" si="2"/>
        <v>14.680999999999999</v>
      </c>
      <c r="AG52" s="9">
        <f t="shared" si="3"/>
        <v>14.045</v>
      </c>
      <c r="AH52" s="20"/>
      <c r="AI52" s="20"/>
      <c r="AJ52" s="20"/>
      <c r="AK52" s="20"/>
      <c r="AL52" s="20"/>
      <c r="AM52" s="20"/>
      <c r="AN52" s="28"/>
    </row>
    <row r="53" spans="13:40" ht="23">
      <c r="M53" s="8" t="s">
        <v>532</v>
      </c>
      <c r="N53" s="8" t="s">
        <v>150</v>
      </c>
      <c r="O53" s="8"/>
      <c r="P53" s="8"/>
      <c r="Q53" s="21"/>
      <c r="R53" s="21"/>
      <c r="S53" s="21"/>
      <c r="T53" s="21"/>
      <c r="U53" s="21"/>
      <c r="V53" s="21"/>
      <c r="W53" s="8" t="s">
        <v>532</v>
      </c>
      <c r="X53" s="8">
        <v>19.14</v>
      </c>
      <c r="Y53" s="8">
        <v>6.2</v>
      </c>
      <c r="Z53" s="9">
        <v>3.18</v>
      </c>
      <c r="AA53" s="8">
        <v>5.0999999999999996</v>
      </c>
      <c r="AB53" s="8">
        <v>15316</v>
      </c>
      <c r="AC53" s="8" t="s">
        <v>532</v>
      </c>
      <c r="AD53" s="8" t="s">
        <v>4150</v>
      </c>
      <c r="AE53" s="8" t="s">
        <v>4234</v>
      </c>
      <c r="AF53" s="9">
        <f t="shared" si="2"/>
        <v>31.619999999999997</v>
      </c>
      <c r="AG53" s="9">
        <f t="shared" si="3"/>
        <v>16.829999999999998</v>
      </c>
      <c r="AH53" s="20"/>
      <c r="AI53" s="20"/>
      <c r="AJ53" s="20"/>
      <c r="AK53" s="20"/>
      <c r="AL53" s="20"/>
      <c r="AM53" s="20"/>
    </row>
    <row r="54" spans="13:40" ht="23">
      <c r="M54" s="9" t="s">
        <v>2383</v>
      </c>
      <c r="N54" s="8" t="s">
        <v>150</v>
      </c>
      <c r="O54" s="8"/>
      <c r="P54" s="8"/>
      <c r="Q54" s="21"/>
      <c r="R54" s="21"/>
      <c r="S54" s="21"/>
      <c r="T54" s="21"/>
      <c r="U54" s="21"/>
      <c r="V54" s="21"/>
      <c r="W54" s="9" t="s">
        <v>2383</v>
      </c>
      <c r="X54" s="8">
        <v>23.57</v>
      </c>
      <c r="Y54" s="8">
        <v>2.7</v>
      </c>
      <c r="Z54" s="9">
        <v>1.1000000000000001</v>
      </c>
      <c r="AA54" s="8">
        <v>4.7</v>
      </c>
      <c r="AB54" s="8">
        <v>28128</v>
      </c>
      <c r="AC54" s="9" t="s">
        <v>2383</v>
      </c>
      <c r="AD54" s="8" t="s">
        <v>4180</v>
      </c>
      <c r="AE54" s="8" t="s">
        <v>4234</v>
      </c>
      <c r="AF54" s="9">
        <f t="shared" si="2"/>
        <v>12.690000000000001</v>
      </c>
      <c r="AG54" s="9">
        <f t="shared" si="3"/>
        <v>4.7078333333333333</v>
      </c>
      <c r="AH54" s="9"/>
      <c r="AI54" s="9"/>
      <c r="AJ54" s="9"/>
      <c r="AK54" s="9"/>
      <c r="AL54" s="9"/>
      <c r="AM54" s="9"/>
      <c r="AN54" s="28"/>
    </row>
    <row r="55" spans="13:40" ht="23">
      <c r="M55" s="8" t="s">
        <v>1194</v>
      </c>
      <c r="N55" s="8" t="s">
        <v>150</v>
      </c>
      <c r="O55" s="8"/>
      <c r="P55" s="8"/>
      <c r="Q55" s="21"/>
      <c r="R55" s="21"/>
      <c r="S55" s="21"/>
      <c r="T55" s="21"/>
      <c r="U55" s="21"/>
      <c r="V55" s="21"/>
      <c r="W55" s="8" t="s">
        <v>1194</v>
      </c>
      <c r="X55" s="8">
        <v>27.79</v>
      </c>
      <c r="Y55" s="8">
        <v>2.9</v>
      </c>
      <c r="Z55" s="9">
        <v>3.51</v>
      </c>
      <c r="AA55" s="8">
        <v>4.5</v>
      </c>
      <c r="AB55" s="8">
        <v>20933</v>
      </c>
      <c r="AC55" s="8" t="s">
        <v>1194</v>
      </c>
      <c r="AD55" s="8" t="s">
        <v>4014</v>
      </c>
      <c r="AE55" s="8" t="s">
        <v>4234</v>
      </c>
      <c r="AF55" s="9">
        <f t="shared" si="2"/>
        <v>13.049999999999999</v>
      </c>
      <c r="AG55" s="9">
        <f t="shared" si="3"/>
        <v>17.324999999999999</v>
      </c>
      <c r="AH55" s="20"/>
      <c r="AI55" s="20"/>
      <c r="AJ55" s="20"/>
      <c r="AK55" s="20"/>
      <c r="AL55" s="20"/>
      <c r="AM55" s="20"/>
    </row>
    <row r="56" spans="13:40" ht="23">
      <c r="M56" s="9" t="s">
        <v>2521</v>
      </c>
      <c r="N56" s="8" t="s">
        <v>150</v>
      </c>
      <c r="O56" s="8"/>
      <c r="P56" s="8"/>
      <c r="Q56" s="21"/>
      <c r="R56" s="21"/>
      <c r="S56" s="21"/>
      <c r="T56" s="21"/>
      <c r="U56" s="21"/>
      <c r="V56" s="21"/>
      <c r="W56" s="9" t="s">
        <v>2521</v>
      </c>
      <c r="X56" s="8">
        <v>32.99</v>
      </c>
      <c r="Y56" s="8">
        <v>3.1</v>
      </c>
      <c r="Z56" s="9">
        <v>5.27</v>
      </c>
      <c r="AA56" s="8">
        <v>4.5</v>
      </c>
      <c r="AB56" s="8">
        <v>21485</v>
      </c>
      <c r="AC56" s="9" t="s">
        <v>2521</v>
      </c>
      <c r="AD56" s="8" t="s">
        <v>4016</v>
      </c>
      <c r="AE56" s="8" t="s">
        <v>4234</v>
      </c>
      <c r="AF56" s="9">
        <f t="shared" si="2"/>
        <v>13.950000000000001</v>
      </c>
      <c r="AG56" s="9">
        <f t="shared" si="3"/>
        <v>24.525000000000002</v>
      </c>
      <c r="AH56" s="20"/>
      <c r="AI56" s="20"/>
      <c r="AJ56" s="20"/>
      <c r="AK56" s="20"/>
      <c r="AL56" s="20"/>
      <c r="AM56" s="20"/>
      <c r="AN56" s="28"/>
    </row>
    <row r="57" spans="13:40" ht="23">
      <c r="M57" s="9" t="s">
        <v>3109</v>
      </c>
      <c r="N57" s="8" t="s">
        <v>1814</v>
      </c>
      <c r="O57" s="8"/>
      <c r="P57" s="8" t="s">
        <v>3691</v>
      </c>
      <c r="Q57" s="21"/>
      <c r="R57" s="21"/>
      <c r="S57" s="21"/>
      <c r="T57" s="21"/>
      <c r="U57" s="21"/>
      <c r="V57" s="21"/>
      <c r="W57" s="9" t="s">
        <v>3109</v>
      </c>
      <c r="X57" s="8">
        <v>38.67</v>
      </c>
      <c r="Y57" s="8">
        <v>2.19</v>
      </c>
      <c r="Z57" s="9">
        <v>2.02</v>
      </c>
      <c r="AA57" s="8">
        <v>4.5</v>
      </c>
      <c r="AB57" s="8">
        <v>23938</v>
      </c>
      <c r="AC57" s="9" t="s">
        <v>3109</v>
      </c>
      <c r="AD57" s="8" t="s">
        <v>4209</v>
      </c>
      <c r="AE57" s="8" t="s">
        <v>4234</v>
      </c>
      <c r="AF57" s="9">
        <f t="shared" si="2"/>
        <v>9.8550000000000004</v>
      </c>
      <c r="AG57" s="9">
        <f t="shared" si="3"/>
        <v>9.1499999999999986</v>
      </c>
      <c r="AH57" s="9"/>
      <c r="AI57" s="9"/>
      <c r="AJ57" s="9"/>
      <c r="AK57" s="9"/>
      <c r="AL57" s="9"/>
      <c r="AM57" s="9"/>
      <c r="AN57" s="28"/>
    </row>
    <row r="58" spans="13:40" ht="23">
      <c r="M58" s="9" t="s">
        <v>3258</v>
      </c>
      <c r="N58" s="8" t="s">
        <v>1902</v>
      </c>
      <c r="O58" s="8"/>
      <c r="P58" s="8"/>
      <c r="Q58" s="21"/>
      <c r="R58" s="21"/>
      <c r="S58" s="21"/>
      <c r="T58" s="21"/>
      <c r="U58" s="21"/>
      <c r="V58" s="21"/>
      <c r="W58" s="9" t="s">
        <v>3258</v>
      </c>
      <c r="X58" s="8">
        <v>24.3</v>
      </c>
      <c r="Y58" s="8">
        <v>3.38</v>
      </c>
      <c r="Z58" s="9">
        <v>2.4500000000000002</v>
      </c>
      <c r="AA58" s="8">
        <v>4.2</v>
      </c>
      <c r="AB58" s="8">
        <v>22789</v>
      </c>
      <c r="AC58" s="9" t="s">
        <v>3258</v>
      </c>
      <c r="AD58" s="8" t="s">
        <v>4150</v>
      </c>
      <c r="AE58" s="8" t="s">
        <v>4234</v>
      </c>
      <c r="AF58" s="9">
        <f t="shared" si="2"/>
        <v>14.196</v>
      </c>
      <c r="AG58" s="9">
        <f t="shared" si="3"/>
        <v>11.55</v>
      </c>
      <c r="AH58" s="20"/>
      <c r="AI58" s="20"/>
      <c r="AJ58" s="20"/>
      <c r="AK58" s="20"/>
      <c r="AL58" s="20"/>
      <c r="AM58" s="20"/>
      <c r="AN58" s="28"/>
    </row>
    <row r="59" spans="13:40" ht="23">
      <c r="M59" s="8" t="s">
        <v>1428</v>
      </c>
      <c r="N59" s="8" t="s">
        <v>150</v>
      </c>
      <c r="O59" s="8"/>
      <c r="P59" s="8"/>
      <c r="Q59" s="21"/>
      <c r="R59" s="21"/>
      <c r="S59" s="21"/>
      <c r="T59" s="21"/>
      <c r="U59" s="21"/>
      <c r="V59" s="21"/>
      <c r="W59" s="8" t="s">
        <v>1428</v>
      </c>
      <c r="X59" s="8">
        <v>31.43</v>
      </c>
      <c r="Y59" s="8">
        <v>4.3899999999999997</v>
      </c>
      <c r="Z59" s="9">
        <v>6.33</v>
      </c>
      <c r="AA59" s="8">
        <v>3.8</v>
      </c>
      <c r="AB59" s="8">
        <v>24317</v>
      </c>
      <c r="AC59" s="8" t="s">
        <v>1428</v>
      </c>
      <c r="AD59" s="8" t="s">
        <v>4014</v>
      </c>
      <c r="AE59" s="8" t="s">
        <v>4234</v>
      </c>
      <c r="AF59" s="9">
        <f t="shared" si="2"/>
        <v>16.681999999999999</v>
      </c>
      <c r="AG59" s="9">
        <f t="shared" si="3"/>
        <v>24.889999999999997</v>
      </c>
      <c r="AH59" s="20"/>
      <c r="AI59" s="20"/>
      <c r="AJ59" s="20"/>
      <c r="AK59" s="20"/>
      <c r="AL59" s="20"/>
      <c r="AM59" s="20"/>
    </row>
    <row r="60" spans="13:40" ht="23">
      <c r="M60" s="8" t="s">
        <v>959</v>
      </c>
      <c r="N60" s="8" t="s">
        <v>150</v>
      </c>
      <c r="O60" s="8"/>
      <c r="P60" s="8"/>
      <c r="Q60" s="21"/>
      <c r="R60" s="21"/>
      <c r="S60" s="21"/>
      <c r="T60" s="21"/>
      <c r="U60" s="21"/>
      <c r="V60" s="21"/>
      <c r="W60" s="8" t="s">
        <v>959</v>
      </c>
      <c r="X60" s="8">
        <v>40.58</v>
      </c>
      <c r="Y60" s="8">
        <v>3</v>
      </c>
      <c r="Z60" s="9">
        <v>5.57</v>
      </c>
      <c r="AA60" s="8">
        <v>3.7</v>
      </c>
      <c r="AB60" s="8">
        <v>26049</v>
      </c>
      <c r="AC60" s="8" t="s">
        <v>959</v>
      </c>
      <c r="AD60" s="8" t="s">
        <v>4047</v>
      </c>
      <c r="AE60" s="8" t="s">
        <v>4234</v>
      </c>
      <c r="AF60" s="9">
        <f t="shared" si="2"/>
        <v>11.100000000000001</v>
      </c>
      <c r="AG60" s="9">
        <f t="shared" si="3"/>
        <v>22.015000000000001</v>
      </c>
      <c r="AH60" s="20"/>
      <c r="AI60" s="20"/>
      <c r="AJ60" s="20"/>
      <c r="AK60" s="20"/>
      <c r="AL60" s="20"/>
      <c r="AM60" s="20"/>
    </row>
    <row r="61" spans="13:40" ht="23">
      <c r="M61" s="9" t="s">
        <v>2423</v>
      </c>
      <c r="N61" s="8" t="s">
        <v>150</v>
      </c>
      <c r="O61" s="8"/>
      <c r="P61" s="8" t="s">
        <v>3691</v>
      </c>
      <c r="Q61" s="21"/>
      <c r="R61" s="21"/>
      <c r="S61" s="21"/>
      <c r="T61" s="21"/>
      <c r="U61" s="21"/>
      <c r="V61" s="21"/>
      <c r="W61" s="9" t="s">
        <v>2423</v>
      </c>
      <c r="X61" s="8">
        <v>32.1</v>
      </c>
      <c r="Y61" s="8">
        <v>3.95</v>
      </c>
      <c r="Z61" s="9">
        <v>3.19</v>
      </c>
      <c r="AA61" s="8">
        <v>3.3</v>
      </c>
      <c r="AB61" s="8">
        <v>23281</v>
      </c>
      <c r="AC61" s="9" t="s">
        <v>2423</v>
      </c>
      <c r="AD61" s="8" t="s">
        <v>4125</v>
      </c>
      <c r="AE61" s="8" t="s">
        <v>4234</v>
      </c>
      <c r="AF61" s="9">
        <f t="shared" si="2"/>
        <v>13.035</v>
      </c>
      <c r="AG61" s="9">
        <f t="shared" si="3"/>
        <v>10.944999999999999</v>
      </c>
      <c r="AH61" s="20"/>
      <c r="AI61" s="20"/>
      <c r="AJ61" s="20"/>
      <c r="AK61" s="20"/>
      <c r="AL61" s="20"/>
      <c r="AM61" s="20"/>
      <c r="AN61" s="28"/>
    </row>
    <row r="62" spans="13:40" ht="23">
      <c r="M62" s="8" t="s">
        <v>779</v>
      </c>
      <c r="N62" s="8" t="s">
        <v>150</v>
      </c>
      <c r="O62" s="8"/>
      <c r="P62" s="8"/>
      <c r="Q62" s="21"/>
      <c r="R62" s="21"/>
      <c r="S62" s="21"/>
      <c r="T62" s="21"/>
      <c r="U62" s="21"/>
      <c r="V62" s="21"/>
      <c r="W62" s="8" t="s">
        <v>779</v>
      </c>
      <c r="X62" s="8">
        <v>28.95</v>
      </c>
      <c r="Y62" s="8">
        <v>3.56</v>
      </c>
      <c r="Z62" s="9">
        <v>3.45</v>
      </c>
      <c r="AA62" s="8">
        <v>3.2</v>
      </c>
      <c r="AB62" s="8">
        <v>29514</v>
      </c>
      <c r="AC62" s="8" t="s">
        <v>779</v>
      </c>
      <c r="AD62" s="8" t="s">
        <v>4071</v>
      </c>
      <c r="AE62" s="8" t="s">
        <v>4234</v>
      </c>
      <c r="AF62" s="9">
        <f t="shared" si="2"/>
        <v>11.392000000000001</v>
      </c>
      <c r="AG62" s="9">
        <f t="shared" si="3"/>
        <v>12</v>
      </c>
      <c r="AH62" s="9"/>
      <c r="AI62" s="9"/>
      <c r="AJ62" s="9"/>
      <c r="AK62" s="9"/>
      <c r="AL62" s="9"/>
      <c r="AM62" s="9"/>
    </row>
    <row r="63" spans="13:40" ht="23">
      <c r="M63" s="8" t="s">
        <v>389</v>
      </c>
      <c r="N63" s="8" t="s">
        <v>150</v>
      </c>
      <c r="O63" s="8"/>
      <c r="P63" s="8"/>
      <c r="Q63" s="21"/>
      <c r="R63" s="21"/>
      <c r="S63" s="21"/>
      <c r="T63" s="21"/>
      <c r="U63" s="21"/>
      <c r="V63" s="21"/>
      <c r="W63" s="8" t="s">
        <v>389</v>
      </c>
      <c r="X63" s="8">
        <v>19.09</v>
      </c>
      <c r="Y63" s="8">
        <v>5.13</v>
      </c>
      <c r="Z63" s="9">
        <v>4.03</v>
      </c>
      <c r="AA63" s="8">
        <v>3.1</v>
      </c>
      <c r="AB63" s="8">
        <v>31158</v>
      </c>
      <c r="AC63" s="8" t="s">
        <v>389</v>
      </c>
      <c r="AD63" s="8" t="s">
        <v>4142</v>
      </c>
      <c r="AE63" s="8" t="s">
        <v>4234</v>
      </c>
      <c r="AF63" s="9">
        <f t="shared" si="2"/>
        <v>15.903</v>
      </c>
      <c r="AG63" s="9">
        <f t="shared" si="3"/>
        <v>12.555</v>
      </c>
      <c r="AH63" s="20"/>
      <c r="AI63" s="20"/>
      <c r="AJ63" s="20"/>
      <c r="AK63" s="20"/>
      <c r="AL63" s="20"/>
      <c r="AM63" s="20"/>
    </row>
    <row r="64" spans="13:40" ht="23">
      <c r="M64" s="8" t="s">
        <v>1173</v>
      </c>
      <c r="N64" s="8" t="s">
        <v>150</v>
      </c>
      <c r="O64" s="8"/>
      <c r="P64" s="8"/>
      <c r="Q64" s="21"/>
      <c r="R64" s="21"/>
      <c r="S64" s="21"/>
      <c r="T64" s="21"/>
      <c r="U64" s="21"/>
      <c r="V64" s="21"/>
      <c r="W64" s="8" t="s">
        <v>1173</v>
      </c>
      <c r="X64" s="8">
        <v>33.630000000000003</v>
      </c>
      <c r="Y64" s="8">
        <v>3.01</v>
      </c>
      <c r="Z64" s="9">
        <v>1.25</v>
      </c>
      <c r="AA64" s="8">
        <v>2.8</v>
      </c>
      <c r="AB64" s="8">
        <v>37239</v>
      </c>
      <c r="AC64" s="8" t="s">
        <v>1173</v>
      </c>
      <c r="AD64" s="8" t="s">
        <v>4091</v>
      </c>
      <c r="AE64" s="8" t="s">
        <v>4234</v>
      </c>
      <c r="AF64" s="9">
        <f t="shared" si="2"/>
        <v>8.427999999999999</v>
      </c>
      <c r="AG64" s="9">
        <f t="shared" si="3"/>
        <v>3.9666666666666668</v>
      </c>
      <c r="AH64" s="20"/>
      <c r="AI64" s="20"/>
      <c r="AJ64" s="20"/>
      <c r="AK64" s="20"/>
      <c r="AL64" s="20"/>
      <c r="AM64" s="20"/>
    </row>
    <row r="65" spans="13:40" ht="23">
      <c r="M65" s="8" t="s">
        <v>4483</v>
      </c>
      <c r="N65" s="8" t="s">
        <v>150</v>
      </c>
      <c r="O65" s="8"/>
      <c r="P65" s="8" t="s">
        <v>3691</v>
      </c>
      <c r="Q65" s="21"/>
      <c r="R65" s="21"/>
      <c r="S65" s="21"/>
      <c r="T65" s="21"/>
      <c r="U65" s="21"/>
      <c r="V65" s="21"/>
      <c r="W65" s="8" t="s">
        <v>530</v>
      </c>
      <c r="X65" s="8">
        <v>13.6</v>
      </c>
      <c r="Y65" s="8">
        <v>7.82</v>
      </c>
      <c r="Z65" s="9">
        <v>9.06</v>
      </c>
      <c r="AA65" s="8">
        <v>2.5</v>
      </c>
      <c r="AB65" s="8">
        <v>23517</v>
      </c>
      <c r="AC65" s="8" t="s">
        <v>530</v>
      </c>
      <c r="AD65" s="8" t="s">
        <v>4486</v>
      </c>
      <c r="AE65" s="8" t="s">
        <v>4234</v>
      </c>
      <c r="AF65" s="9">
        <f t="shared" si="2"/>
        <v>19.55</v>
      </c>
      <c r="AG65" s="9">
        <f t="shared" si="3"/>
        <v>22.75</v>
      </c>
      <c r="AH65" s="20"/>
      <c r="AI65" s="20"/>
      <c r="AJ65" s="20"/>
      <c r="AK65" s="20"/>
      <c r="AL65" s="20"/>
      <c r="AM65" s="20"/>
    </row>
    <row r="66" spans="13:40" ht="23">
      <c r="M66" s="8" t="s">
        <v>386</v>
      </c>
      <c r="N66" s="8" t="s">
        <v>150</v>
      </c>
      <c r="O66" s="8"/>
      <c r="P66" s="8" t="s">
        <v>3691</v>
      </c>
      <c r="Q66" s="21"/>
      <c r="R66" s="21"/>
      <c r="S66" s="21"/>
      <c r="T66" s="21"/>
      <c r="U66" s="21"/>
      <c r="V66" s="21"/>
      <c r="W66" s="8" t="s">
        <v>386</v>
      </c>
      <c r="X66" s="8">
        <v>27.03</v>
      </c>
      <c r="Y66" s="8">
        <v>3.44</v>
      </c>
      <c r="Z66" s="9">
        <v>8.09</v>
      </c>
      <c r="AA66" s="8">
        <v>2.5</v>
      </c>
      <c r="AB66" s="8">
        <v>28426</v>
      </c>
      <c r="AC66" s="8" t="s">
        <v>386</v>
      </c>
      <c r="AD66" s="8" t="s">
        <v>4037</v>
      </c>
      <c r="AE66" s="8" t="s">
        <v>4234</v>
      </c>
      <c r="AF66" s="9">
        <f t="shared" ref="AF66:AF78" si="4">(AA66*Y66)</f>
        <v>8.6</v>
      </c>
      <c r="AG66" s="9">
        <f t="shared" si="3"/>
        <v>20.375</v>
      </c>
      <c r="AH66" s="9"/>
      <c r="AI66" s="9"/>
      <c r="AJ66" s="9"/>
      <c r="AK66" s="9"/>
      <c r="AL66" s="9"/>
      <c r="AM66" s="9"/>
    </row>
    <row r="67" spans="13:40" ht="23">
      <c r="M67" s="8" t="s">
        <v>1938</v>
      </c>
      <c r="N67" s="8" t="s">
        <v>1939</v>
      </c>
      <c r="O67" s="8"/>
      <c r="P67" s="8"/>
      <c r="Q67" s="21"/>
      <c r="R67" s="21"/>
      <c r="S67" s="21"/>
      <c r="T67" s="21"/>
      <c r="U67" s="21"/>
      <c r="V67" s="21"/>
      <c r="W67" s="8" t="s">
        <v>1938</v>
      </c>
      <c r="X67" s="8">
        <v>30</v>
      </c>
      <c r="Y67" s="8">
        <v>6.09</v>
      </c>
      <c r="Z67" s="9">
        <v>11.26</v>
      </c>
      <c r="AA67" s="8">
        <v>2.2999999999999998</v>
      </c>
      <c r="AB67" s="8">
        <v>30705</v>
      </c>
      <c r="AC67" s="8" t="s">
        <v>1938</v>
      </c>
      <c r="AD67" s="8" t="s">
        <v>4221</v>
      </c>
      <c r="AE67" s="8" t="s">
        <v>4234</v>
      </c>
      <c r="AF67" s="9">
        <f t="shared" si="4"/>
        <v>14.006999999999998</v>
      </c>
      <c r="AG67" s="9">
        <f t="shared" ref="AG67:AG78" si="5">((((RIGHT(Z67,2))/60)+(LEFT(Z67,2)))*AA67)</f>
        <v>26.296666666666667</v>
      </c>
      <c r="AH67" s="20"/>
      <c r="AI67" s="20"/>
      <c r="AJ67" s="20"/>
      <c r="AK67" s="20"/>
      <c r="AL67" s="20"/>
      <c r="AM67" s="20"/>
    </row>
    <row r="68" spans="13:40" ht="23">
      <c r="M68" s="9" t="s">
        <v>2952</v>
      </c>
      <c r="N68" s="8" t="s">
        <v>1717</v>
      </c>
      <c r="O68" s="8"/>
      <c r="P68" s="8" t="s">
        <v>3691</v>
      </c>
      <c r="Q68" s="21"/>
      <c r="R68" s="21"/>
      <c r="S68" s="21"/>
      <c r="T68" s="21"/>
      <c r="U68" s="21"/>
      <c r="V68" s="21"/>
      <c r="W68" s="9" t="s">
        <v>2952</v>
      </c>
      <c r="X68" s="8">
        <v>26.7</v>
      </c>
      <c r="Y68" s="8">
        <v>4.42</v>
      </c>
      <c r="Z68" s="9">
        <v>4.3499999999999996</v>
      </c>
      <c r="AA68" s="8">
        <v>2.2999999999999998</v>
      </c>
      <c r="AB68" s="8">
        <v>30849</v>
      </c>
      <c r="AC68" s="9" t="s">
        <v>2952</v>
      </c>
      <c r="AD68" s="8" t="s">
        <v>4194</v>
      </c>
      <c r="AE68" s="8" t="s">
        <v>4234</v>
      </c>
      <c r="AF68" s="9">
        <f t="shared" si="4"/>
        <v>10.165999999999999</v>
      </c>
      <c r="AG68" s="9">
        <f t="shared" si="5"/>
        <v>10.541666666666664</v>
      </c>
      <c r="AH68" s="20"/>
      <c r="AI68" s="20"/>
      <c r="AJ68" s="20"/>
      <c r="AK68" s="20"/>
      <c r="AL68" s="20"/>
      <c r="AM68" s="20"/>
      <c r="AN68" s="28"/>
    </row>
    <row r="69" spans="13:40" ht="23">
      <c r="M69" s="8" t="s">
        <v>1793</v>
      </c>
      <c r="N69" s="8" t="s">
        <v>1717</v>
      </c>
      <c r="O69" s="8"/>
      <c r="P69" s="8"/>
      <c r="Q69" s="21"/>
      <c r="R69" s="21"/>
      <c r="S69" s="21"/>
      <c r="T69" s="21"/>
      <c r="U69" s="21"/>
      <c r="V69" s="21"/>
      <c r="W69" s="8" t="s">
        <v>1793</v>
      </c>
      <c r="X69" s="8">
        <v>17.61</v>
      </c>
      <c r="Y69" s="8">
        <v>5.52</v>
      </c>
      <c r="Z69" s="9">
        <v>5.09</v>
      </c>
      <c r="AA69" s="8">
        <v>2.1</v>
      </c>
      <c r="AB69" s="8">
        <v>30075</v>
      </c>
      <c r="AC69" s="8" t="s">
        <v>1793</v>
      </c>
      <c r="AD69" s="8" t="s">
        <v>4195</v>
      </c>
      <c r="AE69" s="8" t="s">
        <v>4234</v>
      </c>
      <c r="AF69" s="9">
        <f t="shared" si="4"/>
        <v>11.591999999999999</v>
      </c>
      <c r="AG69" s="9">
        <f t="shared" si="5"/>
        <v>10.815000000000001</v>
      </c>
      <c r="AH69" s="20"/>
      <c r="AI69" s="20"/>
      <c r="AJ69" s="20"/>
      <c r="AK69" s="20"/>
      <c r="AL69" s="20"/>
      <c r="AM69" s="20"/>
    </row>
    <row r="70" spans="13:40" ht="23">
      <c r="M70" s="8" t="s">
        <v>699</v>
      </c>
      <c r="N70" s="8" t="s">
        <v>150</v>
      </c>
      <c r="O70" s="8"/>
      <c r="P70" s="8"/>
      <c r="Q70" s="21"/>
      <c r="R70" s="21"/>
      <c r="S70" s="21"/>
      <c r="T70" s="21"/>
      <c r="U70" s="21"/>
      <c r="V70" s="21"/>
      <c r="W70" s="8" t="s">
        <v>699</v>
      </c>
      <c r="X70" s="8">
        <v>35.700000000000003</v>
      </c>
      <c r="Y70" s="8">
        <v>8.36</v>
      </c>
      <c r="Z70" s="9">
        <v>3.54</v>
      </c>
      <c r="AA70" s="8">
        <v>2.1</v>
      </c>
      <c r="AB70" s="8">
        <v>25589</v>
      </c>
      <c r="AC70" s="8" t="s">
        <v>699</v>
      </c>
      <c r="AD70" s="8" t="s">
        <v>4112</v>
      </c>
      <c r="AE70" s="8" t="s">
        <v>4234</v>
      </c>
      <c r="AF70" s="9">
        <f t="shared" si="4"/>
        <v>17.556000000000001</v>
      </c>
      <c r="AG70" s="9">
        <f t="shared" si="5"/>
        <v>8.19</v>
      </c>
      <c r="AH70" s="20"/>
      <c r="AI70" s="20"/>
      <c r="AJ70" s="20"/>
      <c r="AK70" s="20"/>
      <c r="AL70" s="20"/>
      <c r="AM70" s="20"/>
    </row>
    <row r="71" spans="13:40" ht="23">
      <c r="M71" s="9" t="s">
        <v>3673</v>
      </c>
      <c r="N71" s="8" t="s">
        <v>2107</v>
      </c>
      <c r="O71" s="8"/>
      <c r="P71" s="8" t="s">
        <v>3691</v>
      </c>
      <c r="Q71" s="21"/>
      <c r="R71" s="21"/>
      <c r="S71" s="21"/>
      <c r="T71" s="21"/>
      <c r="U71" s="21"/>
      <c r="V71" s="21"/>
      <c r="W71" s="9" t="s">
        <v>3673</v>
      </c>
      <c r="X71" s="8">
        <v>28.22</v>
      </c>
      <c r="Y71" s="8">
        <v>2.2599999999999998</v>
      </c>
      <c r="Z71" s="9">
        <v>1.08</v>
      </c>
      <c r="AA71" s="8">
        <v>2</v>
      </c>
      <c r="AB71" s="8">
        <v>39873</v>
      </c>
      <c r="AC71" s="9" t="s">
        <v>3673</v>
      </c>
      <c r="AD71" s="8" t="s">
        <v>4014</v>
      </c>
      <c r="AE71" s="8" t="s">
        <v>4234</v>
      </c>
      <c r="AF71" s="9">
        <f t="shared" si="4"/>
        <v>4.5199999999999996</v>
      </c>
      <c r="AG71" s="9">
        <f t="shared" si="5"/>
        <v>2.2666666666666666</v>
      </c>
      <c r="AH71" s="20"/>
      <c r="AI71" s="20"/>
      <c r="AJ71" s="20"/>
      <c r="AK71" s="20"/>
      <c r="AL71" s="20"/>
      <c r="AM71" s="20"/>
      <c r="AN71" s="28"/>
    </row>
    <row r="72" spans="13:40" ht="23">
      <c r="M72" s="8" t="s">
        <v>1508</v>
      </c>
      <c r="N72" s="8" t="s">
        <v>150</v>
      </c>
      <c r="O72" s="8"/>
      <c r="P72" s="8"/>
      <c r="Q72" s="21"/>
      <c r="R72" s="21"/>
      <c r="S72" s="21"/>
      <c r="T72" s="21"/>
      <c r="U72" s="21"/>
      <c r="V72" s="21"/>
      <c r="W72" s="8" t="s">
        <v>1508</v>
      </c>
      <c r="X72" s="8">
        <v>29.07</v>
      </c>
      <c r="Y72" s="8">
        <v>4.1399999999999997</v>
      </c>
      <c r="Z72" s="9">
        <v>2.15</v>
      </c>
      <c r="AA72" s="8">
        <v>1.9</v>
      </c>
      <c r="AB72" s="8">
        <v>33697</v>
      </c>
      <c r="AC72" s="8" t="s">
        <v>1508</v>
      </c>
      <c r="AD72" s="8" t="s">
        <v>4486</v>
      </c>
      <c r="AE72" s="8" t="s">
        <v>4234</v>
      </c>
      <c r="AF72" s="9">
        <f t="shared" si="4"/>
        <v>7.8659999999999988</v>
      </c>
      <c r="AG72" s="9">
        <f t="shared" si="5"/>
        <v>4.2749999999999995</v>
      </c>
      <c r="AH72" s="20"/>
      <c r="AI72" s="20"/>
      <c r="AJ72" s="20"/>
      <c r="AK72" s="20"/>
      <c r="AL72" s="20"/>
      <c r="AM72" s="20"/>
    </row>
    <row r="73" spans="13:40" ht="23">
      <c r="M73" s="8" t="s">
        <v>1014</v>
      </c>
      <c r="N73" s="8" t="s">
        <v>150</v>
      </c>
      <c r="O73" s="8"/>
      <c r="P73" s="8"/>
      <c r="Q73" s="21"/>
      <c r="R73" s="21"/>
      <c r="S73" s="21"/>
      <c r="T73" s="21"/>
      <c r="U73" s="21"/>
      <c r="V73" s="21"/>
      <c r="W73" s="8" t="s">
        <v>1014</v>
      </c>
      <c r="X73" s="8">
        <v>25.1</v>
      </c>
      <c r="Y73" s="8">
        <v>3.79</v>
      </c>
      <c r="Z73" s="9">
        <v>2.0299999999999998</v>
      </c>
      <c r="AA73" s="8">
        <v>1.8</v>
      </c>
      <c r="AB73" s="8">
        <v>42176</v>
      </c>
      <c r="AC73" s="8" t="s">
        <v>1014</v>
      </c>
      <c r="AD73" s="8" t="s">
        <v>4174</v>
      </c>
      <c r="AE73" s="8" t="s">
        <v>4234</v>
      </c>
      <c r="AF73" s="9">
        <f t="shared" si="4"/>
        <v>6.8220000000000001</v>
      </c>
      <c r="AG73" s="9">
        <f t="shared" si="5"/>
        <v>3.69</v>
      </c>
      <c r="AH73" s="20"/>
      <c r="AI73" s="20"/>
      <c r="AJ73" s="20"/>
      <c r="AK73" s="20"/>
      <c r="AL73" s="20"/>
      <c r="AM73" s="20"/>
    </row>
    <row r="74" spans="13:40" ht="23">
      <c r="M74" s="8" t="s">
        <v>1934</v>
      </c>
      <c r="N74" s="8" t="s">
        <v>1902</v>
      </c>
      <c r="O74" s="8"/>
      <c r="P74" s="8" t="s">
        <v>3691</v>
      </c>
      <c r="Q74" s="21"/>
      <c r="R74" s="21"/>
      <c r="S74" s="21"/>
      <c r="T74" s="21"/>
      <c r="U74" s="21"/>
      <c r="V74" s="21"/>
      <c r="W74" s="8" t="s">
        <v>1934</v>
      </c>
      <c r="X74" s="8">
        <v>11.23</v>
      </c>
      <c r="Y74" s="8">
        <v>3.84</v>
      </c>
      <c r="Z74" s="9">
        <v>2.2200000000000002</v>
      </c>
      <c r="AA74" s="8">
        <v>1.8</v>
      </c>
      <c r="AB74" s="8">
        <v>46213</v>
      </c>
      <c r="AC74" s="8" t="s">
        <v>1934</v>
      </c>
      <c r="AD74" s="8" t="s">
        <v>4228</v>
      </c>
      <c r="AE74" s="8" t="s">
        <v>4234</v>
      </c>
      <c r="AF74" s="9">
        <f t="shared" si="4"/>
        <v>6.9119999999999999</v>
      </c>
      <c r="AG74" s="9">
        <f t="shared" si="5"/>
        <v>4.26</v>
      </c>
      <c r="AH74" s="20"/>
      <c r="AI74" s="20"/>
      <c r="AJ74" s="20"/>
      <c r="AK74" s="20"/>
      <c r="AL74" s="20"/>
      <c r="AM74" s="20"/>
    </row>
    <row r="75" spans="13:40" ht="23">
      <c r="M75" s="8" t="s">
        <v>1575</v>
      </c>
      <c r="N75" s="8" t="s">
        <v>150</v>
      </c>
      <c r="O75" s="8"/>
      <c r="P75" s="8"/>
      <c r="Q75" s="21"/>
      <c r="R75" s="21"/>
      <c r="S75" s="21"/>
      <c r="T75" s="21"/>
      <c r="U75" s="21"/>
      <c r="V75" s="21"/>
      <c r="W75" s="8" t="s">
        <v>1575</v>
      </c>
      <c r="X75" s="8">
        <v>43.4</v>
      </c>
      <c r="Y75" s="8">
        <v>2.42</v>
      </c>
      <c r="Z75" s="9">
        <v>2.46</v>
      </c>
      <c r="AA75" s="8">
        <v>1.8</v>
      </c>
      <c r="AB75" s="8">
        <v>47598</v>
      </c>
      <c r="AC75" s="8" t="s">
        <v>1575</v>
      </c>
      <c r="AD75" s="8" t="s">
        <v>4065</v>
      </c>
      <c r="AE75" s="8" t="s">
        <v>4234</v>
      </c>
      <c r="AF75" s="9">
        <f t="shared" si="4"/>
        <v>4.3559999999999999</v>
      </c>
      <c r="AG75" s="9">
        <f t="shared" si="5"/>
        <v>4.9800000000000004</v>
      </c>
      <c r="AH75" s="20"/>
      <c r="AI75" s="20"/>
      <c r="AJ75" s="20"/>
      <c r="AK75" s="20"/>
      <c r="AL75" s="20"/>
      <c r="AM75" s="20"/>
    </row>
    <row r="76" spans="13:40" ht="23">
      <c r="M76" s="9" t="s">
        <v>2662</v>
      </c>
      <c r="N76" s="8" t="s">
        <v>150</v>
      </c>
      <c r="O76" s="8"/>
      <c r="P76" s="8"/>
      <c r="Q76" s="21"/>
      <c r="R76" s="21"/>
      <c r="S76" s="21"/>
      <c r="T76" s="21"/>
      <c r="U76" s="21"/>
      <c r="V76" s="21"/>
      <c r="W76" s="9" t="s">
        <v>2662</v>
      </c>
      <c r="X76" s="8">
        <v>56.51</v>
      </c>
      <c r="Y76" s="8">
        <v>2.0299999999999998</v>
      </c>
      <c r="Z76" s="9">
        <v>1.34</v>
      </c>
      <c r="AA76" s="8">
        <v>1.4</v>
      </c>
      <c r="AB76" s="8">
        <v>57043</v>
      </c>
      <c r="AC76" s="9" t="s">
        <v>2662</v>
      </c>
      <c r="AD76" s="8" t="s">
        <v>4105</v>
      </c>
      <c r="AE76" s="8" t="s">
        <v>4234</v>
      </c>
      <c r="AF76" s="9">
        <f t="shared" si="4"/>
        <v>2.8419999999999996</v>
      </c>
      <c r="AG76" s="9">
        <f t="shared" si="5"/>
        <v>2.1933333333333334</v>
      </c>
      <c r="AH76" s="20"/>
      <c r="AI76" s="20"/>
      <c r="AJ76" s="20"/>
      <c r="AK76" s="20"/>
      <c r="AL76" s="20"/>
      <c r="AM76" s="20"/>
      <c r="AN76" s="28"/>
    </row>
    <row r="77" spans="13:40" ht="23">
      <c r="M77" s="9" t="s">
        <v>2997</v>
      </c>
      <c r="N77" s="8" t="s">
        <v>1717</v>
      </c>
      <c r="O77" s="8"/>
      <c r="P77" s="8"/>
      <c r="Q77" s="21"/>
      <c r="R77" s="21"/>
      <c r="S77" s="21"/>
      <c r="T77" s="21"/>
      <c r="U77" s="21"/>
      <c r="V77" s="21"/>
      <c r="W77" s="9" t="s">
        <v>2997</v>
      </c>
      <c r="X77" s="8">
        <v>22.69</v>
      </c>
      <c r="Y77" s="8">
        <v>7.2</v>
      </c>
      <c r="Z77" s="9">
        <v>6.04</v>
      </c>
      <c r="AA77" s="8">
        <v>1.1000000000000001</v>
      </c>
      <c r="AB77" s="8">
        <v>68250</v>
      </c>
      <c r="AC77" s="9" t="s">
        <v>2997</v>
      </c>
      <c r="AD77" s="8" t="s">
        <v>4193</v>
      </c>
      <c r="AE77" s="8" t="s">
        <v>4234</v>
      </c>
      <c r="AF77" s="9">
        <f t="shared" si="4"/>
        <v>7.9200000000000008</v>
      </c>
      <c r="AG77" s="9">
        <f t="shared" si="5"/>
        <v>6.6733333333333338</v>
      </c>
      <c r="AH77" s="20"/>
      <c r="AI77" s="20"/>
      <c r="AJ77" s="20"/>
      <c r="AK77" s="20"/>
      <c r="AL77" s="20"/>
      <c r="AM77" s="20"/>
      <c r="AN77" s="28"/>
    </row>
    <row r="78" spans="13:40" ht="23">
      <c r="M78" s="8" t="s">
        <v>563</v>
      </c>
      <c r="N78" s="8" t="s">
        <v>150</v>
      </c>
      <c r="O78" s="8"/>
      <c r="P78" s="8"/>
      <c r="Q78" s="21"/>
      <c r="R78" s="21"/>
      <c r="S78" s="21"/>
      <c r="T78" s="21"/>
      <c r="U78" s="21"/>
      <c r="V78" s="21"/>
      <c r="W78" s="8" t="s">
        <v>563</v>
      </c>
      <c r="X78" s="8">
        <v>30.27</v>
      </c>
      <c r="Y78" s="8">
        <v>2.2999999999999998</v>
      </c>
      <c r="Z78" s="9">
        <v>0.28000000000000003</v>
      </c>
      <c r="AA78" s="8">
        <v>1.1000000000000001</v>
      </c>
      <c r="AB78" s="8">
        <v>80322</v>
      </c>
      <c r="AC78" s="8" t="s">
        <v>563</v>
      </c>
      <c r="AD78" s="8" t="s">
        <v>4182</v>
      </c>
      <c r="AE78" s="8" t="s">
        <v>4234</v>
      </c>
      <c r="AF78" s="9">
        <f t="shared" si="4"/>
        <v>2.5299999999999998</v>
      </c>
      <c r="AG78" s="9">
        <f t="shared" si="5"/>
        <v>0.51333333333333342</v>
      </c>
      <c r="AH78" s="9"/>
      <c r="AI78" s="9"/>
      <c r="AJ78" s="9"/>
      <c r="AK78" s="9"/>
      <c r="AL78" s="9"/>
      <c r="AM78" s="9"/>
    </row>
    <row r="79" spans="13:40" ht="23"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9"/>
      <c r="AA79" s="8">
        <f>SUBTOTAL(109,Table13683108[ترافیک کل])</f>
        <v>5681.2000000000025</v>
      </c>
      <c r="AB79" s="8"/>
      <c r="AC79" s="8"/>
      <c r="AD79" s="8"/>
      <c r="AE79" s="8"/>
      <c r="AF79" s="9">
        <f>SUBTOTAL(109,Table13683108[[مجموع صفحات  مشاهده شده   ]])</f>
        <v>14753.905000000002</v>
      </c>
      <c r="AG79" s="9">
        <f>SUBTOTAL(109,Table13683108[[مجموع زمان حضور در سایت ]])</f>
        <v>6815.8553333333311</v>
      </c>
      <c r="AH79" s="23">
        <f>SUBTOTAL(109,Table13683108[سهم سایت از کل ترافیک طبقه بندی])</f>
        <v>0</v>
      </c>
      <c r="AI79" s="23">
        <f>SUBTOTAL(109,Table13683108[شاخص هرفیندال هیرشمن (ترافیک)])</f>
        <v>0</v>
      </c>
      <c r="AJ79" s="23">
        <f>SUBTOTAL(109,Table13683108[سهم سایت از کل صفحات مشاهده شده در طبقه بندی])</f>
        <v>0</v>
      </c>
      <c r="AK79" s="23">
        <f>SUBTOTAL(109,Table13683108[شاخص هرفیندال -هیرشمن (صفحات مشاهده شده )])</f>
        <v>0</v>
      </c>
      <c r="AL79" s="23">
        <f>SUBTOTAL(109,Table13683108[سهم سایت از کل زمان حضور در طبقه بندی])</f>
        <v>0</v>
      </c>
      <c r="AM79" s="23">
        <f>SUBTOTAL(109,Table13683108[شاخص هرفیندال هیرشمن (زمان حضور)])</f>
        <v>0</v>
      </c>
      <c r="AN79" s="20"/>
    </row>
  </sheetData>
  <conditionalFormatting sqref="AA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{E796D8A2-3395-48F7-8B18-0A1B6013B3F1}</x14:id>
        </ext>
      </extLst>
    </cfRule>
  </conditionalFormatting>
  <conditionalFormatting sqref="AH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{B24B0B23-EC46-40C5-B011-CEDF1D9830CD}</x14:id>
        </ext>
      </extLst>
    </cfRule>
  </conditionalFormatting>
  <conditionalFormatting sqref="AA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{A9054956-A785-452F-A9F0-DDB1469E8DC2}</x14:id>
        </ext>
      </extLst>
    </cfRule>
  </conditionalFormatting>
  <conditionalFormatting sqref="AH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{78B6E742-F192-4D3F-8FDE-164760CDE084}</x14:id>
        </ext>
      </extLst>
    </cfRule>
  </conditionalFormatting>
  <conditionalFormatting sqref="H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{FED9C040-39AA-4439-9639-CAF5028A28D9}</x14:id>
        </ext>
      </extLst>
    </cfRule>
  </conditionalFormatting>
  <conditionalFormatting sqref="H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{EA8A6CB6-5908-4D50-90A3-969DB5A995C9}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96D8A2-3395-48F7-8B18-0A1B6013B3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B24B0B23-EC46-40C5-B011-CEDF1D9830C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A9054956-A785-452F-A9F0-DDB1469E8DC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AA1</xm:sqref>
        </x14:conditionalFormatting>
        <x14:conditionalFormatting xmlns:xm="http://schemas.microsoft.com/office/excel/2006/main">
          <x14:cfRule type="dataBar" id="{78B6E742-F192-4D3F-8FDE-164760CDE084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FED9C040-39AA-4439-9639-CAF5028A28D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  <x14:conditionalFormatting xmlns:xm="http://schemas.microsoft.com/office/excel/2006/main">
          <x14:cfRule type="dataBar" id="{EA8A6CB6-5908-4D50-90A3-969DB5A995C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فروشگاه-عمومی</vt:lpstr>
      <vt:lpstr>دیجیتال</vt:lpstr>
      <vt:lpstr>پوشاک</vt:lpstr>
      <vt:lpstr>کتاب و لوازم تحریر</vt:lpstr>
      <vt:lpstr>لوازم خانگی و اداری</vt:lpstr>
      <vt:lpstr>لوازم ورزشی</vt:lpstr>
      <vt:lpstr>قطعات الکترونیک و رباتیک</vt:lpstr>
      <vt:lpstr>آرایشی و بهداشتی</vt:lpstr>
      <vt:lpstr>ابزار</vt:lpstr>
      <vt:lpstr>زیورآلات</vt:lpstr>
      <vt:lpstr>کودک</vt:lpstr>
      <vt:lpstr>کادو و صنایع دستی </vt:lpstr>
      <vt:lpstr>عطر</vt:lpstr>
      <vt:lpstr>خوراکی</vt:lpstr>
      <vt:lpstr>گل و گیاه و بذر </vt:lpstr>
      <vt:lpstr>دوربین مداربستهاطفا حریق و شبکه</vt:lpstr>
      <vt:lpstr>لوازم موسیقی</vt:lpstr>
      <vt:lpstr>تاسیسات و تجهیزات</vt:lpstr>
      <vt:lpstr>بازاریابی شبکه ای</vt:lpstr>
      <vt:lpstr>جستجوگر کالا</vt:lpstr>
      <vt:lpstr>بانک</vt:lpstr>
      <vt:lpstr>اطلاع رسانی قیمت</vt:lpstr>
      <vt:lpstr>شاپرک</vt:lpstr>
      <vt:lpstr>PSP</vt:lpstr>
      <vt:lpstr>بیمه</vt:lpstr>
      <vt:lpstr>بورس</vt:lpstr>
      <vt:lpstr>واسط پرداخت</vt:lpstr>
      <vt:lpstr>پول و ارز الکترونیک</vt:lpstr>
      <vt:lpstr>پرداخت ارزی و کارت ویزا</vt:lpstr>
      <vt:lpstr>شارژ</vt:lpstr>
      <vt:lpstr>گیفت کارت</vt:lpstr>
      <vt:lpstr>خرید از سایت های خارجی</vt:lpstr>
      <vt:lpstr>خیریه</vt:lpstr>
      <vt:lpstr>جمع سپاری</vt:lpstr>
      <vt:lpstr>پرداخت کرایه</vt:lpstr>
      <vt:lpstr>آگهی-عمومی</vt:lpstr>
      <vt:lpstr>آگهی-خودرو</vt:lpstr>
      <vt:lpstr>استخدام و کاریابی</vt:lpstr>
      <vt:lpstr>آگهی-مشاغل</vt:lpstr>
      <vt:lpstr>آگهی-املاک</vt:lpstr>
      <vt:lpstr>فروش خودرو</vt:lpstr>
      <vt:lpstr>مجله اینترنتی خودرو</vt:lpstr>
      <vt:lpstr>فروشگاه قطعات خودرو</vt:lpstr>
      <vt:lpstr>بازار کار آزاد</vt:lpstr>
      <vt:lpstr>ترجمه و تایپ</vt:lpstr>
      <vt:lpstr>اپلود</vt:lpstr>
      <vt:lpstr>مستقیم کننده</vt:lpstr>
      <vt:lpstr>دانلود نرم افزار</vt:lpstr>
      <vt:lpstr>دانلود فیلم و زیر نویس</vt:lpstr>
      <vt:lpstr>دانلود موسیقی</vt:lpstr>
      <vt:lpstr>مارکت اندروید</vt:lpstr>
      <vt:lpstr>دانلود فایل-عمومی</vt:lpstr>
      <vt:lpstr>دانلود فایل های گرافیکی</vt:lpstr>
      <vt:lpstr>دانلود فایل رم و فلش گوشی</vt:lpstr>
      <vt:lpstr>کتاب‌ومجله الکترونیکی</vt:lpstr>
      <vt:lpstr>اشتراک ویدئو</vt:lpstr>
      <vt:lpstr>VOD&amp;IPTV</vt:lpstr>
      <vt:lpstr>موسیقی</vt:lpstr>
      <vt:lpstr>بلیط هواپیما</vt:lpstr>
      <vt:lpstr>بلیط اتوبوس</vt:lpstr>
      <vt:lpstr>بلیط قطار</vt:lpstr>
      <vt:lpstr>هتل و تور</vt:lpstr>
      <vt:lpstr>پرتال و نیازمندی های گردشگری</vt:lpstr>
      <vt:lpstr>تخفیف گروهی</vt:lpstr>
      <vt:lpstr>بلیط سینما </vt:lpstr>
      <vt:lpstr>بلیط  تئاتر و کنسرت </vt:lpstr>
      <vt:lpstr>بلیط همایش و رویداد</vt:lpstr>
      <vt:lpstr>سفارش غذا</vt:lpstr>
      <vt:lpstr>خدمات حوزه سلامت</vt:lpstr>
      <vt:lpstr>دانشگاه</vt:lpstr>
      <vt:lpstr>ثبت نام آزمون ورودی</vt:lpstr>
      <vt:lpstr>مقاله</vt:lpstr>
      <vt:lpstr>آموزشگاه ها و موسسه</vt:lpstr>
      <vt:lpstr>آموزش آنلاین</vt:lpstr>
      <vt:lpstr>آموزش زبان</vt:lpstr>
      <vt:lpstr>آموزش -پکیج</vt:lpstr>
      <vt:lpstr>درخواست استاد</vt:lpstr>
      <vt:lpstr>درخواست خودرو</vt:lpstr>
      <vt:lpstr>اشتراک گذاری خودرو</vt:lpstr>
      <vt:lpstr>حمل و نقل بین شهری</vt:lpstr>
      <vt:lpstr>درخواست پیک</vt:lpstr>
      <vt:lpstr>پست و ارسال کالا</vt:lpstr>
      <vt:lpstr>شبکه های اجتماعی</vt:lpstr>
      <vt:lpstr>موتورهای جستجو</vt:lpstr>
      <vt:lpstr>مخابرات و ISPها</vt:lpstr>
      <vt:lpstr>اپراتور</vt:lpstr>
      <vt:lpstr>سیمکارت</vt:lpstr>
      <vt:lpstr>هاست و دومین</vt:lpstr>
      <vt:lpstr>مربوط به سایت ها</vt:lpstr>
      <vt:lpstr>خبر</vt:lpstr>
      <vt:lpstr>محتوای ورزشی</vt:lpstr>
      <vt:lpstr>مجله اینترنتی </vt:lpstr>
      <vt:lpstr>محتوای دیجیتال</vt:lpstr>
      <vt:lpstr>محتوای سلامت</vt:lpstr>
      <vt:lpstr>وبلاگ و فروم</vt:lpstr>
      <vt:lpstr>مرتبط با تلگرام و اینستا</vt:lpstr>
      <vt:lpstr>سایر محتوا</vt:lpstr>
      <vt:lpstr>تبلیغات</vt:lpstr>
      <vt:lpstr>پاپ آپ</vt:lpstr>
      <vt:lpstr>پیامک</vt:lpstr>
      <vt:lpstr>اینستا-تلگرام</vt:lpstr>
      <vt:lpstr>چاپ</vt:lpstr>
      <vt:lpstr>خرید لایسنس</vt:lpstr>
      <vt:lpstr>نرم افزار و بازی</vt:lpstr>
      <vt:lpstr>کاهش پینگ</vt:lpstr>
      <vt:lpstr>خدمات منزل</vt:lpstr>
      <vt:lpstr>مزایده و مناقصه</vt:lpstr>
      <vt:lpstr>نظرسنجی </vt:lpstr>
      <vt:lpstr>دفتر کار مجازی</vt:lpstr>
      <vt:lpstr>دولتی و سازمان ها</vt:lpstr>
      <vt:lpstr>سایر سایت ها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majidd</dc:creator>
  <cp:lastModifiedBy>majidd</cp:lastModifiedBy>
  <dcterms:created xsi:type="dcterms:W3CDTF">2016-10-11T19:50:09Z</dcterms:created>
  <dcterms:modified xsi:type="dcterms:W3CDTF">2017-12-31T12:17:51Z</dcterms:modified>
</cp:coreProperties>
</file>